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lamas\Documents\ISO 8666, 12215-5, 12215-6 y ABS HSC\"/>
    </mc:Choice>
  </mc:AlternateContent>
  <xr:revisionPtr revIDLastSave="0" documentId="13_ncr:1_{1E62375B-5448-4756-BE0E-8886D58A18AB}" xr6:coauthVersionLast="47" xr6:coauthVersionMax="47" xr10:uidLastSave="{00000000-0000-0000-0000-000000000000}"/>
  <bookViews>
    <workbookView xWindow="-120" yWindow="-120" windowWidth="20730" windowHeight="11160" tabRatio="918" xr2:uid="{00000000-000D-0000-FFFF-FFFF00000000}"/>
  </bookViews>
  <sheets>
    <sheet name="COMPARACIÓN NORMAS" sheetId="11" r:id="rId1"/>
    <sheet name="Módulo de sección F.S" sheetId="12" r:id="rId2"/>
    <sheet name="ISO 12215 Datos de entrada" sheetId="6" r:id="rId3"/>
    <sheet name="categorias" sheetId="7" state="hidden" r:id="rId4"/>
    <sheet name="Presiones de diseño" sheetId="8" r:id="rId5"/>
    <sheet name="espesores laminas" sheetId="10" r:id="rId6"/>
    <sheet name="Refuerzos" sheetId="9" r:id="rId7"/>
    <sheet name="ABS Datos de entrada" sheetId="1" r:id="rId8"/>
    <sheet name="Resistencia viga buque" sheetId="2" r:id="rId9"/>
    <sheet name="ABS Presiones de diseño" sheetId="3" r:id="rId10"/>
    <sheet name="paneles" sheetId="4" r:id="rId11"/>
    <sheet name="interno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8"/>
  <c r="E26" i="6"/>
  <c r="C5" i="8"/>
  <c r="C10" i="2"/>
  <c r="C11" i="2" s="1"/>
  <c r="C9" i="2" s="1"/>
  <c r="J16" i="9"/>
  <c r="C6" i="10" l="1"/>
  <c r="C38" i="6"/>
  <c r="Q33" i="5" l="1"/>
  <c r="B12" i="11" l="1"/>
  <c r="R27" i="5"/>
  <c r="B17" i="1" l="1"/>
  <c r="T34" i="5"/>
  <c r="C20" i="5" l="1"/>
  <c r="R41" i="5"/>
  <c r="B15" i="1"/>
  <c r="C10" i="3"/>
  <c r="J29" i="12" l="1"/>
  <c r="J28" i="12"/>
  <c r="G29" i="12"/>
  <c r="I29" i="12" s="1"/>
  <c r="G28" i="12"/>
  <c r="I28" i="12" s="1"/>
  <c r="J16" i="12" l="1"/>
  <c r="G16" i="12"/>
  <c r="J26" i="12"/>
  <c r="G26" i="12"/>
  <c r="I26" i="12" s="1"/>
  <c r="I16" i="12" l="1"/>
  <c r="AJ96" i="5"/>
  <c r="AJ97" i="5"/>
  <c r="AK96" i="5"/>
  <c r="AK95" i="5"/>
  <c r="AJ95" i="5"/>
  <c r="C44" i="5"/>
  <c r="J15" i="12"/>
  <c r="G15" i="12"/>
  <c r="I15" i="12" s="1"/>
  <c r="AL96" i="5" l="1"/>
  <c r="AL95" i="5"/>
  <c r="AK97" i="5"/>
  <c r="AL97" i="5" s="1"/>
  <c r="AI99" i="5" l="1"/>
  <c r="AH82" i="5"/>
  <c r="AI82" i="5"/>
  <c r="AK83" i="5" s="1"/>
  <c r="AK81" i="5"/>
  <c r="AJ83" i="5"/>
  <c r="AJ81" i="5"/>
  <c r="AL81" i="5" s="1"/>
  <c r="AM96" i="5" l="1"/>
  <c r="AM95" i="5"/>
  <c r="AM97" i="5"/>
  <c r="AK82" i="5"/>
  <c r="AJ82" i="5"/>
  <c r="AL83" i="5"/>
  <c r="AL82" i="5" l="1"/>
  <c r="AI100" i="5"/>
  <c r="AI85" i="5"/>
  <c r="AM82" i="5" s="1"/>
  <c r="R58" i="5"/>
  <c r="R53" i="5"/>
  <c r="AI101" i="5" l="1"/>
  <c r="M47" i="5" s="1"/>
  <c r="M46" i="5"/>
  <c r="AM81" i="5"/>
  <c r="AM83" i="5"/>
  <c r="AI86" i="5" l="1"/>
  <c r="D29" i="10"/>
  <c r="B13" i="1"/>
  <c r="B12" i="1"/>
  <c r="AI87" i="5" l="1"/>
  <c r="M42" i="5" s="1"/>
  <c r="M41" i="5"/>
  <c r="Q80" i="5"/>
  <c r="J25" i="12"/>
  <c r="Q63" i="5" l="1"/>
  <c r="R63" i="5"/>
  <c r="C8" i="5" l="1"/>
  <c r="Q90" i="5" l="1"/>
  <c r="Q91" i="5"/>
  <c r="Q79" i="5"/>
  <c r="R79" i="5" s="1"/>
  <c r="D47" i="5"/>
  <c r="C89" i="5"/>
  <c r="C78" i="5"/>
  <c r="B69" i="3"/>
  <c r="B66" i="3"/>
  <c r="Q92" i="5" l="1"/>
  <c r="R90" i="5"/>
  <c r="R92" i="5" s="1"/>
  <c r="U90" i="5" s="1"/>
  <c r="U91" i="5" s="1"/>
  <c r="Q81" i="5"/>
  <c r="R81" i="5"/>
  <c r="U79" i="5" s="1"/>
  <c r="U80" i="5" l="1"/>
  <c r="U92" i="5"/>
  <c r="M90" i="5" s="1"/>
  <c r="U81" i="5"/>
  <c r="U78" i="5" s="1"/>
  <c r="M80" i="5" s="1"/>
  <c r="M79" i="5" l="1"/>
  <c r="U89" i="5"/>
  <c r="M91" i="5" s="1"/>
  <c r="G22" i="12"/>
  <c r="AG67" i="5" l="1"/>
  <c r="AH67" i="5" s="1"/>
  <c r="AG66" i="5"/>
  <c r="AG65" i="5"/>
  <c r="S56" i="5"/>
  <c r="S58" i="5" s="1"/>
  <c r="AI57" i="5"/>
  <c r="AI70" i="5"/>
  <c r="AG53" i="5"/>
  <c r="AG54" i="5"/>
  <c r="AG52" i="5"/>
  <c r="S51" i="5"/>
  <c r="S53" i="5" s="1"/>
  <c r="T33" i="5"/>
  <c r="S33" i="5"/>
  <c r="U33" i="5" s="1"/>
  <c r="AI46" i="5"/>
  <c r="AK47" i="5" s="1"/>
  <c r="AH47" i="5"/>
  <c r="AK45" i="5"/>
  <c r="AJ47" i="5"/>
  <c r="AH46" i="5"/>
  <c r="AJ45" i="5"/>
  <c r="R43" i="5"/>
  <c r="Q43" i="5"/>
  <c r="AI31" i="5"/>
  <c r="AK30" i="5"/>
  <c r="AL30" i="5" s="1"/>
  <c r="AH32" i="5"/>
  <c r="AJ32" i="5" s="1"/>
  <c r="AH31" i="5"/>
  <c r="AJ30" i="5"/>
  <c r="AH52" i="5" l="1"/>
  <c r="AH65" i="5"/>
  <c r="S34" i="5"/>
  <c r="G18" i="12" s="1"/>
  <c r="I18" i="12" s="1"/>
  <c r="S35" i="5"/>
  <c r="AL47" i="5"/>
  <c r="AK46" i="5"/>
  <c r="AJ46" i="5"/>
  <c r="AL45" i="5"/>
  <c r="U41" i="5"/>
  <c r="U42" i="5" s="1"/>
  <c r="AJ31" i="5"/>
  <c r="AK31" i="5"/>
  <c r="AK32" i="5"/>
  <c r="AL32" i="5" s="1"/>
  <c r="J13" i="12"/>
  <c r="AL46" i="5" l="1"/>
  <c r="AL49" i="5"/>
  <c r="U35" i="5"/>
  <c r="G19" i="12"/>
  <c r="G20" i="12"/>
  <c r="U34" i="5"/>
  <c r="AL31" i="5"/>
  <c r="AO30" i="5" s="1"/>
  <c r="AO20" i="5" s="1"/>
  <c r="AM32" i="5" s="1"/>
  <c r="U43" i="5"/>
  <c r="U40" i="5" s="1"/>
  <c r="M69" i="5" s="1"/>
  <c r="AL51" i="5" l="1"/>
  <c r="AM47" i="5"/>
  <c r="AM45" i="5"/>
  <c r="AM46" i="5"/>
  <c r="M68" i="5"/>
  <c r="U36" i="5"/>
  <c r="V33" i="5" s="1"/>
  <c r="J28" i="9"/>
  <c r="AP32" i="5"/>
  <c r="AM31" i="5"/>
  <c r="AM30" i="5"/>
  <c r="T64" i="5"/>
  <c r="T63" i="5"/>
  <c r="T62" i="5"/>
  <c r="S64" i="5"/>
  <c r="V64" i="5" s="1"/>
  <c r="S63" i="5"/>
  <c r="J20" i="9" s="1"/>
  <c r="S62" i="5"/>
  <c r="J17" i="12"/>
  <c r="J27" i="12"/>
  <c r="G27" i="12"/>
  <c r="I27" i="12" s="1"/>
  <c r="J14" i="12"/>
  <c r="AL50" i="5" l="1"/>
  <c r="V35" i="5"/>
  <c r="V34" i="5"/>
  <c r="U63" i="5"/>
  <c r="AM34" i="5"/>
  <c r="AM35" i="5" s="1"/>
  <c r="U64" i="5"/>
  <c r="AI71" i="5" s="1"/>
  <c r="V63" i="5"/>
  <c r="U62" i="5"/>
  <c r="B16" i="1"/>
  <c r="B14" i="1"/>
  <c r="C18" i="6"/>
  <c r="C17" i="6"/>
  <c r="C15" i="6"/>
  <c r="C14" i="6"/>
  <c r="C13" i="6"/>
  <c r="R97" i="12"/>
  <c r="R98" i="12"/>
  <c r="G72" i="12"/>
  <c r="E72" i="12"/>
  <c r="G71" i="12"/>
  <c r="E71" i="12"/>
  <c r="C71" i="12"/>
  <c r="G70" i="12"/>
  <c r="E70" i="12"/>
  <c r="C70" i="12"/>
  <c r="G69" i="12"/>
  <c r="E69" i="12"/>
  <c r="C69" i="12"/>
  <c r="E68" i="12"/>
  <c r="E73" i="12" s="1"/>
  <c r="G63" i="12"/>
  <c r="E63" i="12" s="1"/>
  <c r="C63" i="12"/>
  <c r="E62" i="12"/>
  <c r="E61" i="12"/>
  <c r="E64" i="12" s="1"/>
  <c r="D61" i="12"/>
  <c r="F60" i="12"/>
  <c r="D60" i="12"/>
  <c r="C60" i="12"/>
  <c r="C61" i="12" s="1"/>
  <c r="C62" i="12" s="1"/>
  <c r="B60" i="12"/>
  <c r="C59" i="12"/>
  <c r="B59" i="12"/>
  <c r="C58" i="12"/>
  <c r="B58" i="12"/>
  <c r="D57" i="12"/>
  <c r="C57" i="12"/>
  <c r="B57" i="12"/>
  <c r="D56" i="12"/>
  <c r="D55" i="12"/>
  <c r="C55" i="12"/>
  <c r="B55" i="12"/>
  <c r="G54" i="12"/>
  <c r="D54" i="12"/>
  <c r="B54" i="12"/>
  <c r="G53" i="12"/>
  <c r="F53" i="12"/>
  <c r="F54" i="12" s="1"/>
  <c r="D53" i="12"/>
  <c r="C53" i="12"/>
  <c r="C54" i="12" s="1"/>
  <c r="B53" i="12"/>
  <c r="G52" i="12"/>
  <c r="M45" i="12"/>
  <c r="E44" i="12"/>
  <c r="E41" i="12"/>
  <c r="M41" i="12" s="1"/>
  <c r="L41" i="12" s="1"/>
  <c r="E40" i="12"/>
  <c r="M40" i="12" s="1"/>
  <c r="L40" i="12" s="1"/>
  <c r="E39" i="12"/>
  <c r="M39" i="12" s="1"/>
  <c r="L39" i="12" s="1"/>
  <c r="D39" i="12"/>
  <c r="D59" i="12" s="1"/>
  <c r="E38" i="12"/>
  <c r="M38" i="12" s="1"/>
  <c r="L38" i="12" s="1"/>
  <c r="D38" i="12"/>
  <c r="D58" i="12" s="1"/>
  <c r="G37" i="12"/>
  <c r="G42" i="12" s="1"/>
  <c r="E37" i="12"/>
  <c r="E36" i="12"/>
  <c r="E42" i="12" s="1"/>
  <c r="G33" i="12"/>
  <c r="J32" i="12"/>
  <c r="I32" i="12" s="1"/>
  <c r="I33" i="12" s="1"/>
  <c r="E32" i="12"/>
  <c r="E33" i="12" s="1"/>
  <c r="C32" i="12"/>
  <c r="G25" i="12"/>
  <c r="I25" i="12" s="1"/>
  <c r="J24" i="12"/>
  <c r="G24" i="12"/>
  <c r="I24" i="12" s="1"/>
  <c r="J23" i="12"/>
  <c r="G23" i="12"/>
  <c r="I23" i="12" s="1"/>
  <c r="J22" i="12"/>
  <c r="I22" i="12"/>
  <c r="I20" i="12"/>
  <c r="I19" i="12"/>
  <c r="G17" i="12"/>
  <c r="G14" i="12"/>
  <c r="I14" i="12" s="1"/>
  <c r="G13" i="12"/>
  <c r="J19" i="12" l="1"/>
  <c r="J18" i="12"/>
  <c r="M36" i="5"/>
  <c r="M37" i="5" s="1"/>
  <c r="AL52" i="5"/>
  <c r="AM50" i="5"/>
  <c r="I17" i="12"/>
  <c r="G31" i="12"/>
  <c r="D41" i="10"/>
  <c r="D28" i="10"/>
  <c r="J20" i="12"/>
  <c r="U65" i="5"/>
  <c r="Q66" i="5" s="1"/>
  <c r="C79" i="4"/>
  <c r="C5" i="2"/>
  <c r="B46" i="1"/>
  <c r="B26" i="1"/>
  <c r="C23" i="6"/>
  <c r="C28" i="6"/>
  <c r="C31" i="6" s="1"/>
  <c r="R13" i="12"/>
  <c r="I13" i="12"/>
  <c r="G43" i="12"/>
  <c r="M36" i="12"/>
  <c r="L36" i="12" s="1"/>
  <c r="E43" i="12"/>
  <c r="E45" i="12" s="1"/>
  <c r="R99" i="12"/>
  <c r="P13" i="12"/>
  <c r="M37" i="12"/>
  <c r="L37" i="12" s="1"/>
  <c r="Q13" i="12"/>
  <c r="V62" i="5" l="1"/>
  <c r="V65" i="5" s="1"/>
  <c r="M62" i="5" s="1"/>
  <c r="M63" i="5" s="1"/>
  <c r="J31" i="9" s="1"/>
  <c r="I31" i="12"/>
  <c r="E75" i="12" s="1"/>
  <c r="C16" i="2"/>
  <c r="C19" i="2" s="1"/>
  <c r="M43" i="12"/>
  <c r="M44" i="12" s="1"/>
  <c r="J18" i="9"/>
  <c r="K29" i="12" l="1"/>
  <c r="K28" i="12"/>
  <c r="K26" i="12"/>
  <c r="K16" i="12"/>
  <c r="K25" i="12"/>
  <c r="K15" i="12"/>
  <c r="K27" i="12"/>
  <c r="K24" i="12"/>
  <c r="K13" i="12"/>
  <c r="K22" i="12"/>
  <c r="K23" i="12"/>
  <c r="K20" i="12"/>
  <c r="K18" i="12"/>
  <c r="K19" i="12"/>
  <c r="K14" i="12"/>
  <c r="K17" i="12"/>
  <c r="E77" i="12"/>
  <c r="E76" i="12" s="1"/>
  <c r="B7" i="9"/>
  <c r="B6" i="9"/>
  <c r="B34" i="9" s="1"/>
  <c r="D35" i="10"/>
  <c r="D34" i="10" s="1"/>
  <c r="C14" i="10"/>
  <c r="D25" i="10" s="1"/>
  <c r="C30" i="11" s="1"/>
  <c r="C13" i="10"/>
  <c r="F26" i="6"/>
  <c r="D26" i="6"/>
  <c r="D22" i="8"/>
  <c r="D18" i="8"/>
  <c r="D17" i="8" s="1"/>
  <c r="D23" i="6"/>
  <c r="D21" i="8" l="1"/>
  <c r="D24" i="8" s="1"/>
  <c r="D11" i="8"/>
  <c r="D21" i="10" s="1"/>
  <c r="D17" i="10"/>
  <c r="B35" i="9"/>
  <c r="B42" i="11"/>
  <c r="K31" i="12"/>
  <c r="D9" i="8"/>
  <c r="D13" i="8"/>
  <c r="D23" i="10" s="1"/>
  <c r="B20" i="9"/>
  <c r="E79" i="12" l="1"/>
  <c r="E78" i="12"/>
  <c r="D89" i="12" s="1"/>
  <c r="D19" i="10"/>
  <c r="C28" i="11" s="1"/>
  <c r="B44" i="9"/>
  <c r="B29" i="9"/>
  <c r="B30" i="9" s="1"/>
  <c r="B39" i="11" s="1"/>
  <c r="C26" i="11"/>
  <c r="B25" i="9"/>
  <c r="B39" i="9"/>
  <c r="B18" i="9"/>
  <c r="B16" i="9"/>
  <c r="B50" i="11" l="1"/>
  <c r="B38" i="11"/>
  <c r="B46" i="11"/>
  <c r="B34" i="11"/>
  <c r="C32" i="5"/>
  <c r="C34" i="5" s="1"/>
  <c r="Q58" i="5"/>
  <c r="AH54" i="5"/>
  <c r="B27" i="1"/>
  <c r="B62" i="3" s="1"/>
  <c r="Q53" i="5"/>
  <c r="J33" i="9"/>
  <c r="C12" i="3"/>
  <c r="C14" i="3"/>
  <c r="C8" i="3"/>
  <c r="B27" i="3" l="1"/>
  <c r="C22" i="5" s="1"/>
  <c r="B18" i="3"/>
  <c r="I42" i="11"/>
  <c r="C38" i="5"/>
  <c r="I43" i="11" s="1"/>
  <c r="AH66" i="5"/>
  <c r="U56" i="5" s="1"/>
  <c r="AH53" i="5"/>
  <c r="U51" i="5" s="1"/>
  <c r="AI53" i="5" s="1"/>
  <c r="J25" i="9"/>
  <c r="B26" i="9" s="1"/>
  <c r="B35" i="11" s="1"/>
  <c r="B32" i="3"/>
  <c r="C68" i="5"/>
  <c r="AI67" i="5" l="1"/>
  <c r="AI65" i="5"/>
  <c r="U58" i="5" s="1"/>
  <c r="AI66" i="5"/>
  <c r="AI52" i="5"/>
  <c r="U53" i="5" s="1"/>
  <c r="AI54" i="5"/>
  <c r="U52" i="5" s="1"/>
  <c r="AI58" i="5"/>
  <c r="C56" i="5"/>
  <c r="B22" i="3"/>
  <c r="C46" i="5" l="1"/>
  <c r="C50" i="5" s="1"/>
  <c r="C13" i="5"/>
  <c r="C10" i="5"/>
  <c r="C58" i="5"/>
  <c r="I46" i="11" s="1"/>
  <c r="M52" i="5"/>
  <c r="M53" i="5" s="1"/>
  <c r="J35" i="9" s="1"/>
  <c r="B40" i="9" s="1"/>
  <c r="B47" i="11" s="1"/>
  <c r="AI69" i="5"/>
  <c r="AI72" i="5" s="1"/>
  <c r="U57" i="5"/>
  <c r="M57" i="5" s="1"/>
  <c r="M58" i="5" s="1"/>
  <c r="AI56" i="5"/>
  <c r="AI59" i="5" s="1"/>
  <c r="C70" i="5" l="1"/>
  <c r="I50" i="11" s="1"/>
  <c r="J37" i="9"/>
  <c r="B45" i="9" s="1"/>
  <c r="B51" i="11" s="1"/>
  <c r="C62" i="5"/>
  <c r="I47" i="11" s="1"/>
  <c r="B43" i="11"/>
  <c r="F67" i="4"/>
  <c r="J30" i="11" s="1"/>
  <c r="B57" i="3"/>
  <c r="D71" i="5"/>
  <c r="D81" i="5" s="1"/>
  <c r="D35" i="5"/>
  <c r="D59" i="5" s="1"/>
  <c r="C35" i="5"/>
  <c r="C37" i="5" s="1"/>
  <c r="C24" i="5"/>
  <c r="C23" i="5"/>
  <c r="C25" i="5" s="1"/>
  <c r="C80" i="5" l="1"/>
  <c r="C84" i="5" s="1"/>
  <c r="C91" i="5"/>
  <c r="C95" i="5" s="1"/>
  <c r="C14" i="5"/>
  <c r="I35" i="11" s="1"/>
  <c r="I34" i="11"/>
  <c r="C74" i="5"/>
  <c r="I51" i="11" s="1"/>
  <c r="C47" i="5"/>
  <c r="C59" i="5"/>
  <c r="C83" i="5" s="1"/>
  <c r="F80" i="4"/>
  <c r="C10" i="4"/>
  <c r="C9" i="4"/>
  <c r="C8" i="4"/>
  <c r="C62" i="4"/>
  <c r="F61" i="4" s="1"/>
  <c r="B52" i="3"/>
  <c r="C56" i="4" s="1"/>
  <c r="C15" i="3"/>
  <c r="C13" i="3"/>
  <c r="B44" i="3" s="1"/>
  <c r="C37" i="4" l="1"/>
  <c r="C54" i="4"/>
  <c r="C66" i="4"/>
  <c r="C22" i="4"/>
  <c r="C60" i="4"/>
  <c r="C73" i="5"/>
  <c r="C61" i="5"/>
  <c r="C81" i="5"/>
  <c r="C92" i="5" s="1"/>
  <c r="C94" i="5" s="1"/>
  <c r="C49" i="5"/>
  <c r="B47" i="3"/>
  <c r="C81" i="4" s="1"/>
  <c r="C71" i="5"/>
  <c r="C26" i="5"/>
  <c r="C39" i="4"/>
  <c r="F38" i="4" s="1"/>
  <c r="J28" i="11" s="1"/>
  <c r="F55" i="4"/>
  <c r="I39" i="11" l="1"/>
  <c r="I38" i="11"/>
  <c r="C24" i="4"/>
  <c r="F23" i="4" s="1"/>
  <c r="J26" i="11" s="1"/>
  <c r="D83" i="12" l="1"/>
  <c r="D90" i="12" s="1"/>
  <c r="D8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Giuseppe Ospino Isaza</author>
  </authors>
  <commentList>
    <comment ref="G7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Giuseppe Ospino Isaza:</t>
        </r>
        <r>
          <rPr>
            <sz val="8"/>
            <color indexed="81"/>
            <rFont val="Tahoma"/>
            <family val="2"/>
          </rPr>
          <t xml:space="preserve">
Metros cuadrados</t>
        </r>
      </text>
    </comment>
  </commentList>
</comments>
</file>

<file path=xl/sharedStrings.xml><?xml version="1.0" encoding="utf-8"?>
<sst xmlns="http://schemas.openxmlformats.org/spreadsheetml/2006/main" count="1026" uniqueCount="476">
  <si>
    <t>m</t>
  </si>
  <si>
    <t>Ton</t>
  </si>
  <si>
    <t>Knots</t>
  </si>
  <si>
    <t>°</t>
  </si>
  <si>
    <r>
      <t>Manga en flotacion (</t>
    </r>
    <r>
      <rPr>
        <b/>
        <sz val="10"/>
        <rFont val="Arial"/>
        <family val="2"/>
      </rPr>
      <t>BWL</t>
    </r>
    <r>
      <rPr>
        <sz val="10"/>
        <rFont val="Arial"/>
        <family val="2"/>
      </rPr>
      <t>)</t>
    </r>
  </si>
  <si>
    <r>
      <t>Puntal (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</si>
  <si>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Desplazamiento (</t>
    </r>
    <r>
      <rPr>
        <b/>
        <sz val="10"/>
        <rFont val="Arial"/>
        <family val="2"/>
      </rPr>
      <t>Δ</t>
    </r>
    <r>
      <rPr>
        <sz val="10"/>
        <rFont val="Arial"/>
        <family val="2"/>
      </rPr>
      <t>)</t>
    </r>
  </si>
  <si>
    <r>
      <t>Velocidad (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>)</t>
    </r>
  </si>
  <si>
    <r>
      <t>Astilla Muerta Fondo en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cg</t>
    </r>
    <r>
      <rPr>
        <sz val="10"/>
        <rFont val="Arial"/>
        <family val="2"/>
      </rPr>
      <t>)</t>
    </r>
  </si>
  <si>
    <r>
      <t>Astilla Muerta Fondo Cerca al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xx</t>
    </r>
    <r>
      <rPr>
        <sz val="10"/>
        <rFont val="Arial"/>
        <family val="2"/>
      </rPr>
      <t>)</t>
    </r>
  </si>
  <si>
    <r>
      <t>Astilla Muerta Costados en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cg</t>
    </r>
    <r>
      <rPr>
        <sz val="10"/>
        <rFont val="Arial"/>
        <family val="2"/>
      </rPr>
      <t>)</t>
    </r>
  </si>
  <si>
    <r>
      <t>Astilla Muerta Costados Cerca al LCG (</t>
    </r>
    <r>
      <rPr>
        <b/>
        <sz val="10"/>
        <rFont val="Arial"/>
        <family val="2"/>
      </rPr>
      <t>β</t>
    </r>
    <r>
      <rPr>
        <b/>
        <vertAlign val="subscript"/>
        <sz val="10"/>
        <rFont val="Arial"/>
        <family val="2"/>
      </rPr>
      <t>sx</t>
    </r>
    <r>
      <rPr>
        <sz val="10"/>
        <rFont val="Arial"/>
        <family val="2"/>
      </rPr>
      <t>) °</t>
    </r>
  </si>
  <si>
    <t>Datos de Operación</t>
  </si>
  <si>
    <r>
      <t>Aceleración Vertical Cerca CG(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xx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),g's</t>
    </r>
  </si>
  <si>
    <r>
      <t>Trim de Navegacion (</t>
    </r>
    <r>
      <rPr>
        <b/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</rPr>
      <t>), °</t>
    </r>
  </si>
  <si>
    <r>
      <t>Altura de olas (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1/3</t>
    </r>
    <r>
      <rPr>
        <sz val="11"/>
        <color theme="1"/>
        <rFont val="Calibri"/>
        <family val="2"/>
        <scheme val="minor"/>
      </rPr>
      <t>), m</t>
    </r>
  </si>
  <si>
    <t>C1</t>
  </si>
  <si>
    <t>C2</t>
  </si>
  <si>
    <t>K3</t>
  </si>
  <si>
    <t>C</t>
  </si>
  <si>
    <t>Q</t>
  </si>
  <si>
    <t>Sy</t>
  </si>
  <si>
    <t>q5</t>
  </si>
  <si>
    <t>Cb</t>
  </si>
  <si>
    <t>MPa</t>
  </si>
  <si>
    <t>SM</t>
  </si>
  <si>
    <t>cm^2-m</t>
  </si>
  <si>
    <t>I</t>
  </si>
  <si>
    <t>K</t>
  </si>
  <si>
    <t>Datos de Cálculo</t>
  </si>
  <si>
    <t>H</t>
  </si>
  <si>
    <t>y</t>
  </si>
  <si>
    <t>W</t>
  </si>
  <si>
    <t>Fd</t>
  </si>
  <si>
    <t>kN/m2</t>
  </si>
  <si>
    <t>Presión de Slamming en el fondo</t>
  </si>
  <si>
    <t>Presión hidrostatica</t>
  </si>
  <si>
    <t>Presión slamming espejo y costado</t>
  </si>
  <si>
    <t>Presión hidróstatica de costados</t>
  </si>
  <si>
    <t>Hs</t>
  </si>
  <si>
    <t>PRESIÓN DE DISEÑO EN CUBIERTAS</t>
  </si>
  <si>
    <t>Cubiertas acomodamiento</t>
  </si>
  <si>
    <t>cubiertas con carga concentrada, bases de equipos</t>
  </si>
  <si>
    <t>persona de 100 kg parada sobre cubierta</t>
  </si>
  <si>
    <t>W2</t>
  </si>
  <si>
    <t>persona de 100 kg parada sobre cubierta y afuste del arma principal</t>
  </si>
  <si>
    <t>densidad de carga</t>
  </si>
  <si>
    <t>kN/m3</t>
  </si>
  <si>
    <t>Compartimientos para almacenamiento combustible</t>
  </si>
  <si>
    <t>h</t>
  </si>
  <si>
    <t>Presión</t>
  </si>
  <si>
    <t>Compartimientos de maquinaria</t>
  </si>
  <si>
    <t>presión</t>
  </si>
  <si>
    <t xml:space="preserve">cubierta expuesta </t>
  </si>
  <si>
    <t xml:space="preserve">cubierta interna </t>
  </si>
  <si>
    <t>PRESIONES DE DISEÑO DE SUPERESTRUCTURA</t>
  </si>
  <si>
    <t>Placas frontales</t>
  </si>
  <si>
    <t>rigidizadores frontales</t>
  </si>
  <si>
    <t>Superestructura en popa</t>
  </si>
  <si>
    <t>rigidizadores en popa</t>
  </si>
  <si>
    <t>"house tops" delante de sección media placas y rigidizadores</t>
  </si>
  <si>
    <t>"house tops" hacia popa placas y rigidizadores</t>
  </si>
  <si>
    <t>plating</t>
  </si>
  <si>
    <t>Datos de cálculo</t>
  </si>
  <si>
    <t>Momento de inercia</t>
  </si>
  <si>
    <t>cm^2-m^2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</si>
  <si>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</si>
  <si>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</si>
  <si>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</si>
  <si>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v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</si>
  <si>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v</t>
    </r>
  </si>
  <si>
    <t>s</t>
  </si>
  <si>
    <t>l</t>
  </si>
  <si>
    <t>k</t>
  </si>
  <si>
    <t>σy</t>
  </si>
  <si>
    <t>Mpa</t>
  </si>
  <si>
    <t>mm</t>
  </si>
  <si>
    <t>σa slamming</t>
  </si>
  <si>
    <t>σa hydros.</t>
  </si>
  <si>
    <t>qa</t>
  </si>
  <si>
    <t>carga lateral</t>
  </si>
  <si>
    <t>espesor mínimo</t>
  </si>
  <si>
    <t>Datos</t>
  </si>
  <si>
    <t>S</t>
  </si>
  <si>
    <t>Tanque de combustible</t>
  </si>
  <si>
    <t>cuarto de maquinaria</t>
  </si>
  <si>
    <t>cubierta proa afuste arma principal</t>
  </si>
  <si>
    <t>Espesor min. a usar</t>
  </si>
  <si>
    <t>Espesor min.  a usar</t>
  </si>
  <si>
    <t>σa</t>
  </si>
  <si>
    <t>REFUERZOS LONGITUDINALES DE FONDO</t>
  </si>
  <si>
    <t>cm3</t>
  </si>
  <si>
    <t>K4</t>
  </si>
  <si>
    <t>E</t>
  </si>
  <si>
    <t>N/mm^2</t>
  </si>
  <si>
    <t>cm4</t>
  </si>
  <si>
    <t>REFUERZOS LONGITUDINALES LATERALES</t>
  </si>
  <si>
    <t>CM3</t>
  </si>
  <si>
    <t>MAMPARO DE TANQUES FIJOS</t>
  </si>
  <si>
    <t>N3</t>
  </si>
  <si>
    <t>Inercia</t>
  </si>
  <si>
    <t xml:space="preserve">mamparos de tanques </t>
  </si>
  <si>
    <t>mamp. Longitudinal</t>
  </si>
  <si>
    <t>quilla</t>
  </si>
  <si>
    <t xml:space="preserve">Espesor de paneles 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</si>
  <si>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4mm</t>
    </r>
  </si>
  <si>
    <t>1/MPa</t>
  </si>
  <si>
    <t>VARENGA FONDO</t>
  </si>
  <si>
    <t>Varenga fondo</t>
  </si>
  <si>
    <t>REFUERZOS TRANSVERSALES CUBIERTA</t>
  </si>
  <si>
    <t>VARENGA COSTADO</t>
  </si>
  <si>
    <t>F.S</t>
  </si>
  <si>
    <t>Vista de perfil</t>
  </si>
  <si>
    <t>Vista de cubierta principal</t>
  </si>
  <si>
    <t>Longitudinales</t>
  </si>
  <si>
    <t>espesor (mm)</t>
  </si>
  <si>
    <t>altura (mm)</t>
  </si>
  <si>
    <t>FS</t>
  </si>
  <si>
    <t>largo</t>
  </si>
  <si>
    <t>alma</t>
  </si>
  <si>
    <t>ala</t>
  </si>
  <si>
    <t>ancho (mm)</t>
  </si>
  <si>
    <t>area (mm2)</t>
  </si>
  <si>
    <t>eje neutro (mm)</t>
  </si>
  <si>
    <t>I1 cm4</t>
  </si>
  <si>
    <t>I2 cm4</t>
  </si>
  <si>
    <t>Varenga costado</t>
  </si>
  <si>
    <t>Cuaderna Maestra</t>
  </si>
  <si>
    <t>PROPIEDADES GEOMÉTRICAS</t>
  </si>
  <si>
    <t xml:space="preserve">Cuaderna maestra </t>
  </si>
  <si>
    <t xml:space="preserve"> aluminio soldado</t>
  </si>
  <si>
    <t>Espesor por carga lateral</t>
  </si>
  <si>
    <t xml:space="preserve">Esfuerzos de diseño ABS </t>
  </si>
  <si>
    <t>Relación de longitudes</t>
  </si>
  <si>
    <t>PROPIEDADES DE REFUERZOS</t>
  </si>
  <si>
    <t>Altura de ola de diseño</t>
  </si>
  <si>
    <t xml:space="preserve">ABS - RULES FOR BUILDING AND CLASSING -  HIGH SPEED CRAFT -  PART 3 </t>
  </si>
  <si>
    <t>Según norma</t>
  </si>
  <si>
    <t xml:space="preserve">PRESIONES DE DISEÑO </t>
  </si>
  <si>
    <t xml:space="preserve">Presiones en cubiertas </t>
  </si>
  <si>
    <t xml:space="preserve">MÓDULO DE SECCIÓN </t>
  </si>
  <si>
    <t>ESCANTILLONADO GREY CODE - ISO 12215</t>
  </si>
  <si>
    <t>GREY CODE LLOYD'S REGISTER</t>
  </si>
  <si>
    <t>Relación velocidad/ eslora</t>
  </si>
  <si>
    <t>(lista desplegable)</t>
  </si>
  <si>
    <t>CATEGORÍA</t>
  </si>
  <si>
    <t>Factor categoría de diseño (Kdc)</t>
  </si>
  <si>
    <t>Altura de ola [m]</t>
  </si>
  <si>
    <t>Categoría de Diseño</t>
  </si>
  <si>
    <t>AGUAS PROTEGIDAS</t>
  </si>
  <si>
    <t>Factor de carga dinámica (n cg)</t>
  </si>
  <si>
    <t>x/LWL</t>
  </si>
  <si>
    <t>Factor longitudinal de distribución de presión (Kl)</t>
  </si>
  <si>
    <t>Factor de reducción de presión (Kar) minimo</t>
  </si>
  <si>
    <t>altura de parte superior del casco  desde Linea de flotación (Z)</t>
  </si>
  <si>
    <t>altura punto medio del refuerzo desde linea de flotación (h)</t>
  </si>
  <si>
    <t>Factor de reducción de presión (Kz)</t>
  </si>
  <si>
    <t>PRESIONES DE DISEÑO PARA LAS EMBARCACIONES A MOTOR</t>
  </si>
  <si>
    <t>modo:</t>
  </si>
  <si>
    <t>Presión en el fondo</t>
  </si>
  <si>
    <t>Presión en el costado</t>
  </si>
  <si>
    <t>Presión en amura</t>
  </si>
  <si>
    <t>Presión en cabinas</t>
  </si>
  <si>
    <t>Presión en cubierta</t>
  </si>
  <si>
    <t xml:space="preserve">Mamparos estancos </t>
  </si>
  <si>
    <t>altura de la carga de agua (h)</t>
  </si>
  <si>
    <t xml:space="preserve">Mamparos de colisión </t>
  </si>
  <si>
    <t>Categorias de diseño</t>
  </si>
  <si>
    <t>Kdc</t>
  </si>
  <si>
    <t>altura de ola</t>
  </si>
  <si>
    <t>A</t>
  </si>
  <si>
    <t>OCEANICA</t>
  </si>
  <si>
    <t>B</t>
  </si>
  <si>
    <t>AGUAS AFUERA</t>
  </si>
  <si>
    <t>AGUAS ADENTRO</t>
  </si>
  <si>
    <t>D</t>
  </si>
  <si>
    <t>REFUERZOS - ESFUERZOS DE DISEÑO- ALUMINIO</t>
  </si>
  <si>
    <t xml:space="preserve">Esfuerzo de diseño a la tracción </t>
  </si>
  <si>
    <t>Esfuerzo de diseño a cortante (TD)</t>
  </si>
  <si>
    <t>KSA</t>
  </si>
  <si>
    <t>Lu</t>
  </si>
  <si>
    <t>Superficie del Alma Aw</t>
  </si>
  <si>
    <t>cm^2</t>
  </si>
  <si>
    <t>Modulo de sección Sm</t>
  </si>
  <si>
    <t>cm^3</t>
  </si>
  <si>
    <t>ESPESORES REQUERIDOS PARA ALUMINIO</t>
  </si>
  <si>
    <t>σy (soldado)</t>
  </si>
  <si>
    <t>N/mm2</t>
  </si>
  <si>
    <t>Esf. Diseño σd</t>
  </si>
  <si>
    <t>espacio entre refuerzos (b)</t>
  </si>
  <si>
    <t>curvatura (c)</t>
  </si>
  <si>
    <t>Espacio entre cuadernas (s)</t>
  </si>
  <si>
    <t>l/b</t>
  </si>
  <si>
    <t>k2</t>
  </si>
  <si>
    <t>k3</t>
  </si>
  <si>
    <t>Se toma el mayor valor registrado</t>
  </si>
  <si>
    <t>Espesor en el fondo</t>
  </si>
  <si>
    <t>Espesor en el costado</t>
  </si>
  <si>
    <t>Espesor en amura</t>
  </si>
  <si>
    <t>Espesor en cabinas</t>
  </si>
  <si>
    <t>Espesor en cubierta</t>
  </si>
  <si>
    <t>Espesor minimo del fondo</t>
  </si>
  <si>
    <t>k5</t>
  </si>
  <si>
    <t>k7</t>
  </si>
  <si>
    <t>k8</t>
  </si>
  <si>
    <t>Espesor minimo del costado/espejo</t>
  </si>
  <si>
    <t>Espesor minimo de cubierta</t>
  </si>
  <si>
    <t>lu</t>
  </si>
  <si>
    <t>Refuerzos long. Fondo (Aw)</t>
  </si>
  <si>
    <t>Refuerzos long. costados  (Aw)</t>
  </si>
  <si>
    <t>Refuerzos long. Fondo (Sm)</t>
  </si>
  <si>
    <t>Refuerzos long. costados (Sm)</t>
  </si>
  <si>
    <t>Modulo de sección (Sm) geometría</t>
  </si>
  <si>
    <t>Refuerzos trans. cubierta (Aw)</t>
  </si>
  <si>
    <t xml:space="preserve">Refuerzos long. Fondo </t>
  </si>
  <si>
    <t xml:space="preserve">Refuerzos long. costados </t>
  </si>
  <si>
    <t xml:space="preserve">Refuerzos trans. cubierta </t>
  </si>
  <si>
    <t xml:space="preserve">Quilla </t>
  </si>
  <si>
    <t>varenga costado</t>
  </si>
  <si>
    <t>varenga fondo (Sm)</t>
  </si>
  <si>
    <t>varenga costado (Sm)</t>
  </si>
  <si>
    <t>KCS</t>
  </si>
  <si>
    <t>Superficie del Alma (Aw) geometría</t>
  </si>
  <si>
    <t>GREY CODE - ISO 12215</t>
  </si>
  <si>
    <t>ABS - RULES FOR BUILDING AND CLASSING -  HIGH SPEED CRAFT -  PART 3</t>
  </si>
  <si>
    <t xml:space="preserve">TABLA COMPARATIVA DE RESULTADOS </t>
  </si>
  <si>
    <t>Refuerzo trnas. cubierta (Sm)</t>
  </si>
  <si>
    <r>
      <t>Calado (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>)</t>
    </r>
  </si>
  <si>
    <t>CLIENTE:</t>
  </si>
  <si>
    <t>COTECMAR/GEDIN</t>
  </si>
  <si>
    <t>PROYECTO:</t>
  </si>
  <si>
    <t>N° DOC:</t>
  </si>
  <si>
    <t>SERVICIO:</t>
  </si>
  <si>
    <t>ID PROYECTO:</t>
  </si>
  <si>
    <t>N° de VERSION:</t>
  </si>
  <si>
    <t>PLANO REF. :</t>
  </si>
  <si>
    <t xml:space="preserve">PROPOSITO: </t>
  </si>
  <si>
    <t>Estimar la resistencia longitudinal, a partir de la configuración estructural longitudinal de los elementos que conforman la Sección maestra por su grupo constructivo 100</t>
  </si>
  <si>
    <t>MODULO DE SECCIÓN</t>
  </si>
  <si>
    <t>N° SISTEMA</t>
  </si>
  <si>
    <t>NOMBRE SISTEMA / ELEMENTOS</t>
  </si>
  <si>
    <t>MATERIAL</t>
  </si>
  <si>
    <t>DIMENSIONES</t>
  </si>
  <si>
    <t>CANTIDAD</t>
  </si>
  <si>
    <t xml:space="preserve">AREA </t>
  </si>
  <si>
    <t>Yg</t>
  </si>
  <si>
    <t>My</t>
  </si>
  <si>
    <t>I+Ad2</t>
  </si>
  <si>
    <t>Long.(mm)</t>
  </si>
  <si>
    <t>Espesor(mm)</t>
  </si>
  <si>
    <t>(u)</t>
  </si>
  <si>
    <t>(mm2)</t>
  </si>
  <si>
    <t>(mm)</t>
  </si>
  <si>
    <t>(mm2-mm)</t>
  </si>
  <si>
    <t>(mm4)</t>
  </si>
  <si>
    <t>Estructura de Casco</t>
  </si>
  <si>
    <t>Laminas del Forro Exterior</t>
  </si>
  <si>
    <t xml:space="preserve">Forro Fondo </t>
  </si>
  <si>
    <t>Forro Costado</t>
  </si>
  <si>
    <t>Cubierta</t>
  </si>
  <si>
    <t>Estructura Longitudinal</t>
  </si>
  <si>
    <t>Calculo de Momento de Inercia</t>
  </si>
  <si>
    <r>
      <rPr>
        <b/>
        <sz val="10"/>
        <color theme="1"/>
        <rFont val="Arial"/>
        <family val="2"/>
      </rPr>
      <t>Ʃ</t>
    </r>
    <r>
      <rPr>
        <b/>
        <sz val="10"/>
        <color theme="1"/>
        <rFont val="Arial Unicode MS"/>
        <family val="2"/>
      </rPr>
      <t>Totales</t>
    </r>
  </si>
  <si>
    <t>Ʃarea (mm2)</t>
  </si>
  <si>
    <t>ƩMy (mm2-mm)</t>
  </si>
  <si>
    <t>ƩIy (mm4)</t>
  </si>
  <si>
    <t>2440x6100mm</t>
  </si>
  <si>
    <t>PESO LAMINAS (kg)</t>
  </si>
  <si>
    <r>
      <t xml:space="preserve">Peso </t>
    </r>
    <r>
      <rPr>
        <sz val="10"/>
        <color theme="1"/>
        <rFont val="Arial Unicode MS"/>
        <family val="2"/>
      </rPr>
      <t>(Kg)</t>
    </r>
  </si>
  <si>
    <t>N° Perfiles</t>
  </si>
  <si>
    <t>127x6100mm</t>
  </si>
  <si>
    <t>Perfil L</t>
  </si>
  <si>
    <t>101,6x12000mm</t>
  </si>
  <si>
    <t>101,6x6100mm</t>
  </si>
  <si>
    <t>76,2x6100mm</t>
  </si>
  <si>
    <t>19,05x6000</t>
  </si>
  <si>
    <t>Barra</t>
  </si>
  <si>
    <t>PESO PERFILES (kg)</t>
  </si>
  <si>
    <t>PESO TOTAL REQUERIDO ACERO CASCO (kg)</t>
  </si>
  <si>
    <t>PESO TOTAL REQUERIDO ACCESORIOS CASCO (kg)</t>
  </si>
  <si>
    <t>PESO TOTAL GRUPO 100 - CASCO</t>
  </si>
  <si>
    <t>Cálculo de Centroides y Modulo Seccional</t>
  </si>
  <si>
    <t>RESUMEN MATERIALES</t>
  </si>
  <si>
    <t>Item</t>
  </si>
  <si>
    <t>Elemento</t>
  </si>
  <si>
    <t>Especificación</t>
  </si>
  <si>
    <t>Peso Kg</t>
  </si>
  <si>
    <t>Formato</t>
  </si>
  <si>
    <t>Cantidad #</t>
  </si>
  <si>
    <t>Estand. Mate.</t>
  </si>
  <si>
    <r>
      <t xml:space="preserve">Esp.
</t>
    </r>
    <r>
      <rPr>
        <sz val="10"/>
        <color theme="1"/>
        <rFont val="Arial Unicode MS"/>
        <family val="2"/>
      </rPr>
      <t>(mm)</t>
    </r>
  </si>
  <si>
    <t>Lamina acero</t>
  </si>
  <si>
    <t>A131</t>
  </si>
  <si>
    <t>1830x6100</t>
  </si>
  <si>
    <t>2440x6100</t>
  </si>
  <si>
    <t>Perfil L acero</t>
  </si>
  <si>
    <t>A36</t>
  </si>
  <si>
    <t>127x6000</t>
  </si>
  <si>
    <t>101,6x12000</t>
  </si>
  <si>
    <t>101,6x6000</t>
  </si>
  <si>
    <t>76,2x6000</t>
  </si>
  <si>
    <t>Tuberia DN 4" SCH 40</t>
  </si>
  <si>
    <t>Long=6 mts</t>
  </si>
  <si>
    <t>Por comprar por parte del Cliente</t>
  </si>
  <si>
    <t>Tuberia DN 2" SCH 40</t>
  </si>
  <si>
    <t>Barra circular acero</t>
  </si>
  <si>
    <t>19,06x6000</t>
  </si>
  <si>
    <r>
      <t xml:space="preserve">TUBERIA Y CONEXIONES GRUPO 500 </t>
    </r>
    <r>
      <rPr>
        <sz val="10"/>
        <color theme="1"/>
        <rFont val="Arial Unicode MS"/>
        <family val="2"/>
      </rPr>
      <t>(kg)</t>
    </r>
  </si>
  <si>
    <t>Tronco de Expansion</t>
  </si>
  <si>
    <t>Acero</t>
  </si>
  <si>
    <t>N/A</t>
  </si>
  <si>
    <t>24"x42"</t>
  </si>
  <si>
    <t>Tapa estanca no rasante</t>
  </si>
  <si>
    <t>18"x24"</t>
  </si>
  <si>
    <t>Tapa estanca rasante</t>
  </si>
  <si>
    <t>Tapa lavado</t>
  </si>
  <si>
    <t>14"</t>
  </si>
  <si>
    <t>Enjaretado</t>
  </si>
  <si>
    <t>25X5 Tipo T, W=600mm</t>
  </si>
  <si>
    <t>http://www.taesmet.com/catalogo_rejillas.pdf</t>
  </si>
  <si>
    <t>http://www.colrejillas.com/estructuras-metalicas.html</t>
  </si>
  <si>
    <r>
      <t xml:space="preserve">ACCESORIOS GRUPO 500 </t>
    </r>
    <r>
      <rPr>
        <sz val="10"/>
        <color theme="1"/>
        <rFont val="Arial Unicode MS"/>
        <family val="2"/>
      </rPr>
      <t>(kg)</t>
    </r>
  </si>
  <si>
    <t>Centroides (mm)</t>
  </si>
  <si>
    <t>Xcg</t>
  </si>
  <si>
    <t>Ycg</t>
  </si>
  <si>
    <t>Distancia a la fibra externa(m)</t>
  </si>
  <si>
    <t>C1(m)</t>
  </si>
  <si>
    <t>C2(m)</t>
  </si>
  <si>
    <t>Fondo</t>
  </si>
  <si>
    <t xml:space="preserve">Modulo seccional  Cuaderna Maestra </t>
  </si>
  <si>
    <r>
      <t>Smax(cm</t>
    </r>
    <r>
      <rPr>
        <b/>
        <sz val="10"/>
        <color theme="1"/>
        <rFont val="Calibri"/>
        <family val="2"/>
      </rPr>
      <t>²</t>
    </r>
    <r>
      <rPr>
        <b/>
        <sz val="10"/>
        <color theme="1"/>
        <rFont val="Arial Unicode MS"/>
        <family val="2"/>
      </rPr>
      <t>-</t>
    </r>
    <r>
      <rPr>
        <sz val="10"/>
        <color theme="1"/>
        <rFont val="Arial Unicode MS"/>
        <family val="2"/>
      </rPr>
      <t>m</t>
    </r>
    <r>
      <rPr>
        <b/>
        <sz val="10"/>
        <color theme="1"/>
        <rFont val="Arial Unicode MS"/>
        <family val="2"/>
      </rPr>
      <t>)</t>
    </r>
  </si>
  <si>
    <t xml:space="preserve">Cubierta </t>
  </si>
  <si>
    <r>
      <t>Smin(cm</t>
    </r>
    <r>
      <rPr>
        <b/>
        <sz val="10"/>
        <color theme="1"/>
        <rFont val="Calibri"/>
        <family val="2"/>
      </rPr>
      <t>²</t>
    </r>
    <r>
      <rPr>
        <b/>
        <sz val="10"/>
        <color theme="1"/>
        <rFont val="Arial Unicode MS"/>
        <family val="2"/>
      </rPr>
      <t>-</t>
    </r>
    <r>
      <rPr>
        <sz val="10"/>
        <color theme="1"/>
        <rFont val="Arial Unicode MS"/>
        <family val="2"/>
      </rPr>
      <t>m</t>
    </r>
    <r>
      <rPr>
        <b/>
        <sz val="10"/>
        <color theme="1"/>
        <rFont val="Arial Unicode MS"/>
        <family val="2"/>
      </rPr>
      <t>)</t>
    </r>
  </si>
  <si>
    <t>x</t>
  </si>
  <si>
    <t>z</t>
  </si>
  <si>
    <t>mx</t>
  </si>
  <si>
    <t>my</t>
  </si>
  <si>
    <t>mz</t>
  </si>
  <si>
    <t>(m)</t>
  </si>
  <si>
    <t>(Kg-m)</t>
  </si>
  <si>
    <t>(kg-m)</t>
  </si>
  <si>
    <t>X</t>
  </si>
  <si>
    <t>Y</t>
  </si>
  <si>
    <t>Z</t>
  </si>
  <si>
    <t>Ʃmx</t>
  </si>
  <si>
    <t>Ʃmy</t>
  </si>
  <si>
    <t>Ʃmz</t>
  </si>
  <si>
    <t>Desperdicio</t>
  </si>
  <si>
    <t xml:space="preserve">Cálculo de Modulo Seccional Mínimo Norma  </t>
  </si>
  <si>
    <r>
      <t>cm</t>
    </r>
    <r>
      <rPr>
        <b/>
        <sz val="11"/>
        <color theme="1"/>
        <rFont val="Calibri"/>
        <family val="2"/>
      </rPr>
      <t>²-m</t>
    </r>
  </si>
  <si>
    <r>
      <t>SM</t>
    </r>
    <r>
      <rPr>
        <i/>
        <sz val="8"/>
        <color theme="1"/>
        <rFont val="Arial Unicode MS"/>
        <family val="2"/>
      </rPr>
      <t>R</t>
    </r>
  </si>
  <si>
    <t xml:space="preserve">Calculo Factor de Seguridad </t>
  </si>
  <si>
    <t>n=  Factor de Seguridad Modulo  Smin/SMR</t>
  </si>
  <si>
    <t>Smin</t>
  </si>
  <si>
    <t>Observación: Modulo seccional de la cuaderna maestra cumple con lo requerido en la norma</t>
  </si>
  <si>
    <t>Nota 1, Modulo seccional de la cuaderna maestra cumple con lo requerido en la norma</t>
  </si>
  <si>
    <t>Dawin Jimenez Vargas</t>
  </si>
  <si>
    <t xml:space="preserve">IS_ESTRUCTURAS Y MATERIALES </t>
  </si>
  <si>
    <r>
      <t>SM</t>
    </r>
    <r>
      <rPr>
        <sz val="10"/>
        <color theme="1"/>
        <rFont val="Calibri"/>
        <family val="2"/>
        <scheme val="minor"/>
      </rPr>
      <t>R= Modulo Seccional Minimo Requerido(cm</t>
    </r>
    <r>
      <rPr>
        <sz val="10"/>
        <color theme="1"/>
        <rFont val="Calibri"/>
        <family val="2"/>
      </rPr>
      <t>²</t>
    </r>
    <r>
      <rPr>
        <sz val="10"/>
        <color theme="1"/>
        <rFont val="Calibri"/>
        <family val="2"/>
        <scheme val="minor"/>
      </rPr>
      <t>-m</t>
    </r>
  </si>
  <si>
    <r>
      <rPr>
        <b/>
        <sz val="11"/>
        <color theme="1"/>
        <rFont val="Calibri"/>
        <family val="2"/>
        <scheme val="minor"/>
      </rPr>
      <t>REFERENCIA</t>
    </r>
    <r>
      <rPr>
        <sz val="11"/>
        <color theme="1"/>
        <rFont val="Calibri"/>
        <family val="2"/>
        <scheme val="minor"/>
      </rPr>
      <t>: ABS - RULES FOR BUILDING AND CLASSING -  HIGH SPEED CRAFT -  PART 3</t>
    </r>
  </si>
  <si>
    <t>Información adicional se muestra en las siguientes hojas según el código utilizado</t>
  </si>
  <si>
    <r>
      <rPr>
        <b/>
        <i/>
        <sz val="10"/>
        <color theme="1"/>
        <rFont val="Arial Unicode MS"/>
      </rPr>
      <t xml:space="preserve">REFERENCIA: </t>
    </r>
    <r>
      <rPr>
        <i/>
        <sz val="10"/>
        <color theme="1"/>
        <rFont val="Arial Unicode MS"/>
        <family val="2"/>
      </rPr>
      <t>ABS - RULES FOR BUILDING AND CLASSING -  HIGH SPEED CRAFT -  PART 3</t>
    </r>
  </si>
  <si>
    <t>dimensiones  de escantillón (Símbolo)</t>
  </si>
  <si>
    <t xml:space="preserve">  ESCANTILLONADO DEL CASCO DE BOTE DE BAJO CALADO EN ALUMINIO </t>
  </si>
  <si>
    <r>
      <t>**Aceleración Vertical CG (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cg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),g's</t>
    </r>
  </si>
  <si>
    <r>
      <t>*Calado (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</si>
  <si>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6mm</t>
    </r>
  </si>
  <si>
    <t>*factor curvatura (kc)</t>
  </si>
  <si>
    <t>sección 1</t>
  </si>
  <si>
    <t>sección 2</t>
  </si>
  <si>
    <t>centroide</t>
  </si>
  <si>
    <t>ancho</t>
  </si>
  <si>
    <t>alto</t>
  </si>
  <si>
    <t>area</t>
  </si>
  <si>
    <t>a*y</t>
  </si>
  <si>
    <t>TOTAL</t>
  </si>
  <si>
    <t>eje neutro [mm]</t>
  </si>
  <si>
    <t>~PL  0.220 in</t>
  </si>
  <si>
    <t>Dimensiones de escantillón</t>
  </si>
  <si>
    <t>Dimensiones generales</t>
  </si>
  <si>
    <t>Notas:</t>
  </si>
  <si>
    <t>*El calado de escantillón no puede ser menor a</t>
  </si>
  <si>
    <t>Convención de colores:</t>
  </si>
  <si>
    <t>casillas modificables</t>
  </si>
  <si>
    <t>Definir las dimensiones de los elementos que conforman la estructura del casco</t>
  </si>
  <si>
    <t>forro efectivo</t>
  </si>
  <si>
    <t>Eslora  total</t>
  </si>
  <si>
    <t>Manga máxima</t>
  </si>
  <si>
    <t>Calado de diseño</t>
  </si>
  <si>
    <t>Desplazamiento de diseño</t>
  </si>
  <si>
    <t>N° tripulación</t>
  </si>
  <si>
    <t>personas</t>
  </si>
  <si>
    <t xml:space="preserve">Velocidad máxima </t>
  </si>
  <si>
    <t>nudos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</si>
  <si>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3mm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</si>
  <si>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2mm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</si>
  <si>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1mm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</si>
  <si>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0,072 in</t>
    </r>
  </si>
  <si>
    <t>Valor no cumple con el criterio</t>
  </si>
  <si>
    <t>Valor cumple con el criterio</t>
  </si>
  <si>
    <t>Al 5083 H116</t>
  </si>
  <si>
    <t>Al  6082 T6</t>
  </si>
  <si>
    <t>Al 6082 T6</t>
  </si>
  <si>
    <t>forro</t>
  </si>
  <si>
    <t>L</t>
  </si>
  <si>
    <t>ALTO</t>
  </si>
  <si>
    <t>ANCHO</t>
  </si>
  <si>
    <t>ESPESOR</t>
  </si>
  <si>
    <t>Ay</t>
  </si>
  <si>
    <t>eje neutro</t>
  </si>
  <si>
    <t>Cálculo de inercias FB costado</t>
  </si>
  <si>
    <t>BULBO</t>
  </si>
  <si>
    <t>bulbo</t>
  </si>
  <si>
    <t>ay</t>
  </si>
  <si>
    <t>FB40x5</t>
  </si>
  <si>
    <t>refuerzos de cubierta</t>
  </si>
  <si>
    <t>refuerzo de cubierta</t>
  </si>
  <si>
    <t>BAO L 30X30X4</t>
  </si>
  <si>
    <t>Longitudinales de costado</t>
  </si>
  <si>
    <t>Cálculo de inercias de perfiles L</t>
  </si>
  <si>
    <t>Cálculo de inercias perfiles T</t>
  </si>
  <si>
    <t>Cálculo de inercias perfiles HP</t>
  </si>
  <si>
    <t>quilla FB80x12 0@LC</t>
  </si>
  <si>
    <t>REFUERZOS MAMPARO ESTANCO</t>
  </si>
  <si>
    <t>Ref. Mamparo estanco</t>
  </si>
  <si>
    <t>BRF 120</t>
  </si>
  <si>
    <t>ARC-4020-117-01</t>
  </si>
  <si>
    <t>instalado</t>
  </si>
  <si>
    <t>Eslora de escatillón</t>
  </si>
  <si>
    <t xml:space="preserve">[4020]  ESCANTILLONADO DEL CASCO DE BOTE DE BAJO CALADO EN ALUMINIO </t>
  </si>
  <si>
    <r>
      <t>Eslora de escantillón (</t>
    </r>
    <r>
      <rPr>
        <b/>
        <sz val="10"/>
        <rFont val="Arial"/>
        <family val="2"/>
      </rPr>
      <t>LWL</t>
    </r>
    <r>
      <rPr>
        <sz val="10"/>
        <rFont val="Arial"/>
        <family val="2"/>
      </rPr>
      <t>)</t>
    </r>
  </si>
  <si>
    <t>ilustración de Z y h</t>
  </si>
  <si>
    <t>Eslora de flotación (LWL)</t>
  </si>
  <si>
    <t>Sección transversal cuaderna maestra</t>
  </si>
  <si>
    <t>Se toma como criterio de diseño la condición más crítica entre ambas normas</t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</si>
  <si>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 1/4 in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</si>
  <si>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1/8 in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</si>
  <si>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3/32 in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</si>
  <si>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 3/64 in</t>
    </r>
  </si>
  <si>
    <r>
      <rPr>
        <b/>
        <sz val="11"/>
        <color rgb="FF00B050"/>
        <rFont val="Symbol"/>
        <family val="1"/>
        <charset val="2"/>
      </rPr>
      <t>~</t>
    </r>
    <r>
      <rPr>
        <b/>
        <sz val="11"/>
        <color rgb="FF00B050"/>
        <rFont val="Calibri"/>
        <family val="2"/>
        <scheme val="minor"/>
      </rPr>
      <t>PL 5/64 in</t>
    </r>
  </si>
  <si>
    <t>[10.6] Espesor en el fondo</t>
  </si>
  <si>
    <t>[10.6] Espesor en el costado</t>
  </si>
  <si>
    <t>[10.6] Espesor en cubierta</t>
  </si>
  <si>
    <t>[11.1]Refuerzos long. Fondo (Sm)</t>
  </si>
  <si>
    <t>[11.1]Refuerzos long. costados (Sm)</t>
  </si>
  <si>
    <t>[11.1]refuerzos trnas. cubierta (Sm)</t>
  </si>
  <si>
    <t>[11.1] varenga fondo (Sm)</t>
  </si>
  <si>
    <t>[11.1] varenga costado (Sm)</t>
  </si>
  <si>
    <t>[3.2.3] Espesor en el fondo</t>
  </si>
  <si>
    <t>[3.2.3] Espesor en el costado</t>
  </si>
  <si>
    <t>[3.2.3] Espesor en cubierta</t>
  </si>
  <si>
    <t>[3.2.4]Refuerzos long. Fondo (Sm)</t>
  </si>
  <si>
    <t>[3.2.4]Refuerzos long. costados (Sm)</t>
  </si>
  <si>
    <t>[3.2.4]refuerzos trnas. cubierta (Sm)</t>
  </si>
  <si>
    <t xml:space="preserve"> [3.2.4]varenga fondo (Sm)</t>
  </si>
  <si>
    <t>[3.2.4]varenga costado (Sm)</t>
  </si>
  <si>
    <t>Mamp.long</t>
  </si>
  <si>
    <t>MAMPARO LONGITUDINAL</t>
  </si>
  <si>
    <t>Cálculo de inercias FB mamparo estanco</t>
  </si>
  <si>
    <t>Cálculo de inercias FB refuerzos de cubierta</t>
  </si>
  <si>
    <t>Ref. Longitudinal costado FB40x5 600@LB</t>
  </si>
  <si>
    <t>Ref. Longitudinal costado FB40x5 850@LB</t>
  </si>
  <si>
    <t>Vagra  500@LC</t>
  </si>
  <si>
    <t>Forro Pantoque</t>
  </si>
  <si>
    <t xml:space="preserve">Ref. Cubierta FB 40X4 </t>
  </si>
  <si>
    <t>Forro amurada</t>
  </si>
  <si>
    <t xml:space="preserve">Barras 935@LC </t>
  </si>
  <si>
    <t xml:space="preserve">Barras 1190@LC </t>
  </si>
  <si>
    <t>Ref. Longitudinal borda FB 100x4 1400@LB</t>
  </si>
  <si>
    <t>ECFL</t>
  </si>
  <si>
    <t>ARC-4170-117-01</t>
  </si>
  <si>
    <t>Ref. Longitudinal fondo FB65x6 200@LC</t>
  </si>
  <si>
    <t>Ref. Longitudinal fondo FB65x6 400@LC</t>
  </si>
  <si>
    <t>Ref. Longitudinal fondo FB65x6 800@LC</t>
  </si>
  <si>
    <t>B04</t>
  </si>
  <si>
    <t>k3 no puede ser mayor a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</si>
</sst>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0.0"/>
    <numFmt numFmtId="165" formatCode="0.00\ &quot;m&quot;"/>
    <numFmt numFmtId="166" formatCode="0.00\ &quot;kN/m^2&quot;"/>
    <numFmt numFmtId="167" formatCode="0.000"/>
    <numFmt numFmtId="168" formatCode="_(* #,##0.00_);_(* \(#,##0.00\);_(* &quot;-&quot;??_);_(@_)"/>
    <numFmt numFmtId="169" formatCode="_(* #,##0.0_);_(* \(#,##0.0\);_(* &quot;-&quot;??_);_(@_)"/>
    <numFmt numFmtId="170" formatCode="_(* #,##0.0_);_(* \(#,##0.0\);_(* &quot;-&quot;?_);_(@_)"/>
    <numFmt numFmtId="171" formatCode="_(* #,##0_);_(* \(#,##0\);_(* &quot;-&quot;??_);_(@_)"/>
    <numFmt numFmtId="172" formatCode="0.0000000000000000000000000"/>
    <numFmt numFmtId="173" formatCode="0.0000000000"/>
    <numFmt numFmtId="174" formatCode="0.0000"/>
    <numFmt numFmtId="175" formatCode="0.00000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1"/>
      <charset val="2"/>
      <scheme val="minor"/>
    </font>
    <font>
      <b/>
      <sz val="11"/>
      <color rgb="FF00B050"/>
      <name val="Symbol"/>
      <family val="1"/>
      <charset val="2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u/>
      <sz val="14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sz val="9"/>
      <color theme="1"/>
      <name val="Arial Unicode MS"/>
      <family val="2"/>
    </font>
    <font>
      <i/>
      <sz val="10"/>
      <color theme="1"/>
      <name val="Arial Unicode MS"/>
      <family val="2"/>
    </font>
    <font>
      <sz val="10"/>
      <name val="Arial Unicode MS"/>
      <family val="2"/>
    </font>
    <font>
      <b/>
      <i/>
      <sz val="10"/>
      <color theme="1"/>
      <name val="Arial Unicode MS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 Unicode MS"/>
      <family val="2"/>
    </font>
    <font>
      <b/>
      <sz val="12"/>
      <color theme="1"/>
      <name val="Arial Unicode MS"/>
      <family val="2"/>
    </font>
    <font>
      <b/>
      <i/>
      <sz val="10"/>
      <color theme="1"/>
      <name val="Arial Unicode MS"/>
      <family val="2"/>
    </font>
    <font>
      <b/>
      <sz val="10"/>
      <name val="Arial Unicode MS"/>
      <family val="2"/>
    </font>
    <font>
      <b/>
      <sz val="10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 Unicode MS"/>
      <family val="2"/>
    </font>
    <font>
      <i/>
      <sz val="10"/>
      <color theme="1"/>
      <name val="Arial Unicode MS"/>
    </font>
    <font>
      <b/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57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2" fontId="0" fillId="0" borderId="14" xfId="0" applyNumberFormat="1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0" fontId="0" fillId="0" borderId="25" xfId="0" applyBorder="1"/>
    <xf numFmtId="2" fontId="0" fillId="0" borderId="21" xfId="0" applyNumberFormat="1" applyBorder="1"/>
    <xf numFmtId="0" fontId="0" fillId="0" borderId="5" xfId="0" applyBorder="1"/>
    <xf numFmtId="0" fontId="0" fillId="0" borderId="26" xfId="0" applyBorder="1"/>
    <xf numFmtId="0" fontId="0" fillId="0" borderId="12" xfId="0" applyBorder="1"/>
    <xf numFmtId="0" fontId="0" fillId="0" borderId="27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64" fontId="0" fillId="0" borderId="27" xfId="0" applyNumberFormat="1" applyBorder="1"/>
    <xf numFmtId="0" fontId="0" fillId="0" borderId="6" xfId="0" applyBorder="1"/>
    <xf numFmtId="2" fontId="0" fillId="0" borderId="27" xfId="0" applyNumberFormat="1" applyBorder="1"/>
    <xf numFmtId="2" fontId="0" fillId="0" borderId="0" xfId="0" applyNumberFormat="1"/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5" xfId="0" applyFont="1" applyFill="1" applyBorder="1"/>
    <xf numFmtId="0" fontId="0" fillId="2" borderId="26" xfId="0" applyFill="1" applyBorder="1"/>
    <xf numFmtId="0" fontId="0" fillId="2" borderId="11" xfId="0" applyFill="1" applyBorder="1"/>
    <xf numFmtId="0" fontId="1" fillId="2" borderId="1" xfId="0" applyFont="1" applyFill="1" applyBorder="1"/>
    <xf numFmtId="0" fontId="3" fillId="2" borderId="1" xfId="1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2" fontId="0" fillId="4" borderId="0" xfId="0" applyNumberFormat="1" applyFill="1"/>
    <xf numFmtId="0" fontId="0" fillId="4" borderId="12" xfId="0" applyFill="1" applyBorder="1"/>
    <xf numFmtId="2" fontId="0" fillId="4" borderId="27" xfId="0" applyNumberFormat="1" applyFill="1" applyBorder="1"/>
    <xf numFmtId="0" fontId="0" fillId="4" borderId="13" xfId="0" applyFill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0" borderId="2" xfId="1" applyBorder="1" applyAlignment="1">
      <alignment horizontal="right"/>
    </xf>
    <xf numFmtId="0" fontId="2" fillId="0" borderId="3" xfId="1" applyBorder="1" applyAlignment="1">
      <alignment horizontal="right"/>
    </xf>
    <xf numFmtId="0" fontId="2" fillId="0" borderId="4" xfId="1" applyBorder="1" applyAlignment="1">
      <alignment horizontal="right"/>
    </xf>
    <xf numFmtId="0" fontId="13" fillId="0" borderId="24" xfId="0" applyFont="1" applyBorder="1"/>
    <xf numFmtId="0" fontId="0" fillId="0" borderId="28" xfId="0" applyBorder="1"/>
    <xf numFmtId="0" fontId="0" fillId="2" borderId="0" xfId="0" applyFill="1"/>
    <xf numFmtId="0" fontId="14" fillId="0" borderId="0" xfId="0" applyFont="1"/>
    <xf numFmtId="164" fontId="0" fillId="0" borderId="0" xfId="0" applyNumberFormat="1"/>
    <xf numFmtId="0" fontId="1" fillId="4" borderId="0" xfId="0" applyFont="1" applyFill="1"/>
    <xf numFmtId="1" fontId="0" fillId="0" borderId="27" xfId="0" applyNumberFormat="1" applyBorder="1"/>
    <xf numFmtId="2" fontId="0" fillId="0" borderId="19" xfId="0" applyNumberFormat="1" applyBorder="1"/>
    <xf numFmtId="0" fontId="0" fillId="2" borderId="15" xfId="0" applyFill="1" applyBorder="1"/>
    <xf numFmtId="0" fontId="0" fillId="2" borderId="16" xfId="0" applyFill="1" applyBorder="1"/>
    <xf numFmtId="0" fontId="1" fillId="2" borderId="16" xfId="0" applyFont="1" applyFill="1" applyBorder="1"/>
    <xf numFmtId="0" fontId="1" fillId="0" borderId="18" xfId="0" applyFont="1" applyBorder="1"/>
    <xf numFmtId="0" fontId="1" fillId="0" borderId="20" xfId="0" applyFont="1" applyBorder="1"/>
    <xf numFmtId="0" fontId="1" fillId="0" borderId="14" xfId="0" applyFont="1" applyBorder="1"/>
    <xf numFmtId="0" fontId="1" fillId="0" borderId="21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16" xfId="0" applyFont="1" applyBorder="1"/>
    <xf numFmtId="0" fontId="0" fillId="2" borderId="5" xfId="0" applyFill="1" applyBorder="1"/>
    <xf numFmtId="0" fontId="0" fillId="2" borderId="7" xfId="0" applyFill="1" applyBorder="1"/>
    <xf numFmtId="0" fontId="0" fillId="2" borderId="27" xfId="0" applyFill="1" applyBorder="1"/>
    <xf numFmtId="0" fontId="0" fillId="2" borderId="13" xfId="0" applyFill="1" applyBorder="1"/>
    <xf numFmtId="2" fontId="0" fillId="0" borderId="29" xfId="0" applyNumberFormat="1" applyBorder="1"/>
    <xf numFmtId="0" fontId="0" fillId="5" borderId="17" xfId="0" applyFill="1" applyBorder="1"/>
    <xf numFmtId="0" fontId="0" fillId="5" borderId="22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0" xfId="0" applyFill="1"/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166" fontId="0" fillId="5" borderId="19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0" fontId="0" fillId="5" borderId="21" xfId="0" applyFill="1" applyBorder="1"/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5" borderId="27" xfId="0" applyNumberFormat="1" applyFill="1" applyBorder="1"/>
    <xf numFmtId="0" fontId="20" fillId="0" borderId="6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" fillId="0" borderId="3" xfId="1" applyBorder="1" applyAlignment="1">
      <alignment horizontal="left"/>
    </xf>
    <xf numFmtId="0" fontId="2" fillId="0" borderId="4" xfId="1" applyBorder="1" applyAlignment="1">
      <alignment horizontal="left"/>
    </xf>
    <xf numFmtId="0" fontId="2" fillId="0" borderId="1" xfId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" fillId="0" borderId="30" xfId="0" applyFont="1" applyBorder="1" applyAlignment="1">
      <alignment wrapText="1"/>
    </xf>
    <xf numFmtId="0" fontId="1" fillId="2" borderId="26" xfId="0" applyFont="1" applyFill="1" applyBorder="1" applyAlignment="1">
      <alignment wrapText="1"/>
    </xf>
    <xf numFmtId="0" fontId="1" fillId="0" borderId="11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right"/>
    </xf>
    <xf numFmtId="0" fontId="0" fillId="6" borderId="27" xfId="0" applyFill="1" applyBorder="1"/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/>
    <xf numFmtId="0" fontId="0" fillId="2" borderId="30" xfId="0" applyFill="1" applyBorder="1"/>
    <xf numFmtId="0" fontId="0" fillId="0" borderId="1" xfId="0" applyBorder="1"/>
    <xf numFmtId="0" fontId="1" fillId="6" borderId="28" xfId="0" applyFont="1" applyFill="1" applyBorder="1" applyAlignment="1">
      <alignment horizontal="left" wrapText="1"/>
    </xf>
    <xf numFmtId="0" fontId="0" fillId="7" borderId="30" xfId="0" applyFill="1" applyBorder="1"/>
    <xf numFmtId="2" fontId="0" fillId="0" borderId="28" xfId="0" applyNumberFormat="1" applyBorder="1"/>
    <xf numFmtId="0" fontId="1" fillId="0" borderId="4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2" fontId="0" fillId="0" borderId="29" xfId="0" applyNumberFormat="1" applyBorder="1" applyAlignment="1">
      <alignment horizontal="left" indent="7"/>
    </xf>
    <xf numFmtId="167" fontId="0" fillId="0" borderId="29" xfId="0" applyNumberFormat="1" applyBorder="1"/>
    <xf numFmtId="0" fontId="0" fillId="7" borderId="26" xfId="0" applyFill="1" applyBorder="1"/>
    <xf numFmtId="0" fontId="0" fillId="0" borderId="3" xfId="0" applyBorder="1" applyAlignment="1">
      <alignment wrapText="1"/>
    </xf>
    <xf numFmtId="0" fontId="0" fillId="2" borderId="5" xfId="0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0" fillId="0" borderId="26" xfId="0" applyNumberFormat="1" applyBorder="1"/>
    <xf numFmtId="0" fontId="1" fillId="2" borderId="6" xfId="0" applyFont="1" applyFill="1" applyBorder="1" applyAlignment="1">
      <alignment horizontal="right"/>
    </xf>
    <xf numFmtId="2" fontId="0" fillId="0" borderId="26" xfId="0" applyNumberFormat="1" applyBorder="1"/>
    <xf numFmtId="164" fontId="0" fillId="0" borderId="29" xfId="0" applyNumberFormat="1" applyBorder="1"/>
    <xf numFmtId="1" fontId="0" fillId="0" borderId="29" xfId="0" applyNumberFormat="1" applyBorder="1"/>
    <xf numFmtId="0" fontId="1" fillId="2" borderId="1" xfId="0" applyFont="1" applyFill="1" applyBorder="1" applyAlignment="1">
      <alignment horizontal="right" wrapText="1"/>
    </xf>
    <xf numFmtId="164" fontId="0" fillId="4" borderId="0" xfId="0" applyNumberFormat="1" applyFill="1"/>
    <xf numFmtId="0" fontId="0" fillId="0" borderId="0" xfId="0" applyAlignment="1">
      <alignment horizontal="left"/>
    </xf>
    <xf numFmtId="0" fontId="25" fillId="0" borderId="0" xfId="0" applyFont="1"/>
    <xf numFmtId="0" fontId="26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8" fillId="5" borderId="33" xfId="0" applyFont="1" applyFill="1" applyBorder="1" applyAlignment="1">
      <alignment horizontal="left"/>
    </xf>
    <xf numFmtId="0" fontId="28" fillId="5" borderId="34" xfId="0" applyFont="1" applyFill="1" applyBorder="1" applyAlignment="1">
      <alignment horizontal="left"/>
    </xf>
    <xf numFmtId="0" fontId="28" fillId="5" borderId="34" xfId="0" applyFont="1" applyFill="1" applyBorder="1"/>
    <xf numFmtId="0" fontId="29" fillId="5" borderId="34" xfId="0" applyFont="1" applyFill="1" applyBorder="1"/>
    <xf numFmtId="169" fontId="28" fillId="5" borderId="34" xfId="2" applyNumberFormat="1" applyFont="1" applyFill="1" applyBorder="1" applyAlignment="1">
      <alignment horizontal="right"/>
    </xf>
    <xf numFmtId="0" fontId="29" fillId="5" borderId="35" xfId="0" applyFont="1" applyFill="1" applyBorder="1"/>
    <xf numFmtId="0" fontId="31" fillId="0" borderId="1" xfId="0" applyFont="1" applyBorder="1" applyAlignment="1">
      <alignment horizontal="center"/>
    </xf>
    <xf numFmtId="0" fontId="31" fillId="0" borderId="33" xfId="0" applyFont="1" applyBorder="1" applyAlignment="1">
      <alignment horizontal="left"/>
    </xf>
    <xf numFmtId="0" fontId="31" fillId="0" borderId="34" xfId="0" applyFont="1" applyBorder="1" applyAlignment="1">
      <alignment horizontal="left"/>
    </xf>
    <xf numFmtId="0" fontId="31" fillId="0" borderId="34" xfId="0" applyFont="1" applyBorder="1"/>
    <xf numFmtId="0" fontId="29" fillId="0" borderId="34" xfId="0" applyFont="1" applyBorder="1"/>
    <xf numFmtId="164" fontId="29" fillId="0" borderId="34" xfId="2" applyNumberFormat="1" applyFont="1" applyBorder="1"/>
    <xf numFmtId="0" fontId="29" fillId="0" borderId="35" xfId="0" applyFont="1" applyBorder="1"/>
    <xf numFmtId="0" fontId="29" fillId="0" borderId="0" xfId="0" applyFont="1"/>
    <xf numFmtId="0" fontId="32" fillId="0" borderId="6" xfId="0" applyFont="1" applyBorder="1" applyAlignment="1">
      <alignment horizontal="right"/>
    </xf>
    <xf numFmtId="0" fontId="29" fillId="0" borderId="0" xfId="0" applyFont="1" applyAlignment="1">
      <alignment horizontal="center"/>
    </xf>
    <xf numFmtId="39" fontId="29" fillId="0" borderId="0" xfId="2" applyNumberFormat="1" applyFont="1" applyFill="1" applyBorder="1"/>
    <xf numFmtId="4" fontId="29" fillId="0" borderId="0" xfId="2" applyNumberFormat="1" applyFont="1" applyFill="1" applyBorder="1" applyAlignment="1">
      <alignment horizontal="center"/>
    </xf>
    <xf numFmtId="11" fontId="29" fillId="0" borderId="0" xfId="0" applyNumberFormat="1" applyFont="1"/>
    <xf numFmtId="11" fontId="29" fillId="0" borderId="12" xfId="0" applyNumberFormat="1" applyFont="1" applyBorder="1"/>
    <xf numFmtId="0" fontId="31" fillId="5" borderId="1" xfId="0" applyFont="1" applyFill="1" applyBorder="1" applyAlignment="1">
      <alignment horizontal="center"/>
    </xf>
    <xf numFmtId="0" fontId="33" fillId="5" borderId="36" xfId="0" applyFont="1" applyFill="1" applyBorder="1" applyAlignment="1">
      <alignment horizontal="left"/>
    </xf>
    <xf numFmtId="0" fontId="31" fillId="5" borderId="37" xfId="0" applyFont="1" applyFill="1" applyBorder="1" applyAlignment="1">
      <alignment horizontal="left"/>
    </xf>
    <xf numFmtId="2" fontId="31" fillId="5" borderId="37" xfId="0" applyNumberFormat="1" applyFont="1" applyFill="1" applyBorder="1" applyAlignment="1">
      <alignment horizontal="center"/>
    </xf>
    <xf numFmtId="0" fontId="29" fillId="5" borderId="37" xfId="0" applyFont="1" applyFill="1" applyBorder="1"/>
    <xf numFmtId="164" fontId="29" fillId="5" borderId="37" xfId="2" applyNumberFormat="1" applyFont="1" applyFill="1" applyBorder="1"/>
    <xf numFmtId="0" fontId="29" fillId="5" borderId="37" xfId="0" applyFont="1" applyFill="1" applyBorder="1" applyAlignment="1">
      <alignment horizontal="center"/>
    </xf>
    <xf numFmtId="4" fontId="29" fillId="5" borderId="37" xfId="2" applyNumberFormat="1" applyFont="1" applyFill="1" applyBorder="1"/>
    <xf numFmtId="0" fontId="29" fillId="5" borderId="38" xfId="0" applyFont="1" applyFill="1" applyBorder="1"/>
    <xf numFmtId="169" fontId="29" fillId="0" borderId="0" xfId="2" applyNumberFormat="1" applyFont="1" applyFill="1" applyBorder="1"/>
    <xf numFmtId="169" fontId="29" fillId="10" borderId="34" xfId="2" applyNumberFormat="1" applyFont="1" applyFill="1" applyBorder="1" applyAlignment="1"/>
    <xf numFmtId="43" fontId="29" fillId="0" borderId="0" xfId="2" applyFont="1" applyFill="1" applyBorder="1" applyAlignment="1">
      <alignment horizontal="right"/>
    </xf>
    <xf numFmtId="169" fontId="29" fillId="0" borderId="40" xfId="2" applyNumberFormat="1" applyFont="1" applyBorder="1" applyAlignment="1"/>
    <xf numFmtId="169" fontId="28" fillId="0" borderId="0" xfId="2" applyNumberFormat="1" applyFont="1" applyFill="1" applyBorder="1" applyAlignment="1"/>
    <xf numFmtId="169" fontId="36" fillId="0" borderId="0" xfId="2" applyNumberFormat="1" applyFont="1" applyBorder="1" applyAlignment="1"/>
    <xf numFmtId="0" fontId="28" fillId="0" borderId="34" xfId="0" applyFont="1" applyBorder="1" applyAlignment="1">
      <alignment horizontal="center"/>
    </xf>
    <xf numFmtId="0" fontId="29" fillId="10" borderId="34" xfId="0" applyFont="1" applyFill="1" applyBorder="1" applyAlignment="1">
      <alignment horizontal="center"/>
    </xf>
    <xf numFmtId="0" fontId="29" fillId="10" borderId="34" xfId="0" applyFont="1" applyFill="1" applyBorder="1"/>
    <xf numFmtId="169" fontId="29" fillId="0" borderId="34" xfId="2" applyNumberFormat="1" applyFont="1" applyBorder="1" applyAlignment="1"/>
    <xf numFmtId="169" fontId="29" fillId="0" borderId="34" xfId="0" applyNumberFormat="1" applyFont="1" applyBorder="1"/>
    <xf numFmtId="170" fontId="0" fillId="0" borderId="0" xfId="0" applyNumberFormat="1"/>
    <xf numFmtId="0" fontId="28" fillId="10" borderId="34" xfId="0" applyFont="1" applyFill="1" applyBorder="1" applyAlignment="1">
      <alignment horizontal="center" wrapText="1"/>
    </xf>
    <xf numFmtId="0" fontId="28" fillId="10" borderId="34" xfId="0" applyFont="1" applyFill="1" applyBorder="1" applyAlignment="1">
      <alignment horizontal="center" vertical="center" wrapText="1"/>
    </xf>
    <xf numFmtId="169" fontId="29" fillId="0" borderId="0" xfId="2" applyNumberFormat="1" applyFont="1" applyFill="1" applyBorder="1" applyAlignment="1">
      <alignment horizontal="center"/>
    </xf>
    <xf numFmtId="169" fontId="29" fillId="0" borderId="0" xfId="2" applyNumberFormat="1" applyFont="1" applyFill="1" applyBorder="1" applyAlignment="1"/>
    <xf numFmtId="0" fontId="32" fillId="11" borderId="34" xfId="0" applyFont="1" applyFill="1" applyBorder="1" applyAlignment="1">
      <alignment horizontal="left"/>
    </xf>
    <xf numFmtId="0" fontId="32" fillId="11" borderId="34" xfId="0" applyFont="1" applyFill="1" applyBorder="1" applyAlignment="1">
      <alignment horizontal="center"/>
    </xf>
    <xf numFmtId="169" fontId="32" fillId="11" borderId="34" xfId="2" applyNumberFormat="1" applyFont="1" applyFill="1" applyBorder="1" applyAlignment="1"/>
    <xf numFmtId="1" fontId="32" fillId="11" borderId="34" xfId="0" applyNumberFormat="1" applyFont="1" applyFill="1" applyBorder="1" applyAlignment="1">
      <alignment horizontal="center"/>
    </xf>
    <xf numFmtId="0" fontId="29" fillId="11" borderId="34" xfId="0" applyFont="1" applyFill="1" applyBorder="1" applyAlignment="1">
      <alignment horizontal="left"/>
    </xf>
    <xf numFmtId="0" fontId="29" fillId="11" borderId="34" xfId="0" applyFont="1" applyFill="1" applyBorder="1" applyAlignment="1">
      <alignment horizontal="center"/>
    </xf>
    <xf numFmtId="164" fontId="29" fillId="11" borderId="34" xfId="0" applyNumberFormat="1" applyFont="1" applyFill="1" applyBorder="1" applyAlignment="1">
      <alignment horizontal="right" vertical="center"/>
    </xf>
    <xf numFmtId="1" fontId="29" fillId="11" borderId="34" xfId="0" applyNumberFormat="1" applyFont="1" applyFill="1" applyBorder="1" applyAlignment="1">
      <alignment horizontal="center" vertical="center"/>
    </xf>
    <xf numFmtId="0" fontId="28" fillId="0" borderId="40" xfId="0" applyFont="1" applyBorder="1"/>
    <xf numFmtId="2" fontId="26" fillId="0" borderId="40" xfId="0" applyNumberFormat="1" applyFont="1" applyBorder="1" applyAlignment="1">
      <alignment horizontal="center"/>
    </xf>
    <xf numFmtId="0" fontId="0" fillId="0" borderId="40" xfId="0" applyBorder="1"/>
    <xf numFmtId="0" fontId="28" fillId="0" borderId="34" xfId="0" applyFont="1" applyBorder="1"/>
    <xf numFmtId="1" fontId="26" fillId="0" borderId="34" xfId="0" applyNumberFormat="1" applyFont="1" applyBorder="1" applyAlignment="1">
      <alignment horizontal="center"/>
    </xf>
    <xf numFmtId="0" fontId="0" fillId="0" borderId="34" xfId="0" applyBorder="1"/>
    <xf numFmtId="0" fontId="28" fillId="0" borderId="40" xfId="0" applyFont="1" applyBorder="1" applyAlignment="1">
      <alignment vertical="center"/>
    </xf>
    <xf numFmtId="167" fontId="26" fillId="0" borderId="40" xfId="0" applyNumberFormat="1" applyFont="1" applyBorder="1" applyAlignment="1">
      <alignment horizontal="center"/>
    </xf>
    <xf numFmtId="0" fontId="28" fillId="0" borderId="34" xfId="0" applyFont="1" applyBorder="1" applyAlignment="1">
      <alignment vertical="center"/>
    </xf>
    <xf numFmtId="167" fontId="26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top" wrapText="1"/>
    </xf>
    <xf numFmtId="0" fontId="30" fillId="0" borderId="34" xfId="0" applyFont="1" applyBorder="1" applyAlignment="1">
      <alignment horizontal="center" vertical="top"/>
    </xf>
    <xf numFmtId="174" fontId="0" fillId="0" borderId="0" xfId="0" applyNumberFormat="1"/>
    <xf numFmtId="167" fontId="0" fillId="0" borderId="0" xfId="0" applyNumberFormat="1"/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2" xfId="0" applyBorder="1" applyAlignment="1">
      <alignment horizontal="center"/>
    </xf>
    <xf numFmtId="168" fontId="0" fillId="0" borderId="0" xfId="0" applyNumberFormat="1"/>
    <xf numFmtId="43" fontId="29" fillId="0" borderId="0" xfId="2" applyFont="1" applyAlignment="1">
      <alignment horizontal="right"/>
    </xf>
    <xf numFmtId="9" fontId="0" fillId="0" borderId="0" xfId="3" applyFont="1"/>
    <xf numFmtId="169" fontId="29" fillId="0" borderId="0" xfId="2" applyNumberFormat="1" applyFont="1" applyFill="1"/>
    <xf numFmtId="164" fontId="29" fillId="0" borderId="0" xfId="0" applyNumberFormat="1" applyFont="1" applyAlignment="1">
      <alignment horizontal="center"/>
    </xf>
    <xf numFmtId="0" fontId="0" fillId="12" borderId="0" xfId="0" applyFill="1"/>
    <xf numFmtId="0" fontId="31" fillId="0" borderId="0" xfId="0" applyFont="1" applyAlignment="1">
      <alignment horizontal="left"/>
    </xf>
    <xf numFmtId="2" fontId="31" fillId="0" borderId="0" xfId="0" applyNumberFormat="1" applyFont="1" applyAlignment="1">
      <alignment horizontal="left"/>
    </xf>
    <xf numFmtId="1" fontId="31" fillId="0" borderId="0" xfId="0" applyNumberFormat="1" applyFont="1" applyAlignment="1">
      <alignment horizontal="left"/>
    </xf>
    <xf numFmtId="4" fontId="31" fillId="0" borderId="0" xfId="0" applyNumberFormat="1" applyFont="1" applyAlignment="1">
      <alignment horizontal="right"/>
    </xf>
    <xf numFmtId="0" fontId="0" fillId="0" borderId="40" xfId="0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wrapText="1"/>
    </xf>
    <xf numFmtId="0" fontId="29" fillId="4" borderId="27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30" fillId="4" borderId="27" xfId="0" applyFont="1" applyFill="1" applyBorder="1" applyAlignment="1">
      <alignment horizontal="center" vertical="top"/>
    </xf>
    <xf numFmtId="0" fontId="30" fillId="4" borderId="13" xfId="0" applyFont="1" applyFill="1" applyBorder="1" applyAlignment="1">
      <alignment horizontal="center" vertical="top"/>
    </xf>
    <xf numFmtId="0" fontId="29" fillId="4" borderId="2" xfId="0" applyFont="1" applyFill="1" applyBorder="1"/>
    <xf numFmtId="0" fontId="29" fillId="4" borderId="40" xfId="0" applyFont="1" applyFill="1" applyBorder="1" applyAlignment="1">
      <alignment horizontal="center"/>
    </xf>
    <xf numFmtId="0" fontId="35" fillId="4" borderId="12" xfId="0" applyFont="1" applyFill="1" applyBorder="1" applyAlignment="1">
      <alignment horizontal="center"/>
    </xf>
    <xf numFmtId="0" fontId="29" fillId="4" borderId="4" xfId="0" applyFont="1" applyFill="1" applyBorder="1"/>
    <xf numFmtId="0" fontId="29" fillId="4" borderId="27" xfId="0" applyFont="1" applyFill="1" applyBorder="1" applyAlignment="1">
      <alignment horizontal="center"/>
    </xf>
    <xf numFmtId="0" fontId="29" fillId="4" borderId="27" xfId="0" applyFont="1" applyFill="1" applyBorder="1"/>
    <xf numFmtId="39" fontId="29" fillId="4" borderId="27" xfId="2" applyNumberFormat="1" applyFont="1" applyFill="1" applyBorder="1"/>
    <xf numFmtId="164" fontId="29" fillId="4" borderId="27" xfId="0" applyNumberFormat="1" applyFont="1" applyFill="1" applyBorder="1"/>
    <xf numFmtId="4" fontId="29" fillId="4" borderId="27" xfId="0" applyNumberFormat="1" applyFont="1" applyFill="1" applyBorder="1"/>
    <xf numFmtId="164" fontId="32" fillId="4" borderId="27" xfId="0" applyNumberFormat="1" applyFont="1" applyFill="1" applyBorder="1"/>
    <xf numFmtId="11" fontId="29" fillId="4" borderId="13" xfId="0" applyNumberFormat="1" applyFont="1" applyFill="1" applyBorder="1"/>
    <xf numFmtId="0" fontId="28" fillId="4" borderId="34" xfId="0" applyFont="1" applyFill="1" applyBorder="1" applyAlignment="1">
      <alignment vertical="center"/>
    </xf>
    <xf numFmtId="4" fontId="26" fillId="4" borderId="37" xfId="0" applyNumberFormat="1" applyFont="1" applyFill="1" applyBorder="1" applyAlignment="1">
      <alignment horizontal="center"/>
    </xf>
    <xf numFmtId="167" fontId="0" fillId="4" borderId="37" xfId="0" applyNumberFormat="1" applyFill="1" applyBorder="1"/>
    <xf numFmtId="0" fontId="28" fillId="4" borderId="37" xfId="0" applyFont="1" applyFill="1" applyBorder="1" applyAlignment="1">
      <alignment vertical="center"/>
    </xf>
    <xf numFmtId="4" fontId="26" fillId="4" borderId="34" xfId="0" applyNumberFormat="1" applyFont="1" applyFill="1" applyBorder="1" applyAlignment="1">
      <alignment horizontal="center"/>
    </xf>
    <xf numFmtId="0" fontId="0" fillId="4" borderId="34" xfId="0" applyFill="1" applyBorder="1"/>
    <xf numFmtId="2" fontId="33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wrapText="1"/>
    </xf>
    <xf numFmtId="164" fontId="31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8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2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left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right"/>
    </xf>
    <xf numFmtId="0" fontId="26" fillId="0" borderId="0" xfId="0" applyFont="1"/>
    <xf numFmtId="0" fontId="32" fillId="0" borderId="0" xfId="0" applyFont="1" applyAlignment="1">
      <alignment horizontal="right"/>
    </xf>
    <xf numFmtId="4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5" borderId="4" xfId="0" applyFill="1" applyBorder="1"/>
    <xf numFmtId="0" fontId="1" fillId="0" borderId="0" xfId="0" applyFont="1"/>
    <xf numFmtId="0" fontId="1" fillId="0" borderId="43" xfId="0" applyFont="1" applyBorder="1" applyAlignment="1">
      <alignment horizontal="right"/>
    </xf>
    <xf numFmtId="2" fontId="0" fillId="0" borderId="43" xfId="0" applyNumberFormat="1" applyBorder="1"/>
    <xf numFmtId="0" fontId="1" fillId="2" borderId="15" xfId="0" applyFont="1" applyFill="1" applyBorder="1"/>
    <xf numFmtId="2" fontId="0" fillId="2" borderId="16" xfId="0" applyNumberFormat="1" applyFill="1" applyBorder="1"/>
    <xf numFmtId="2" fontId="0" fillId="0" borderId="22" xfId="0" applyNumberFormat="1" applyBorder="1"/>
    <xf numFmtId="0" fontId="47" fillId="0" borderId="0" xfId="0" applyFont="1"/>
    <xf numFmtId="0" fontId="1" fillId="0" borderId="5" xfId="0" applyFont="1" applyBorder="1"/>
    <xf numFmtId="0" fontId="18" fillId="0" borderId="0" xfId="0" applyFont="1"/>
    <xf numFmtId="0" fontId="2" fillId="0" borderId="0" xfId="1" applyAlignment="1">
      <alignment horizontal="left"/>
    </xf>
    <xf numFmtId="2" fontId="21" fillId="0" borderId="0" xfId="0" applyNumberFormat="1" applyFont="1" applyAlignment="1">
      <alignment horizontal="center"/>
    </xf>
    <xf numFmtId="2" fontId="21" fillId="5" borderId="6" xfId="0" applyNumberFormat="1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1" fillId="2" borderId="2" xfId="0" applyFont="1" applyFill="1" applyBorder="1"/>
    <xf numFmtId="0" fontId="48" fillId="0" borderId="5" xfId="0" applyFont="1" applyBorder="1"/>
    <xf numFmtId="0" fontId="48" fillId="0" borderId="7" xfId="0" applyFont="1" applyBorder="1"/>
    <xf numFmtId="0" fontId="48" fillId="0" borderId="27" xfId="0" applyFont="1" applyBorder="1"/>
    <xf numFmtId="0" fontId="50" fillId="5" borderId="1" xfId="0" applyFont="1" applyFill="1" applyBorder="1"/>
    <xf numFmtId="0" fontId="25" fillId="0" borderId="5" xfId="0" applyFont="1" applyBorder="1"/>
    <xf numFmtId="0" fontId="26" fillId="0" borderId="26" xfId="0" applyFont="1" applyBorder="1" applyAlignment="1">
      <alignment wrapText="1"/>
    </xf>
    <xf numFmtId="0" fontId="25" fillId="0" borderId="26" xfId="0" applyFont="1" applyBorder="1" applyAlignment="1">
      <alignment horizontal="left"/>
    </xf>
    <xf numFmtId="0" fontId="25" fillId="0" borderId="26" xfId="0" applyFont="1" applyBorder="1" applyAlignment="1">
      <alignment horizontal="right"/>
    </xf>
    <xf numFmtId="0" fontId="26" fillId="0" borderId="26" xfId="0" applyFont="1" applyBorder="1"/>
    <xf numFmtId="0" fontId="26" fillId="0" borderId="11" xfId="0" applyFont="1" applyBorder="1" applyAlignment="1">
      <alignment vertical="top" wrapText="1"/>
    </xf>
    <xf numFmtId="0" fontId="25" fillId="0" borderId="6" xfId="0" applyFont="1" applyBorder="1"/>
    <xf numFmtId="164" fontId="26" fillId="0" borderId="0" xfId="0" applyNumberFormat="1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5" fillId="0" borderId="0" xfId="0" applyFont="1" applyAlignment="1">
      <alignment vertical="top" wrapText="1"/>
    </xf>
    <xf numFmtId="0" fontId="25" fillId="0" borderId="12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13" fillId="0" borderId="5" xfId="0" applyFont="1" applyBorder="1"/>
    <xf numFmtId="164" fontId="0" fillId="0" borderId="19" xfId="0" applyNumberFormat="1" applyBorder="1"/>
    <xf numFmtId="164" fontId="0" fillId="0" borderId="22" xfId="0" applyNumberFormat="1" applyBorder="1"/>
    <xf numFmtId="164" fontId="0" fillId="0" borderId="28" xfId="0" applyNumberFormat="1" applyBorder="1"/>
    <xf numFmtId="2" fontId="0" fillId="5" borderId="0" xfId="0" applyNumberFormat="1" applyFill="1" applyAlignment="1">
      <alignment horizontal="center"/>
    </xf>
    <xf numFmtId="0" fontId="2" fillId="0" borderId="0" xfId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5" xfId="1" applyBorder="1" applyAlignment="1">
      <alignment horizontal="right"/>
    </xf>
    <xf numFmtId="2" fontId="0" fillId="5" borderId="26" xfId="0" applyNumberFormat="1" applyFill="1" applyBorder="1" applyAlignment="1">
      <alignment horizontal="center"/>
    </xf>
    <xf numFmtId="0" fontId="2" fillId="0" borderId="6" xfId="1" applyBorder="1" applyAlignment="1">
      <alignment horizontal="right"/>
    </xf>
    <xf numFmtId="0" fontId="2" fillId="0" borderId="7" xfId="1" applyBorder="1" applyAlignment="1">
      <alignment horizontal="right"/>
    </xf>
    <xf numFmtId="2" fontId="0" fillId="5" borderId="27" xfId="0" applyNumberFormat="1" applyFill="1" applyBorder="1" applyAlignment="1">
      <alignment horizontal="center"/>
    </xf>
    <xf numFmtId="0" fontId="11" fillId="0" borderId="0" xfId="0" applyFont="1"/>
    <xf numFmtId="0" fontId="10" fillId="2" borderId="7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7" xfId="0" applyFont="1" applyFill="1" applyBorder="1"/>
    <xf numFmtId="2" fontId="0" fillId="2" borderId="27" xfId="0" applyNumberFormat="1" applyFill="1" applyBorder="1"/>
    <xf numFmtId="0" fontId="1" fillId="2" borderId="28" xfId="0" applyFont="1" applyFill="1" applyBorder="1"/>
    <xf numFmtId="0" fontId="0" fillId="5" borderId="26" xfId="0" applyFill="1" applyBorder="1"/>
    <xf numFmtId="0" fontId="0" fillId="13" borderId="1" xfId="0" applyFill="1" applyBorder="1"/>
    <xf numFmtId="0" fontId="0" fillId="14" borderId="1" xfId="0" applyFill="1" applyBorder="1"/>
    <xf numFmtId="0" fontId="50" fillId="5" borderId="4" xfId="0" applyFont="1" applyFill="1" applyBorder="1"/>
    <xf numFmtId="0" fontId="13" fillId="0" borderId="28" xfId="0" applyFont="1" applyBorder="1"/>
    <xf numFmtId="2" fontId="0" fillId="0" borderId="27" xfId="0" applyNumberFormat="1" applyBorder="1" applyAlignment="1">
      <alignment horizontal="center"/>
    </xf>
    <xf numFmtId="0" fontId="0" fillId="0" borderId="44" xfId="0" applyBorder="1"/>
    <xf numFmtId="0" fontId="48" fillId="0" borderId="6" xfId="0" applyFont="1" applyBorder="1"/>
    <xf numFmtId="0" fontId="0" fillId="0" borderId="27" xfId="0" applyBorder="1" applyAlignment="1">
      <alignment horizontal="center"/>
    </xf>
    <xf numFmtId="2" fontId="0" fillId="2" borderId="17" xfId="0" applyNumberFormat="1" applyFill="1" applyBorder="1"/>
    <xf numFmtId="0" fontId="1" fillId="0" borderId="43" xfId="0" applyFont="1" applyBorder="1"/>
    <xf numFmtId="1" fontId="0" fillId="0" borderId="0" xfId="0" applyNumberFormat="1"/>
    <xf numFmtId="0" fontId="11" fillId="2" borderId="0" xfId="0" applyFont="1" applyFill="1"/>
    <xf numFmtId="0" fontId="11" fillId="0" borderId="12" xfId="0" applyFont="1" applyBorder="1"/>
    <xf numFmtId="0" fontId="10" fillId="2" borderId="0" xfId="0" applyFont="1" applyFill="1"/>
    <xf numFmtId="2" fontId="0" fillId="2" borderId="0" xfId="0" applyNumberFormat="1" applyFill="1"/>
    <xf numFmtId="0" fontId="10" fillId="0" borderId="0" xfId="0" applyFont="1"/>
    <xf numFmtId="0" fontId="10" fillId="0" borderId="0" xfId="0" applyFont="1" applyAlignment="1">
      <alignment wrapText="1"/>
    </xf>
    <xf numFmtId="0" fontId="18" fillId="2" borderId="2" xfId="0" applyFont="1" applyFill="1" applyBorder="1"/>
    <xf numFmtId="0" fontId="2" fillId="0" borderId="2" xfId="1" applyBorder="1" applyAlignment="1">
      <alignment horizontal="left"/>
    </xf>
    <xf numFmtId="2" fontId="21" fillId="5" borderId="5" xfId="0" applyNumberFormat="1" applyFont="1" applyFill="1" applyBorder="1" applyAlignment="1">
      <alignment horizontal="center"/>
    </xf>
    <xf numFmtId="0" fontId="0" fillId="2" borderId="28" xfId="0" applyFill="1" applyBorder="1"/>
    <xf numFmtId="0" fontId="0" fillId="2" borderId="6" xfId="0" applyFill="1" applyBorder="1"/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43" xfId="0" applyFont="1" applyFill="1" applyBorder="1"/>
    <xf numFmtId="2" fontId="49" fillId="0" borderId="27" xfId="0" applyNumberFormat="1" applyFont="1" applyBorder="1" applyAlignment="1">
      <alignment horizontal="center"/>
    </xf>
    <xf numFmtId="0" fontId="25" fillId="0" borderId="6" xfId="0" applyFont="1" applyBorder="1" applyAlignment="1">
      <alignment vertical="top" wrapText="1"/>
    </xf>
    <xf numFmtId="0" fontId="26" fillId="0" borderId="0" xfId="0" applyFont="1" applyAlignment="1">
      <alignment vertical="top"/>
    </xf>
    <xf numFmtId="0" fontId="26" fillId="0" borderId="12" xfId="0" applyFont="1" applyBorder="1" applyAlignment="1">
      <alignment vertical="top" wrapText="1"/>
    </xf>
    <xf numFmtId="0" fontId="29" fillId="0" borderId="6" xfId="0" applyFont="1" applyBorder="1"/>
    <xf numFmtId="0" fontId="29" fillId="5" borderId="0" xfId="0" applyFont="1" applyFill="1" applyAlignment="1">
      <alignment horizontal="center"/>
    </xf>
    <xf numFmtId="2" fontId="29" fillId="5" borderId="0" xfId="0" applyNumberFormat="1" applyFont="1" applyFill="1" applyAlignment="1">
      <alignment horizontal="center"/>
    </xf>
    <xf numFmtId="2" fontId="29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29" fillId="4" borderId="0" xfId="0" applyFont="1" applyFill="1"/>
    <xf numFmtId="0" fontId="35" fillId="4" borderId="0" xfId="0" applyFont="1" applyFill="1" applyAlignment="1">
      <alignment horizontal="center"/>
    </xf>
    <xf numFmtId="0" fontId="0" fillId="4" borderId="0" xfId="0" applyFill="1"/>
    <xf numFmtId="164" fontId="32" fillId="4" borderId="0" xfId="0" applyNumberFormat="1" applyFont="1" applyFill="1"/>
    <xf numFmtId="0" fontId="29" fillId="9" borderId="6" xfId="0" applyFont="1" applyFill="1" applyBorder="1" applyAlignment="1">
      <alignment horizontal="center"/>
    </xf>
    <xf numFmtId="0" fontId="29" fillId="10" borderId="0" xfId="0" applyFont="1" applyFill="1" applyAlignment="1">
      <alignment horizontal="center"/>
    </xf>
    <xf numFmtId="0" fontId="29" fillId="10" borderId="0" xfId="0" applyFont="1" applyFill="1"/>
    <xf numFmtId="0" fontId="26" fillId="0" borderId="12" xfId="0" applyFont="1" applyBorder="1"/>
    <xf numFmtId="169" fontId="29" fillId="0" borderId="0" xfId="0" applyNumberFormat="1" applyFont="1"/>
    <xf numFmtId="0" fontId="28" fillId="0" borderId="6" xfId="0" applyFont="1" applyBorder="1" applyAlignment="1">
      <alignment horizontal="center"/>
    </xf>
    <xf numFmtId="0" fontId="28" fillId="0" borderId="0" xfId="0" applyFont="1" applyAlignment="1">
      <alignment horizontal="center"/>
    </xf>
    <xf numFmtId="169" fontId="36" fillId="0" borderId="0" xfId="0" applyNumberFormat="1" applyFont="1"/>
    <xf numFmtId="0" fontId="28" fillId="0" borderId="0" xfId="0" applyFont="1"/>
    <xf numFmtId="169" fontId="29" fillId="10" borderId="0" xfId="2" applyNumberFormat="1" applyFont="1" applyFill="1" applyBorder="1" applyAlignment="1"/>
    <xf numFmtId="0" fontId="29" fillId="9" borderId="33" xfId="0" applyFont="1" applyFill="1" applyBorder="1" applyAlignment="1">
      <alignment horizontal="center"/>
    </xf>
    <xf numFmtId="169" fontId="28" fillId="0" borderId="0" xfId="0" applyNumberFormat="1" applyFont="1"/>
    <xf numFmtId="168" fontId="0" fillId="0" borderId="12" xfId="0" applyNumberFormat="1" applyBorder="1"/>
    <xf numFmtId="0" fontId="28" fillId="0" borderId="6" xfId="0" applyFont="1" applyBorder="1" applyAlignment="1">
      <alignment horizontal="right"/>
    </xf>
    <xf numFmtId="0" fontId="28" fillId="0" borderId="0" xfId="0" applyFont="1" applyAlignment="1">
      <alignment horizontal="right"/>
    </xf>
    <xf numFmtId="0" fontId="29" fillId="0" borderId="6" xfId="0" applyFont="1" applyBorder="1" applyAlignment="1">
      <alignment horizontal="center"/>
    </xf>
    <xf numFmtId="0" fontId="29" fillId="0" borderId="0" xfId="0" applyFont="1" applyAlignment="1">
      <alignment horizontal="left"/>
    </xf>
    <xf numFmtId="1" fontId="29" fillId="0" borderId="0" xfId="0" applyNumberFormat="1" applyFont="1" applyAlignment="1">
      <alignment horizontal="center"/>
    </xf>
    <xf numFmtId="0" fontId="29" fillId="11" borderId="0" xfId="0" applyFont="1" applyFill="1" applyAlignment="1">
      <alignment horizontal="left"/>
    </xf>
    <xf numFmtId="0" fontId="29" fillId="11" borderId="0" xfId="0" applyFont="1" applyFill="1"/>
    <xf numFmtId="0" fontId="29" fillId="11" borderId="0" xfId="0" applyFont="1" applyFill="1" applyAlignment="1">
      <alignment horizontal="center"/>
    </xf>
    <xf numFmtId="169" fontId="29" fillId="11" borderId="0" xfId="0" applyNumberFormat="1" applyFont="1" applyFill="1"/>
    <xf numFmtId="1" fontId="29" fillId="11" borderId="0" xfId="0" applyNumberFormat="1" applyFont="1" applyFill="1" applyAlignment="1">
      <alignment horizontal="center"/>
    </xf>
    <xf numFmtId="0" fontId="29" fillId="0" borderId="33" xfId="0" applyFont="1" applyBorder="1" applyAlignment="1">
      <alignment horizontal="center"/>
    </xf>
    <xf numFmtId="37" fontId="25" fillId="0" borderId="0" xfId="0" applyNumberFormat="1" applyFont="1"/>
    <xf numFmtId="169" fontId="29" fillId="11" borderId="0" xfId="0" applyNumberFormat="1" applyFont="1" applyFill="1" applyAlignment="1">
      <alignment horizontal="center" vertical="center"/>
    </xf>
    <xf numFmtId="1" fontId="29" fillId="11" borderId="0" xfId="0" applyNumberFormat="1" applyFont="1" applyFill="1" applyAlignment="1">
      <alignment horizontal="center" vertical="center"/>
    </xf>
    <xf numFmtId="0" fontId="24" fillId="0" borderId="0" xfId="4" applyBorder="1"/>
    <xf numFmtId="171" fontId="25" fillId="0" borderId="0" xfId="0" applyNumberFormat="1" applyFont="1"/>
    <xf numFmtId="172" fontId="38" fillId="0" borderId="0" xfId="0" applyNumberFormat="1" applyFont="1" applyAlignment="1">
      <alignment horizontal="center"/>
    </xf>
    <xf numFmtId="0" fontId="29" fillId="0" borderId="12" xfId="0" applyFont="1" applyBorder="1" applyAlignment="1">
      <alignment horizontal="center"/>
    </xf>
    <xf numFmtId="173" fontId="3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1" fillId="0" borderId="0" xfId="0" applyFont="1" applyAlignment="1">
      <alignment horizontal="right" wrapText="1"/>
    </xf>
    <xf numFmtId="4" fontId="33" fillId="0" borderId="0" xfId="0" applyNumberFormat="1" applyFont="1" applyAlignment="1">
      <alignment horizontal="center"/>
    </xf>
    <xf numFmtId="0" fontId="31" fillId="0" borderId="12" xfId="0" applyFont="1" applyBorder="1" applyAlignment="1">
      <alignment horizontal="left"/>
    </xf>
    <xf numFmtId="0" fontId="28" fillId="0" borderId="12" xfId="0" applyFont="1" applyBorder="1" applyAlignment="1">
      <alignment vertical="center"/>
    </xf>
    <xf numFmtId="0" fontId="31" fillId="0" borderId="27" xfId="0" applyFont="1" applyBorder="1" applyAlignment="1">
      <alignment horizontal="left"/>
    </xf>
    <xf numFmtId="0" fontId="31" fillId="0" borderId="13" xfId="0" applyFont="1" applyBorder="1" applyAlignment="1">
      <alignment horizontal="left"/>
    </xf>
    <xf numFmtId="0" fontId="1" fillId="0" borderId="7" xfId="0" applyFont="1" applyBorder="1"/>
    <xf numFmtId="0" fontId="0" fillId="4" borderId="27" xfId="0" applyFill="1" applyBorder="1"/>
    <xf numFmtId="0" fontId="29" fillId="0" borderId="26" xfId="0" applyFont="1" applyBorder="1" applyAlignment="1">
      <alignment wrapText="1"/>
    </xf>
    <xf numFmtId="0" fontId="0" fillId="0" borderId="0" xfId="0" applyAlignment="1">
      <alignment horizontal="right"/>
    </xf>
    <xf numFmtId="0" fontId="51" fillId="0" borderId="0" xfId="0" applyFont="1"/>
    <xf numFmtId="0" fontId="52" fillId="0" borderId="0" xfId="0" applyFont="1"/>
    <xf numFmtId="2" fontId="0" fillId="2" borderId="12" xfId="0" applyNumberFormat="1" applyFill="1" applyBorder="1" applyAlignment="1">
      <alignment horizontal="center"/>
    </xf>
    <xf numFmtId="164" fontId="0" fillId="5" borderId="11" xfId="0" applyNumberFormat="1" applyFill="1" applyBorder="1"/>
    <xf numFmtId="11" fontId="29" fillId="0" borderId="27" xfId="0" applyNumberFormat="1" applyFont="1" applyBorder="1"/>
    <xf numFmtId="0" fontId="0" fillId="2" borderId="45" xfId="0" applyFill="1" applyBorder="1"/>
    <xf numFmtId="0" fontId="1" fillId="2" borderId="46" xfId="0" applyFont="1" applyFill="1" applyBorder="1"/>
    <xf numFmtId="0" fontId="1" fillId="0" borderId="6" xfId="0" applyFont="1" applyBorder="1"/>
    <xf numFmtId="2" fontId="0" fillId="0" borderId="12" xfId="0" applyNumberFormat="1" applyBorder="1"/>
    <xf numFmtId="2" fontId="0" fillId="0" borderId="46" xfId="0" applyNumberFormat="1" applyBorder="1"/>
    <xf numFmtId="2" fontId="0" fillId="2" borderId="13" xfId="0" applyNumberFormat="1" applyFill="1" applyBorder="1"/>
    <xf numFmtId="2" fontId="33" fillId="0" borderId="0" xfId="0" applyNumberFormat="1" applyFont="1" applyAlignment="1">
      <alignment horizontal="center"/>
    </xf>
    <xf numFmtId="0" fontId="0" fillId="13" borderId="0" xfId="0" applyFill="1"/>
    <xf numFmtId="0" fontId="13" fillId="5" borderId="6" xfId="0" applyFont="1" applyFill="1" applyBorder="1" applyAlignment="1">
      <alignment horizontal="left" wrapText="1"/>
    </xf>
    <xf numFmtId="0" fontId="13" fillId="5" borderId="0" xfId="0" applyFont="1" applyFill="1" applyAlignment="1">
      <alignment horizontal="left" wrapText="1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2" fillId="3" borderId="28" xfId="0" applyFont="1" applyFill="1" applyBorder="1" applyAlignment="1">
      <alignment horizontal="center"/>
    </xf>
    <xf numFmtId="0" fontId="22" fillId="3" borderId="29" xfId="0" applyFont="1" applyFill="1" applyBorder="1" applyAlignment="1">
      <alignment horizontal="center"/>
    </xf>
    <xf numFmtId="0" fontId="22" fillId="3" borderId="30" xfId="0" applyFont="1" applyFill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26" fillId="0" borderId="0" xfId="0" applyFont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17" fillId="2" borderId="5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46" fillId="0" borderId="0" xfId="0" applyFont="1" applyAlignment="1">
      <alignment horizontal="center" wrapText="1"/>
    </xf>
    <xf numFmtId="0" fontId="31" fillId="0" borderId="0" xfId="0" applyFont="1" applyAlignment="1">
      <alignment horizontal="center" wrapText="1"/>
    </xf>
    <xf numFmtId="0" fontId="37" fillId="4" borderId="28" xfId="0" applyFont="1" applyFill="1" applyBorder="1" applyAlignment="1">
      <alignment horizontal="center" vertical="center"/>
    </xf>
    <xf numFmtId="0" fontId="37" fillId="4" borderId="29" xfId="0" applyFont="1" applyFill="1" applyBorder="1" applyAlignment="1">
      <alignment horizontal="center" vertical="center"/>
    </xf>
    <xf numFmtId="0" fontId="37" fillId="4" borderId="30" xfId="0" applyFont="1" applyFill="1" applyBorder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10" borderId="34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10" borderId="6" xfId="0" applyFont="1" applyFill="1" applyBorder="1" applyAlignment="1">
      <alignment horizontal="center" vertical="center"/>
    </xf>
    <xf numFmtId="0" fontId="28" fillId="10" borderId="33" xfId="0" applyFont="1" applyFill="1" applyBorder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0" borderId="39" xfId="0" applyFont="1" applyBorder="1" applyAlignment="1">
      <alignment horizontal="center"/>
    </xf>
    <xf numFmtId="0" fontId="28" fillId="0" borderId="40" xfId="0" applyFont="1" applyBorder="1" applyAlignment="1">
      <alignment horizontal="center"/>
    </xf>
    <xf numFmtId="0" fontId="31" fillId="0" borderId="40" xfId="0" applyFont="1" applyBorder="1" applyAlignment="1">
      <alignment horizontal="right" vertical="center"/>
    </xf>
    <xf numFmtId="0" fontId="31" fillId="0" borderId="34" xfId="0" applyFont="1" applyBorder="1" applyAlignment="1">
      <alignment horizontal="right" vertical="center"/>
    </xf>
    <xf numFmtId="0" fontId="39" fillId="4" borderId="40" xfId="0" applyFont="1" applyFill="1" applyBorder="1" applyAlignment="1">
      <alignment horizontal="center" vertical="center" wrapText="1"/>
    </xf>
    <xf numFmtId="0" fontId="39" fillId="4" borderId="34" xfId="0" applyFont="1" applyFill="1" applyBorder="1" applyAlignment="1">
      <alignment horizontal="center" vertical="center" wrapText="1"/>
    </xf>
    <xf numFmtId="0" fontId="27" fillId="8" borderId="6" xfId="0" applyFont="1" applyFill="1" applyBorder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8" fillId="4" borderId="2" xfId="0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/>
    </xf>
    <xf numFmtId="0" fontId="28" fillId="4" borderId="39" xfId="0" applyFont="1" applyFill="1" applyBorder="1" applyAlignment="1">
      <alignment horizontal="center" vertical="center"/>
    </xf>
    <xf numFmtId="0" fontId="28" fillId="4" borderId="7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28" fillId="4" borderId="27" xfId="0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9" xfId="0" applyFont="1" applyBorder="1" applyAlignment="1">
      <alignment horizontal="center"/>
    </xf>
    <xf numFmtId="0" fontId="29" fillId="0" borderId="40" xfId="0" applyFont="1" applyBorder="1" applyAlignment="1">
      <alignment horizontal="center"/>
    </xf>
    <xf numFmtId="0" fontId="29" fillId="0" borderId="6" xfId="0" applyFont="1" applyBorder="1" applyAlignment="1">
      <alignment horizontal="right"/>
    </xf>
    <xf numFmtId="0" fontId="29" fillId="0" borderId="0" xfId="0" applyFont="1" applyAlignment="1">
      <alignment horizontal="right"/>
    </xf>
    <xf numFmtId="0" fontId="28" fillId="0" borderId="6" xfId="0" applyFont="1" applyBorder="1" applyAlignment="1">
      <alignment horizontal="right"/>
    </xf>
    <xf numFmtId="0" fontId="28" fillId="0" borderId="0" xfId="0" applyFont="1" applyAlignment="1">
      <alignment horizontal="right"/>
    </xf>
    <xf numFmtId="0" fontId="18" fillId="2" borderId="5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0" fillId="2" borderId="28" xfId="0" applyFont="1" applyFill="1" applyBorder="1" applyAlignment="1">
      <alignment horizontal="center" wrapText="1"/>
    </xf>
    <xf numFmtId="0" fontId="10" fillId="2" borderId="29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26" fillId="0" borderId="26" xfId="0" applyFont="1" applyBorder="1" applyAlignment="1">
      <alignment horizontal="left"/>
    </xf>
    <xf numFmtId="0" fontId="26" fillId="0" borderId="0" xfId="0" applyFont="1" applyAlignment="1">
      <alignment horizontal="center" vertical="top" wrapText="1"/>
    </xf>
    <xf numFmtId="0" fontId="26" fillId="0" borderId="12" xfId="0" applyFont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26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27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20" fillId="2" borderId="5" xfId="0" applyFont="1" applyFill="1" applyBorder="1" applyAlignment="1">
      <alignment horizontal="left"/>
    </xf>
    <xf numFmtId="0" fontId="20" fillId="2" borderId="26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0" fillId="2" borderId="27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3" borderId="0" xfId="0" applyFont="1" applyFill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 wrapText="1"/>
    </xf>
    <xf numFmtId="0" fontId="12" fillId="2" borderId="26" xfId="0" applyFont="1" applyFill="1" applyBorder="1" applyAlignment="1">
      <alignment horizontal="left" wrapText="1"/>
    </xf>
    <xf numFmtId="0" fontId="12" fillId="2" borderId="11" xfId="0" applyFont="1" applyFill="1" applyBorder="1" applyAlignment="1">
      <alignment horizontal="left" wrapText="1"/>
    </xf>
    <xf numFmtId="0" fontId="12" fillId="2" borderId="7" xfId="0" applyFont="1" applyFill="1" applyBorder="1" applyAlignment="1">
      <alignment horizontal="left" wrapText="1"/>
    </xf>
    <xf numFmtId="0" fontId="12" fillId="2" borderId="27" xfId="0" applyFont="1" applyFill="1" applyBorder="1" applyAlignment="1">
      <alignment horizontal="left" wrapText="1"/>
    </xf>
    <xf numFmtId="0" fontId="12" fillId="2" borderId="13" xfId="0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1" fillId="0" borderId="31" xfId="0" applyFont="1" applyBorder="1" applyAlignment="1">
      <alignment horizontal="center" wrapText="1"/>
    </xf>
    <xf numFmtId="0" fontId="11" fillId="0" borderId="32" xfId="0" applyFont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2" borderId="28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0" fillId="0" borderId="31" xfId="0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6" xfId="0" applyBorder="1" applyAlignment="1">
      <alignment wrapText="1"/>
    </xf>
  </cellXfs>
  <cellStyles count="5">
    <cellStyle name="Hipervínculo" xfId="4" builtinId="8"/>
    <cellStyle name="Millares" xfId="2" builtinId="3"/>
    <cellStyle name="Normal" xfId="0" builtinId="0"/>
    <cellStyle name="Normal 4" xfId="1" xr:uid="{00000000-0005-0000-0000-000003000000}"/>
    <cellStyle name="Porcentaje" xfId="3" builtinId="5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</xdr:rowOff>
    </xdr:from>
    <xdr:to>
      <xdr:col>0</xdr:col>
      <xdr:colOff>1623060</xdr:colOff>
      <xdr:row>4</xdr:row>
      <xdr:rowOff>123266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"/>
          <a:ext cx="1203960" cy="1311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148</xdr:row>
      <xdr:rowOff>0</xdr:rowOff>
    </xdr:from>
    <xdr:to>
      <xdr:col>4</xdr:col>
      <xdr:colOff>855345</xdr:colOff>
      <xdr:row>150</xdr:row>
      <xdr:rowOff>85937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7771" y="21640800"/>
          <a:ext cx="3196589" cy="451698"/>
        </a:xfrm>
        <a:prstGeom prst="rect">
          <a:avLst/>
        </a:prstGeom>
      </xdr:spPr>
    </xdr:pic>
    <xdr:clientData/>
  </xdr:twoCellAnchor>
  <xdr:twoCellAnchor editAs="oneCell">
    <xdr:from>
      <xdr:col>1</xdr:col>
      <xdr:colOff>541020</xdr:colOff>
      <xdr:row>0</xdr:row>
      <xdr:rowOff>0</xdr:rowOff>
    </xdr:from>
    <xdr:to>
      <xdr:col>1</xdr:col>
      <xdr:colOff>1836420</xdr:colOff>
      <xdr:row>4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" y="0"/>
          <a:ext cx="1295400" cy="1272540"/>
        </a:xfrm>
        <a:prstGeom prst="rect">
          <a:avLst/>
        </a:prstGeom>
      </xdr:spPr>
    </xdr:pic>
    <xdr:clientData/>
  </xdr:twoCellAnchor>
  <xdr:twoCellAnchor editAs="oneCell">
    <xdr:from>
      <xdr:col>19</xdr:col>
      <xdr:colOff>136071</xdr:colOff>
      <xdr:row>7</xdr:row>
      <xdr:rowOff>149677</xdr:rowOff>
    </xdr:from>
    <xdr:to>
      <xdr:col>28</xdr:col>
      <xdr:colOff>647203</xdr:colOff>
      <xdr:row>28</xdr:row>
      <xdr:rowOff>81641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2357" y="1904998"/>
          <a:ext cx="7477989" cy="4245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4588</xdr:colOff>
      <xdr:row>12</xdr:row>
      <xdr:rowOff>38100</xdr:rowOff>
    </xdr:from>
    <xdr:to>
      <xdr:col>15</xdr:col>
      <xdr:colOff>725392</xdr:colOff>
      <xdr:row>35</xdr:row>
      <xdr:rowOff>282653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4428" y="2522220"/>
          <a:ext cx="6999684" cy="5372813"/>
        </a:xfrm>
        <a:prstGeom prst="rect">
          <a:avLst/>
        </a:prstGeom>
      </xdr:spPr>
    </xdr:pic>
    <xdr:clientData/>
  </xdr:twoCellAnchor>
  <xdr:twoCellAnchor editAs="oneCell">
    <xdr:from>
      <xdr:col>0</xdr:col>
      <xdr:colOff>44334</xdr:colOff>
      <xdr:row>0</xdr:row>
      <xdr:rowOff>90055</xdr:rowOff>
    </xdr:from>
    <xdr:to>
      <xdr:col>1</xdr:col>
      <xdr:colOff>3418</xdr:colOff>
      <xdr:row>5</xdr:row>
      <xdr:rowOff>105295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34" y="90055"/>
          <a:ext cx="1203960" cy="1095895"/>
        </a:xfrm>
        <a:prstGeom prst="rect">
          <a:avLst/>
        </a:prstGeom>
      </xdr:spPr>
    </xdr:pic>
    <xdr:clientData/>
  </xdr:twoCellAnchor>
  <xdr:twoCellAnchor editAs="oneCell">
    <xdr:from>
      <xdr:col>7</xdr:col>
      <xdr:colOff>182218</xdr:colOff>
      <xdr:row>36</xdr:row>
      <xdr:rowOff>102312</xdr:rowOff>
    </xdr:from>
    <xdr:to>
      <xdr:col>10</xdr:col>
      <xdr:colOff>712305</xdr:colOff>
      <xdr:row>46</xdr:row>
      <xdr:rowOff>144561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04783" y="8360073"/>
          <a:ext cx="2816087" cy="2179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122464</xdr:colOff>
      <xdr:row>36</xdr:row>
      <xdr:rowOff>54430</xdr:rowOff>
    </xdr:from>
    <xdr:to>
      <xdr:col>16</xdr:col>
      <xdr:colOff>150370</xdr:colOff>
      <xdr:row>37</xdr:row>
      <xdr:rowOff>164245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03678" y="8409216"/>
          <a:ext cx="3837906" cy="4908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160020</xdr:colOff>
      <xdr:row>33</xdr:row>
      <xdr:rowOff>55582</xdr:rowOff>
    </xdr:from>
    <xdr:to>
      <xdr:col>10</xdr:col>
      <xdr:colOff>533400</xdr:colOff>
      <xdr:row>40</xdr:row>
      <xdr:rowOff>187804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120" y="6471622"/>
          <a:ext cx="3688080" cy="1447216"/>
        </a:xfrm>
        <a:prstGeom prst="rect">
          <a:avLst/>
        </a:prstGeom>
      </xdr:spPr>
    </xdr:pic>
    <xdr:clientData/>
  </xdr:twoCellAnchor>
  <xdr:twoCellAnchor editAs="oneCell">
    <xdr:from>
      <xdr:col>0</xdr:col>
      <xdr:colOff>716280</xdr:colOff>
      <xdr:row>0</xdr:row>
      <xdr:rowOff>53341</xdr:rowOff>
    </xdr:from>
    <xdr:to>
      <xdr:col>0</xdr:col>
      <xdr:colOff>2026920</xdr:colOff>
      <xdr:row>5</xdr:row>
      <xdr:rowOff>81379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53341"/>
          <a:ext cx="1310640" cy="120478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11</xdr:row>
      <xdr:rowOff>97987</xdr:rowOff>
    </xdr:from>
    <xdr:to>
      <xdr:col>10</xdr:col>
      <xdr:colOff>503966</xdr:colOff>
      <xdr:row>19</xdr:row>
      <xdr:rowOff>142875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2498287"/>
          <a:ext cx="3609116" cy="1568888"/>
        </a:xfrm>
        <a:prstGeom prst="rect">
          <a:avLst/>
        </a:prstGeom>
      </xdr:spPr>
    </xdr:pic>
    <xdr:clientData/>
  </xdr:twoCellAnchor>
  <xdr:twoCellAnchor editAs="oneCell">
    <xdr:from>
      <xdr:col>6</xdr:col>
      <xdr:colOff>57149</xdr:colOff>
      <xdr:row>22</xdr:row>
      <xdr:rowOff>6670</xdr:rowOff>
    </xdr:from>
    <xdr:to>
      <xdr:col>10</xdr:col>
      <xdr:colOff>457200</xdr:colOff>
      <xdr:row>28</xdr:row>
      <xdr:rowOff>210599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67524" y="4521520"/>
          <a:ext cx="3600451" cy="14421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2</xdr:row>
      <xdr:rowOff>120900</xdr:rowOff>
    </xdr:from>
    <xdr:to>
      <xdr:col>11</xdr:col>
      <xdr:colOff>677237</xdr:colOff>
      <xdr:row>24</xdr:row>
      <xdr:rowOff>63944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5840" y="120900"/>
          <a:ext cx="4578677" cy="40121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549964</xdr:colOff>
      <xdr:row>5</xdr:row>
      <xdr:rowOff>73446</xdr:rowOff>
    </xdr:from>
    <xdr:to>
      <xdr:col>12</xdr:col>
      <xdr:colOff>180501</xdr:colOff>
      <xdr:row>20</xdr:row>
      <xdr:rowOff>81008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3303" y="848698"/>
          <a:ext cx="5196450" cy="2870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197223</xdr:colOff>
      <xdr:row>22</xdr:row>
      <xdr:rowOff>74627</xdr:rowOff>
    </xdr:from>
    <xdr:to>
      <xdr:col>12</xdr:col>
      <xdr:colOff>515253</xdr:colOff>
      <xdr:row>39</xdr:row>
      <xdr:rowOff>90021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7176" y="4010133"/>
          <a:ext cx="5840289" cy="3108218"/>
        </a:xfrm>
        <a:prstGeom prst="rect">
          <a:avLst/>
        </a:prstGeom>
      </xdr:spPr>
    </xdr:pic>
    <xdr:clientData/>
  </xdr:twoCellAnchor>
  <xdr:twoCellAnchor editAs="oneCell">
    <xdr:from>
      <xdr:col>5</xdr:col>
      <xdr:colOff>166548</xdr:colOff>
      <xdr:row>41</xdr:row>
      <xdr:rowOff>5310</xdr:rowOff>
    </xdr:from>
    <xdr:to>
      <xdr:col>12</xdr:col>
      <xdr:colOff>622404</xdr:colOff>
      <xdr:row>51</xdr:row>
      <xdr:rowOff>128965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6501" y="7410157"/>
          <a:ext cx="5978115" cy="19345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66183</xdr:colOff>
      <xdr:row>10</xdr:row>
      <xdr:rowOff>90787</xdr:rowOff>
    </xdr:from>
    <xdr:to>
      <xdr:col>17</xdr:col>
      <xdr:colOff>592939</xdr:colOff>
      <xdr:row>33</xdr:row>
      <xdr:rowOff>170639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2583" y="2016569"/>
          <a:ext cx="5265011" cy="4286744"/>
        </a:xfrm>
        <a:prstGeom prst="rect">
          <a:avLst/>
        </a:prstGeom>
      </xdr:spPr>
    </xdr:pic>
    <xdr:clientData/>
  </xdr:twoCellAnchor>
  <xdr:twoCellAnchor editAs="oneCell">
    <xdr:from>
      <xdr:col>11</xdr:col>
      <xdr:colOff>157942</xdr:colOff>
      <xdr:row>37</xdr:row>
      <xdr:rowOff>40871</xdr:rowOff>
    </xdr:from>
    <xdr:to>
      <xdr:col>16</xdr:col>
      <xdr:colOff>700304</xdr:colOff>
      <xdr:row>61</xdr:row>
      <xdr:rowOff>168041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9682" y="6929351"/>
          <a:ext cx="4504763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13</xdr:row>
      <xdr:rowOff>175260</xdr:rowOff>
    </xdr:from>
    <xdr:to>
      <xdr:col>7</xdr:col>
      <xdr:colOff>897089</xdr:colOff>
      <xdr:row>20</xdr:row>
      <xdr:rowOff>123671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2552700"/>
          <a:ext cx="6952381" cy="1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26</xdr:row>
      <xdr:rowOff>68580</xdr:rowOff>
    </xdr:from>
    <xdr:to>
      <xdr:col>8</xdr:col>
      <xdr:colOff>79501</xdr:colOff>
      <xdr:row>33</xdr:row>
      <xdr:rowOff>74135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" y="4823460"/>
          <a:ext cx="6979920" cy="1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227480</xdr:colOff>
      <xdr:row>42</xdr:row>
      <xdr:rowOff>163157</xdr:rowOff>
    </xdr:from>
    <xdr:to>
      <xdr:col>8</xdr:col>
      <xdr:colOff>472015</xdr:colOff>
      <xdr:row>49</xdr:row>
      <xdr:rowOff>159186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480" y="7854875"/>
          <a:ext cx="7373106" cy="1251088"/>
        </a:xfrm>
        <a:prstGeom prst="rect">
          <a:avLst/>
        </a:prstGeom>
      </xdr:spPr>
    </xdr:pic>
    <xdr:clientData/>
  </xdr:twoCellAnchor>
  <xdr:twoCellAnchor editAs="oneCell">
    <xdr:from>
      <xdr:col>0</xdr:col>
      <xdr:colOff>172122</xdr:colOff>
      <xdr:row>69</xdr:row>
      <xdr:rowOff>16136</xdr:rowOff>
    </xdr:from>
    <xdr:to>
      <xdr:col>8</xdr:col>
      <xdr:colOff>454752</xdr:colOff>
      <xdr:row>76</xdr:row>
      <xdr:rowOff>2642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122" y="12575689"/>
          <a:ext cx="7411201" cy="1241565"/>
        </a:xfrm>
        <a:prstGeom prst="rect">
          <a:avLst/>
        </a:prstGeom>
      </xdr:spPr>
    </xdr:pic>
    <xdr:clientData/>
  </xdr:twoCellAnchor>
  <xdr:twoCellAnchor editAs="oneCell">
    <xdr:from>
      <xdr:col>19</xdr:col>
      <xdr:colOff>171709</xdr:colOff>
      <xdr:row>10</xdr:row>
      <xdr:rowOff>85571</xdr:rowOff>
    </xdr:from>
    <xdr:to>
      <xdr:col>26</xdr:col>
      <xdr:colOff>290944</xdr:colOff>
      <xdr:row>34</xdr:row>
      <xdr:rowOff>82751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85782" y="2011353"/>
          <a:ext cx="5647199" cy="4392331"/>
        </a:xfrm>
        <a:prstGeom prst="rect">
          <a:avLst/>
        </a:prstGeom>
      </xdr:spPr>
    </xdr:pic>
    <xdr:clientData/>
  </xdr:twoCellAnchor>
  <xdr:twoCellAnchor editAs="oneCell">
    <xdr:from>
      <xdr:col>11</xdr:col>
      <xdr:colOff>30073</xdr:colOff>
      <xdr:row>1</xdr:row>
      <xdr:rowOff>28445</xdr:rowOff>
    </xdr:from>
    <xdr:to>
      <xdr:col>19</xdr:col>
      <xdr:colOff>110305</xdr:colOff>
      <xdr:row>8</xdr:row>
      <xdr:rowOff>150391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41813" y="218945"/>
          <a:ext cx="6420072" cy="15025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74080</xdr:colOff>
      <xdr:row>31</xdr:row>
      <xdr:rowOff>3261</xdr:rowOff>
    </xdr:from>
    <xdr:to>
      <xdr:col>10</xdr:col>
      <xdr:colOff>128589</xdr:colOff>
      <xdr:row>54</xdr:row>
      <xdr:rowOff>139069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753" y="5794461"/>
          <a:ext cx="4003054" cy="451332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103419</xdr:colOff>
      <xdr:row>3</xdr:row>
      <xdr:rowOff>78273</xdr:rowOff>
    </xdr:from>
    <xdr:to>
      <xdr:col>21</xdr:col>
      <xdr:colOff>696686</xdr:colOff>
      <xdr:row>22</xdr:row>
      <xdr:rowOff>160405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3133" y="655216"/>
          <a:ext cx="5861953" cy="3674418"/>
        </a:xfrm>
        <a:prstGeom prst="rect">
          <a:avLst/>
        </a:prstGeom>
      </xdr:spPr>
    </xdr:pic>
    <xdr:clientData/>
  </xdr:twoCellAnchor>
  <xdr:twoCellAnchor editAs="oneCell">
    <xdr:from>
      <xdr:col>23</xdr:col>
      <xdr:colOff>231568</xdr:colOff>
      <xdr:row>3</xdr:row>
      <xdr:rowOff>60224</xdr:rowOff>
    </xdr:from>
    <xdr:to>
      <xdr:col>30</xdr:col>
      <xdr:colOff>688534</xdr:colOff>
      <xdr:row>22</xdr:row>
      <xdr:rowOff>5861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97204" y="628260"/>
          <a:ext cx="5984930" cy="3464692"/>
        </a:xfrm>
        <a:prstGeom prst="rect">
          <a:avLst/>
        </a:prstGeom>
      </xdr:spPr>
    </xdr:pic>
    <xdr:clientData/>
  </xdr:twoCellAnchor>
  <xdr:twoCellAnchor editAs="oneCell">
    <xdr:from>
      <xdr:col>5</xdr:col>
      <xdr:colOff>421823</xdr:colOff>
      <xdr:row>3</xdr:row>
      <xdr:rowOff>27217</xdr:rowOff>
    </xdr:from>
    <xdr:to>
      <xdr:col>13</xdr:col>
      <xdr:colOff>149679</xdr:colOff>
      <xdr:row>23</xdr:row>
      <xdr:rowOff>39760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0680" y="625931"/>
          <a:ext cx="6572249" cy="393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taesmet.com/catalogo_rejillas.pdf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70"/>
  <sheetViews>
    <sheetView tabSelected="1" topLeftCell="A26" zoomScale="70" zoomScaleNormal="70" workbookViewId="0">
      <selection activeCell="C1" sqref="C1"/>
    </sheetView>
  </sheetViews>
  <sheetFormatPr baseColWidth="10" defaultRowHeight="15"/>
  <cols>
    <col min="1" max="1" width="30.5703125" customWidth="1"/>
    <col min="2" max="2" width="14.42578125" customWidth="1"/>
    <col min="3" max="3" width="12.28515625" customWidth="1"/>
    <col min="4" max="4" width="14.28515625" customWidth="1"/>
    <col min="7" max="7" width="5.7109375" customWidth="1"/>
    <col min="8" max="8" width="31.85546875" customWidth="1"/>
    <col min="9" max="9" width="6.85546875" customWidth="1"/>
    <col min="13" max="13" width="26.140625" customWidth="1"/>
  </cols>
  <sheetData>
    <row r="1" spans="1:13" ht="26.25">
      <c r="A1" s="20"/>
      <c r="B1" s="291" t="s">
        <v>228</v>
      </c>
      <c r="C1" s="407" t="s">
        <v>229</v>
      </c>
      <c r="D1" s="293" t="s">
        <v>230</v>
      </c>
      <c r="E1" s="429" t="s">
        <v>469</v>
      </c>
      <c r="F1" s="429"/>
      <c r="G1" s="21"/>
      <c r="H1" s="21"/>
      <c r="I1" s="294" t="s">
        <v>231</v>
      </c>
      <c r="J1" s="295"/>
      <c r="K1" s="296"/>
      <c r="L1" s="21"/>
      <c r="M1" s="7"/>
    </row>
    <row r="2" spans="1:13">
      <c r="A2" s="30"/>
      <c r="B2" s="297" t="s">
        <v>232</v>
      </c>
      <c r="C2" s="298"/>
      <c r="D2" s="138" t="s">
        <v>233</v>
      </c>
      <c r="E2" s="263">
        <v>4170</v>
      </c>
      <c r="I2" s="299" t="s">
        <v>234</v>
      </c>
      <c r="J2" s="140">
        <v>0</v>
      </c>
      <c r="K2" s="22"/>
      <c r="M2" s="22"/>
    </row>
    <row r="3" spans="1:13">
      <c r="A3" s="30"/>
      <c r="B3" s="297"/>
      <c r="C3" s="300"/>
      <c r="D3" s="138" t="s">
        <v>235</v>
      </c>
      <c r="E3" s="441" t="s">
        <v>470</v>
      </c>
      <c r="F3" s="441"/>
      <c r="G3" s="301"/>
      <c r="H3" s="301"/>
      <c r="I3" s="301"/>
      <c r="J3" s="301"/>
      <c r="K3" s="302"/>
      <c r="M3" s="22"/>
    </row>
    <row r="4" spans="1:13">
      <c r="A4" s="30"/>
      <c r="B4" s="303" t="s">
        <v>236</v>
      </c>
      <c r="C4" s="430" t="s">
        <v>384</v>
      </c>
      <c r="D4" s="430"/>
      <c r="E4" s="430"/>
      <c r="F4" s="430"/>
      <c r="G4" s="430"/>
      <c r="H4" s="430"/>
      <c r="I4" s="430"/>
      <c r="J4" s="430"/>
      <c r="K4" s="431"/>
      <c r="M4" s="22"/>
    </row>
    <row r="5" spans="1:13">
      <c r="A5" s="30"/>
      <c r="B5" s="30"/>
      <c r="K5" s="22"/>
      <c r="M5" s="22"/>
    </row>
    <row r="6" spans="1:13" ht="15.75" thickBot="1">
      <c r="A6" s="28"/>
      <c r="B6" s="28"/>
      <c r="C6" s="23"/>
      <c r="D6" s="23"/>
      <c r="E6" s="23"/>
      <c r="F6" s="23"/>
      <c r="G6" s="23"/>
      <c r="H6" s="23"/>
      <c r="I6" s="23"/>
      <c r="J6" s="23"/>
      <c r="K6" s="24"/>
      <c r="M6" s="22"/>
    </row>
    <row r="7" spans="1:13" ht="15.75" thickBot="1">
      <c r="A7" s="30"/>
      <c r="M7" s="22"/>
    </row>
    <row r="8" spans="1:13">
      <c r="A8" s="432" t="s">
        <v>429</v>
      </c>
      <c r="B8" s="433"/>
      <c r="C8" s="433"/>
      <c r="D8" s="433"/>
      <c r="E8" s="433"/>
      <c r="F8" s="433"/>
      <c r="G8" s="433"/>
      <c r="H8" s="433"/>
      <c r="I8" s="433"/>
      <c r="J8" s="433"/>
      <c r="K8" s="434"/>
      <c r="M8" s="22"/>
    </row>
    <row r="9" spans="1:13" ht="15.75" thickBot="1">
      <c r="A9" s="435"/>
      <c r="B9" s="436"/>
      <c r="C9" s="436"/>
      <c r="D9" s="436"/>
      <c r="E9" s="436"/>
      <c r="F9" s="436"/>
      <c r="G9" s="436"/>
      <c r="H9" s="436"/>
      <c r="I9" s="436"/>
      <c r="J9" s="436"/>
      <c r="K9" s="437"/>
      <c r="M9" s="22"/>
    </row>
    <row r="10" spans="1:13" ht="15.75" thickBot="1">
      <c r="A10" s="30"/>
      <c r="M10" s="22"/>
    </row>
    <row r="11" spans="1:13" ht="15.75" thickBot="1">
      <c r="A11" s="39" t="s">
        <v>378</v>
      </c>
      <c r="H11" s="286" t="s">
        <v>379</v>
      </c>
      <c r="M11" s="22"/>
    </row>
    <row r="12" spans="1:13">
      <c r="A12" s="55" t="s">
        <v>428</v>
      </c>
      <c r="B12" s="346">
        <f>I13*0.96</f>
        <v>7.3247999999999998</v>
      </c>
      <c r="C12" s="5" t="s">
        <v>0</v>
      </c>
      <c r="H12" s="311" t="s">
        <v>386</v>
      </c>
      <c r="I12" s="312">
        <v>8</v>
      </c>
      <c r="J12" s="7" t="s">
        <v>0</v>
      </c>
      <c r="M12" s="22"/>
    </row>
    <row r="13" spans="1:13">
      <c r="A13" s="55" t="s">
        <v>4</v>
      </c>
      <c r="B13" s="347">
        <v>2.25</v>
      </c>
      <c r="C13" s="5" t="s">
        <v>0</v>
      </c>
      <c r="H13" s="313" t="s">
        <v>432</v>
      </c>
      <c r="I13" s="308">
        <v>7.63</v>
      </c>
      <c r="J13" s="22" t="s">
        <v>0</v>
      </c>
      <c r="M13" s="22"/>
    </row>
    <row r="14" spans="1:13">
      <c r="A14" s="55" t="s">
        <v>5</v>
      </c>
      <c r="B14" s="347">
        <v>1</v>
      </c>
      <c r="C14" s="5" t="s">
        <v>0</v>
      </c>
      <c r="H14" s="313" t="s">
        <v>387</v>
      </c>
      <c r="I14" s="308">
        <v>2.6</v>
      </c>
      <c r="J14" s="22" t="s">
        <v>0</v>
      </c>
      <c r="M14" s="22"/>
    </row>
    <row r="15" spans="1:13">
      <c r="A15" s="55" t="s">
        <v>227</v>
      </c>
      <c r="B15" s="347">
        <v>0.34</v>
      </c>
      <c r="C15" s="5" t="s">
        <v>0</v>
      </c>
      <c r="H15" s="313" t="s">
        <v>388</v>
      </c>
      <c r="I15" s="308">
        <v>0.34</v>
      </c>
      <c r="J15" s="22" t="s">
        <v>0</v>
      </c>
      <c r="M15" s="22"/>
    </row>
    <row r="16" spans="1:13">
      <c r="A16" s="55" t="s">
        <v>6</v>
      </c>
      <c r="B16" s="347">
        <v>3.8</v>
      </c>
      <c r="C16" s="5" t="s">
        <v>1</v>
      </c>
      <c r="H16" s="313" t="s">
        <v>389</v>
      </c>
      <c r="I16" s="308">
        <v>3.8</v>
      </c>
      <c r="J16" s="22" t="s">
        <v>1</v>
      </c>
      <c r="M16" s="22"/>
    </row>
    <row r="17" spans="1:13">
      <c r="A17" s="55" t="s">
        <v>7</v>
      </c>
      <c r="B17" s="347">
        <v>27</v>
      </c>
      <c r="C17" s="5" t="s">
        <v>2</v>
      </c>
      <c r="H17" s="313" t="s">
        <v>390</v>
      </c>
      <c r="I17" s="308">
        <v>2</v>
      </c>
      <c r="J17" s="22" t="s">
        <v>391</v>
      </c>
      <c r="M17" s="22"/>
    </row>
    <row r="18" spans="1:13" ht="15.75" thickBot="1">
      <c r="A18" s="55" t="s">
        <v>8</v>
      </c>
      <c r="B18" s="347">
        <v>5</v>
      </c>
      <c r="C18" s="5" t="s">
        <v>3</v>
      </c>
      <c r="H18" s="314" t="s">
        <v>392</v>
      </c>
      <c r="I18" s="315">
        <v>27</v>
      </c>
      <c r="J18" s="24" t="s">
        <v>393</v>
      </c>
      <c r="M18" s="22"/>
    </row>
    <row r="19" spans="1:13">
      <c r="A19" s="55" t="s">
        <v>9</v>
      </c>
      <c r="B19" s="347">
        <v>5</v>
      </c>
      <c r="C19" s="5" t="s">
        <v>3</v>
      </c>
      <c r="M19" s="22"/>
    </row>
    <row r="20" spans="1:13" ht="15.75" thickBot="1">
      <c r="A20" s="56" t="s">
        <v>10</v>
      </c>
      <c r="B20" s="348">
        <v>5</v>
      </c>
      <c r="C20" s="6" t="s">
        <v>3</v>
      </c>
      <c r="M20" s="22"/>
    </row>
    <row r="21" spans="1:13" ht="15.75" thickBot="1">
      <c r="A21" s="30"/>
      <c r="M21" s="22"/>
    </row>
    <row r="22" spans="1:13" ht="33.6" customHeight="1" thickBot="1">
      <c r="A22" s="426" t="s">
        <v>225</v>
      </c>
      <c r="B22" s="427"/>
      <c r="C22" s="427"/>
      <c r="D22" s="427"/>
      <c r="E22" s="427"/>
      <c r="F22" s="427"/>
      <c r="G22" s="427"/>
      <c r="H22" s="427"/>
      <c r="I22" s="427"/>
      <c r="J22" s="427"/>
      <c r="K22" s="427"/>
      <c r="L22" s="427"/>
      <c r="M22" s="428"/>
    </row>
    <row r="23" spans="1:13" ht="15.75" thickBot="1">
      <c r="A23" s="438" t="s">
        <v>223</v>
      </c>
      <c r="B23" s="439"/>
      <c r="C23" s="439"/>
      <c r="D23" s="439"/>
      <c r="E23" s="439"/>
      <c r="F23" s="440"/>
      <c r="G23" s="21"/>
      <c r="H23" s="438" t="s">
        <v>224</v>
      </c>
      <c r="I23" s="439"/>
      <c r="J23" s="439"/>
      <c r="K23" s="439"/>
      <c r="L23" s="439"/>
      <c r="M23" s="440"/>
    </row>
    <row r="24" spans="1:13">
      <c r="A24" s="30"/>
      <c r="M24" s="22"/>
    </row>
    <row r="25" spans="1:13" ht="15.75" thickBot="1">
      <c r="A25" s="30"/>
      <c r="E25" s="408" t="s">
        <v>427</v>
      </c>
      <c r="L25" s="408" t="s">
        <v>427</v>
      </c>
      <c r="M25" s="22"/>
    </row>
    <row r="26" spans="1:13" ht="16.5" thickBot="1">
      <c r="A26" s="424" t="s">
        <v>440</v>
      </c>
      <c r="B26" s="425"/>
      <c r="C26" s="307">
        <f>'espesores laminas'!D17</f>
        <v>4.9137981158964195</v>
      </c>
      <c r="D26" s="114" t="s">
        <v>76</v>
      </c>
      <c r="E26" s="409">
        <v>6</v>
      </c>
      <c r="F26" t="s">
        <v>76</v>
      </c>
      <c r="H26" s="424" t="s">
        <v>448</v>
      </c>
      <c r="I26" s="425"/>
      <c r="J26" s="117">
        <f>paneles!F23</f>
        <v>3.5</v>
      </c>
      <c r="K26" s="114" t="s">
        <v>76</v>
      </c>
      <c r="L26" s="410">
        <v>6</v>
      </c>
      <c r="M26" s="22" t="s">
        <v>76</v>
      </c>
    </row>
    <row r="27" spans="1:13" ht="15.75" thickBot="1">
      <c r="A27" s="30"/>
      <c r="M27" s="22"/>
    </row>
    <row r="28" spans="1:13" ht="16.5" thickBot="1">
      <c r="A28" s="424" t="s">
        <v>441</v>
      </c>
      <c r="B28" s="425"/>
      <c r="C28" s="307">
        <f>'espesores laminas'!D19</f>
        <v>2.4102884173766617</v>
      </c>
      <c r="D28" s="114" t="s">
        <v>76</v>
      </c>
      <c r="E28" s="410">
        <v>4</v>
      </c>
      <c r="F28" t="s">
        <v>76</v>
      </c>
      <c r="H28" s="424" t="s">
        <v>449</v>
      </c>
      <c r="I28" s="425"/>
      <c r="J28" s="117">
        <f>paneles!F38</f>
        <v>3.5</v>
      </c>
      <c r="K28" s="114" t="s">
        <v>76</v>
      </c>
      <c r="L28" s="410">
        <v>4</v>
      </c>
      <c r="M28" s="22" t="s">
        <v>76</v>
      </c>
    </row>
    <row r="29" spans="1:13" ht="15.75" thickBot="1">
      <c r="A29" s="30"/>
      <c r="M29" s="22"/>
    </row>
    <row r="30" spans="1:13" ht="16.5" thickBot="1">
      <c r="A30" s="424" t="s">
        <v>442</v>
      </c>
      <c r="B30" s="425"/>
      <c r="C30" s="307">
        <f>'espesores laminas'!D25</f>
        <v>1.299038105676658</v>
      </c>
      <c r="D30" s="114" t="s">
        <v>76</v>
      </c>
      <c r="E30" s="410">
        <v>4</v>
      </c>
      <c r="F30" t="s">
        <v>76</v>
      </c>
      <c r="H30" s="424" t="s">
        <v>450</v>
      </c>
      <c r="I30" s="425"/>
      <c r="J30" s="117">
        <f>paneles!F67</f>
        <v>3.5</v>
      </c>
      <c r="K30" s="114" t="s">
        <v>76</v>
      </c>
      <c r="L30" s="410">
        <v>4</v>
      </c>
      <c r="M30" s="22" t="s">
        <v>76</v>
      </c>
    </row>
    <row r="31" spans="1:13">
      <c r="A31" s="30"/>
      <c r="M31" s="22"/>
    </row>
    <row r="32" spans="1:13">
      <c r="A32" s="30"/>
      <c r="M32" s="22"/>
    </row>
    <row r="33" spans="1:13" ht="15.75" thickBot="1">
      <c r="A33" s="30"/>
      <c r="M33" s="22"/>
    </row>
    <row r="34" spans="1:13" ht="43.5" customHeight="1" thickBot="1">
      <c r="A34" s="135" t="s">
        <v>443</v>
      </c>
      <c r="B34" s="132">
        <f>Refuerzos!B25</f>
        <v>8.6230164668965177</v>
      </c>
      <c r="C34" s="7" t="s">
        <v>184</v>
      </c>
      <c r="H34" s="135" t="s">
        <v>451</v>
      </c>
      <c r="I34" s="132">
        <f>internos!C10</f>
        <v>7.76494735356387</v>
      </c>
      <c r="J34" s="7" t="s">
        <v>184</v>
      </c>
      <c r="M34" s="22"/>
    </row>
    <row r="35" spans="1:13" ht="15.75" thickBot="1">
      <c r="A35" s="135" t="s">
        <v>111</v>
      </c>
      <c r="B35" s="31">
        <f>Refuerzos!B26</f>
        <v>1.0381293442671951</v>
      </c>
      <c r="C35" s="24"/>
      <c r="H35" s="122" t="s">
        <v>111</v>
      </c>
      <c r="I35" s="31">
        <f>internos!C14</f>
        <v>1.1528483095607731</v>
      </c>
      <c r="J35" s="24"/>
      <c r="M35" s="22"/>
    </row>
    <row r="36" spans="1:13">
      <c r="A36" s="578"/>
      <c r="C36" s="22"/>
      <c r="H36" s="30"/>
      <c r="J36" s="22"/>
      <c r="M36" s="22"/>
    </row>
    <row r="37" spans="1:13" ht="15.75" customHeight="1" thickBot="1">
      <c r="A37" s="578"/>
      <c r="C37" s="22"/>
      <c r="H37" s="30"/>
      <c r="J37" s="22"/>
      <c r="M37" s="22"/>
    </row>
    <row r="38" spans="1:13" ht="30.75" thickBot="1">
      <c r="A38" s="135" t="s">
        <v>444</v>
      </c>
      <c r="B38" s="132">
        <f>Refuerzos!B29</f>
        <v>2.3052610616388471</v>
      </c>
      <c r="C38" s="7" t="s">
        <v>184</v>
      </c>
      <c r="H38" s="135" t="s">
        <v>452</v>
      </c>
      <c r="I38" s="132">
        <f>internos!C22</f>
        <v>2.42654604798871</v>
      </c>
      <c r="J38" s="7" t="s">
        <v>184</v>
      </c>
      <c r="M38" s="22"/>
    </row>
    <row r="39" spans="1:13" ht="15.75" thickBot="1">
      <c r="A39" s="135" t="s">
        <v>111</v>
      </c>
      <c r="B39" s="31">
        <f>Refuerzos!B30</f>
        <v>1.3843364136521603</v>
      </c>
      <c r="C39" s="24"/>
      <c r="H39" s="122" t="s">
        <v>111</v>
      </c>
      <c r="I39" s="31">
        <f>internos!C26</f>
        <v>1.3151437341344618</v>
      </c>
      <c r="J39" s="24"/>
      <c r="M39" s="22"/>
    </row>
    <row r="40" spans="1:13">
      <c r="A40" s="578"/>
      <c r="C40" s="22"/>
      <c r="H40" s="30"/>
      <c r="J40" s="22"/>
      <c r="M40" s="22"/>
    </row>
    <row r="41" spans="1:13" ht="15.75" thickBot="1">
      <c r="A41" s="578"/>
      <c r="C41" s="22"/>
      <c r="H41" s="30"/>
      <c r="J41" s="22"/>
      <c r="M41" s="22"/>
    </row>
    <row r="42" spans="1:13" ht="30.75" thickBot="1">
      <c r="A42" s="135" t="s">
        <v>445</v>
      </c>
      <c r="B42" s="132">
        <f>Refuerzos!B34</f>
        <v>3.5712857142857146</v>
      </c>
      <c r="C42" s="7" t="s">
        <v>184</v>
      </c>
      <c r="H42" s="135" t="s">
        <v>453</v>
      </c>
      <c r="I42" s="132">
        <f>internos!C34</f>
        <v>3.1315789473684212</v>
      </c>
      <c r="J42" s="7" t="s">
        <v>184</v>
      </c>
      <c r="M42" s="22"/>
    </row>
    <row r="43" spans="1:13" ht="15.75" thickBot="1">
      <c r="A43" s="135" t="s">
        <v>111</v>
      </c>
      <c r="B43" s="31">
        <f>Refuerzos!B35</f>
        <v>1.1954810122763257</v>
      </c>
      <c r="C43" s="24"/>
      <c r="H43" s="122" t="s">
        <v>111</v>
      </c>
      <c r="I43" s="31">
        <f>internos!C38</f>
        <v>1.3633391757311442</v>
      </c>
      <c r="J43" s="24"/>
      <c r="M43" s="22"/>
    </row>
    <row r="44" spans="1:13">
      <c r="A44" s="578"/>
      <c r="C44" s="22"/>
      <c r="H44" s="30"/>
      <c r="J44" s="22"/>
      <c r="M44" s="22"/>
    </row>
    <row r="45" spans="1:13" ht="15.75" thickBot="1">
      <c r="A45" s="578"/>
      <c r="C45" s="22"/>
      <c r="H45" s="30"/>
      <c r="J45" s="22"/>
      <c r="M45" s="22"/>
    </row>
    <row r="46" spans="1:13" ht="15.75" thickBot="1">
      <c r="A46" s="135" t="s">
        <v>446</v>
      </c>
      <c r="B46" s="132">
        <f>Refuerzos!B39</f>
        <v>12.774839210217058</v>
      </c>
      <c r="C46" s="7" t="s">
        <v>184</v>
      </c>
      <c r="H46" s="122" t="s">
        <v>454</v>
      </c>
      <c r="I46" s="132">
        <f>internos!C58</f>
        <v>10.515032874617741</v>
      </c>
      <c r="J46" s="7" t="s">
        <v>184</v>
      </c>
      <c r="M46" s="22"/>
    </row>
    <row r="47" spans="1:13" ht="15.75" thickBot="1">
      <c r="A47" s="135" t="s">
        <v>111</v>
      </c>
      <c r="B47" s="31">
        <f>Refuerzos!B40</f>
        <v>2.1655631875203967</v>
      </c>
      <c r="C47" s="24"/>
      <c r="H47" s="122" t="s">
        <v>111</v>
      </c>
      <c r="I47" s="31">
        <f>internos!C62</f>
        <v>2.6309686189301531</v>
      </c>
      <c r="J47" s="24"/>
      <c r="M47" s="22"/>
    </row>
    <row r="48" spans="1:13">
      <c r="A48" s="578"/>
      <c r="C48" s="22"/>
      <c r="H48" s="30"/>
      <c r="J48" s="22"/>
      <c r="M48" s="22"/>
    </row>
    <row r="49" spans="1:13" ht="15.75" thickBot="1">
      <c r="A49" s="578"/>
      <c r="C49" s="22"/>
      <c r="H49" s="30"/>
      <c r="J49" s="22"/>
      <c r="M49" s="22"/>
    </row>
    <row r="50" spans="1:13" ht="15.75" thickBot="1">
      <c r="A50" s="135" t="s">
        <v>447</v>
      </c>
      <c r="B50" s="132">
        <f>Refuerzos!B44</f>
        <v>6.915783184916541</v>
      </c>
      <c r="C50" s="7" t="s">
        <v>184</v>
      </c>
      <c r="H50" s="122" t="s">
        <v>455</v>
      </c>
      <c r="I50" s="132">
        <f>internos!C70</f>
        <v>5.459728607974597</v>
      </c>
      <c r="J50" s="7" t="s">
        <v>184</v>
      </c>
      <c r="M50" s="22"/>
    </row>
    <row r="51" spans="1:13" ht="15.75" thickBot="1">
      <c r="A51" s="135" t="s">
        <v>111</v>
      </c>
      <c r="B51" s="31">
        <f>Refuerzos!B45</f>
        <v>2.8396585242059236</v>
      </c>
      <c r="C51" s="24"/>
      <c r="H51" s="122" t="s">
        <v>111</v>
      </c>
      <c r="I51" s="31">
        <f>internos!C74</f>
        <v>3.5969668243076924</v>
      </c>
      <c r="J51" s="24"/>
      <c r="M51" s="22"/>
    </row>
    <row r="52" spans="1:13">
      <c r="A52" s="30"/>
      <c r="M52" s="22"/>
    </row>
    <row r="53" spans="1:13">
      <c r="A53" s="330" t="s">
        <v>380</v>
      </c>
      <c r="M53" s="22"/>
    </row>
    <row r="54" spans="1:13">
      <c r="A54" s="422" t="s">
        <v>360</v>
      </c>
      <c r="B54" s="423"/>
      <c r="C54" s="423"/>
      <c r="D54" s="423"/>
      <c r="E54" s="423"/>
      <c r="M54" s="22"/>
    </row>
    <row r="55" spans="1:13">
      <c r="A55" s="422" t="s">
        <v>434</v>
      </c>
      <c r="B55" s="423"/>
      <c r="C55" s="423"/>
      <c r="D55" s="423"/>
      <c r="E55" s="423"/>
      <c r="M55" s="22"/>
    </row>
    <row r="56" spans="1:13">
      <c r="A56" s="30"/>
      <c r="M56" s="22"/>
    </row>
    <row r="57" spans="1:13" ht="15.75" thickBot="1">
      <c r="A57" s="30"/>
      <c r="M57" s="22"/>
    </row>
    <row r="58" spans="1:13" ht="15.75" thickBot="1">
      <c r="A58" s="304" t="s">
        <v>382</v>
      </c>
      <c r="B58" s="7"/>
      <c r="M58" s="22"/>
    </row>
    <row r="59" spans="1:13" ht="15.75" thickBot="1">
      <c r="A59" s="30" t="s">
        <v>383</v>
      </c>
      <c r="B59" s="290"/>
      <c r="M59" s="22"/>
    </row>
    <row r="60" spans="1:13" ht="15.75" thickBot="1">
      <c r="A60" s="30" t="s">
        <v>398</v>
      </c>
      <c r="B60" s="324"/>
      <c r="M60" s="22"/>
    </row>
    <row r="61" spans="1:13" ht="15.75" thickBot="1">
      <c r="A61" s="28" t="s">
        <v>399</v>
      </c>
      <c r="B61" s="325"/>
      <c r="M61" s="22"/>
    </row>
    <row r="62" spans="1:13" ht="15.75" thickBot="1">
      <c r="A62" s="314"/>
      <c r="B62" s="328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4"/>
    </row>
    <row r="63" spans="1:13">
      <c r="A63" s="309"/>
      <c r="B63" s="310"/>
    </row>
    <row r="64" spans="1:13">
      <c r="H64" s="271"/>
    </row>
    <row r="65" spans="8:9">
      <c r="H65" s="309"/>
      <c r="I65" s="310"/>
    </row>
    <row r="66" spans="8:9">
      <c r="H66" s="309"/>
      <c r="I66" s="310"/>
    </row>
    <row r="67" spans="8:9">
      <c r="H67" s="309"/>
      <c r="I67" s="310"/>
    </row>
    <row r="68" spans="8:9">
      <c r="H68" s="309"/>
      <c r="I68" s="310"/>
    </row>
    <row r="69" spans="8:9">
      <c r="H69" s="309"/>
      <c r="I69" s="310"/>
    </row>
    <row r="70" spans="8:9">
      <c r="H70" s="309"/>
      <c r="I70" s="310"/>
    </row>
  </sheetData>
  <mergeCells count="15">
    <mergeCell ref="E1:F1"/>
    <mergeCell ref="C4:K4"/>
    <mergeCell ref="A8:K9"/>
    <mergeCell ref="A23:F23"/>
    <mergeCell ref="H23:M23"/>
    <mergeCell ref="E3:F3"/>
    <mergeCell ref="A55:E55"/>
    <mergeCell ref="A26:B26"/>
    <mergeCell ref="A28:B28"/>
    <mergeCell ref="A22:M22"/>
    <mergeCell ref="A54:E54"/>
    <mergeCell ref="A30:B30"/>
    <mergeCell ref="H26:I26"/>
    <mergeCell ref="H28:I28"/>
    <mergeCell ref="H30:I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N81"/>
  <sheetViews>
    <sheetView zoomScale="85" zoomScaleNormal="85" workbookViewId="0">
      <selection activeCell="E5" sqref="E5"/>
    </sheetView>
  </sheetViews>
  <sheetFormatPr baseColWidth="10" defaultRowHeight="15"/>
  <cols>
    <col min="2" max="2" width="14.7109375" customWidth="1"/>
    <col min="3" max="3" width="13.85546875" customWidth="1"/>
  </cols>
  <sheetData>
    <row r="1" spans="1:14">
      <c r="A1" s="529" t="s">
        <v>138</v>
      </c>
      <c r="B1" s="530"/>
      <c r="C1" s="530"/>
      <c r="D1" s="531"/>
      <c r="E1" s="21"/>
      <c r="F1" s="21"/>
      <c r="G1" s="21"/>
      <c r="H1" s="21"/>
      <c r="I1" s="21"/>
      <c r="J1" s="21"/>
      <c r="K1" s="21"/>
      <c r="L1" s="21"/>
      <c r="M1" s="21"/>
      <c r="N1" s="7"/>
    </row>
    <row r="2" spans="1:14" ht="15.75" thickBot="1">
      <c r="A2" s="532"/>
      <c r="B2" s="533"/>
      <c r="C2" s="533"/>
      <c r="D2" s="534"/>
      <c r="N2" s="22"/>
    </row>
    <row r="3" spans="1:14" ht="24" thickBot="1">
      <c r="A3" s="100"/>
      <c r="B3" s="101"/>
      <c r="C3" s="101"/>
      <c r="D3" s="101"/>
      <c r="N3" s="22"/>
    </row>
    <row r="4" spans="1:14" ht="15.75" thickBot="1">
      <c r="A4" s="30"/>
      <c r="B4" s="522" t="s">
        <v>29</v>
      </c>
      <c r="C4" s="523"/>
      <c r="N4" s="22"/>
    </row>
    <row r="5" spans="1:14" ht="18.75" thickBot="1">
      <c r="A5" s="30"/>
      <c r="B5" s="33" t="s">
        <v>66</v>
      </c>
      <c r="C5" s="86">
        <v>0.1</v>
      </c>
      <c r="N5" s="22"/>
    </row>
    <row r="6" spans="1:14" ht="18">
      <c r="A6" s="30"/>
      <c r="B6" s="34" t="s">
        <v>67</v>
      </c>
      <c r="C6" s="87">
        <v>7.7999999999999996E-3</v>
      </c>
      <c r="F6" s="20"/>
      <c r="G6" s="21"/>
      <c r="H6" s="21"/>
      <c r="I6" s="21"/>
      <c r="J6" s="21"/>
      <c r="K6" s="21"/>
      <c r="L6" s="21"/>
      <c r="M6" s="7"/>
      <c r="N6" s="22"/>
    </row>
    <row r="7" spans="1:14" ht="18">
      <c r="A7" s="30"/>
      <c r="B7" s="34" t="s">
        <v>68</v>
      </c>
      <c r="C7" s="87">
        <v>9.8000000000000007</v>
      </c>
      <c r="F7" s="30"/>
      <c r="M7" s="22"/>
      <c r="N7" s="22"/>
    </row>
    <row r="8" spans="1:14">
      <c r="A8" s="30"/>
      <c r="B8" s="34" t="s">
        <v>30</v>
      </c>
      <c r="C8" s="88">
        <f>0.0172*'ABS Datos de entrada'!B12+3.65</f>
        <v>3.7759865599999998</v>
      </c>
      <c r="F8" s="30"/>
      <c r="M8" s="22"/>
      <c r="N8" s="22"/>
    </row>
    <row r="9" spans="1:14" ht="18">
      <c r="A9" s="30"/>
      <c r="B9" s="34" t="s">
        <v>69</v>
      </c>
      <c r="C9" s="87">
        <v>1</v>
      </c>
      <c r="F9" s="30"/>
      <c r="M9" s="22"/>
      <c r="N9" s="22"/>
    </row>
    <row r="10" spans="1:14">
      <c r="A10" s="30"/>
      <c r="B10" s="34" t="s">
        <v>33</v>
      </c>
      <c r="C10" s="87">
        <f>IF(paneles!C4=250,0.85,0.79)</f>
        <v>0.79</v>
      </c>
      <c r="F10" s="30"/>
      <c r="M10" s="22"/>
      <c r="N10" s="22"/>
    </row>
    <row r="11" spans="1:14" ht="18">
      <c r="A11" s="30"/>
      <c r="B11" s="34" t="s">
        <v>70</v>
      </c>
      <c r="C11" s="87">
        <v>0.8</v>
      </c>
      <c r="F11" s="30"/>
      <c r="M11" s="22"/>
      <c r="N11" s="22"/>
    </row>
    <row r="12" spans="1:14">
      <c r="A12" s="30"/>
      <c r="B12" s="34" t="s">
        <v>31</v>
      </c>
      <c r="C12" s="87">
        <f>'ABS Datos de entrada'!B12/12</f>
        <v>0.61039999999999994</v>
      </c>
      <c r="F12" s="30"/>
      <c r="M12" s="22"/>
      <c r="N12" s="22"/>
    </row>
    <row r="13" spans="1:14">
      <c r="A13" s="30"/>
      <c r="B13" s="34" t="s">
        <v>32</v>
      </c>
      <c r="C13" s="89">
        <f>(100*9.7/1.92)/1000</f>
        <v>0.50520833333333326</v>
      </c>
      <c r="F13" s="30"/>
      <c r="M13" s="22"/>
      <c r="N13" s="22"/>
    </row>
    <row r="14" spans="1:14">
      <c r="A14" s="30"/>
      <c r="B14" s="34" t="s">
        <v>39</v>
      </c>
      <c r="C14" s="90">
        <f>0.083*'ABS Datos de entrada'!B12+'ABS Datos de entrada'!B15</f>
        <v>0.94795840000000009</v>
      </c>
      <c r="F14" s="30"/>
      <c r="M14" s="22"/>
      <c r="N14" s="22"/>
    </row>
    <row r="15" spans="1:14" ht="15.75" thickBot="1">
      <c r="A15" s="30"/>
      <c r="B15" s="35" t="s">
        <v>44</v>
      </c>
      <c r="C15" s="91">
        <f>((80*9.8)/(1.92))/1000</f>
        <v>0.40833333333333338</v>
      </c>
      <c r="F15" s="30"/>
      <c r="M15" s="22"/>
      <c r="N15" s="22"/>
    </row>
    <row r="16" spans="1:14" ht="15.75" thickBot="1">
      <c r="A16" s="30"/>
      <c r="F16" s="30"/>
      <c r="M16" s="22"/>
      <c r="N16" s="22"/>
    </row>
    <row r="17" spans="1:14">
      <c r="A17" s="36" t="s">
        <v>35</v>
      </c>
      <c r="B17" s="37"/>
      <c r="C17" s="38"/>
      <c r="F17" s="30"/>
      <c r="M17" s="22"/>
      <c r="N17" s="22"/>
    </row>
    <row r="18" spans="1:14" ht="15.75" thickBot="1">
      <c r="A18" s="28"/>
      <c r="B18" s="29">
        <f>(C5*'ABS Datos de entrada'!B16*1000*(1+'ABS Datos de entrada'!B27)*((70-'ABS Datos de entrada'!B19)/(70-'ABS Datos de entrada'!B18))*'ABS Presiones de diseño'!C10)/('ABS Datos de entrada'!B12*'ABS Datos de entrada'!B13)</f>
        <v>67.323139653414898</v>
      </c>
      <c r="C18" s="24" t="s">
        <v>34</v>
      </c>
      <c r="F18" s="30"/>
      <c r="M18" s="22"/>
      <c r="N18" s="22"/>
    </row>
    <row r="19" spans="1:14" ht="15.75" thickBot="1">
      <c r="A19" s="30"/>
      <c r="F19" s="30"/>
      <c r="M19" s="22"/>
      <c r="N19" s="22"/>
    </row>
    <row r="20" spans="1:14">
      <c r="A20" s="36" t="s">
        <v>36</v>
      </c>
      <c r="B20" s="37"/>
      <c r="C20" s="38"/>
      <c r="F20" s="30"/>
      <c r="M20" s="22"/>
      <c r="N20" s="22"/>
    </row>
    <row r="21" spans="1:14" ht="15.75" thickBot="1">
      <c r="A21" s="30"/>
      <c r="C21" s="22"/>
      <c r="F21" s="28"/>
      <c r="G21" s="23"/>
      <c r="H21" s="23"/>
      <c r="I21" s="23"/>
      <c r="J21" s="23"/>
      <c r="K21" s="23"/>
      <c r="L21" s="23"/>
      <c r="M21" s="24"/>
      <c r="N21" s="22"/>
    </row>
    <row r="22" spans="1:14" ht="19.5" thickBot="1">
      <c r="A22" s="28"/>
      <c r="B22" s="29">
        <f>C7*(0.64*C8+0.4)</f>
        <v>27.60298770432</v>
      </c>
      <c r="C22" s="24" t="s">
        <v>34</v>
      </c>
      <c r="F22" s="521" t="s">
        <v>139</v>
      </c>
      <c r="G22" s="521"/>
      <c r="H22" s="521"/>
      <c r="I22" s="521"/>
      <c r="J22" s="521"/>
      <c r="K22" s="521"/>
      <c r="L22" s="521"/>
      <c r="M22" s="521"/>
      <c r="N22" s="22"/>
    </row>
    <row r="23" spans="1:14">
      <c r="A23" s="30"/>
      <c r="F23" s="20"/>
      <c r="G23" s="21"/>
      <c r="H23" s="21"/>
      <c r="I23" s="21"/>
      <c r="J23" s="21"/>
      <c r="K23" s="21"/>
      <c r="L23" s="21"/>
      <c r="M23" s="7"/>
      <c r="N23" s="22"/>
    </row>
    <row r="24" spans="1:14" ht="15.75" thickBot="1">
      <c r="A24" s="30"/>
      <c r="F24" s="30"/>
      <c r="M24" s="22"/>
      <c r="N24" s="22"/>
    </row>
    <row r="25" spans="1:14">
      <c r="A25" s="36" t="s">
        <v>37</v>
      </c>
      <c r="B25" s="37"/>
      <c r="C25" s="38"/>
      <c r="F25" s="30"/>
      <c r="M25" s="22"/>
      <c r="N25" s="22"/>
    </row>
    <row r="26" spans="1:14">
      <c r="A26" s="30"/>
      <c r="C26" s="22"/>
      <c r="F26" s="30"/>
      <c r="M26" s="22"/>
      <c r="N26" s="22"/>
    </row>
    <row r="27" spans="1:14" ht="15.75" thickBot="1">
      <c r="A27" s="28"/>
      <c r="B27" s="31">
        <f>((C5*'ABS Datos de entrada'!B16*1000)/('ABS Datos de entrada'!B12*'ABS Datos de entrada'!B13))*(1+'ABS Datos de entrada'!B27)*((70-'ABS Datos de entrada'!B21)/(70-'ABS Datos de entrada'!B20))*'ABS Presiones de diseño'!C10</f>
        <v>15.536109150788057</v>
      </c>
      <c r="C27" s="24" t="s">
        <v>34</v>
      </c>
      <c r="F27" s="30"/>
      <c r="M27" s="22"/>
      <c r="N27" s="22"/>
    </row>
    <row r="28" spans="1:14">
      <c r="A28" s="30"/>
      <c r="F28" s="30"/>
      <c r="M28" s="22"/>
      <c r="N28" s="22"/>
    </row>
    <row r="29" spans="1:14" ht="15.75" thickBot="1">
      <c r="A29" s="30"/>
      <c r="F29" s="30"/>
      <c r="M29" s="22"/>
      <c r="N29" s="22"/>
    </row>
    <row r="30" spans="1:14">
      <c r="A30" s="36" t="s">
        <v>38</v>
      </c>
      <c r="B30" s="37"/>
      <c r="C30" s="38"/>
      <c r="F30" s="30"/>
      <c r="M30" s="22"/>
      <c r="N30" s="22"/>
    </row>
    <row r="31" spans="1:14">
      <c r="A31" s="30"/>
      <c r="C31" s="22"/>
      <c r="F31" s="30"/>
      <c r="M31" s="22"/>
      <c r="N31" s="22"/>
    </row>
    <row r="32" spans="1:14" ht="15.75" thickBot="1">
      <c r="A32" s="28"/>
      <c r="B32" s="31">
        <f>C7*(C14-C12)</f>
        <v>3.3080723200000017</v>
      </c>
      <c r="C32" s="24" t="s">
        <v>34</v>
      </c>
      <c r="F32" s="30"/>
      <c r="M32" s="22"/>
      <c r="N32" s="22"/>
    </row>
    <row r="33" spans="1:14">
      <c r="A33" s="30"/>
      <c r="F33" s="30"/>
      <c r="M33" s="22"/>
      <c r="N33" s="22"/>
    </row>
    <row r="34" spans="1:14">
      <c r="A34" s="30"/>
      <c r="F34" s="30"/>
      <c r="M34" s="22"/>
      <c r="N34" s="22"/>
    </row>
    <row r="35" spans="1:14">
      <c r="A35" s="524" t="s">
        <v>40</v>
      </c>
      <c r="B35" s="525"/>
      <c r="C35" s="525"/>
      <c r="F35" s="30"/>
      <c r="M35" s="22"/>
      <c r="N35" s="22"/>
    </row>
    <row r="36" spans="1:14">
      <c r="A36" s="524"/>
      <c r="B36" s="525"/>
      <c r="C36" s="525"/>
      <c r="F36" s="30"/>
      <c r="M36" s="22"/>
      <c r="N36" s="22"/>
    </row>
    <row r="37" spans="1:14" ht="15.75" thickBot="1">
      <c r="A37" s="30"/>
      <c r="F37" s="30"/>
      <c r="M37" s="22"/>
      <c r="N37" s="22"/>
    </row>
    <row r="38" spans="1:14">
      <c r="A38" s="526" t="s">
        <v>41</v>
      </c>
      <c r="B38" s="527"/>
      <c r="C38" s="528"/>
      <c r="F38" s="30"/>
      <c r="M38" s="22"/>
      <c r="N38" s="22"/>
    </row>
    <row r="39" spans="1:14">
      <c r="A39" s="30"/>
      <c r="C39" s="22"/>
      <c r="F39" s="30"/>
      <c r="M39" s="22"/>
      <c r="N39" s="22"/>
    </row>
    <row r="40" spans="1:14" ht="15.75" thickBot="1">
      <c r="A40" s="28"/>
      <c r="B40" s="23">
        <v>5</v>
      </c>
      <c r="C40" s="24" t="s">
        <v>34</v>
      </c>
      <c r="F40" s="28"/>
      <c r="G40" s="23"/>
      <c r="H40" s="23"/>
      <c r="I40" s="23"/>
      <c r="J40" s="23"/>
      <c r="K40" s="23"/>
      <c r="L40" s="23"/>
      <c r="M40" s="24"/>
      <c r="N40" s="22"/>
    </row>
    <row r="41" spans="1:14" ht="15.75" thickBot="1">
      <c r="A41" s="30"/>
      <c r="N41" s="22"/>
    </row>
    <row r="42" spans="1:14">
      <c r="A42" s="526" t="s">
        <v>42</v>
      </c>
      <c r="B42" s="527"/>
      <c r="C42" s="527"/>
      <c r="D42" s="527"/>
      <c r="E42" s="527"/>
      <c r="F42" s="20"/>
      <c r="G42" s="21"/>
      <c r="H42" s="21"/>
      <c r="I42" s="21"/>
      <c r="J42" s="21"/>
      <c r="K42" s="21"/>
      <c r="L42" s="21"/>
      <c r="M42" s="7"/>
      <c r="N42" s="22"/>
    </row>
    <row r="43" spans="1:14">
      <c r="A43" s="524" t="s">
        <v>43</v>
      </c>
      <c r="B43" s="525"/>
      <c r="C43" s="525"/>
      <c r="F43" s="30"/>
      <c r="M43" s="22"/>
      <c r="N43" s="22"/>
    </row>
    <row r="44" spans="1:14">
      <c r="A44" s="30"/>
      <c r="B44" s="32">
        <f>C13*(1+0.5*'ABS Presiones de diseño'!B21)</f>
        <v>0.50520833333333326</v>
      </c>
      <c r="C44" t="s">
        <v>34</v>
      </c>
      <c r="F44" s="30"/>
      <c r="M44" s="22"/>
      <c r="N44" s="22"/>
    </row>
    <row r="45" spans="1:14">
      <c r="A45" s="30"/>
      <c r="F45" s="30"/>
      <c r="M45" s="22"/>
      <c r="N45" s="22"/>
    </row>
    <row r="46" spans="1:14">
      <c r="A46" s="524" t="s">
        <v>45</v>
      </c>
      <c r="B46" s="525"/>
      <c r="C46" s="525"/>
      <c r="D46" s="525"/>
      <c r="E46" s="525"/>
      <c r="F46" s="30"/>
      <c r="M46" s="22"/>
      <c r="N46" s="22"/>
    </row>
    <row r="47" spans="1:14" ht="15.75" thickBot="1">
      <c r="A47" s="28"/>
      <c r="B47" s="31">
        <f>(C13+C15)*(1+0.5*'ABS Presiones de diseño'!B21)</f>
        <v>0.9135416666666667</v>
      </c>
      <c r="C47" s="23" t="s">
        <v>34</v>
      </c>
      <c r="D47" s="23"/>
      <c r="E47" s="23"/>
      <c r="F47" s="30"/>
      <c r="M47" s="22"/>
      <c r="N47" s="22"/>
    </row>
    <row r="48" spans="1:14" ht="15.75" thickBot="1">
      <c r="A48" s="30"/>
      <c r="F48" s="30"/>
      <c r="M48" s="22"/>
      <c r="N48" s="22"/>
    </row>
    <row r="49" spans="1:14">
      <c r="A49" s="526" t="s">
        <v>48</v>
      </c>
      <c r="B49" s="527"/>
      <c r="C49" s="527"/>
      <c r="D49" s="527"/>
      <c r="E49" s="527"/>
      <c r="F49" s="30"/>
      <c r="M49" s="22"/>
      <c r="N49" s="22"/>
    </row>
    <row r="50" spans="1:14">
      <c r="A50" s="30" t="s">
        <v>46</v>
      </c>
      <c r="C50">
        <v>8.6</v>
      </c>
      <c r="D50" t="s">
        <v>47</v>
      </c>
      <c r="F50" s="30"/>
      <c r="M50" s="22"/>
      <c r="N50" s="22"/>
    </row>
    <row r="51" spans="1:14">
      <c r="A51" s="30" t="s">
        <v>49</v>
      </c>
      <c r="C51">
        <v>0.4</v>
      </c>
      <c r="D51" t="s">
        <v>0</v>
      </c>
      <c r="F51" s="30"/>
      <c r="M51" s="22"/>
      <c r="N51" s="22"/>
    </row>
    <row r="52" spans="1:14" ht="15.75" thickBot="1">
      <c r="A52" s="28" t="s">
        <v>50</v>
      </c>
      <c r="B52" s="23">
        <f>C50*C51*(1+0.5*'ABS Presiones de diseño'!B21)</f>
        <v>3.44</v>
      </c>
      <c r="C52" s="23" t="s">
        <v>34</v>
      </c>
      <c r="D52" s="23"/>
      <c r="E52" s="23"/>
      <c r="F52" s="28"/>
      <c r="G52" s="23"/>
      <c r="H52" s="23"/>
      <c r="I52" s="23"/>
      <c r="J52" s="23"/>
      <c r="K52" s="23"/>
      <c r="L52" s="23"/>
      <c r="M52" s="24"/>
      <c r="N52" s="22"/>
    </row>
    <row r="53" spans="1:14" ht="15.75" thickBot="1">
      <c r="A53" s="30"/>
      <c r="N53" s="22"/>
    </row>
    <row r="54" spans="1:14">
      <c r="A54" s="526" t="s">
        <v>98</v>
      </c>
      <c r="B54" s="527"/>
      <c r="C54" s="527"/>
      <c r="D54" s="527"/>
      <c r="E54" s="528"/>
      <c r="N54" s="22"/>
    </row>
    <row r="55" spans="1:14">
      <c r="A55" s="30" t="s">
        <v>99</v>
      </c>
      <c r="C55">
        <v>9.8000000000000007</v>
      </c>
      <c r="D55" t="s">
        <v>47</v>
      </c>
      <c r="E55" s="22"/>
      <c r="N55" s="22"/>
    </row>
    <row r="56" spans="1:14">
      <c r="A56" s="30" t="s">
        <v>49</v>
      </c>
      <c r="C56">
        <v>0.46</v>
      </c>
      <c r="D56" t="s">
        <v>0</v>
      </c>
      <c r="E56" s="22"/>
      <c r="N56" s="22"/>
    </row>
    <row r="57" spans="1:14" ht="15.75" thickBot="1">
      <c r="A57" s="28" t="s">
        <v>50</v>
      </c>
      <c r="B57" s="23">
        <f>C55*C56*(1+0.5*'ABS Presiones de diseño'!B26)</f>
        <v>4.5080000000000009</v>
      </c>
      <c r="C57" s="23" t="s">
        <v>34</v>
      </c>
      <c r="D57" s="23"/>
      <c r="E57" s="24"/>
      <c r="N57" s="22"/>
    </row>
    <row r="58" spans="1:14">
      <c r="A58" s="30"/>
      <c r="N58" s="22"/>
    </row>
    <row r="59" spans="1:14" ht="15.75" thickBot="1">
      <c r="A59" s="30"/>
      <c r="N59" s="22"/>
    </row>
    <row r="60" spans="1:14">
      <c r="A60" s="526" t="s">
        <v>51</v>
      </c>
      <c r="B60" s="527"/>
      <c r="C60" s="527"/>
      <c r="D60" s="21"/>
      <c r="E60" s="7"/>
      <c r="N60" s="22"/>
    </row>
    <row r="61" spans="1:14">
      <c r="A61" s="30" t="s">
        <v>46</v>
      </c>
      <c r="C61">
        <v>7.04</v>
      </c>
      <c r="D61" t="s">
        <v>47</v>
      </c>
      <c r="E61" s="22"/>
      <c r="N61" s="22"/>
    </row>
    <row r="62" spans="1:14" ht="15.75" thickBot="1">
      <c r="A62" s="28" t="s">
        <v>52</v>
      </c>
      <c r="B62" s="31">
        <f>C61*0.86*(1+0.5*'ABS Datos de entrada'!B27)</f>
        <v>14.2157312</v>
      </c>
      <c r="C62" s="23" t="s">
        <v>34</v>
      </c>
      <c r="D62" s="23"/>
      <c r="E62" s="24"/>
      <c r="N62" s="22"/>
    </row>
    <row r="63" spans="1:14">
      <c r="A63" s="30"/>
      <c r="N63" s="22"/>
    </row>
    <row r="64" spans="1:14" ht="15.75" thickBot="1">
      <c r="A64" s="30"/>
      <c r="N64" s="22"/>
    </row>
    <row r="65" spans="1:14">
      <c r="A65" s="526" t="s">
        <v>53</v>
      </c>
      <c r="B65" s="527"/>
      <c r="C65" s="527"/>
      <c r="D65" s="37"/>
      <c r="E65" s="38"/>
      <c r="N65" s="22"/>
    </row>
    <row r="66" spans="1:14" ht="15.75" thickBot="1">
      <c r="A66" s="28"/>
      <c r="B66" s="31">
        <f>0.2*'ABS Datos de entrada'!B12+7.6</f>
        <v>9.0649599999999992</v>
      </c>
      <c r="C66" s="23" t="s">
        <v>34</v>
      </c>
      <c r="D66" s="23"/>
      <c r="E66" s="24"/>
      <c r="N66" s="22"/>
    </row>
    <row r="67" spans="1:14" ht="15.75" thickBot="1">
      <c r="A67" s="30"/>
      <c r="N67" s="22"/>
    </row>
    <row r="68" spans="1:14">
      <c r="A68" s="526" t="s">
        <v>54</v>
      </c>
      <c r="B68" s="527"/>
      <c r="C68" s="527"/>
      <c r="D68" s="527"/>
      <c r="E68" s="38"/>
      <c r="N68" s="22"/>
    </row>
    <row r="69" spans="1:14" ht="15.75" thickBot="1">
      <c r="A69" s="28"/>
      <c r="B69" s="29">
        <f>0.1*'ABS Datos de entrada'!B12+6.1</f>
        <v>6.8324799999999994</v>
      </c>
      <c r="C69" s="23" t="s">
        <v>34</v>
      </c>
      <c r="D69" s="23"/>
      <c r="E69" s="24"/>
      <c r="N69" s="22"/>
    </row>
    <row r="70" spans="1:14">
      <c r="A70" s="30"/>
      <c r="N70" s="22"/>
    </row>
    <row r="71" spans="1:14">
      <c r="A71" s="30"/>
      <c r="N71" s="22"/>
    </row>
    <row r="72" spans="1:14" ht="15.75" thickBot="1">
      <c r="A72" s="542" t="s">
        <v>55</v>
      </c>
      <c r="B72" s="543"/>
      <c r="C72" s="543"/>
      <c r="D72" s="543"/>
      <c r="E72" s="543"/>
      <c r="N72" s="22"/>
    </row>
    <row r="73" spans="1:14">
      <c r="A73" s="20"/>
      <c r="B73" s="7"/>
      <c r="C73" s="21"/>
      <c r="D73" s="25"/>
      <c r="N73" s="22"/>
    </row>
    <row r="74" spans="1:14">
      <c r="A74" s="544" t="s">
        <v>56</v>
      </c>
      <c r="B74" s="545"/>
      <c r="C74">
        <v>24.1</v>
      </c>
      <c r="D74" s="26" t="s">
        <v>34</v>
      </c>
      <c r="N74" s="22"/>
    </row>
    <row r="75" spans="1:14">
      <c r="A75" s="524" t="s">
        <v>57</v>
      </c>
      <c r="B75" s="537"/>
      <c r="C75">
        <v>24.1</v>
      </c>
      <c r="D75" s="26" t="s">
        <v>34</v>
      </c>
      <c r="N75" s="22"/>
    </row>
    <row r="76" spans="1:14">
      <c r="A76" s="524" t="s">
        <v>58</v>
      </c>
      <c r="B76" s="537"/>
      <c r="C76">
        <v>10.3</v>
      </c>
      <c r="D76" s="26" t="s">
        <v>34</v>
      </c>
      <c r="N76" s="22"/>
    </row>
    <row r="77" spans="1:14">
      <c r="A77" s="524" t="s">
        <v>59</v>
      </c>
      <c r="B77" s="537"/>
      <c r="C77">
        <v>10.3</v>
      </c>
      <c r="D77" s="26" t="s">
        <v>47</v>
      </c>
      <c r="N77" s="22"/>
    </row>
    <row r="78" spans="1:14" ht="31.15" customHeight="1">
      <c r="A78" s="538" t="s">
        <v>60</v>
      </c>
      <c r="B78" s="539"/>
      <c r="C78">
        <v>6.9</v>
      </c>
      <c r="D78" s="26" t="s">
        <v>47</v>
      </c>
      <c r="N78" s="22"/>
    </row>
    <row r="79" spans="1:14" ht="33" customHeight="1" thickBot="1">
      <c r="A79" s="540" t="s">
        <v>61</v>
      </c>
      <c r="B79" s="541"/>
      <c r="C79" s="23">
        <v>3.4</v>
      </c>
      <c r="D79" s="27" t="s">
        <v>47</v>
      </c>
      <c r="N79" s="22"/>
    </row>
    <row r="80" spans="1:14">
      <c r="A80" s="535"/>
      <c r="B80" s="536"/>
      <c r="N80" s="22"/>
    </row>
    <row r="81" spans="1:14" ht="15.75" thickBot="1">
      <c r="A81" s="28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4"/>
    </row>
  </sheetData>
  <mergeCells count="21">
    <mergeCell ref="A1:D2"/>
    <mergeCell ref="A80:B80"/>
    <mergeCell ref="A42:E42"/>
    <mergeCell ref="A49:E49"/>
    <mergeCell ref="A75:B75"/>
    <mergeCell ref="A76:B76"/>
    <mergeCell ref="A77:B77"/>
    <mergeCell ref="A78:B78"/>
    <mergeCell ref="A79:B79"/>
    <mergeCell ref="A60:C60"/>
    <mergeCell ref="A65:C65"/>
    <mergeCell ref="A68:D68"/>
    <mergeCell ref="A72:E72"/>
    <mergeCell ref="A74:B74"/>
    <mergeCell ref="A43:C43"/>
    <mergeCell ref="A46:E46"/>
    <mergeCell ref="F22:M22"/>
    <mergeCell ref="B4:C4"/>
    <mergeCell ref="A35:C36"/>
    <mergeCell ref="A38:C38"/>
    <mergeCell ref="A54:E54"/>
  </mergeCells>
  <phoneticPr fontId="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</sheetPr>
  <dimension ref="A1:AB85"/>
  <sheetViews>
    <sheetView zoomScale="115" zoomScaleNormal="115" workbookViewId="0">
      <selection activeCell="M78" sqref="M78"/>
    </sheetView>
  </sheetViews>
  <sheetFormatPr baseColWidth="10" defaultRowHeight="15"/>
  <cols>
    <col min="2" max="2" width="14.140625" customWidth="1"/>
    <col min="3" max="3" width="11.7109375" customWidth="1"/>
    <col min="5" max="5" width="17.7109375" customWidth="1"/>
    <col min="8" max="8" width="14.5703125" customWidth="1"/>
  </cols>
  <sheetData>
    <row r="1" spans="1:28" ht="15.75" thickBot="1">
      <c r="A1" s="550" t="s">
        <v>104</v>
      </c>
      <c r="B1" s="551"/>
      <c r="C1" s="551"/>
      <c r="D1" s="551"/>
      <c r="E1" s="551"/>
      <c r="F1" s="551"/>
      <c r="G1" s="551"/>
      <c r="H1" s="552"/>
      <c r="I1" s="21"/>
      <c r="J1" s="21"/>
      <c r="K1" s="21"/>
      <c r="L1" s="506" t="s">
        <v>131</v>
      </c>
      <c r="M1" s="507"/>
      <c r="N1" s="507"/>
      <c r="O1" s="507"/>
      <c r="P1" s="507"/>
      <c r="Q1" s="507"/>
      <c r="R1" s="507"/>
      <c r="S1" s="507"/>
      <c r="T1" s="508"/>
      <c r="U1" s="21"/>
      <c r="V1" s="21"/>
      <c r="W1" s="21"/>
      <c r="X1" s="21"/>
      <c r="Y1" s="21"/>
      <c r="Z1" s="21"/>
      <c r="AA1" s="21"/>
      <c r="AB1" s="7"/>
    </row>
    <row r="2" spans="1:28" ht="15.75" thickBot="1">
      <c r="A2" s="553"/>
      <c r="B2" s="554"/>
      <c r="C2" s="554"/>
      <c r="D2" s="554"/>
      <c r="E2" s="554"/>
      <c r="F2" s="554"/>
      <c r="G2" s="554"/>
      <c r="H2" s="555"/>
      <c r="L2" s="20"/>
      <c r="M2" s="21"/>
      <c r="N2" s="21"/>
      <c r="O2" s="21"/>
      <c r="P2" s="21"/>
      <c r="Q2" s="21"/>
      <c r="R2" s="21"/>
      <c r="S2" s="21"/>
      <c r="T2" s="7"/>
      <c r="AB2" s="22"/>
    </row>
    <row r="3" spans="1:28" ht="21.75" thickBot="1">
      <c r="A3" s="30"/>
      <c r="B3" s="556" t="s">
        <v>82</v>
      </c>
      <c r="C3" s="557"/>
      <c r="D3" s="557"/>
      <c r="E3" s="46"/>
      <c r="L3" s="30"/>
      <c r="T3" s="22"/>
      <c r="AB3" s="22"/>
    </row>
    <row r="4" spans="1:28">
      <c r="A4" s="30"/>
      <c r="B4" s="30" t="s">
        <v>71</v>
      </c>
      <c r="C4" s="85">
        <v>200</v>
      </c>
      <c r="D4" t="s">
        <v>76</v>
      </c>
      <c r="E4" s="22"/>
      <c r="L4" s="30"/>
      <c r="T4" s="22"/>
      <c r="AB4" s="22"/>
    </row>
    <row r="5" spans="1:28">
      <c r="A5" s="30"/>
      <c r="B5" s="30" t="s">
        <v>72</v>
      </c>
      <c r="C5" s="85">
        <v>750</v>
      </c>
      <c r="D5" t="s">
        <v>76</v>
      </c>
      <c r="E5" s="22"/>
      <c r="L5" s="30"/>
      <c r="T5" s="22"/>
      <c r="AB5" s="22"/>
    </row>
    <row r="6" spans="1:28">
      <c r="A6" s="30"/>
      <c r="B6" s="30" t="s">
        <v>73</v>
      </c>
      <c r="C6" s="85">
        <v>0.5</v>
      </c>
      <c r="E6" s="22"/>
      <c r="L6" s="30"/>
      <c r="T6" s="22"/>
      <c r="AB6" s="22"/>
    </row>
    <row r="7" spans="1:28">
      <c r="A7" s="30"/>
      <c r="B7" s="30" t="s">
        <v>74</v>
      </c>
      <c r="C7" s="85">
        <v>125</v>
      </c>
      <c r="D7" t="s">
        <v>75</v>
      </c>
      <c r="E7" s="22" t="s">
        <v>130</v>
      </c>
      <c r="L7" s="30"/>
      <c r="T7" s="22"/>
      <c r="AB7" s="22"/>
    </row>
    <row r="8" spans="1:28">
      <c r="A8" s="30"/>
      <c r="B8" s="30" t="s">
        <v>77</v>
      </c>
      <c r="C8" s="85">
        <f>C7*0.9</f>
        <v>112.5</v>
      </c>
      <c r="D8" t="s">
        <v>75</v>
      </c>
      <c r="E8" s="22"/>
      <c r="L8" s="30"/>
      <c r="T8" s="22"/>
      <c r="AB8" s="22"/>
    </row>
    <row r="9" spans="1:28" ht="15.75" thickBot="1">
      <c r="A9" s="30"/>
      <c r="B9" s="30" t="s">
        <v>78</v>
      </c>
      <c r="C9" s="85">
        <f>C7*0.55</f>
        <v>68.75</v>
      </c>
      <c r="D9" t="s">
        <v>75</v>
      </c>
      <c r="E9" s="22"/>
      <c r="L9" s="28"/>
      <c r="M9" s="23"/>
      <c r="N9" s="23"/>
      <c r="O9" s="23"/>
      <c r="P9" s="23"/>
      <c r="Q9" s="23"/>
      <c r="R9" s="23"/>
      <c r="S9" s="23"/>
      <c r="T9" s="24"/>
      <c r="AB9" s="22"/>
    </row>
    <row r="10" spans="1:28" ht="15.75" thickBot="1">
      <c r="A10" s="30"/>
      <c r="B10" s="28" t="s">
        <v>79</v>
      </c>
      <c r="C10" s="99">
        <f>115/C7</f>
        <v>0.92</v>
      </c>
      <c r="D10" s="23"/>
      <c r="E10" s="24"/>
      <c r="AB10" s="22"/>
    </row>
    <row r="11" spans="1:28">
      <c r="A11" s="30"/>
      <c r="L11" s="20"/>
      <c r="M11" s="21"/>
      <c r="N11" s="21"/>
      <c r="O11" s="21"/>
      <c r="P11" s="21"/>
      <c r="Q11" s="21"/>
      <c r="R11" s="7"/>
      <c r="T11" s="20"/>
      <c r="U11" s="21"/>
      <c r="V11" s="21"/>
      <c r="W11" s="21"/>
      <c r="X11" s="21"/>
      <c r="Y11" s="21"/>
      <c r="Z11" s="21"/>
      <c r="AA11" s="7"/>
      <c r="AB11" s="22"/>
    </row>
    <row r="12" spans="1:28" ht="15.75" thickBot="1">
      <c r="A12" s="30"/>
      <c r="L12" s="30"/>
      <c r="R12" s="22"/>
      <c r="T12" s="30"/>
      <c r="AA12" s="22"/>
      <c r="AB12" s="22"/>
    </row>
    <row r="13" spans="1:28">
      <c r="A13" s="278" t="s">
        <v>62</v>
      </c>
      <c r="B13" s="21"/>
      <c r="C13" s="21"/>
      <c r="D13" s="21"/>
      <c r="E13" s="21"/>
      <c r="F13" s="21"/>
      <c r="G13" s="21"/>
      <c r="H13" s="21"/>
      <c r="I13" s="7"/>
      <c r="L13" s="30"/>
      <c r="R13" s="22"/>
      <c r="T13" s="30"/>
      <c r="AA13" s="22"/>
      <c r="AB13" s="22"/>
    </row>
    <row r="14" spans="1:28">
      <c r="A14" s="30"/>
      <c r="I14" s="22"/>
      <c r="L14" s="30"/>
      <c r="R14" s="22"/>
      <c r="T14" s="30"/>
      <c r="AA14" s="22"/>
      <c r="AB14" s="22"/>
    </row>
    <row r="15" spans="1:28">
      <c r="A15" s="30"/>
      <c r="I15" s="22"/>
      <c r="L15" s="30"/>
      <c r="R15" s="22"/>
      <c r="T15" s="30"/>
      <c r="AA15" s="22"/>
      <c r="AB15" s="22"/>
    </row>
    <row r="16" spans="1:28">
      <c r="A16" s="30"/>
      <c r="I16" s="22"/>
      <c r="L16" s="30"/>
      <c r="R16" s="22"/>
      <c r="T16" s="30"/>
      <c r="AA16" s="22"/>
      <c r="AB16" s="22"/>
    </row>
    <row r="17" spans="1:28">
      <c r="A17" s="30"/>
      <c r="I17" s="22"/>
      <c r="L17" s="30"/>
      <c r="R17" s="22"/>
      <c r="T17" s="30"/>
      <c r="AA17" s="22"/>
      <c r="AB17" s="22"/>
    </row>
    <row r="18" spans="1:28">
      <c r="A18" s="30"/>
      <c r="I18" s="22"/>
      <c r="L18" s="30"/>
      <c r="R18" s="22"/>
      <c r="T18" s="30"/>
      <c r="AA18" s="22"/>
      <c r="AB18" s="22"/>
    </row>
    <row r="19" spans="1:28">
      <c r="A19" s="30"/>
      <c r="I19" s="22"/>
      <c r="L19" s="30"/>
      <c r="R19" s="22"/>
      <c r="T19" s="30"/>
      <c r="AA19" s="22"/>
      <c r="AB19" s="22"/>
    </row>
    <row r="20" spans="1:28">
      <c r="A20" s="30"/>
      <c r="I20" s="22"/>
      <c r="L20" s="30"/>
      <c r="R20" s="22"/>
      <c r="T20" s="30"/>
      <c r="AA20" s="22"/>
      <c r="AB20" s="22"/>
    </row>
    <row r="21" spans="1:28" ht="15.75" thickBot="1">
      <c r="A21" s="30"/>
      <c r="I21" s="22"/>
      <c r="L21" s="30"/>
      <c r="R21" s="22"/>
      <c r="T21" s="30"/>
      <c r="AA21" s="22"/>
      <c r="AB21" s="22"/>
    </row>
    <row r="22" spans="1:28" ht="15.75" thickBot="1">
      <c r="A22" s="30"/>
      <c r="B22" s="344" t="s">
        <v>81</v>
      </c>
      <c r="C22" s="79">
        <f>0.7*('ABS Datos de entrada'!B12*paneles!C10)^0.5+1</f>
        <v>2.8171460700780218</v>
      </c>
      <c r="D22" s="42" t="s">
        <v>76</v>
      </c>
      <c r="I22" s="22"/>
      <c r="L22" s="30"/>
      <c r="R22" s="22"/>
      <c r="T22" s="30"/>
      <c r="AA22" s="22"/>
      <c r="AB22" s="22"/>
    </row>
    <row r="23" spans="1:28" ht="15.75" thickBot="1">
      <c r="A23" s="30"/>
      <c r="E23" t="s">
        <v>87</v>
      </c>
      <c r="F23" s="32">
        <f>IF(IF(C24&lt;C22,C22,C24)&lt;3.5,3.5,IF(C24&lt;C22,C22,C24))</f>
        <v>3.5</v>
      </c>
      <c r="G23" t="s">
        <v>76</v>
      </c>
      <c r="H23" s="60" t="s">
        <v>366</v>
      </c>
      <c r="I23" s="22"/>
      <c r="L23" s="30"/>
      <c r="R23" s="22"/>
      <c r="T23" s="30"/>
      <c r="AA23" s="22"/>
      <c r="AB23" s="22"/>
    </row>
    <row r="24" spans="1:28" ht="15.75" thickBot="1">
      <c r="A24" s="30"/>
      <c r="B24" s="344" t="s">
        <v>80</v>
      </c>
      <c r="C24" s="133">
        <f>C4*('ABS Presiones de diseño'!B18*paneles!C6/(1000*paneles!C8))^0.5</f>
        <v>3.4595603999073488</v>
      </c>
      <c r="D24" s="42" t="s">
        <v>76</v>
      </c>
      <c r="H24" s="277" t="s">
        <v>377</v>
      </c>
      <c r="I24" s="22"/>
      <c r="L24" s="30"/>
      <c r="R24" s="22"/>
      <c r="T24" s="30"/>
      <c r="AA24" s="22"/>
      <c r="AB24" s="22"/>
    </row>
    <row r="25" spans="1:28" ht="15.75" thickBot="1">
      <c r="A25" s="28"/>
      <c r="B25" s="23"/>
      <c r="C25" s="23"/>
      <c r="D25" s="23"/>
      <c r="E25" s="23"/>
      <c r="F25" s="23"/>
      <c r="G25" s="23"/>
      <c r="H25" s="23"/>
      <c r="I25" s="24"/>
      <c r="L25" s="30"/>
      <c r="R25" s="22"/>
      <c r="T25" s="30"/>
      <c r="AA25" s="22"/>
      <c r="AB25" s="22"/>
    </row>
    <row r="26" spans="1:28">
      <c r="A26" s="20"/>
      <c r="B26" s="21"/>
      <c r="C26" s="21"/>
      <c r="D26" s="21"/>
      <c r="E26" s="21"/>
      <c r="F26" s="21"/>
      <c r="G26" s="21"/>
      <c r="H26" s="21"/>
      <c r="I26" s="7"/>
      <c r="L26" s="30"/>
      <c r="R26" s="22"/>
      <c r="T26" s="30"/>
      <c r="AA26" s="22"/>
      <c r="AB26" s="22"/>
    </row>
    <row r="27" spans="1:28">
      <c r="A27" s="30"/>
      <c r="I27" s="22"/>
      <c r="L27" s="30"/>
      <c r="R27" s="22"/>
      <c r="T27" s="30"/>
      <c r="AA27" s="22"/>
      <c r="AB27" s="22"/>
    </row>
    <row r="28" spans="1:28">
      <c r="A28" s="30"/>
      <c r="I28" s="22"/>
      <c r="L28" s="30"/>
      <c r="R28" s="22"/>
      <c r="T28" s="30"/>
      <c r="AA28" s="22"/>
      <c r="AB28" s="22"/>
    </row>
    <row r="29" spans="1:28">
      <c r="A29" s="30"/>
      <c r="I29" s="22"/>
      <c r="L29" s="30"/>
      <c r="R29" s="22"/>
      <c r="T29" s="30"/>
      <c r="AA29" s="22"/>
      <c r="AB29" s="22"/>
    </row>
    <row r="30" spans="1:28">
      <c r="A30" s="30"/>
      <c r="I30" s="22"/>
      <c r="L30" s="30"/>
      <c r="R30" s="22"/>
      <c r="T30" s="30"/>
      <c r="AA30" s="22"/>
      <c r="AB30" s="22"/>
    </row>
    <row r="31" spans="1:28">
      <c r="A31" s="30"/>
      <c r="I31" s="22"/>
      <c r="L31" s="30"/>
      <c r="R31" s="22"/>
      <c r="T31" s="30"/>
      <c r="AA31" s="22"/>
      <c r="AB31" s="22"/>
    </row>
    <row r="32" spans="1:28">
      <c r="A32" s="30"/>
      <c r="I32" s="22"/>
      <c r="L32" s="30"/>
      <c r="R32" s="22"/>
      <c r="T32" s="30"/>
      <c r="AA32" s="22"/>
      <c r="AB32" s="22"/>
    </row>
    <row r="33" spans="1:28">
      <c r="A33" s="30"/>
      <c r="I33" s="22"/>
      <c r="L33" s="30"/>
      <c r="R33" s="22"/>
      <c r="T33" s="30"/>
      <c r="AA33" s="22"/>
      <c r="AB33" s="22"/>
    </row>
    <row r="34" spans="1:28" ht="15.75" thickBot="1">
      <c r="A34" s="30"/>
      <c r="I34" s="22"/>
      <c r="L34" s="30"/>
      <c r="R34" s="22"/>
      <c r="T34" s="30"/>
      <c r="AA34" s="22"/>
      <c r="AB34" s="22"/>
    </row>
    <row r="35" spans="1:28" ht="15.75" thickBot="1">
      <c r="A35" s="30"/>
      <c r="B35" s="58" t="s">
        <v>71</v>
      </c>
      <c r="C35" s="112">
        <v>250</v>
      </c>
      <c r="D35" s="42" t="s">
        <v>76</v>
      </c>
      <c r="I35" s="22"/>
      <c r="L35" s="28"/>
      <c r="M35" s="23"/>
      <c r="N35" s="23"/>
      <c r="O35" s="23"/>
      <c r="P35" s="23"/>
      <c r="Q35" s="23"/>
      <c r="R35" s="24"/>
      <c r="T35" s="28"/>
      <c r="U35" s="23"/>
      <c r="V35" s="23"/>
      <c r="W35" s="23"/>
      <c r="X35" s="23"/>
      <c r="Y35" s="23"/>
      <c r="Z35" s="23"/>
      <c r="AA35" s="24"/>
      <c r="AB35" s="22"/>
    </row>
    <row r="36" spans="1:28" ht="15.75" thickBot="1">
      <c r="A36" s="30"/>
      <c r="I36" s="22"/>
      <c r="L36" s="506" t="s">
        <v>132</v>
      </c>
      <c r="M36" s="507"/>
      <c r="N36" s="507"/>
      <c r="O36" s="507"/>
      <c r="P36" s="507"/>
      <c r="Q36" s="507"/>
      <c r="R36" s="508"/>
      <c r="AB36" s="22"/>
    </row>
    <row r="37" spans="1:28" ht="15.75" thickBot="1">
      <c r="A37" s="30"/>
      <c r="B37" s="344" t="s">
        <v>81</v>
      </c>
      <c r="C37" s="79">
        <f>0.62*('ABS Datos de entrada'!B12*paneles!C10)^0.5+1</f>
        <v>2.6094722334976765</v>
      </c>
      <c r="D37" s="42" t="s">
        <v>76</v>
      </c>
      <c r="I37" s="22"/>
      <c r="AB37" s="22"/>
    </row>
    <row r="38" spans="1:28" ht="15.75" thickBot="1">
      <c r="A38" s="30"/>
      <c r="E38" t="s">
        <v>87</v>
      </c>
      <c r="F38" s="32">
        <f>IF(IF(C37&lt;C39,C39,C37)&lt;3.5,3.5,IF(C37&lt;C39,C39,C37))</f>
        <v>3.5</v>
      </c>
      <c r="G38" t="s">
        <v>76</v>
      </c>
      <c r="H38" s="60" t="s">
        <v>105</v>
      </c>
      <c r="I38" s="277"/>
      <c r="L38" s="20"/>
      <c r="M38" s="21"/>
      <c r="N38" s="21"/>
      <c r="O38" s="21"/>
      <c r="P38" s="21"/>
      <c r="Q38" s="21"/>
      <c r="R38" s="7"/>
      <c r="AB38" s="22"/>
    </row>
    <row r="39" spans="1:28" ht="15.75" thickBot="1">
      <c r="A39" s="30"/>
      <c r="B39" s="344" t="s">
        <v>80</v>
      </c>
      <c r="C39" s="79">
        <f>C35*('ABS Presiones de diseño'!B27*paneles!C6/(1000*paneles!C8))^0.5</f>
        <v>2.0773988243038231</v>
      </c>
      <c r="D39" s="42" t="s">
        <v>76</v>
      </c>
      <c r="H39" s="277" t="s">
        <v>377</v>
      </c>
      <c r="I39" s="22"/>
      <c r="L39" s="30"/>
      <c r="R39" s="22"/>
      <c r="AB39" s="22"/>
    </row>
    <row r="40" spans="1:28" ht="15.75" thickBot="1">
      <c r="A40" s="28"/>
      <c r="B40" s="23"/>
      <c r="C40" s="23"/>
      <c r="D40" s="23"/>
      <c r="E40" s="23"/>
      <c r="F40" s="23"/>
      <c r="G40" s="23"/>
      <c r="H40" s="23"/>
      <c r="I40" s="24"/>
      <c r="L40" s="30"/>
      <c r="R40" s="22"/>
      <c r="AB40" s="22"/>
    </row>
    <row r="41" spans="1:28">
      <c r="A41" s="30"/>
      <c r="L41" s="30"/>
      <c r="R41" s="22"/>
      <c r="AB41" s="22"/>
    </row>
    <row r="42" spans="1:28" ht="15.75" thickBot="1">
      <c r="A42" s="30"/>
      <c r="L42" s="30"/>
      <c r="R42" s="22"/>
      <c r="AB42" s="22"/>
    </row>
    <row r="43" spans="1:28">
      <c r="A43" s="20"/>
      <c r="B43" s="21"/>
      <c r="C43" s="21"/>
      <c r="D43" s="21"/>
      <c r="E43" s="21"/>
      <c r="F43" s="21"/>
      <c r="G43" s="21"/>
      <c r="H43" s="21"/>
      <c r="I43" s="7"/>
      <c r="L43" s="30"/>
      <c r="R43" s="22"/>
      <c r="AB43" s="22"/>
    </row>
    <row r="44" spans="1:28">
      <c r="A44" s="30"/>
      <c r="I44" s="22"/>
      <c r="L44" s="30"/>
      <c r="R44" s="22"/>
      <c r="AB44" s="22"/>
    </row>
    <row r="45" spans="1:28">
      <c r="A45" s="30"/>
      <c r="I45" s="22"/>
      <c r="L45" s="30"/>
      <c r="R45" s="22"/>
      <c r="AB45" s="22"/>
    </row>
    <row r="46" spans="1:28">
      <c r="A46" s="30"/>
      <c r="I46" s="22"/>
      <c r="L46" s="30"/>
      <c r="R46" s="22"/>
      <c r="AB46" s="22"/>
    </row>
    <row r="47" spans="1:28">
      <c r="A47" s="30"/>
      <c r="I47" s="22"/>
      <c r="L47" s="30"/>
      <c r="R47" s="22"/>
      <c r="AB47" s="22"/>
    </row>
    <row r="48" spans="1:28">
      <c r="A48" s="30"/>
      <c r="I48" s="22"/>
      <c r="L48" s="30"/>
      <c r="R48" s="22"/>
      <c r="AB48" s="22"/>
    </row>
    <row r="49" spans="1:28">
      <c r="A49" s="30"/>
      <c r="I49" s="22"/>
      <c r="L49" s="30"/>
      <c r="R49" s="22"/>
      <c r="AB49" s="22"/>
    </row>
    <row r="50" spans="1:28">
      <c r="A50" s="30"/>
      <c r="I50" s="22"/>
      <c r="L50" s="30"/>
      <c r="R50" s="22"/>
      <c r="AB50" s="22"/>
    </row>
    <row r="51" spans="1:28" ht="15.75" thickBot="1">
      <c r="A51" s="30"/>
      <c r="I51" s="22"/>
      <c r="L51" s="30"/>
      <c r="R51" s="22"/>
      <c r="AB51" s="22"/>
    </row>
    <row r="52" spans="1:28" ht="15.75" thickBot="1">
      <c r="A52" s="30"/>
      <c r="B52" s="20" t="s">
        <v>83</v>
      </c>
      <c r="C52" s="21">
        <v>250</v>
      </c>
      <c r="D52" s="7"/>
      <c r="I52" s="22"/>
      <c r="L52" s="30"/>
      <c r="R52" s="22"/>
      <c r="AB52" s="22"/>
    </row>
    <row r="53" spans="1:28" ht="15.75" thickBot="1">
      <c r="A53" s="30"/>
      <c r="B53" s="547" t="s">
        <v>84</v>
      </c>
      <c r="C53" s="548"/>
      <c r="D53" s="549"/>
      <c r="I53" s="22"/>
      <c r="L53" s="30"/>
      <c r="R53" s="22"/>
      <c r="AB53" s="22"/>
    </row>
    <row r="54" spans="1:28">
      <c r="A54" s="30"/>
      <c r="B54" s="345" t="s">
        <v>81</v>
      </c>
      <c r="C54" s="32">
        <f>0.52*('ABS Datos de entrada'!B12*paneles!C10)^0.5+1</f>
        <v>2.3498799377722452</v>
      </c>
      <c r="D54" s="22" t="s">
        <v>76</v>
      </c>
      <c r="I54" s="22"/>
      <c r="L54" s="30"/>
      <c r="R54" s="22"/>
      <c r="AB54" s="22"/>
    </row>
    <row r="55" spans="1:28">
      <c r="A55" s="30"/>
      <c r="B55" s="30"/>
      <c r="D55" s="22"/>
      <c r="E55" t="s">
        <v>88</v>
      </c>
      <c r="F55">
        <f>IF(IF(C54&lt;C56,C56,C54)&lt;3.5,3.5,IF(C54&lt;C56,C56,C54))</f>
        <v>3.5</v>
      </c>
      <c r="G55" t="s">
        <v>76</v>
      </c>
      <c r="H55" s="60" t="s">
        <v>105</v>
      </c>
      <c r="I55" s="277"/>
      <c r="L55" s="30"/>
      <c r="R55" s="22"/>
      <c r="AB55" s="22"/>
    </row>
    <row r="56" spans="1:28" ht="15.75" thickBot="1">
      <c r="A56" s="30"/>
      <c r="B56" s="76" t="s">
        <v>80</v>
      </c>
      <c r="C56" s="31">
        <f>C52*('ABS Presiones de diseño'!B52*paneles!C6/(1000*0.6*paneles!C7))^0.5</f>
        <v>1.1972189997378646</v>
      </c>
      <c r="D56" s="24" t="s">
        <v>76</v>
      </c>
      <c r="H56" s="277" t="s">
        <v>377</v>
      </c>
      <c r="I56" s="22"/>
      <c r="L56" s="30"/>
      <c r="R56" s="22"/>
      <c r="AB56" s="22"/>
    </row>
    <row r="57" spans="1:28">
      <c r="A57" s="30"/>
      <c r="I57" s="22"/>
      <c r="L57" s="30"/>
      <c r="R57" s="22"/>
      <c r="AB57" s="22"/>
    </row>
    <row r="58" spans="1:28" ht="15.75" thickBot="1">
      <c r="A58" s="30"/>
      <c r="I58" s="22"/>
      <c r="L58" s="30"/>
      <c r="R58" s="22"/>
      <c r="AB58" s="22"/>
    </row>
    <row r="59" spans="1:28" ht="15.75" thickBot="1">
      <c r="A59" s="30"/>
      <c r="B59" s="547" t="s">
        <v>85</v>
      </c>
      <c r="C59" s="548"/>
      <c r="D59" s="549"/>
      <c r="I59" s="22"/>
      <c r="L59" s="30"/>
      <c r="R59" s="22"/>
      <c r="AB59" s="22"/>
    </row>
    <row r="60" spans="1:28">
      <c r="A60" s="30"/>
      <c r="B60" s="345" t="s">
        <v>81</v>
      </c>
      <c r="C60" s="32">
        <f>0.52*('ABS Datos de entrada'!B12*paneles!C10)^0.5+1</f>
        <v>2.3498799377722452</v>
      </c>
      <c r="D60" s="22" t="s">
        <v>76</v>
      </c>
      <c r="I60" s="22"/>
      <c r="L60" s="30"/>
      <c r="R60" s="22"/>
      <c r="AB60" s="22"/>
    </row>
    <row r="61" spans="1:28">
      <c r="A61" s="30"/>
      <c r="B61" s="30"/>
      <c r="D61" s="22"/>
      <c r="E61" t="s">
        <v>88</v>
      </c>
      <c r="F61">
        <f>IF(C62&lt;3.5,3.5,C62)</f>
        <v>3.5</v>
      </c>
      <c r="G61" t="s">
        <v>76</v>
      </c>
      <c r="H61" s="60" t="s">
        <v>105</v>
      </c>
      <c r="I61" s="277"/>
      <c r="L61" s="30"/>
      <c r="R61" s="22"/>
      <c r="AB61" s="22"/>
    </row>
    <row r="62" spans="1:28" ht="15.75" thickBot="1">
      <c r="A62" s="30"/>
      <c r="B62" s="76" t="s">
        <v>80</v>
      </c>
      <c r="C62" s="31">
        <f>C35*(C6*'ABS Presiones de diseño'!B62/(1000*0.6*paneles!C7))^0.5</f>
        <v>2.4337669020128723</v>
      </c>
      <c r="D62" s="24" t="s">
        <v>76</v>
      </c>
      <c r="H62" s="277" t="s">
        <v>377</v>
      </c>
      <c r="I62" s="22"/>
      <c r="L62" s="30"/>
      <c r="R62" s="22"/>
      <c r="AB62" s="22"/>
    </row>
    <row r="63" spans="1:28" ht="15.75" thickBot="1">
      <c r="A63" s="30"/>
      <c r="I63" s="22"/>
      <c r="L63" s="28"/>
      <c r="M63" s="23"/>
      <c r="N63" s="23"/>
      <c r="O63" s="23"/>
      <c r="P63" s="23"/>
      <c r="Q63" s="23"/>
      <c r="R63" s="24"/>
      <c r="AB63" s="22"/>
    </row>
    <row r="64" spans="1:28" ht="15.75" thickBot="1">
      <c r="A64" s="30"/>
      <c r="I64" s="22"/>
      <c r="L64" s="506" t="s">
        <v>133</v>
      </c>
      <c r="M64" s="507"/>
      <c r="N64" s="507"/>
      <c r="O64" s="507"/>
      <c r="P64" s="507"/>
      <c r="Q64" s="507"/>
      <c r="R64" s="508"/>
      <c r="AB64" s="22"/>
    </row>
    <row r="65" spans="1:28" ht="15.75" thickBot="1">
      <c r="A65" s="30"/>
      <c r="B65" s="547" t="s">
        <v>101</v>
      </c>
      <c r="C65" s="548"/>
      <c r="D65" s="549"/>
      <c r="I65" s="22"/>
      <c r="AB65" s="22"/>
    </row>
    <row r="66" spans="1:28" ht="15.75" thickBot="1">
      <c r="A66" s="30"/>
      <c r="B66" s="76" t="s">
        <v>81</v>
      </c>
      <c r="C66" s="31">
        <f>0.52*('ABS Datos de entrada'!B12*paneles!C10)^0.5+1</f>
        <v>2.3498799377722452</v>
      </c>
      <c r="D66" s="24" t="s">
        <v>76</v>
      </c>
      <c r="I66" s="22"/>
      <c r="AB66" s="22"/>
    </row>
    <row r="67" spans="1:28">
      <c r="A67" s="30"/>
      <c r="E67" t="s">
        <v>88</v>
      </c>
      <c r="F67">
        <f>IF(C68&lt;3.5,3.5,C68)</f>
        <v>3.5</v>
      </c>
      <c r="G67" t="s">
        <v>76</v>
      </c>
      <c r="H67" s="60" t="s">
        <v>105</v>
      </c>
      <c r="I67" s="277"/>
      <c r="AB67" s="22"/>
    </row>
    <row r="68" spans="1:28" ht="15.75" thickBot="1">
      <c r="A68" s="28"/>
      <c r="B68" s="23"/>
      <c r="C68" s="31"/>
      <c r="D68" s="23"/>
      <c r="E68" s="23"/>
      <c r="F68" s="23"/>
      <c r="G68" s="23"/>
      <c r="H68" s="277" t="s">
        <v>377</v>
      </c>
      <c r="I68" s="24"/>
      <c r="AB68" s="22"/>
    </row>
    <row r="69" spans="1:28">
      <c r="A69" s="20"/>
      <c r="B69" s="21"/>
      <c r="C69" s="21"/>
      <c r="D69" s="21"/>
      <c r="E69" s="21"/>
      <c r="F69" s="21"/>
      <c r="G69" s="21"/>
      <c r="H69" s="21"/>
      <c r="I69" s="7"/>
      <c r="AB69" s="22"/>
    </row>
    <row r="70" spans="1:28">
      <c r="A70" s="30"/>
      <c r="I70" s="22"/>
      <c r="AB70" s="22"/>
    </row>
    <row r="71" spans="1:28">
      <c r="A71" s="30"/>
      <c r="I71" s="22"/>
      <c r="AB71" s="22"/>
    </row>
    <row r="72" spans="1:28">
      <c r="A72" s="30"/>
      <c r="I72" s="22"/>
      <c r="AB72" s="22"/>
    </row>
    <row r="73" spans="1:28">
      <c r="A73" s="30"/>
      <c r="I73" s="22"/>
      <c r="AB73" s="22"/>
    </row>
    <row r="74" spans="1:28">
      <c r="A74" s="30"/>
      <c r="I74" s="22"/>
      <c r="AB74" s="22"/>
    </row>
    <row r="75" spans="1:28">
      <c r="A75" s="30"/>
      <c r="I75" s="22"/>
      <c r="AB75" s="22"/>
    </row>
    <row r="76" spans="1:28">
      <c r="A76" s="30"/>
      <c r="I76" s="22"/>
      <c r="AB76" s="22"/>
    </row>
    <row r="77" spans="1:28">
      <c r="A77" s="30"/>
      <c r="I77" s="22"/>
      <c r="AB77" s="22"/>
    </row>
    <row r="78" spans="1:28">
      <c r="A78" s="30"/>
      <c r="B78" s="546" t="s">
        <v>86</v>
      </c>
      <c r="C78" s="546"/>
      <c r="D78" s="546"/>
      <c r="I78" s="22"/>
      <c r="AB78" s="22"/>
    </row>
    <row r="79" spans="1:28">
      <c r="A79" s="30"/>
      <c r="B79" s="59" t="s">
        <v>81</v>
      </c>
      <c r="C79" s="32">
        <f>0.62*('ABS Datos de entrada'!B12*paneles!C6)^0.5+1</f>
        <v>2.1865186724194441</v>
      </c>
      <c r="D79" t="s">
        <v>76</v>
      </c>
      <c r="I79" s="22"/>
      <c r="AB79" s="22"/>
    </row>
    <row r="80" spans="1:28">
      <c r="A80" s="30"/>
      <c r="E80" t="s">
        <v>87</v>
      </c>
      <c r="F80">
        <f>IF(C79&lt;3.5,3.5,C79)</f>
        <v>3.5</v>
      </c>
      <c r="G80" t="s">
        <v>76</v>
      </c>
      <c r="H80" s="60" t="s">
        <v>105</v>
      </c>
      <c r="I80" s="277"/>
      <c r="AB80" s="22"/>
    </row>
    <row r="81" spans="1:28">
      <c r="A81" s="30"/>
      <c r="B81" s="59" t="s">
        <v>80</v>
      </c>
      <c r="C81" s="32">
        <f>C52*(C6*'ABS Presiones de diseño'!B47/(1000*paneles!C7*0.6))^0.5</f>
        <v>0.61696220395670198</v>
      </c>
      <c r="D81" t="s">
        <v>76</v>
      </c>
      <c r="H81" s="277" t="s">
        <v>377</v>
      </c>
      <c r="I81" s="22"/>
      <c r="AB81" s="22"/>
    </row>
    <row r="82" spans="1:28" ht="15.75" thickBot="1">
      <c r="A82" s="28"/>
      <c r="B82" s="23"/>
      <c r="C82" s="23"/>
      <c r="D82" s="23"/>
      <c r="E82" s="23"/>
      <c r="F82" s="23"/>
      <c r="G82" s="23"/>
      <c r="H82" s="23"/>
      <c r="I82" s="24"/>
      <c r="AB82" s="22"/>
    </row>
    <row r="83" spans="1:28">
      <c r="A83" s="30"/>
      <c r="AB83" s="22"/>
    </row>
    <row r="84" spans="1:28">
      <c r="A84" s="30"/>
      <c r="AB84" s="22"/>
    </row>
    <row r="85" spans="1:28" ht="15.75" thickBot="1">
      <c r="A85" s="28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4"/>
    </row>
  </sheetData>
  <mergeCells count="9">
    <mergeCell ref="B78:D78"/>
    <mergeCell ref="B65:D65"/>
    <mergeCell ref="L1:T1"/>
    <mergeCell ref="L36:R36"/>
    <mergeCell ref="L64:R64"/>
    <mergeCell ref="A1:H2"/>
    <mergeCell ref="B3:D3"/>
    <mergeCell ref="B53:D53"/>
    <mergeCell ref="B59:D5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499984740745262"/>
  </sheetPr>
  <dimension ref="A1:AP101"/>
  <sheetViews>
    <sheetView topLeftCell="A28" zoomScale="85" zoomScaleNormal="85" workbookViewId="0">
      <selection activeCell="D43" sqref="D43"/>
    </sheetView>
  </sheetViews>
  <sheetFormatPr baseColWidth="10" defaultRowHeight="15"/>
  <cols>
    <col min="1" max="1" width="5.28515625" customWidth="1"/>
    <col min="2" max="2" width="12.7109375" customWidth="1"/>
    <col min="3" max="3" width="11.7109375" customWidth="1"/>
    <col min="4" max="4" width="17.7109375" customWidth="1"/>
    <col min="12" max="12" width="21.28515625" customWidth="1"/>
    <col min="13" max="13" width="12.85546875" customWidth="1"/>
    <col min="14" max="14" width="6.42578125" customWidth="1"/>
    <col min="16" max="16" width="14.42578125" customWidth="1"/>
    <col min="18" max="18" width="12.7109375" customWidth="1"/>
    <col min="20" max="20" width="15.5703125" customWidth="1"/>
    <col min="21" max="21" width="10.85546875" customWidth="1"/>
    <col min="22" max="22" width="11.28515625" customWidth="1"/>
    <col min="23" max="23" width="5.28515625" customWidth="1"/>
    <col min="32" max="32" width="9.85546875" customWidth="1"/>
    <col min="33" max="33" width="19.42578125" hidden="1" customWidth="1"/>
    <col min="34" max="34" width="0.7109375" hidden="1" customWidth="1"/>
    <col min="35" max="35" width="21.5703125" hidden="1" customWidth="1"/>
    <col min="36" max="36" width="14" hidden="1" customWidth="1"/>
    <col min="37" max="37" width="14.140625" hidden="1" customWidth="1"/>
    <col min="38" max="38" width="13.5703125" hidden="1" customWidth="1"/>
    <col min="39" max="39" width="0.140625" hidden="1" customWidth="1"/>
    <col min="40" max="40" width="18.7109375" hidden="1" customWidth="1"/>
    <col min="41" max="41" width="7.7109375" hidden="1" customWidth="1"/>
    <col min="42" max="42" width="0.140625" hidden="1" customWidth="1"/>
    <col min="43" max="43" width="7" customWidth="1"/>
    <col min="44" max="44" width="9.5703125" customWidth="1"/>
  </cols>
  <sheetData>
    <row r="1" spans="1:32">
      <c r="A1" s="20"/>
      <c r="B1" s="484" t="s">
        <v>134</v>
      </c>
      <c r="C1" s="485"/>
      <c r="D1" s="485"/>
      <c r="E1" s="558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7"/>
    </row>
    <row r="2" spans="1:32" ht="15.75" thickBot="1">
      <c r="A2" s="30"/>
      <c r="B2" s="486"/>
      <c r="C2" s="487"/>
      <c r="D2" s="487"/>
      <c r="E2" s="559"/>
      <c r="AF2" s="22"/>
    </row>
    <row r="3" spans="1:32" ht="15.75" thickBot="1">
      <c r="A3" s="30"/>
      <c r="AF3" s="22"/>
    </row>
    <row r="4" spans="1:32" ht="15.75" thickBot="1">
      <c r="A4" s="30"/>
      <c r="B4" s="568" t="s">
        <v>137</v>
      </c>
      <c r="C4" s="569"/>
      <c r="F4" s="20"/>
      <c r="G4" s="21"/>
      <c r="H4" s="21"/>
      <c r="I4" s="21"/>
      <c r="J4" s="21"/>
      <c r="K4" s="21"/>
      <c r="L4" s="21"/>
      <c r="M4" s="21"/>
      <c r="N4" s="7"/>
      <c r="P4" s="20"/>
      <c r="Q4" s="21"/>
      <c r="R4" s="21"/>
      <c r="S4" s="21"/>
      <c r="T4" s="21"/>
      <c r="U4" s="21"/>
      <c r="V4" s="7"/>
      <c r="X4" s="20"/>
      <c r="Y4" s="21"/>
      <c r="Z4" s="21"/>
      <c r="AA4" s="21"/>
      <c r="AB4" s="21"/>
      <c r="AC4" s="21"/>
      <c r="AD4" s="7"/>
      <c r="AE4" s="7"/>
      <c r="AF4" s="22"/>
    </row>
    <row r="5" spans="1:32" ht="15.75" thickBot="1">
      <c r="A5" s="30"/>
      <c r="B5" s="47" t="s">
        <v>90</v>
      </c>
      <c r="C5" s="48"/>
      <c r="D5" s="49"/>
      <c r="F5" s="30"/>
      <c r="N5" s="22"/>
      <c r="P5" s="30"/>
      <c r="V5" s="22"/>
      <c r="X5" s="30"/>
      <c r="AD5" s="22"/>
      <c r="AE5" s="22"/>
      <c r="AF5" s="22"/>
    </row>
    <row r="6" spans="1:32">
      <c r="A6" s="30"/>
      <c r="F6" s="30"/>
      <c r="N6" s="22"/>
      <c r="P6" s="30"/>
      <c r="V6" s="22"/>
      <c r="X6" s="30"/>
      <c r="AD6" s="22"/>
      <c r="AE6" s="22"/>
      <c r="AF6" s="22"/>
    </row>
    <row r="7" spans="1:32" ht="15.75" thickBot="1">
      <c r="A7" s="30"/>
      <c r="F7" s="30"/>
      <c r="N7" s="22"/>
      <c r="P7" s="30"/>
      <c r="V7" s="22"/>
      <c r="X7" s="30"/>
      <c r="AD7" s="22"/>
      <c r="AE7" s="22"/>
      <c r="AF7" s="22"/>
    </row>
    <row r="8" spans="1:32">
      <c r="A8" s="30"/>
      <c r="B8" s="50" t="s">
        <v>89</v>
      </c>
      <c r="C8" s="21">
        <f>0.65*125</f>
        <v>81.25</v>
      </c>
      <c r="D8" s="7" t="s">
        <v>24</v>
      </c>
      <c r="F8" s="30"/>
      <c r="N8" s="22"/>
      <c r="P8" s="30"/>
      <c r="V8" s="22"/>
      <c r="X8" s="30"/>
      <c r="AD8" s="22"/>
      <c r="AE8" s="22"/>
      <c r="AF8" s="22"/>
    </row>
    <row r="9" spans="1:32">
      <c r="A9" s="30"/>
      <c r="B9" s="51"/>
      <c r="D9" s="22"/>
      <c r="F9" s="30"/>
      <c r="N9" s="22"/>
      <c r="P9" s="30"/>
      <c r="V9" s="22"/>
      <c r="X9" s="30"/>
      <c r="AD9" s="22"/>
      <c r="AE9" s="22"/>
      <c r="AF9" s="22"/>
    </row>
    <row r="10" spans="1:32">
      <c r="A10" s="30"/>
      <c r="B10" s="52" t="s">
        <v>25</v>
      </c>
      <c r="C10" s="43">
        <f>83.3*'ABS Presiones de diseño'!B18*(paneles!C4/1000)*(paneles!C5/1000)^2/internos!C8</f>
        <v>7.76494735356387</v>
      </c>
      <c r="D10" s="44" t="s">
        <v>91</v>
      </c>
      <c r="F10" s="30"/>
      <c r="N10" s="22"/>
      <c r="P10" s="30"/>
      <c r="V10" s="22"/>
      <c r="X10" s="30"/>
      <c r="AD10" s="22"/>
      <c r="AE10" s="22"/>
      <c r="AF10" s="22"/>
    </row>
    <row r="11" spans="1:32">
      <c r="A11" s="30"/>
      <c r="B11" s="51" t="s">
        <v>93</v>
      </c>
      <c r="C11">
        <v>69000</v>
      </c>
      <c r="D11" s="22" t="s">
        <v>94</v>
      </c>
      <c r="F11" s="30"/>
      <c r="N11" s="22"/>
      <c r="P11" s="30"/>
      <c r="V11" s="22"/>
      <c r="X11" s="30"/>
      <c r="AD11" s="22"/>
      <c r="AE11" s="22"/>
      <c r="AF11" s="22"/>
    </row>
    <row r="12" spans="1:32">
      <c r="A12" s="30"/>
      <c r="B12" s="51" t="s">
        <v>92</v>
      </c>
      <c r="C12">
        <v>2.0999999999999999E-3</v>
      </c>
      <c r="D12" s="22"/>
      <c r="F12" s="30"/>
      <c r="N12" s="22"/>
      <c r="P12" s="30"/>
      <c r="V12" s="22"/>
      <c r="X12" s="30"/>
      <c r="AD12" s="22"/>
      <c r="AE12" s="22"/>
      <c r="AF12" s="22"/>
    </row>
    <row r="13" spans="1:32" ht="15.75" thickBot="1">
      <c r="A13" s="30"/>
      <c r="B13" s="53" t="s">
        <v>27</v>
      </c>
      <c r="C13" s="45">
        <f>260*'ABS Presiones de diseño'!B18*(paneles!C4/1000)*(paneles!C5/1000)^3/(C12*C11)</f>
        <v>10.192556081068252</v>
      </c>
      <c r="D13" s="46" t="s">
        <v>95</v>
      </c>
      <c r="F13" s="30"/>
      <c r="N13" s="22"/>
      <c r="P13" s="30"/>
      <c r="V13" s="22"/>
      <c r="X13" s="30"/>
      <c r="AD13" s="22"/>
      <c r="AE13" s="22"/>
      <c r="AF13" s="22"/>
    </row>
    <row r="14" spans="1:32">
      <c r="A14" s="30"/>
      <c r="B14" s="62" t="s">
        <v>117</v>
      </c>
      <c r="C14" s="32">
        <f>M37/C10</f>
        <v>1.1528483095607731</v>
      </c>
      <c r="F14" s="30"/>
      <c r="N14" s="22"/>
      <c r="P14" s="30"/>
      <c r="V14" s="22"/>
      <c r="X14" s="30"/>
      <c r="AD14" s="22"/>
      <c r="AE14" s="22"/>
      <c r="AF14" s="22"/>
    </row>
    <row r="15" spans="1:32">
      <c r="A15" s="30"/>
      <c r="F15" s="30"/>
      <c r="N15" s="22"/>
      <c r="P15" s="30"/>
      <c r="V15" s="22"/>
      <c r="X15" s="30"/>
      <c r="AD15" s="22"/>
      <c r="AE15" s="22"/>
      <c r="AF15" s="22"/>
    </row>
    <row r="16" spans="1:32" ht="15.75" thickBot="1">
      <c r="A16" s="30"/>
      <c r="F16" s="30"/>
      <c r="N16" s="22"/>
      <c r="P16" s="30"/>
      <c r="V16" s="22"/>
      <c r="X16" s="30"/>
      <c r="AD16" s="22"/>
      <c r="AE16" s="22"/>
      <c r="AF16" s="22"/>
    </row>
    <row r="17" spans="1:42" ht="15.75" thickBot="1">
      <c r="A17" s="30"/>
      <c r="B17" s="47" t="s">
        <v>96</v>
      </c>
      <c r="C17" s="48"/>
      <c r="D17" s="49"/>
      <c r="F17" s="30"/>
      <c r="N17" s="22"/>
      <c r="P17" s="30"/>
      <c r="V17" s="22"/>
      <c r="X17" s="30"/>
      <c r="AD17" s="22"/>
      <c r="AE17" s="22"/>
      <c r="AF17" s="22"/>
    </row>
    <row r="18" spans="1:42">
      <c r="A18" s="30"/>
      <c r="F18" s="30"/>
      <c r="N18" s="22"/>
      <c r="P18" s="30"/>
      <c r="V18" s="22"/>
      <c r="X18" s="30"/>
      <c r="AD18" s="22"/>
      <c r="AE18" s="22"/>
      <c r="AF18" s="22"/>
    </row>
    <row r="19" spans="1:42" ht="15.75" thickBot="1">
      <c r="A19" s="30"/>
      <c r="F19" s="30"/>
      <c r="N19" s="22"/>
      <c r="P19" s="30"/>
      <c r="V19" s="22"/>
      <c r="X19" s="30"/>
      <c r="AD19" s="22"/>
      <c r="AE19" s="22"/>
      <c r="AF19" s="22"/>
    </row>
    <row r="20" spans="1:42">
      <c r="A20" s="30"/>
      <c r="B20" s="50" t="s">
        <v>89</v>
      </c>
      <c r="C20" s="21">
        <f>0.6*125</f>
        <v>75</v>
      </c>
      <c r="D20" s="7" t="s">
        <v>24</v>
      </c>
      <c r="F20" s="30"/>
      <c r="N20" s="22"/>
      <c r="P20" s="30"/>
      <c r="V20" s="22"/>
      <c r="X20" s="30"/>
      <c r="AD20" s="22"/>
      <c r="AE20" s="22"/>
      <c r="AF20" s="22"/>
      <c r="AO20" s="32">
        <f>AO30</f>
        <v>10.7</v>
      </c>
    </row>
    <row r="21" spans="1:42">
      <c r="A21" s="30"/>
      <c r="B21" s="51"/>
      <c r="D21" s="22"/>
      <c r="F21" s="30"/>
      <c r="N21" s="22"/>
      <c r="P21" s="30"/>
      <c r="V21" s="22"/>
      <c r="X21" s="30"/>
      <c r="AD21" s="22"/>
      <c r="AE21" s="22"/>
      <c r="AF21" s="22"/>
    </row>
    <row r="22" spans="1:42">
      <c r="A22" s="30"/>
      <c r="B22" s="52" t="s">
        <v>25</v>
      </c>
      <c r="C22" s="43">
        <f>83.3*'ABS Presiones de diseño'!B27*(paneles!C35/1000)*(paneles!C5/1000)^2/internos!C20</f>
        <v>2.42654604798871</v>
      </c>
      <c r="D22" s="44" t="s">
        <v>91</v>
      </c>
      <c r="F22" s="30"/>
      <c r="N22" s="22"/>
      <c r="P22" s="30"/>
      <c r="V22" s="22"/>
      <c r="X22" s="30"/>
      <c r="AD22" s="22"/>
      <c r="AE22" s="22"/>
      <c r="AF22" s="22"/>
    </row>
    <row r="23" spans="1:42" ht="15.75" thickBot="1">
      <c r="A23" s="30"/>
      <c r="B23" s="51" t="s">
        <v>93</v>
      </c>
      <c r="C23">
        <f>C11</f>
        <v>69000</v>
      </c>
      <c r="D23" s="22" t="s">
        <v>94</v>
      </c>
      <c r="F23" s="30"/>
      <c r="N23" s="22"/>
      <c r="P23" s="28"/>
      <c r="Q23" s="23"/>
      <c r="R23" s="23"/>
      <c r="S23" s="23"/>
      <c r="T23" s="23"/>
      <c r="U23" s="23"/>
      <c r="V23" s="24"/>
      <c r="X23" s="28"/>
      <c r="Y23" s="23"/>
      <c r="Z23" s="23"/>
      <c r="AA23" s="23"/>
      <c r="AB23" s="23"/>
      <c r="AC23" s="23"/>
      <c r="AD23" s="24"/>
      <c r="AE23" s="24"/>
      <c r="AF23" s="22"/>
    </row>
    <row r="24" spans="1:42" ht="15.75" thickBot="1">
      <c r="A24" s="30"/>
      <c r="B24" s="51" t="s">
        <v>92</v>
      </c>
      <c r="C24">
        <f>C12</f>
        <v>2.0999999999999999E-3</v>
      </c>
      <c r="D24" s="22"/>
      <c r="F24" s="28"/>
      <c r="G24" s="23"/>
      <c r="H24" s="23"/>
      <c r="I24" s="23"/>
      <c r="J24" s="23"/>
      <c r="K24" s="23"/>
      <c r="L24" s="23"/>
      <c r="M24" s="23"/>
      <c r="N24" s="24"/>
      <c r="AF24" s="22"/>
    </row>
    <row r="25" spans="1:42" ht="15.75" thickBot="1">
      <c r="A25" s="30"/>
      <c r="B25" s="53" t="s">
        <v>27</v>
      </c>
      <c r="C25" s="45">
        <f>(260*'ABS Presiones de diseño'!B27*(paneles!C4/1000)*(paneles!C5/1000)^3/(internos!C23*internos!C24))</f>
        <v>2.3521283264003663</v>
      </c>
      <c r="D25" s="46" t="s">
        <v>95</v>
      </c>
      <c r="F25" s="506" t="s">
        <v>129</v>
      </c>
      <c r="G25" s="507"/>
      <c r="H25" s="507"/>
      <c r="I25" s="507"/>
      <c r="J25" s="507"/>
      <c r="K25" s="507"/>
      <c r="L25" s="507"/>
      <c r="M25" s="507"/>
      <c r="N25" s="508"/>
      <c r="AF25" s="22"/>
    </row>
    <row r="26" spans="1:42">
      <c r="A26" s="30"/>
      <c r="B26" s="51" t="s">
        <v>111</v>
      </c>
      <c r="C26" s="61">
        <f>M69/C22</f>
        <v>1.3151437341344618</v>
      </c>
      <c r="AF26" s="22"/>
      <c r="AG26" t="s">
        <v>404</v>
      </c>
      <c r="AH26" t="s">
        <v>405</v>
      </c>
      <c r="AI26">
        <v>60</v>
      </c>
    </row>
    <row r="27" spans="1:42">
      <c r="A27" s="30"/>
      <c r="R27">
        <f>(R34+Q35)*Q34</f>
        <v>390</v>
      </c>
      <c r="AF27" s="22"/>
      <c r="AH27" t="s">
        <v>406</v>
      </c>
      <c r="AI27">
        <v>20</v>
      </c>
    </row>
    <row r="28" spans="1:42" ht="15.75" thickBot="1">
      <c r="A28" s="30"/>
      <c r="M28" s="98"/>
      <c r="AF28" s="22"/>
      <c r="AH28" t="s">
        <v>407</v>
      </c>
      <c r="AI28">
        <v>5</v>
      </c>
    </row>
    <row r="29" spans="1:42" ht="15.75" thickBot="1">
      <c r="A29" s="30"/>
      <c r="B29" s="47" t="s">
        <v>109</v>
      </c>
      <c r="C29" s="41"/>
      <c r="D29" s="42"/>
      <c r="AF29" s="22"/>
      <c r="AH29" t="s">
        <v>371</v>
      </c>
      <c r="AI29" t="s">
        <v>372</v>
      </c>
      <c r="AJ29" t="s">
        <v>373</v>
      </c>
      <c r="AK29" t="s">
        <v>342</v>
      </c>
      <c r="AL29" t="s">
        <v>408</v>
      </c>
      <c r="AM29" t="s">
        <v>27</v>
      </c>
    </row>
    <row r="30" spans="1:42" ht="15.75" thickBot="1">
      <c r="A30" s="30"/>
      <c r="AF30" s="22"/>
      <c r="AG30" t="s">
        <v>403</v>
      </c>
      <c r="AH30">
        <v>250</v>
      </c>
      <c r="AI30">
        <v>6</v>
      </c>
      <c r="AJ30">
        <f>AI30*AH30</f>
        <v>1500</v>
      </c>
      <c r="AK30">
        <f>AI30/2</f>
        <v>3</v>
      </c>
      <c r="AL30">
        <f>AJ30*AK30</f>
        <v>4500</v>
      </c>
      <c r="AM30">
        <f>(1/12)*AH30*AI30^3+AJ30*(AO20-AK30)^2</f>
        <v>93434.999999999985</v>
      </c>
      <c r="AO30" s="32">
        <f>SUM(AL30:AL32)/SUM(AJ30:AJ32)</f>
        <v>10.7</v>
      </c>
    </row>
    <row r="31" spans="1:42" ht="15.75" thickBot="1">
      <c r="A31" s="30"/>
      <c r="L31" s="75"/>
      <c r="M31" s="37"/>
      <c r="N31" s="38"/>
      <c r="P31" s="506" t="s">
        <v>421</v>
      </c>
      <c r="Q31" s="507"/>
      <c r="R31" s="507"/>
      <c r="S31" s="507"/>
      <c r="T31" s="507"/>
      <c r="U31" s="507"/>
      <c r="V31" s="508"/>
      <c r="AF31" s="22"/>
      <c r="AG31" t="s">
        <v>119</v>
      </c>
      <c r="AH31">
        <f>AI28</f>
        <v>5</v>
      </c>
      <c r="AI31">
        <f>AI26-AI28</f>
        <v>55</v>
      </c>
      <c r="AJ31">
        <f>AI31*AH31</f>
        <v>275</v>
      </c>
      <c r="AK31">
        <f>AI30+(AI31/2)</f>
        <v>33.5</v>
      </c>
      <c r="AL31">
        <f>AJ31*AK31</f>
        <v>9212.5</v>
      </c>
      <c r="AM31">
        <f>(1/12)*AH31*AI31^3+AJ31*(AK31-AO20)^2</f>
        <v>212278.91666666666</v>
      </c>
    </row>
    <row r="32" spans="1:42" ht="15.75" thickBot="1">
      <c r="A32" s="30"/>
      <c r="B32" s="50" t="s">
        <v>89</v>
      </c>
      <c r="C32" s="21">
        <f>133*0.75</f>
        <v>99.75</v>
      </c>
      <c r="D32" s="7" t="s">
        <v>24</v>
      </c>
      <c r="L32" s="571" t="s">
        <v>128</v>
      </c>
      <c r="M32" s="572"/>
      <c r="N32" s="573"/>
      <c r="P32" s="414"/>
      <c r="Q32" s="350" t="s">
        <v>371</v>
      </c>
      <c r="R32" s="350" t="s">
        <v>372</v>
      </c>
      <c r="S32" s="350" t="s">
        <v>373</v>
      </c>
      <c r="T32" s="350" t="s">
        <v>342</v>
      </c>
      <c r="U32" s="350" t="s">
        <v>408</v>
      </c>
      <c r="V32" s="415" t="s">
        <v>27</v>
      </c>
      <c r="AF32" s="22"/>
      <c r="AG32" t="s">
        <v>120</v>
      </c>
      <c r="AH32">
        <f>AI27</f>
        <v>20</v>
      </c>
      <c r="AI32">
        <v>5</v>
      </c>
      <c r="AJ32">
        <f>AI32*AH32</f>
        <v>100</v>
      </c>
      <c r="AK32">
        <f>AI30+AI31+(AI32/2)</f>
        <v>63.5</v>
      </c>
      <c r="AL32">
        <f>AJ32*AK32</f>
        <v>6350</v>
      </c>
      <c r="AM32">
        <f>(1/12)*AH32*AI32^3+AJ32*(AK32-AO20)^2</f>
        <v>278992.33333333326</v>
      </c>
      <c r="AO32" t="s">
        <v>409</v>
      </c>
      <c r="AP32" s="32">
        <f>AI26-AO30</f>
        <v>49.3</v>
      </c>
    </row>
    <row r="33" spans="1:39" ht="15.75" thickBot="1">
      <c r="A33" s="30"/>
      <c r="B33" s="51" t="s">
        <v>118</v>
      </c>
      <c r="C33" s="85">
        <v>1000</v>
      </c>
      <c r="D33" s="22" t="s">
        <v>76</v>
      </c>
      <c r="L33" s="30"/>
      <c r="N33" s="22"/>
      <c r="P33" s="68" t="s">
        <v>403</v>
      </c>
      <c r="Q33" s="84">
        <f>60*6</f>
        <v>360</v>
      </c>
      <c r="R33" s="84">
        <v>6</v>
      </c>
      <c r="S33" s="8">
        <f>R33*Q33</f>
        <v>2160</v>
      </c>
      <c r="T33" s="8">
        <f>R33/2</f>
        <v>3</v>
      </c>
      <c r="U33" s="8">
        <f>S33*T33</f>
        <v>6480</v>
      </c>
      <c r="V33" s="64">
        <f>((1/12)*Q33*R33^3+S33*(U36-T33)^2)/10000</f>
        <v>7.0153586159169556</v>
      </c>
      <c r="AF33" s="22"/>
    </row>
    <row r="34" spans="1:39">
      <c r="A34" s="30"/>
      <c r="B34" s="52" t="s">
        <v>25</v>
      </c>
      <c r="C34" s="43">
        <f>83.3*'ABS Presiones de diseño'!B40*(paneles!C5/1000)*(C33/1000)^2/internos!C32</f>
        <v>3.1315789473684212</v>
      </c>
      <c r="D34" s="44" t="s">
        <v>97</v>
      </c>
      <c r="L34" s="560" t="s">
        <v>114</v>
      </c>
      <c r="M34" s="74" t="s">
        <v>115</v>
      </c>
      <c r="N34" s="80">
        <v>6</v>
      </c>
      <c r="P34" s="68" t="s">
        <v>119</v>
      </c>
      <c r="Q34" s="84">
        <v>6</v>
      </c>
      <c r="R34" s="84">
        <v>65</v>
      </c>
      <c r="S34" s="8">
        <f>R34*Q34</f>
        <v>390</v>
      </c>
      <c r="T34" s="8">
        <f>R33+(R34/2)</f>
        <v>38.5</v>
      </c>
      <c r="U34" s="8">
        <f>S34*T34</f>
        <v>15015</v>
      </c>
      <c r="V34" s="64">
        <f>((1/12)*Q34*R34^3+S34*(T34-U36)^2)/10000</f>
        <v>48.996620795847747</v>
      </c>
      <c r="AF34" s="22"/>
      <c r="AM34">
        <f>SUM(AM30:AM32)/10000</f>
        <v>58.470624999999991</v>
      </c>
    </row>
    <row r="35" spans="1:39" ht="15.75" thickBot="1">
      <c r="A35" s="30"/>
      <c r="B35" s="51" t="s">
        <v>93</v>
      </c>
      <c r="C35">
        <f>C11</f>
        <v>69000</v>
      </c>
      <c r="D35" s="22" t="str">
        <f>D11</f>
        <v>N/mm^2</v>
      </c>
      <c r="L35" s="561"/>
      <c r="M35" s="71" t="s">
        <v>116</v>
      </c>
      <c r="N35" s="81">
        <v>65</v>
      </c>
      <c r="P35" s="68" t="s">
        <v>412</v>
      </c>
      <c r="Q35" s="8">
        <v>0</v>
      </c>
      <c r="R35" s="8">
        <v>0</v>
      </c>
      <c r="S35" s="8">
        <f>R35*Q35</f>
        <v>0</v>
      </c>
      <c r="T35" s="8">
        <v>0</v>
      </c>
      <c r="U35" s="8">
        <f>S35*T35</f>
        <v>0</v>
      </c>
      <c r="V35" s="64">
        <f>((1/12)*Q35*R35^3+S35*(T35-U36)^2)/10000</f>
        <v>0</v>
      </c>
      <c r="AF35" s="22"/>
      <c r="AM35">
        <f>AM34/(AP32/10)</f>
        <v>11.860167342799187</v>
      </c>
    </row>
    <row r="36" spans="1:39">
      <c r="A36" s="30"/>
      <c r="B36" s="51" t="s">
        <v>92</v>
      </c>
      <c r="C36">
        <v>2.0999999999999999E-3</v>
      </c>
      <c r="D36" s="22"/>
      <c r="L36" s="30" t="s">
        <v>100</v>
      </c>
      <c r="M36" s="61">
        <f>SUM(V33:V35)</f>
        <v>56.011979411764699</v>
      </c>
      <c r="N36" s="22" t="s">
        <v>95</v>
      </c>
      <c r="P36" s="416"/>
      <c r="T36" s="333" t="s">
        <v>123</v>
      </c>
      <c r="U36" s="61">
        <f>SUM(U33:U35)/(SUM(S33:S35))</f>
        <v>8.4294117647058826</v>
      </c>
      <c r="V36" s="22"/>
      <c r="AF36" s="22"/>
    </row>
    <row r="37" spans="1:39" ht="15.75" thickBot="1">
      <c r="A37" s="30"/>
      <c r="B37" s="53" t="s">
        <v>27</v>
      </c>
      <c r="C37" s="45">
        <f>(260*'ABS Presiones de diseño'!B40*(paneles!C5/1000)*(C33/1000)^3/(internos!C36*internos!C35))</f>
        <v>6.7287784679089038</v>
      </c>
      <c r="D37" s="46" t="s">
        <v>95</v>
      </c>
      <c r="L37" s="28" t="s">
        <v>25</v>
      </c>
      <c r="M37" s="29">
        <f>M36/((SUM(R33:R34)-U36)/10)</f>
        <v>8.9518064303845062</v>
      </c>
      <c r="N37" s="24" t="s">
        <v>91</v>
      </c>
      <c r="P37" s="30"/>
      <c r="V37" s="22"/>
      <c r="AF37" s="22"/>
    </row>
    <row r="38" spans="1:39" ht="15.75" thickBot="1">
      <c r="A38" s="30"/>
      <c r="B38" s="51" t="s">
        <v>111</v>
      </c>
      <c r="C38" s="32">
        <f>M63/C34</f>
        <v>1.3633391757311442</v>
      </c>
      <c r="L38" s="30"/>
      <c r="N38" s="22"/>
      <c r="P38" s="30"/>
      <c r="V38" s="22"/>
      <c r="AF38" s="22"/>
    </row>
    <row r="39" spans="1:39" ht="15.75" thickBot="1">
      <c r="A39" s="30"/>
      <c r="L39" s="562" t="s">
        <v>102</v>
      </c>
      <c r="M39" s="74" t="s">
        <v>115</v>
      </c>
      <c r="N39" s="80">
        <v>4</v>
      </c>
      <c r="P39" s="506" t="s">
        <v>410</v>
      </c>
      <c r="Q39" s="507"/>
      <c r="R39" s="507"/>
      <c r="S39" s="507"/>
      <c r="T39" s="507"/>
      <c r="U39" s="508"/>
      <c r="V39" s="22"/>
      <c r="AF39" s="22"/>
    </row>
    <row r="40" spans="1:39" ht="15.6" customHeight="1" thickBot="1">
      <c r="A40" s="30"/>
      <c r="L40" s="563"/>
      <c r="M40" s="71" t="s">
        <v>116</v>
      </c>
      <c r="N40" s="81">
        <v>100</v>
      </c>
      <c r="P40" s="65"/>
      <c r="Q40" s="67" t="s">
        <v>414</v>
      </c>
      <c r="R40" s="67" t="s">
        <v>385</v>
      </c>
      <c r="S40" s="37"/>
      <c r="T40" s="66" t="s">
        <v>25</v>
      </c>
      <c r="U40" s="332">
        <f>(U42+U43)/((Q42-U41)/10)</f>
        <v>3.1912568306010933</v>
      </c>
      <c r="V40" s="22"/>
      <c r="AF40" s="22"/>
    </row>
    <row r="41" spans="1:39" ht="15.75" thickBot="1">
      <c r="A41" s="30"/>
      <c r="B41" s="47" t="s">
        <v>457</v>
      </c>
      <c r="C41" s="41"/>
      <c r="D41" s="42"/>
      <c r="L41" s="30" t="s">
        <v>100</v>
      </c>
      <c r="M41" s="61">
        <f>AI86</f>
        <v>122.48859649122809</v>
      </c>
      <c r="N41" s="22" t="s">
        <v>95</v>
      </c>
      <c r="P41" s="68" t="s">
        <v>121</v>
      </c>
      <c r="Q41" s="84">
        <v>5</v>
      </c>
      <c r="R41" s="84">
        <f>IF(60*Q41&lt;500,60*Q41,250)</f>
        <v>300</v>
      </c>
      <c r="T41" s="70" t="s">
        <v>123</v>
      </c>
      <c r="U41" s="64">
        <f>((R42+Q42/2)*Q43+(R42/2)*R43)/(Q43+R43)</f>
        <v>5.1428571428571432</v>
      </c>
      <c r="V41" s="417"/>
      <c r="AF41" s="22"/>
      <c r="AG41" t="s">
        <v>411</v>
      </c>
      <c r="AH41" t="s">
        <v>405</v>
      </c>
      <c r="AI41">
        <v>60</v>
      </c>
    </row>
    <row r="42" spans="1:39" ht="15.75" thickBot="1">
      <c r="A42" s="30"/>
      <c r="L42" s="28" t="s">
        <v>25</v>
      </c>
      <c r="M42" s="31">
        <f>AI87</f>
        <v>13.336867239732571</v>
      </c>
      <c r="N42" s="24" t="s">
        <v>91</v>
      </c>
      <c r="P42" s="68" t="s">
        <v>116</v>
      </c>
      <c r="Q42" s="84">
        <v>40</v>
      </c>
      <c r="R42" s="84">
        <v>4</v>
      </c>
      <c r="T42" s="70" t="s">
        <v>124</v>
      </c>
      <c r="U42" s="305">
        <f>((1/12)*Q41*Q42^3+Q43*((R42+Q42/2)-U41)^2)/10000</f>
        <v>9.7785034013605436</v>
      </c>
      <c r="V42" s="22"/>
      <c r="AF42" s="22"/>
      <c r="AH42" t="s">
        <v>406</v>
      </c>
      <c r="AI42">
        <v>19</v>
      </c>
    </row>
    <row r="43" spans="1:39" ht="15.75" thickBot="1">
      <c r="A43" s="30"/>
      <c r="L43" s="30"/>
      <c r="N43" s="22"/>
      <c r="P43" s="69" t="s">
        <v>122</v>
      </c>
      <c r="Q43" s="14">
        <f>Q42*Q41</f>
        <v>200</v>
      </c>
      <c r="R43" s="14">
        <f>R41*R42</f>
        <v>1200</v>
      </c>
      <c r="S43" s="23"/>
      <c r="T43" s="71" t="s">
        <v>125</v>
      </c>
      <c r="U43" s="306">
        <f>((1/12)*R41*R42^3+R43*((R42/2)-U41)^2)/10000</f>
        <v>1.34530612244898</v>
      </c>
      <c r="V43" s="22"/>
      <c r="AF43" s="22"/>
      <c r="AH43" t="s">
        <v>407</v>
      </c>
      <c r="AI43">
        <v>5</v>
      </c>
    </row>
    <row r="44" spans="1:39">
      <c r="A44" s="30"/>
      <c r="B44" s="50" t="s">
        <v>89</v>
      </c>
      <c r="C44" s="21">
        <f>0.65*125</f>
        <v>81.25</v>
      </c>
      <c r="D44" s="7" t="s">
        <v>24</v>
      </c>
      <c r="L44" s="564" t="s">
        <v>103</v>
      </c>
      <c r="M44" s="74" t="s">
        <v>115</v>
      </c>
      <c r="N44" s="80">
        <v>12</v>
      </c>
      <c r="P44" s="30"/>
      <c r="V44" s="22"/>
      <c r="AF44" s="22"/>
      <c r="AH44" t="s">
        <v>371</v>
      </c>
      <c r="AI44" t="s">
        <v>372</v>
      </c>
      <c r="AJ44" t="s">
        <v>373</v>
      </c>
      <c r="AK44" t="s">
        <v>342</v>
      </c>
      <c r="AL44" t="s">
        <v>408</v>
      </c>
      <c r="AM44" t="s">
        <v>27</v>
      </c>
    </row>
    <row r="45" spans="1:39" ht="15.75" thickBot="1">
      <c r="A45" s="30"/>
      <c r="B45" s="51"/>
      <c r="D45" s="22"/>
      <c r="L45" s="565"/>
      <c r="M45" s="71" t="s">
        <v>116</v>
      </c>
      <c r="N45" s="81">
        <v>80</v>
      </c>
      <c r="P45" s="30"/>
      <c r="V45" s="22"/>
      <c r="AF45" s="22"/>
      <c r="AG45" t="s">
        <v>403</v>
      </c>
      <c r="AH45">
        <v>250</v>
      </c>
      <c r="AI45">
        <v>6</v>
      </c>
      <c r="AJ45">
        <f>AI45*AH45</f>
        <v>1500</v>
      </c>
      <c r="AK45">
        <f>AI45/2</f>
        <v>3</v>
      </c>
      <c r="AL45">
        <f>AJ45*AK45</f>
        <v>4500</v>
      </c>
      <c r="AM45">
        <f>(1/12)*AH45*AI45^3+AJ45*(AL49-AK45)^2</f>
        <v>133918.80114783719</v>
      </c>
    </row>
    <row r="46" spans="1:39">
      <c r="A46" s="30"/>
      <c r="B46" s="52" t="s">
        <v>25</v>
      </c>
      <c r="C46" s="136">
        <f>83.3*'ABS Presiones de diseño'!B18*(paneles!C4/1000)*(paneles!C5/1000)^2/internos!C44</f>
        <v>7.76494735356387</v>
      </c>
      <c r="D46" s="44" t="s">
        <v>97</v>
      </c>
      <c r="L46" s="30" t="s">
        <v>100</v>
      </c>
      <c r="M46" s="61">
        <f>AI100</f>
        <v>347.98170731707319</v>
      </c>
      <c r="N46" s="22" t="s">
        <v>95</v>
      </c>
      <c r="P46" s="30"/>
      <c r="V46" s="22"/>
      <c r="AF46" s="22"/>
      <c r="AG46" t="s">
        <v>119</v>
      </c>
      <c r="AH46">
        <f>AI43</f>
        <v>5</v>
      </c>
      <c r="AI46">
        <f>AI41-AI47</f>
        <v>50</v>
      </c>
      <c r="AJ46">
        <f>AI46*AH46</f>
        <v>250</v>
      </c>
      <c r="AK46">
        <f>AI45+(AI46/2)</f>
        <v>31</v>
      </c>
      <c r="AL46">
        <f>AJ46*AK46</f>
        <v>7750</v>
      </c>
      <c r="AM46">
        <f>(1/12)*AH46*AI46^3+AJ46*(AK46-AL49)^2</f>
        <v>139611.89641123748</v>
      </c>
    </row>
    <row r="47" spans="1:39" ht="15.75" thickBot="1">
      <c r="A47" s="30"/>
      <c r="B47" s="51" t="s">
        <v>93</v>
      </c>
      <c r="C47">
        <f>C35</f>
        <v>69000</v>
      </c>
      <c r="D47" s="22" t="str">
        <f>D23</f>
        <v>N/mm^2</v>
      </c>
      <c r="L47" s="28" t="s">
        <v>25</v>
      </c>
      <c r="M47" s="29">
        <f>AI101</f>
        <v>35.358736059479561</v>
      </c>
      <c r="N47" s="24" t="s">
        <v>91</v>
      </c>
      <c r="P47" s="30"/>
      <c r="V47" s="22"/>
      <c r="AF47" s="22"/>
      <c r="AG47" t="s">
        <v>120</v>
      </c>
      <c r="AH47">
        <f>AI42</f>
        <v>19</v>
      </c>
      <c r="AI47">
        <v>10</v>
      </c>
      <c r="AJ47">
        <f>AI47*AH47</f>
        <v>190</v>
      </c>
      <c r="AK47">
        <f>AI45+AI46+(AI47/2)</f>
        <v>61</v>
      </c>
      <c r="AL47">
        <f>AJ47*AK47</f>
        <v>11590</v>
      </c>
      <c r="AM47">
        <f>(1/12)*AH47*AI47^3+AJ47*(AK47-AL49)^2</f>
        <v>452414.31962305598</v>
      </c>
    </row>
    <row r="48" spans="1:39" ht="15.75" thickBot="1">
      <c r="A48" s="30"/>
      <c r="B48" s="51" t="s">
        <v>92</v>
      </c>
      <c r="C48">
        <v>1.8E-3</v>
      </c>
      <c r="D48" s="22"/>
      <c r="F48" s="570" t="s">
        <v>127</v>
      </c>
      <c r="G48" s="570"/>
      <c r="H48" s="570"/>
      <c r="I48" s="570"/>
      <c r="J48" s="570"/>
      <c r="L48" s="30"/>
      <c r="N48" s="22"/>
      <c r="P48" s="30"/>
      <c r="V48" s="22"/>
      <c r="AF48" s="22"/>
    </row>
    <row r="49" spans="1:39" ht="15.75" thickBot="1">
      <c r="A49" s="30"/>
      <c r="B49" s="53" t="s">
        <v>27</v>
      </c>
      <c r="C49" s="45">
        <f>260*'ABS Presiones de diseño'!B18*(paneles!C4/1000)*(paneles!C5/1000)^3/(C48*C47)</f>
        <v>11.891315427912959</v>
      </c>
      <c r="D49" s="46" t="s">
        <v>95</v>
      </c>
      <c r="L49" s="30"/>
      <c r="N49" s="22"/>
      <c r="P49" s="506" t="s">
        <v>420</v>
      </c>
      <c r="Q49" s="507"/>
      <c r="R49" s="507"/>
      <c r="S49" s="507"/>
      <c r="T49" s="507"/>
      <c r="U49" s="508"/>
      <c r="V49" s="22"/>
      <c r="AF49" s="22"/>
      <c r="AL49">
        <f>SUM(AL45:AL47)/SUM(AJ45:AJ47)</f>
        <v>12.288659793814434</v>
      </c>
    </row>
    <row r="50" spans="1:39">
      <c r="A50" s="30"/>
      <c r="B50" s="51" t="s">
        <v>111</v>
      </c>
      <c r="C50" s="32">
        <f>M42/C46</f>
        <v>1.71757342741176</v>
      </c>
      <c r="L50" s="566" t="s">
        <v>108</v>
      </c>
      <c r="M50" s="21"/>
      <c r="N50" s="7"/>
      <c r="P50" s="65"/>
      <c r="Q50" s="67" t="s">
        <v>119</v>
      </c>
      <c r="R50" s="67" t="s">
        <v>120</v>
      </c>
      <c r="S50" s="37" t="s">
        <v>403</v>
      </c>
      <c r="T50" s="66"/>
      <c r="U50" s="10"/>
      <c r="V50" s="22"/>
      <c r="AF50" s="22"/>
      <c r="AL50">
        <f>AM47+AM46+AM45</f>
        <v>725945.0171821306</v>
      </c>
      <c r="AM50" s="32">
        <f>AL50/10000</f>
        <v>72.594501718213067</v>
      </c>
    </row>
    <row r="51" spans="1:39" ht="15.75" thickBot="1">
      <c r="A51" s="30"/>
      <c r="L51" s="567"/>
      <c r="M51" s="23"/>
      <c r="N51" s="24"/>
      <c r="P51" s="68" t="s">
        <v>121</v>
      </c>
      <c r="Q51" s="84">
        <v>4</v>
      </c>
      <c r="R51" s="84">
        <v>38</v>
      </c>
      <c r="S51" s="84">
        <f>Q51*60</f>
        <v>240</v>
      </c>
      <c r="T51" s="70" t="s">
        <v>123</v>
      </c>
      <c r="U51" s="64">
        <f>SUM(AH52:AH54)/SUM(Q53:S53)</f>
        <v>21.654618473895582</v>
      </c>
      <c r="V51" s="22"/>
      <c r="AF51" s="22"/>
      <c r="AG51" t="s">
        <v>31</v>
      </c>
      <c r="AH51" t="s">
        <v>413</v>
      </c>
      <c r="AI51" t="s">
        <v>27</v>
      </c>
      <c r="AL51">
        <f>AI41-AL49</f>
        <v>47.711340206185568</v>
      </c>
    </row>
    <row r="52" spans="1:39" ht="15.75" thickBot="1">
      <c r="A52" s="30"/>
      <c r="L52" s="30" t="s">
        <v>100</v>
      </c>
      <c r="M52" s="61">
        <f>U52+U53</f>
        <v>244.40503775100404</v>
      </c>
      <c r="N52" s="22" t="s">
        <v>95</v>
      </c>
      <c r="P52" s="68" t="s">
        <v>116</v>
      </c>
      <c r="Q52" s="84">
        <v>100</v>
      </c>
      <c r="R52" s="84">
        <v>4</v>
      </c>
      <c r="S52" s="84">
        <v>6</v>
      </c>
      <c r="T52" s="70" t="s">
        <v>124</v>
      </c>
      <c r="U52" s="305">
        <f>(AI53+AI54)/10000</f>
        <v>193.86178793245273</v>
      </c>
      <c r="V52" s="22"/>
      <c r="AF52" s="22"/>
      <c r="AG52">
        <f>S52/2</f>
        <v>3</v>
      </c>
      <c r="AH52">
        <f>AG52*S53</f>
        <v>4320</v>
      </c>
      <c r="AI52" s="334">
        <f>(1/12)*S51*S52^3+S53*((S52/2)-U51)^2</f>
        <v>505432.49818551313</v>
      </c>
      <c r="AL52">
        <f>AL50/(AL51/10)/10000</f>
        <v>15.215355805243448</v>
      </c>
    </row>
    <row r="53" spans="1:39" ht="15.75" thickBot="1">
      <c r="A53" s="30"/>
      <c r="B53" s="47" t="s">
        <v>107</v>
      </c>
      <c r="C53" s="41"/>
      <c r="D53" s="42"/>
      <c r="L53" s="28" t="s">
        <v>25</v>
      </c>
      <c r="M53" s="63">
        <f>M52/((Q52+R52+S52-U51)/10)</f>
        <v>27.664721520138198</v>
      </c>
      <c r="N53" s="24" t="s">
        <v>91</v>
      </c>
      <c r="P53" s="69" t="s">
        <v>122</v>
      </c>
      <c r="Q53" s="14">
        <f>Q52*Q51</f>
        <v>400</v>
      </c>
      <c r="R53" s="14">
        <f>R51*R52</f>
        <v>152</v>
      </c>
      <c r="S53" s="23">
        <f>S52*S51</f>
        <v>1440</v>
      </c>
      <c r="T53" s="71" t="s">
        <v>125</v>
      </c>
      <c r="U53" s="306">
        <f>AI52/10000</f>
        <v>50.543249818551317</v>
      </c>
      <c r="V53" s="22"/>
      <c r="AF53" s="22"/>
      <c r="AG53">
        <f>S52+Q52/2</f>
        <v>56</v>
      </c>
      <c r="AH53">
        <f>AG53*Q53</f>
        <v>22400</v>
      </c>
      <c r="AI53" s="334">
        <f>(1/12)*Q51*Q52^3+Q53*(AG53-U51)^2</f>
        <v>805175.42620280315</v>
      </c>
    </row>
    <row r="54" spans="1:39" ht="15.75" thickBot="1">
      <c r="A54" s="30"/>
      <c r="L54" s="30"/>
      <c r="N54" s="22"/>
      <c r="P54" s="30"/>
      <c r="V54" s="22"/>
      <c r="AF54" s="22"/>
      <c r="AG54">
        <f>S52+Q52+R52/2</f>
        <v>108</v>
      </c>
      <c r="AH54">
        <f>AG54*R53</f>
        <v>16416</v>
      </c>
      <c r="AI54">
        <f>(1/12)*R51*R52^3+R53*(AG54-U51)^2</f>
        <v>1133442.4531217241</v>
      </c>
    </row>
    <row r="55" spans="1:39" ht="15.75" thickBot="1">
      <c r="A55" s="30"/>
      <c r="L55" s="576" t="s">
        <v>126</v>
      </c>
      <c r="M55" s="21"/>
      <c r="N55" s="7"/>
      <c r="P55" s="65"/>
      <c r="Q55" s="67" t="s">
        <v>119</v>
      </c>
      <c r="R55" s="67" t="s">
        <v>120</v>
      </c>
      <c r="S55" s="37" t="s">
        <v>403</v>
      </c>
      <c r="T55" s="66"/>
      <c r="U55" s="10"/>
      <c r="V55" s="22"/>
      <c r="AF55" s="22"/>
    </row>
    <row r="56" spans="1:39" ht="15.75" thickBot="1">
      <c r="A56" s="30"/>
      <c r="B56" s="50" t="s">
        <v>89</v>
      </c>
      <c r="C56" s="21">
        <f>125*0.8</f>
        <v>100</v>
      </c>
      <c r="D56" s="7" t="s">
        <v>24</v>
      </c>
      <c r="L56" s="577"/>
      <c r="M56" s="23"/>
      <c r="N56" s="24"/>
      <c r="P56" s="68" t="s">
        <v>121</v>
      </c>
      <c r="Q56" s="84">
        <v>4</v>
      </c>
      <c r="R56" s="84">
        <v>38</v>
      </c>
      <c r="S56" s="84">
        <f>Q56*60</f>
        <v>240</v>
      </c>
      <c r="T56" s="70" t="s">
        <v>123</v>
      </c>
      <c r="U56" s="64">
        <f>SUM(AH65:AH67)/SUM(Q58:S58)</f>
        <v>20.30167597765363</v>
      </c>
      <c r="V56" s="22"/>
      <c r="AF56" s="22"/>
      <c r="AI56">
        <f>(AI54+AI53+AI52)/10000</f>
        <v>244.40503775100404</v>
      </c>
    </row>
    <row r="57" spans="1:39">
      <c r="A57" s="30"/>
      <c r="B57" s="51"/>
      <c r="D57" s="22"/>
      <c r="L57" s="30" t="s">
        <v>100</v>
      </c>
      <c r="M57" s="61">
        <f>U57+U58</f>
        <v>132.94910093109871</v>
      </c>
      <c r="N57" s="22" t="s">
        <v>95</v>
      </c>
      <c r="P57" s="68" t="s">
        <v>116</v>
      </c>
      <c r="Q57" s="84">
        <v>80</v>
      </c>
      <c r="R57" s="84">
        <v>4</v>
      </c>
      <c r="S57" s="84">
        <v>4</v>
      </c>
      <c r="T57" s="70" t="s">
        <v>124</v>
      </c>
      <c r="U57" s="64">
        <f>(AI66+AI67)/10000</f>
        <v>100.66577194636041</v>
      </c>
      <c r="V57" s="22"/>
      <c r="AF57" s="22"/>
      <c r="AI57">
        <f>Q52+R52+S52</f>
        <v>110</v>
      </c>
    </row>
    <row r="58" spans="1:39" ht="15.75" thickBot="1">
      <c r="A58" s="30"/>
      <c r="B58" s="52" t="s">
        <v>25</v>
      </c>
      <c r="C58" s="43">
        <f>(83.3*'ABS Presiones de diseño'!B18*(paneles!C5/1000)*(0.5)^2/internos!C56)</f>
        <v>10.515032874617741</v>
      </c>
      <c r="D58" s="44" t="s">
        <v>97</v>
      </c>
      <c r="L58" s="28" t="s">
        <v>25</v>
      </c>
      <c r="M58" s="63">
        <f>M57/((SUM(Q57:S57)-U56)/10)</f>
        <v>19.638462672608245</v>
      </c>
      <c r="N58" s="24" t="s">
        <v>91</v>
      </c>
      <c r="P58" s="69" t="s">
        <v>122</v>
      </c>
      <c r="Q58" s="14">
        <f>Q57*Q56</f>
        <v>320</v>
      </c>
      <c r="R58" s="14">
        <f>R56*R57</f>
        <v>152</v>
      </c>
      <c r="S58" s="23">
        <f>S57*S56</f>
        <v>960</v>
      </c>
      <c r="T58" s="71" t="s">
        <v>125</v>
      </c>
      <c r="U58" s="276">
        <f>AI65/10000</f>
        <v>32.283328984738297</v>
      </c>
      <c r="V58" s="22"/>
      <c r="AF58" s="22"/>
      <c r="AI58" s="32">
        <f>(AI57-U51)/10</f>
        <v>8.8345381526104418</v>
      </c>
    </row>
    <row r="59" spans="1:39" ht="15.75" thickBot="1">
      <c r="A59" s="30"/>
      <c r="B59" s="51" t="s">
        <v>93</v>
      </c>
      <c r="C59">
        <f>C35</f>
        <v>69000</v>
      </c>
      <c r="D59" s="22" t="str">
        <f>D35</f>
        <v>N/mm^2</v>
      </c>
      <c r="L59" s="30"/>
      <c r="N59" s="22"/>
      <c r="P59" s="30"/>
      <c r="V59" s="22"/>
      <c r="AF59" s="22"/>
      <c r="AI59">
        <f>AI56/AI58</f>
        <v>27.664721520138198</v>
      </c>
    </row>
    <row r="60" spans="1:39" ht="15.75" thickBot="1">
      <c r="A60" s="30"/>
      <c r="B60" s="51" t="s">
        <v>92</v>
      </c>
      <c r="C60">
        <v>2.0999999999999999E-3</v>
      </c>
      <c r="D60" s="22"/>
      <c r="L60" s="576" t="s">
        <v>417</v>
      </c>
      <c r="M60" s="72" t="s">
        <v>121</v>
      </c>
      <c r="N60" s="82">
        <v>30</v>
      </c>
      <c r="P60" s="506" t="s">
        <v>419</v>
      </c>
      <c r="Q60" s="507"/>
      <c r="R60" s="507"/>
      <c r="S60" s="507"/>
      <c r="T60" s="507"/>
      <c r="U60" s="507"/>
      <c r="V60" s="508"/>
      <c r="AF60" s="22"/>
    </row>
    <row r="61" spans="1:39" ht="15.75" thickBot="1">
      <c r="A61" s="30"/>
      <c r="B61" s="53" t="s">
        <v>27</v>
      </c>
      <c r="C61" s="45">
        <f>(260*'ABS Presiones de diseño'!B27*(paneles!C5/1000)*(0.5)^3)/(internos!C60*internos!C59)</f>
        <v>2.6134759182226293</v>
      </c>
      <c r="D61" s="46" t="s">
        <v>95</v>
      </c>
      <c r="L61" s="577"/>
      <c r="M61" s="73" t="s">
        <v>115</v>
      </c>
      <c r="N61" s="83">
        <v>4</v>
      </c>
      <c r="P61" s="274"/>
      <c r="Q61" s="66" t="s">
        <v>371</v>
      </c>
      <c r="R61" s="66" t="s">
        <v>372</v>
      </c>
      <c r="S61" s="66" t="s">
        <v>373</v>
      </c>
      <c r="T61" s="67" t="s">
        <v>370</v>
      </c>
      <c r="U61" s="275" t="s">
        <v>374</v>
      </c>
      <c r="V61" s="10" t="s">
        <v>27</v>
      </c>
      <c r="AF61" s="22"/>
    </row>
    <row r="62" spans="1:39">
      <c r="A62" s="30"/>
      <c r="B62" s="51" t="s">
        <v>111</v>
      </c>
      <c r="C62" s="32">
        <f>M53/C58</f>
        <v>2.6309686189301531</v>
      </c>
      <c r="L62" s="30" t="s">
        <v>100</v>
      </c>
      <c r="M62" s="32">
        <f>V65</f>
        <v>11.510714143880207</v>
      </c>
      <c r="N62" s="22" t="s">
        <v>95</v>
      </c>
      <c r="P62" s="68" t="s">
        <v>368</v>
      </c>
      <c r="Q62" s="84">
        <v>30</v>
      </c>
      <c r="R62" s="84">
        <v>4</v>
      </c>
      <c r="S62" s="84">
        <f>Q62*R62</f>
        <v>120</v>
      </c>
      <c r="T62" s="70">
        <f>R64+R63+R62/2</f>
        <v>32</v>
      </c>
      <c r="U62" s="9">
        <f>S62*T62</f>
        <v>3840</v>
      </c>
      <c r="V62" s="64">
        <f>((1/12)*(Q62)*R62^3+S62*(T62-Q66)^2)/10000</f>
        <v>7.4925808105468752</v>
      </c>
      <c r="AF62" s="22"/>
    </row>
    <row r="63" spans="1:39" ht="15.75" thickBot="1">
      <c r="A63" s="30"/>
      <c r="L63" s="28" t="s">
        <v>25</v>
      </c>
      <c r="M63" s="31">
        <f>((M62/(((R64+R63+R62)-Q66)/10)))</f>
        <v>4.2694042608422675</v>
      </c>
      <c r="N63" s="24" t="s">
        <v>91</v>
      </c>
      <c r="P63" s="68" t="s">
        <v>369</v>
      </c>
      <c r="Q63" s="84">
        <f>R62</f>
        <v>4</v>
      </c>
      <c r="R63" s="84">
        <f>Q62-R62</f>
        <v>26</v>
      </c>
      <c r="S63" s="84">
        <f>Q63*R63</f>
        <v>104</v>
      </c>
      <c r="T63" s="70">
        <f>R64+R63/2</f>
        <v>17</v>
      </c>
      <c r="U63" s="9">
        <f>S63*T63</f>
        <v>1768</v>
      </c>
      <c r="V63" s="64">
        <f>((1/12)*(Q63)*R63^3+S63*(T63-Q67)^2)/10000</f>
        <v>3.5914666666666664</v>
      </c>
      <c r="AF63" s="22"/>
    </row>
    <row r="64" spans="1:39" ht="15.75" thickBot="1">
      <c r="A64" s="30"/>
      <c r="L64" s="76"/>
      <c r="M64" s="77"/>
      <c r="N64" s="78"/>
      <c r="P64" s="13" t="s">
        <v>403</v>
      </c>
      <c r="Q64" s="14">
        <v>200</v>
      </c>
      <c r="R64" s="14">
        <v>4</v>
      </c>
      <c r="S64" s="14">
        <f>Q64*R64</f>
        <v>800</v>
      </c>
      <c r="T64" s="71">
        <f>R64/2</f>
        <v>2</v>
      </c>
      <c r="U64" s="19">
        <f>S64*T64</f>
        <v>1600</v>
      </c>
      <c r="V64" s="276">
        <f>((1/12)*(Q64)*R64^3+S64*(T64-Q68)^2)/10000</f>
        <v>0.42666666666666658</v>
      </c>
      <c r="AF64" s="22"/>
      <c r="AG64" t="s">
        <v>31</v>
      </c>
      <c r="AH64" t="s">
        <v>413</v>
      </c>
      <c r="AI64" t="s">
        <v>27</v>
      </c>
    </row>
    <row r="65" spans="1:39" ht="15.75" thickBot="1">
      <c r="A65" s="30"/>
      <c r="B65" s="47" t="s">
        <v>110</v>
      </c>
      <c r="C65" s="41"/>
      <c r="D65" s="42"/>
      <c r="P65" s="30"/>
      <c r="T65" s="272" t="s">
        <v>375</v>
      </c>
      <c r="U65" s="273">
        <f>U62+U63+U64</f>
        <v>7208</v>
      </c>
      <c r="V65" s="418">
        <f>SUM(V62:V64)</f>
        <v>11.510714143880207</v>
      </c>
      <c r="AF65" s="22"/>
      <c r="AG65">
        <f>S57/2</f>
        <v>2</v>
      </c>
      <c r="AH65">
        <f>AG65*S58</f>
        <v>1920</v>
      </c>
      <c r="AI65" s="334">
        <f>(1/12)*S56*S57^3+S58*(U56-AG65)^2</f>
        <v>322833.28984738298</v>
      </c>
    </row>
    <row r="66" spans="1:39">
      <c r="A66" s="30"/>
      <c r="L66" s="574" t="s">
        <v>418</v>
      </c>
      <c r="M66" s="74" t="s">
        <v>115</v>
      </c>
      <c r="N66" s="80">
        <v>5</v>
      </c>
      <c r="P66" s="416" t="s">
        <v>376</v>
      </c>
      <c r="Q66" s="32">
        <f>U65/(S62+S63+S64)</f>
        <v>7.0390625</v>
      </c>
      <c r="V66" s="22"/>
      <c r="AF66" s="22"/>
      <c r="AG66">
        <f>S57+Q57/2</f>
        <v>44</v>
      </c>
      <c r="AH66">
        <f>AG66*Q58</f>
        <v>14080</v>
      </c>
      <c r="AI66" s="334">
        <f>(1/12)*Q56*Q57^3+Q58*(U56-AG66)^2</f>
        <v>350382.04633646476</v>
      </c>
    </row>
    <row r="67" spans="1:39" ht="15.75" thickBot="1">
      <c r="A67" s="30"/>
      <c r="L67" s="575"/>
      <c r="M67" s="71" t="s">
        <v>116</v>
      </c>
      <c r="N67" s="81">
        <v>40</v>
      </c>
      <c r="P67" s="30"/>
      <c r="V67" s="22"/>
      <c r="AF67" s="22"/>
      <c r="AG67">
        <f>S57+Q57+R57/2</f>
        <v>86</v>
      </c>
      <c r="AH67">
        <f>AG67*R58</f>
        <v>13072</v>
      </c>
      <c r="AI67">
        <f>(1/12)*R56*R57^3+R58*(AG67-U56)^2</f>
        <v>656275.67312713922</v>
      </c>
    </row>
    <row r="68" spans="1:39">
      <c r="A68" s="30"/>
      <c r="B68" s="50" t="s">
        <v>89</v>
      </c>
      <c r="C68" s="21">
        <f>125*0.8</f>
        <v>100</v>
      </c>
      <c r="D68" s="7" t="s">
        <v>24</v>
      </c>
      <c r="L68" s="30" t="s">
        <v>100</v>
      </c>
      <c r="M68" s="61">
        <f>U42+U43</f>
        <v>11.123809523809523</v>
      </c>
      <c r="N68" s="22" t="s">
        <v>95</v>
      </c>
      <c r="P68" s="30"/>
      <c r="V68" s="22"/>
      <c r="AF68" s="22"/>
    </row>
    <row r="69" spans="1:39" ht="15.75" thickBot="1">
      <c r="A69" s="30"/>
      <c r="B69" s="51" t="s">
        <v>404</v>
      </c>
      <c r="C69">
        <v>0.75</v>
      </c>
      <c r="D69" s="22" t="s">
        <v>0</v>
      </c>
      <c r="L69" s="28" t="s">
        <v>25</v>
      </c>
      <c r="M69" s="29">
        <f>U40</f>
        <v>3.1912568306010933</v>
      </c>
      <c r="N69" s="24" t="s">
        <v>91</v>
      </c>
      <c r="P69" s="30"/>
      <c r="V69" s="22"/>
      <c r="AF69" s="22"/>
      <c r="AI69">
        <f>(AI67+AI66+AI65)/10000</f>
        <v>132.94910093109871</v>
      </c>
    </row>
    <row r="70" spans="1:39">
      <c r="A70" s="30"/>
      <c r="B70" s="52" t="s">
        <v>25</v>
      </c>
      <c r="C70" s="43">
        <f>(83.3*'ABS Presiones de diseño'!B27*(paneles!C5/1000)*(C69)^2)/(internos!C68)</f>
        <v>5.459728607974597</v>
      </c>
      <c r="D70" s="44" t="s">
        <v>97</v>
      </c>
      <c r="P70" s="30"/>
      <c r="V70" s="22"/>
      <c r="AF70" s="22"/>
      <c r="AI70">
        <f>Q65+R65+S65</f>
        <v>0</v>
      </c>
    </row>
    <row r="71" spans="1:39">
      <c r="A71" s="30"/>
      <c r="B71" s="51" t="s">
        <v>93</v>
      </c>
      <c r="C71">
        <f>C47</f>
        <v>69000</v>
      </c>
      <c r="D71" s="22" t="str">
        <f>D47</f>
        <v>N/mm^2</v>
      </c>
      <c r="P71" s="30"/>
      <c r="V71" s="22"/>
      <c r="AF71" s="22"/>
      <c r="AI71" s="32">
        <f>(AI70-U64)/10</f>
        <v>-160</v>
      </c>
    </row>
    <row r="72" spans="1:39">
      <c r="A72" s="30"/>
      <c r="B72" s="51" t="s">
        <v>92</v>
      </c>
      <c r="C72">
        <v>2.0999999999999999E-3</v>
      </c>
      <c r="D72" s="22"/>
      <c r="P72" s="30"/>
      <c r="V72" s="22"/>
      <c r="AF72" s="22"/>
      <c r="AI72">
        <f>AI69/AI71</f>
        <v>-0.83093188081936697</v>
      </c>
    </row>
    <row r="73" spans="1:39" ht="15.75" thickBot="1">
      <c r="A73" s="30"/>
      <c r="B73" s="53" t="s">
        <v>27</v>
      </c>
      <c r="C73" s="45">
        <f>(260*'ABS Presiones de diseño'!B27*(paneles!C5/1000)*(0.75)^3)/(internos!C60*internos!C59)</f>
        <v>8.8204812240013748</v>
      </c>
      <c r="D73" s="46" t="s">
        <v>95</v>
      </c>
      <c r="P73" s="30"/>
      <c r="V73" s="22"/>
      <c r="AF73" s="22"/>
    </row>
    <row r="74" spans="1:39">
      <c r="A74" s="30"/>
      <c r="B74" s="51" t="s">
        <v>111</v>
      </c>
      <c r="C74" s="32">
        <f>M58/C70</f>
        <v>3.5969668243076924</v>
      </c>
      <c r="P74" s="30"/>
      <c r="V74" s="22"/>
      <c r="AF74" s="22"/>
    </row>
    <row r="75" spans="1:39">
      <c r="A75" s="30"/>
      <c r="P75" s="30"/>
      <c r="V75" s="22"/>
      <c r="AF75" s="22"/>
    </row>
    <row r="76" spans="1:39" ht="15.75" thickBot="1">
      <c r="A76" s="30"/>
      <c r="P76" s="30"/>
      <c r="V76" s="22"/>
      <c r="AF76" s="22"/>
    </row>
    <row r="77" spans="1:39" ht="15.75" thickBot="1">
      <c r="A77" s="30"/>
      <c r="B77" s="405" t="s">
        <v>423</v>
      </c>
      <c r="C77" s="23"/>
      <c r="D77" s="24"/>
      <c r="L77" s="574" t="s">
        <v>424</v>
      </c>
      <c r="M77" s="74" t="s">
        <v>115</v>
      </c>
      <c r="N77" s="80">
        <v>5</v>
      </c>
      <c r="P77" s="506" t="s">
        <v>458</v>
      </c>
      <c r="Q77" s="507"/>
      <c r="R77" s="507"/>
      <c r="S77" s="507"/>
      <c r="T77" s="507"/>
      <c r="U77" s="508"/>
      <c r="V77" s="22"/>
      <c r="AF77" s="22"/>
    </row>
    <row r="78" spans="1:39" ht="15.75" thickBot="1">
      <c r="A78" s="30"/>
      <c r="B78" s="50" t="s">
        <v>89</v>
      </c>
      <c r="C78" s="21">
        <f>125*0.85</f>
        <v>106.25</v>
      </c>
      <c r="D78" s="7" t="s">
        <v>24</v>
      </c>
      <c r="L78" s="575"/>
      <c r="M78" s="71" t="s">
        <v>116</v>
      </c>
      <c r="N78" s="81">
        <v>40</v>
      </c>
      <c r="P78" s="65"/>
      <c r="Q78" s="67" t="s">
        <v>414</v>
      </c>
      <c r="R78" s="67" t="s">
        <v>385</v>
      </c>
      <c r="S78" s="37"/>
      <c r="T78" s="66" t="s">
        <v>25</v>
      </c>
      <c r="U78" s="332">
        <f>(U80+U81)/((Q80-U79)/10)</f>
        <v>3.1650485436893199</v>
      </c>
      <c r="V78" s="22"/>
      <c r="AF78" s="22"/>
      <c r="AG78" t="s">
        <v>456</v>
      </c>
    </row>
    <row r="79" spans="1:39">
      <c r="A79" s="30"/>
      <c r="B79" s="51" t="s">
        <v>404</v>
      </c>
      <c r="C79">
        <v>1</v>
      </c>
      <c r="D79" s="22" t="s">
        <v>0</v>
      </c>
      <c r="L79" s="30" t="s">
        <v>100</v>
      </c>
      <c r="M79" s="61">
        <f>U80+U81</f>
        <v>10.866666666666665</v>
      </c>
      <c r="N79" s="22" t="s">
        <v>95</v>
      </c>
      <c r="P79" s="68" t="s">
        <v>121</v>
      </c>
      <c r="Q79" s="84">
        <f>N77</f>
        <v>5</v>
      </c>
      <c r="R79" s="84">
        <f>IF(60*Q79&lt;250,60*Q79,250)</f>
        <v>250</v>
      </c>
      <c r="T79" s="70" t="s">
        <v>123</v>
      </c>
      <c r="U79" s="64">
        <f>((R80+Q80/2)*Q81+(R80/2)*R81)/(Q81+R81)</f>
        <v>5.666666666666667</v>
      </c>
      <c r="V79" s="22"/>
      <c r="AF79" s="22"/>
    </row>
    <row r="80" spans="1:39" ht="15.75" thickBot="1">
      <c r="A80" s="30"/>
      <c r="B80" s="52" t="s">
        <v>25</v>
      </c>
      <c r="C80" s="43">
        <f>(83.3*'ABS Presiones de diseño'!B57*(paneles!C5/1000)*(C79)^2)/(internos!C78)</f>
        <v>2.6507040000000011</v>
      </c>
      <c r="D80" s="44" t="s">
        <v>97</v>
      </c>
      <c r="L80" s="28" t="s">
        <v>25</v>
      </c>
      <c r="M80" s="29">
        <f>U78</f>
        <v>3.1650485436893199</v>
      </c>
      <c r="N80" s="24" t="s">
        <v>91</v>
      </c>
      <c r="P80" s="68" t="s">
        <v>116</v>
      </c>
      <c r="Q80" s="84">
        <f>N78</f>
        <v>40</v>
      </c>
      <c r="R80" s="84">
        <v>4</v>
      </c>
      <c r="T80" s="70" t="s">
        <v>124</v>
      </c>
      <c r="U80" s="305">
        <f>((1/12)*Q79*Q80^3+Q81*((R80+Q80/2)-U79)^2)/10000</f>
        <v>9.3888888888888875</v>
      </c>
      <c r="V80" s="22"/>
      <c r="AF80" s="22"/>
      <c r="AH80" t="s">
        <v>371</v>
      </c>
      <c r="AI80" t="s">
        <v>372</v>
      </c>
      <c r="AJ80" t="s">
        <v>373</v>
      </c>
      <c r="AK80" t="s">
        <v>370</v>
      </c>
      <c r="AL80" t="s">
        <v>408</v>
      </c>
      <c r="AM80" t="s">
        <v>27</v>
      </c>
    </row>
    <row r="81" spans="1:39" ht="15.75" thickBot="1">
      <c r="A81" s="30"/>
      <c r="B81" s="51" t="s">
        <v>93</v>
      </c>
      <c r="C81">
        <f>C47</f>
        <v>69000</v>
      </c>
      <c r="D81" s="22" t="str">
        <f>D71</f>
        <v>N/mm^2</v>
      </c>
      <c r="P81" s="69" t="s">
        <v>122</v>
      </c>
      <c r="Q81" s="14">
        <f>Q80*Q79</f>
        <v>200</v>
      </c>
      <c r="R81" s="14">
        <f>R79*R80</f>
        <v>1000</v>
      </c>
      <c r="S81" s="23"/>
      <c r="T81" s="71" t="s">
        <v>125</v>
      </c>
      <c r="U81" s="306">
        <f>((1/12)*R79*R80^3+R81*((R80/2)-U79)^2)/10000</f>
        <v>1.4777777777777781</v>
      </c>
      <c r="V81" s="22"/>
      <c r="AF81" s="22"/>
      <c r="AG81" t="s">
        <v>403</v>
      </c>
      <c r="AH81">
        <v>250</v>
      </c>
      <c r="AI81">
        <v>6</v>
      </c>
      <c r="AJ81">
        <f>AH81*AI81</f>
        <v>1500</v>
      </c>
      <c r="AK81">
        <f>AI81/2</f>
        <v>3</v>
      </c>
      <c r="AL81">
        <f>AK81*AJ81</f>
        <v>4500</v>
      </c>
      <c r="AM81" s="61">
        <f>((1/12)*((AH81)*(AI81)^3)+(AJ81)*(AK81-AI85)^2)/10000</f>
        <v>19.12479224376731</v>
      </c>
    </row>
    <row r="82" spans="1:39">
      <c r="A82" s="30"/>
      <c r="B82" s="51" t="s">
        <v>92</v>
      </c>
      <c r="C82">
        <v>2.0999999999999999E-3</v>
      </c>
      <c r="D82" s="22"/>
      <c r="P82" s="30"/>
      <c r="V82" s="22"/>
      <c r="AF82" s="22"/>
      <c r="AG82" t="s">
        <v>119</v>
      </c>
      <c r="AH82">
        <f>N39</f>
        <v>4</v>
      </c>
      <c r="AI82">
        <f>N40</f>
        <v>100</v>
      </c>
      <c r="AJ82">
        <f>AH82*AI82</f>
        <v>400</v>
      </c>
      <c r="AK82">
        <f>(AI82/2)+AI81</f>
        <v>56</v>
      </c>
      <c r="AL82">
        <f>AK82*AJ82</f>
        <v>22400</v>
      </c>
      <c r="AM82" s="61">
        <f>((1/12)*((AH82)*(AI82)^3)+(AJ82)*(AK82-AI85)^2)/10000</f>
        <v>103.36380424746078</v>
      </c>
    </row>
    <row r="83" spans="1:39" ht="15.75" thickBot="1">
      <c r="A83" s="30"/>
      <c r="B83" s="53" t="s">
        <v>27</v>
      </c>
      <c r="C83" s="45">
        <f>(260*'ABS Presiones de diseño'!B57*(paneles!C5/1000)*(C79)^3)/(internos!C60*internos!C59)</f>
        <v>6.0666666666666691</v>
      </c>
      <c r="D83" s="46" t="s">
        <v>95</v>
      </c>
      <c r="P83" s="30"/>
      <c r="V83" s="22"/>
      <c r="AF83" s="22"/>
      <c r="AG83" t="s">
        <v>120</v>
      </c>
      <c r="AH83">
        <v>0</v>
      </c>
      <c r="AI83">
        <v>0</v>
      </c>
      <c r="AJ83">
        <f>AH83*AI83</f>
        <v>0</v>
      </c>
      <c r="AK83">
        <f>AI82+AI81+AI83/2</f>
        <v>106</v>
      </c>
      <c r="AL83">
        <f>AK83*AJ83</f>
        <v>0</v>
      </c>
      <c r="AM83" s="61">
        <f>((1/12)*((AH83)*(AI83)^3)+(AJ83)*(AK83-AI85)^2)/10000</f>
        <v>0</v>
      </c>
    </row>
    <row r="84" spans="1:39">
      <c r="A84" s="30"/>
      <c r="B84" s="51" t="s">
        <v>111</v>
      </c>
      <c r="C84" s="32">
        <f>M69/C80</f>
        <v>1.2039280246308497</v>
      </c>
      <c r="P84" s="30"/>
      <c r="V84" s="22"/>
      <c r="AF84" s="22"/>
    </row>
    <row r="85" spans="1:39">
      <c r="A85" s="30"/>
      <c r="P85" s="30"/>
      <c r="V85" s="22"/>
      <c r="AF85" s="22"/>
      <c r="AH85" t="s">
        <v>370</v>
      </c>
      <c r="AI85">
        <f>(AL81+AL82+AL83)/(AJ81+AJ82+AJ83)</f>
        <v>14.157894736842104</v>
      </c>
      <c r="AJ85" t="s">
        <v>76</v>
      </c>
    </row>
    <row r="86" spans="1:39">
      <c r="A86" s="30"/>
      <c r="P86" s="30"/>
      <c r="V86" s="22"/>
      <c r="AF86" s="22"/>
      <c r="AH86" t="s">
        <v>27</v>
      </c>
      <c r="AI86" s="61">
        <f>AM81+AM82+AM83</f>
        <v>122.48859649122809</v>
      </c>
    </row>
    <row r="87" spans="1:39" ht="15.75" thickBot="1">
      <c r="A87" s="30"/>
      <c r="P87" s="30"/>
      <c r="V87" s="22"/>
      <c r="AF87" s="22"/>
      <c r="AH87" t="s">
        <v>25</v>
      </c>
      <c r="AI87" s="32">
        <f>AI86/((SUM(AI81:AI83)-AI85)/10)</f>
        <v>13.336867239732571</v>
      </c>
    </row>
    <row r="88" spans="1:39" ht="15.75" thickBot="1">
      <c r="A88" s="30"/>
      <c r="B88" s="47" t="s">
        <v>416</v>
      </c>
      <c r="C88" s="41"/>
      <c r="D88" s="42"/>
      <c r="L88" s="574" t="s">
        <v>415</v>
      </c>
      <c r="M88" s="74" t="s">
        <v>115</v>
      </c>
      <c r="N88" s="80">
        <v>5</v>
      </c>
      <c r="P88" s="506" t="s">
        <v>459</v>
      </c>
      <c r="Q88" s="507"/>
      <c r="R88" s="507"/>
      <c r="S88" s="507"/>
      <c r="T88" s="507"/>
      <c r="U88" s="508"/>
      <c r="V88" s="22"/>
      <c r="AF88" s="22"/>
    </row>
    <row r="89" spans="1:39" ht="15.75" thickBot="1">
      <c r="A89" s="30"/>
      <c r="B89" s="50" t="s">
        <v>89</v>
      </c>
      <c r="C89" s="21">
        <f>125*0.7</f>
        <v>87.5</v>
      </c>
      <c r="D89" s="7" t="s">
        <v>24</v>
      </c>
      <c r="L89" s="575"/>
      <c r="M89" s="71" t="s">
        <v>116</v>
      </c>
      <c r="N89" s="81">
        <v>40</v>
      </c>
      <c r="P89" s="65"/>
      <c r="Q89" s="67" t="s">
        <v>414</v>
      </c>
      <c r="R89" s="67" t="s">
        <v>385</v>
      </c>
      <c r="S89" s="37"/>
      <c r="T89" s="66" t="s">
        <v>25</v>
      </c>
      <c r="U89" s="332">
        <f>(U91+U92)/((Q91-U90)/10)</f>
        <v>3.1650485436893199</v>
      </c>
      <c r="V89" s="22"/>
      <c r="AF89" s="22"/>
    </row>
    <row r="90" spans="1:39">
      <c r="A90" s="30"/>
      <c r="B90" s="51"/>
      <c r="D90" s="22"/>
      <c r="L90" s="30" t="s">
        <v>100</v>
      </c>
      <c r="M90" s="61">
        <f>U91+U92</f>
        <v>10.866666666666665</v>
      </c>
      <c r="N90" s="22" t="s">
        <v>95</v>
      </c>
      <c r="P90" s="68" t="s">
        <v>121</v>
      </c>
      <c r="Q90" s="84">
        <f>N88</f>
        <v>5</v>
      </c>
      <c r="R90" s="84">
        <f>IF(60*Q90&lt;250,60*Q90,250)</f>
        <v>250</v>
      </c>
      <c r="T90" s="70" t="s">
        <v>123</v>
      </c>
      <c r="U90" s="64">
        <f>((R91+Q91/2)*Q92+(R91/2)*R92)/(Q92+R92)</f>
        <v>5.666666666666667</v>
      </c>
      <c r="V90" s="22"/>
      <c r="AF90" s="22"/>
    </row>
    <row r="91" spans="1:39" ht="15.75" thickBot="1">
      <c r="A91" s="30"/>
      <c r="B91" s="52" t="s">
        <v>25</v>
      </c>
      <c r="C91" s="43">
        <f>(83.3*'ABS Presiones de diseño'!B57*(paneles!C5/1000)*(paneles!C5/1000)^2)/(internos!C89)</f>
        <v>1.8105255000000007</v>
      </c>
      <c r="D91" s="44" t="s">
        <v>97</v>
      </c>
      <c r="L91" s="28" t="s">
        <v>25</v>
      </c>
      <c r="M91" s="29">
        <f>U89</f>
        <v>3.1650485436893199</v>
      </c>
      <c r="N91" s="24" t="s">
        <v>91</v>
      </c>
      <c r="P91" s="68" t="s">
        <v>116</v>
      </c>
      <c r="Q91" s="84">
        <f>N89</f>
        <v>40</v>
      </c>
      <c r="R91" s="84">
        <v>4</v>
      </c>
      <c r="T91" s="70" t="s">
        <v>124</v>
      </c>
      <c r="U91" s="305">
        <f>((1/12)*Q90*Q91^3+Q92*((R91+Q91/2)-U90)^2)/10000</f>
        <v>9.3888888888888875</v>
      </c>
      <c r="V91" s="22"/>
      <c r="AF91" s="22"/>
    </row>
    <row r="92" spans="1:39" ht="15.75" thickBot="1">
      <c r="A92" s="30"/>
      <c r="B92" s="51" t="s">
        <v>93</v>
      </c>
      <c r="C92">
        <f>C81</f>
        <v>69000</v>
      </c>
      <c r="D92" s="22" t="s">
        <v>94</v>
      </c>
      <c r="P92" s="69" t="s">
        <v>122</v>
      </c>
      <c r="Q92" s="14">
        <f>Q91*Q90</f>
        <v>200</v>
      </c>
      <c r="R92" s="14">
        <f>R90*R91</f>
        <v>1000</v>
      </c>
      <c r="S92" s="23"/>
      <c r="T92" s="71" t="s">
        <v>125</v>
      </c>
      <c r="U92" s="306">
        <f>((1/12)*R90*R91^3+R92*((R91/2)-U90)^2)/10000</f>
        <v>1.4777777777777781</v>
      </c>
      <c r="V92" s="22"/>
      <c r="AF92" s="22"/>
      <c r="AG92" t="s">
        <v>456</v>
      </c>
    </row>
    <row r="93" spans="1:39" ht="15.75" thickBot="1">
      <c r="A93" s="30"/>
      <c r="B93" s="51" t="s">
        <v>92</v>
      </c>
      <c r="C93">
        <v>2.0999999999999999E-3</v>
      </c>
      <c r="D93" s="22"/>
      <c r="P93" s="28"/>
      <c r="Q93" s="23"/>
      <c r="R93" s="23"/>
      <c r="S93" s="23"/>
      <c r="T93" s="23"/>
      <c r="U93" s="23"/>
      <c r="V93" s="24"/>
      <c r="AF93" s="22"/>
    </row>
    <row r="94" spans="1:39" ht="15.75" thickBot="1">
      <c r="A94" s="28"/>
      <c r="B94" s="53" t="s">
        <v>27</v>
      </c>
      <c r="C94" s="45">
        <f>(260*'ABS Presiones de diseño'!B57*(paneles!C5/1000)*(paneles!C5/1000)^3)/(internos!C93*internos!C92)</f>
        <v>2.5593750000000011</v>
      </c>
      <c r="D94" s="406" t="s">
        <v>95</v>
      </c>
      <c r="AF94" s="22"/>
      <c r="AH94" t="s">
        <v>371</v>
      </c>
      <c r="AI94" t="s">
        <v>372</v>
      </c>
      <c r="AJ94" t="s">
        <v>373</v>
      </c>
      <c r="AK94" t="s">
        <v>370</v>
      </c>
      <c r="AL94" t="s">
        <v>408</v>
      </c>
      <c r="AM94" t="s">
        <v>27</v>
      </c>
    </row>
    <row r="95" spans="1:39">
      <c r="A95" s="30"/>
      <c r="B95" s="51" t="s">
        <v>111</v>
      </c>
      <c r="C95" s="32">
        <f>M80/C91</f>
        <v>1.7481380647161935</v>
      </c>
      <c r="AF95" s="22"/>
      <c r="AG95" t="s">
        <v>403</v>
      </c>
      <c r="AH95">
        <v>250</v>
      </c>
      <c r="AI95">
        <v>6</v>
      </c>
      <c r="AJ95">
        <f>AH95*AI95</f>
        <v>1500</v>
      </c>
      <c r="AK95">
        <f>AI95/2</f>
        <v>3</v>
      </c>
      <c r="AL95">
        <f>AK95*AJ95</f>
        <v>4500</v>
      </c>
      <c r="AM95" s="61">
        <f>((1/12)*((AH95)*(AI95)^3)+(AJ95)*(AK95-AI99)^2)/10000</f>
        <v>91.116032123735891</v>
      </c>
    </row>
    <row r="96" spans="1:39" ht="15.75" thickBot="1">
      <c r="A96" s="28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4"/>
      <c r="AG96" t="s">
        <v>119</v>
      </c>
      <c r="AH96">
        <v>8</v>
      </c>
      <c r="AI96">
        <v>120</v>
      </c>
      <c r="AJ96">
        <f>AH96*AI96</f>
        <v>960</v>
      </c>
      <c r="AK96">
        <f>(AI96/2)+AI95</f>
        <v>66</v>
      </c>
      <c r="AL96">
        <f>AK96*AJ96</f>
        <v>63360</v>
      </c>
      <c r="AM96" s="61">
        <f>((1/12)*((AH96)*(AI96)^3)+(AJ96)*(AK96-AI99)^2)/10000</f>
        <v>256.86567519333732</v>
      </c>
    </row>
    <row r="97" spans="33:39">
      <c r="AG97" t="s">
        <v>120</v>
      </c>
      <c r="AH97">
        <v>0</v>
      </c>
      <c r="AI97">
        <v>0</v>
      </c>
      <c r="AJ97">
        <f>AH97*AI97</f>
        <v>0</v>
      </c>
      <c r="AK97">
        <f>AI96+AI95+AI97/2</f>
        <v>126</v>
      </c>
      <c r="AL97">
        <f>AK97*AJ97</f>
        <v>0</v>
      </c>
      <c r="AM97" s="61">
        <f>((1/12)*((AH97)*(AI97)^3)+(AJ97)*(AK97-AI99)^2)/10000</f>
        <v>0</v>
      </c>
    </row>
    <row r="99" spans="33:39">
      <c r="AH99" t="s">
        <v>370</v>
      </c>
      <c r="AI99">
        <f>(AL95+AL96+AL97)/(AJ95+AJ96+AJ97)</f>
        <v>27.585365853658537</v>
      </c>
      <c r="AJ99" t="s">
        <v>76</v>
      </c>
    </row>
    <row r="100" spans="33:39">
      <c r="AH100" t="s">
        <v>27</v>
      </c>
      <c r="AI100" s="61">
        <f>AM95+AM96+AM97</f>
        <v>347.98170731707319</v>
      </c>
    </row>
    <row r="101" spans="33:39">
      <c r="AH101" t="s">
        <v>25</v>
      </c>
      <c r="AI101" s="32">
        <f>AI100/((SUM(AI95:AI97)-AI99)/10)</f>
        <v>35.358736059479561</v>
      </c>
    </row>
  </sheetData>
  <mergeCells count="20">
    <mergeCell ref="P39:U39"/>
    <mergeCell ref="P60:V60"/>
    <mergeCell ref="P31:V31"/>
    <mergeCell ref="L77:L78"/>
    <mergeCell ref="L88:L89"/>
    <mergeCell ref="P77:U77"/>
    <mergeCell ref="P88:U88"/>
    <mergeCell ref="L66:L67"/>
    <mergeCell ref="L55:L56"/>
    <mergeCell ref="L60:L61"/>
    <mergeCell ref="P49:U49"/>
    <mergeCell ref="B1:E2"/>
    <mergeCell ref="L34:L35"/>
    <mergeCell ref="L39:L40"/>
    <mergeCell ref="L44:L45"/>
    <mergeCell ref="L50:L51"/>
    <mergeCell ref="B4:C4"/>
    <mergeCell ref="F48:J48"/>
    <mergeCell ref="L32:N32"/>
    <mergeCell ref="F25:N25"/>
  </mergeCells>
  <conditionalFormatting sqref="M36">
    <cfRule type="cellIs" dxfId="23" priority="19" operator="lessThan">
      <formula>$C$13</formula>
    </cfRule>
    <cfRule type="cellIs" dxfId="22" priority="35" operator="greaterThan">
      <formula>$C$13</formula>
    </cfRule>
  </conditionalFormatting>
  <conditionalFormatting sqref="M36:M37">
    <cfRule type="cellIs" dxfId="21" priority="20" operator="lessThan">
      <formula>$C$10</formula>
    </cfRule>
  </conditionalFormatting>
  <conditionalFormatting sqref="M37">
    <cfRule type="cellIs" dxfId="20" priority="34" operator="greaterThan">
      <formula>$C$10</formula>
    </cfRule>
  </conditionalFormatting>
  <conditionalFormatting sqref="M41">
    <cfRule type="cellIs" dxfId="19" priority="1" operator="greaterThan">
      <formula>$C$49</formula>
    </cfRule>
    <cfRule type="cellIs" dxfId="18" priority="33" operator="greaterThan">
      <formula>484.2</formula>
    </cfRule>
  </conditionalFormatting>
  <conditionalFormatting sqref="M42">
    <cfRule type="cellIs" dxfId="17" priority="32" operator="greaterThan">
      <formula>$C$46</formula>
    </cfRule>
  </conditionalFormatting>
  <conditionalFormatting sqref="M46">
    <cfRule type="cellIs" dxfId="16" priority="31" operator="greaterThan">
      <formula>$C$13</formula>
    </cfRule>
  </conditionalFormatting>
  <conditionalFormatting sqref="M47">
    <cfRule type="cellIs" dxfId="15" priority="30" operator="greaterThan">
      <formula>$C$10</formula>
    </cfRule>
  </conditionalFormatting>
  <conditionalFormatting sqref="M52">
    <cfRule type="cellIs" dxfId="14" priority="29" operator="greaterThan">
      <formula>$C$61</formula>
    </cfRule>
  </conditionalFormatting>
  <conditionalFormatting sqref="M53">
    <cfRule type="cellIs" dxfId="13" priority="9" operator="lessThan">
      <formula>$C$58</formula>
    </cfRule>
    <cfRule type="cellIs" dxfId="12" priority="10" operator="greaterThan">
      <formula>$C$58</formula>
    </cfRule>
  </conditionalFormatting>
  <conditionalFormatting sqref="M57">
    <cfRule type="cellIs" dxfId="11" priority="27" operator="greaterThan">
      <formula>$C$73</formula>
    </cfRule>
  </conditionalFormatting>
  <conditionalFormatting sqref="M58">
    <cfRule type="cellIs" dxfId="10" priority="25" operator="greaterThan">
      <formula>$C$70</formula>
    </cfRule>
  </conditionalFormatting>
  <conditionalFormatting sqref="M62">
    <cfRule type="cellIs" dxfId="9" priority="22" operator="lessThan">
      <formula>$C$37</formula>
    </cfRule>
    <cfRule type="cellIs" dxfId="8" priority="23" operator="greaterThan">
      <formula>$C$37</formula>
    </cfRule>
  </conditionalFormatting>
  <conditionalFormatting sqref="M63">
    <cfRule type="cellIs" dxfId="7" priority="21" operator="lessThan">
      <formula>$C$34</formula>
    </cfRule>
    <cfRule type="cellIs" dxfId="6" priority="24" operator="greaterThan">
      <formula>$C$34</formula>
    </cfRule>
  </conditionalFormatting>
  <conditionalFormatting sqref="M68">
    <cfRule type="cellIs" dxfId="5" priority="6" operator="greaterThan">
      <formula>$C$37</formula>
    </cfRule>
  </conditionalFormatting>
  <conditionalFormatting sqref="M69">
    <cfRule type="cellIs" dxfId="4" priority="11" operator="greaterThan">
      <formula>$C$22</formula>
    </cfRule>
  </conditionalFormatting>
  <conditionalFormatting sqref="M79">
    <cfRule type="cellIs" dxfId="3" priority="4" operator="greaterThan">
      <formula>$C$37</formula>
    </cfRule>
  </conditionalFormatting>
  <conditionalFormatting sqref="M80">
    <cfRule type="cellIs" dxfId="2" priority="5" operator="greaterThan">
      <formula>$C$22</formula>
    </cfRule>
  </conditionalFormatting>
  <conditionalFormatting sqref="M90">
    <cfRule type="cellIs" dxfId="1" priority="2" operator="greaterThan">
      <formula>$C$37</formula>
    </cfRule>
  </conditionalFormatting>
  <conditionalFormatting sqref="M91">
    <cfRule type="cellIs" dxfId="0" priority="3" operator="greaterThan">
      <formula>$C$22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52"/>
  <sheetViews>
    <sheetView topLeftCell="A10" zoomScale="70" zoomScaleNormal="70" workbookViewId="0">
      <selection activeCell="G13" sqref="G13"/>
    </sheetView>
  </sheetViews>
  <sheetFormatPr baseColWidth="10" defaultColWidth="11.42578125" defaultRowHeight="15"/>
  <cols>
    <col min="1" max="1" width="7" customWidth="1"/>
    <col min="2" max="2" width="41.85546875" customWidth="1"/>
    <col min="3" max="3" width="21" customWidth="1"/>
    <col min="4" max="4" width="14.85546875" customWidth="1"/>
    <col min="5" max="5" width="16.28515625" customWidth="1"/>
    <col min="6" max="6" width="12.7109375" customWidth="1"/>
    <col min="7" max="7" width="14" customWidth="1"/>
    <col min="8" max="8" width="10.7109375" customWidth="1"/>
    <col min="9" max="9" width="14.7109375" customWidth="1"/>
    <col min="10" max="10" width="12.28515625" customWidth="1"/>
    <col min="11" max="11" width="13.42578125" customWidth="1"/>
    <col min="12" max="12" width="7.42578125" hidden="1" customWidth="1"/>
    <col min="13" max="13" width="18" hidden="1" customWidth="1"/>
    <col min="14" max="14" width="0" hidden="1" customWidth="1"/>
    <col min="15" max="15" width="15.5703125" hidden="1" customWidth="1"/>
    <col min="16" max="18" width="0" hidden="1" customWidth="1"/>
    <col min="19" max="19" width="12" customWidth="1"/>
    <col min="21" max="21" width="13" bestFit="1" customWidth="1"/>
  </cols>
  <sheetData>
    <row r="1" spans="1:29" ht="29.25">
      <c r="A1" s="20"/>
      <c r="B1" s="20"/>
      <c r="C1" s="291" t="s">
        <v>228</v>
      </c>
      <c r="D1" s="292" t="s">
        <v>229</v>
      </c>
      <c r="E1" s="293" t="s">
        <v>230</v>
      </c>
      <c r="F1" s="429" t="s">
        <v>469</v>
      </c>
      <c r="G1" s="429"/>
      <c r="H1" s="21"/>
      <c r="I1" s="21"/>
      <c r="J1" s="294" t="s">
        <v>231</v>
      </c>
      <c r="K1" s="295"/>
      <c r="L1" s="296"/>
    </row>
    <row r="2" spans="1:29">
      <c r="A2" s="30"/>
      <c r="B2" s="30"/>
      <c r="C2" s="297" t="s">
        <v>232</v>
      </c>
      <c r="D2" s="298"/>
      <c r="E2" s="138" t="s">
        <v>233</v>
      </c>
      <c r="F2" s="263">
        <v>4170</v>
      </c>
      <c r="J2" s="299" t="s">
        <v>234</v>
      </c>
      <c r="K2" s="140">
        <v>0</v>
      </c>
      <c r="L2" s="22"/>
    </row>
    <row r="3" spans="1:29" ht="16.5" customHeight="1">
      <c r="A3" s="297"/>
      <c r="B3" s="30"/>
      <c r="C3" s="297"/>
      <c r="D3" s="300"/>
      <c r="E3" s="138" t="s">
        <v>235</v>
      </c>
      <c r="F3" t="s">
        <v>470</v>
      </c>
      <c r="G3" s="263"/>
      <c r="H3" s="301"/>
      <c r="I3" s="301"/>
      <c r="J3" s="301"/>
      <c r="K3" s="301"/>
      <c r="L3" s="302"/>
      <c r="M3" s="206"/>
      <c r="U3" s="138"/>
    </row>
    <row r="4" spans="1:29" ht="30.6" customHeight="1">
      <c r="A4" s="297"/>
      <c r="B4" s="30"/>
      <c r="C4" s="303" t="s">
        <v>236</v>
      </c>
      <c r="D4" s="430" t="s">
        <v>237</v>
      </c>
      <c r="E4" s="430"/>
      <c r="F4" s="430"/>
      <c r="G4" s="430"/>
      <c r="H4" s="430"/>
      <c r="I4" s="430"/>
      <c r="J4" s="430"/>
      <c r="K4" s="430"/>
      <c r="L4" s="431"/>
      <c r="M4" s="206"/>
      <c r="U4" s="138"/>
    </row>
    <row r="5" spans="1:29" ht="16.5" customHeight="1">
      <c r="A5" s="297"/>
      <c r="B5" s="30"/>
      <c r="C5" s="30"/>
      <c r="L5" s="22"/>
      <c r="M5" s="206"/>
    </row>
    <row r="6" spans="1:29" ht="16.5" customHeight="1" thickBot="1">
      <c r="A6" s="352"/>
      <c r="B6" s="28"/>
      <c r="C6" s="28"/>
      <c r="D6" s="23"/>
      <c r="E6" s="23"/>
      <c r="F6" s="23"/>
      <c r="G6" s="23"/>
      <c r="H6" s="23"/>
      <c r="I6" s="23"/>
      <c r="J6" s="23"/>
      <c r="K6" s="23"/>
      <c r="L6" s="24"/>
      <c r="M6" s="139"/>
      <c r="N6" s="139"/>
      <c r="O6" s="139"/>
      <c r="P6" s="139"/>
      <c r="Q6" s="139"/>
      <c r="R6" s="139"/>
      <c r="S6" s="139"/>
    </row>
    <row r="7" spans="1:29" ht="16.5" customHeight="1" thickBot="1">
      <c r="A7" s="30"/>
      <c r="B7" s="353"/>
      <c r="C7" s="139"/>
      <c r="D7" s="139"/>
      <c r="E7" s="139"/>
      <c r="F7" s="139"/>
      <c r="G7" s="139"/>
      <c r="H7" s="139"/>
      <c r="I7" s="139"/>
      <c r="J7" s="139"/>
      <c r="K7" s="139"/>
      <c r="L7" s="354"/>
      <c r="M7" s="139"/>
      <c r="N7" s="139"/>
      <c r="O7" s="139"/>
      <c r="P7" s="139"/>
      <c r="Q7" s="139"/>
      <c r="R7" s="139"/>
      <c r="S7" s="139"/>
    </row>
    <row r="8" spans="1:29" ht="18.75" thickBot="1">
      <c r="A8" s="464" t="s">
        <v>238</v>
      </c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22"/>
      <c r="T8" s="20"/>
      <c r="U8" s="21"/>
      <c r="V8" s="21"/>
      <c r="W8" s="21"/>
      <c r="X8" s="21"/>
      <c r="Y8" s="21"/>
      <c r="Z8" s="21"/>
      <c r="AA8" s="21"/>
      <c r="AB8" s="21"/>
      <c r="AC8" s="7"/>
    </row>
    <row r="9" spans="1:29" ht="30" customHeight="1" thickBot="1">
      <c r="A9" s="466" t="s">
        <v>239</v>
      </c>
      <c r="B9" s="466" t="s">
        <v>240</v>
      </c>
      <c r="C9" s="468" t="s">
        <v>241</v>
      </c>
      <c r="D9" s="470" t="s">
        <v>242</v>
      </c>
      <c r="E9" s="471"/>
      <c r="F9" s="226" t="s">
        <v>243</v>
      </c>
      <c r="G9" s="226" t="s">
        <v>244</v>
      </c>
      <c r="H9" s="226" t="s">
        <v>245</v>
      </c>
      <c r="I9" s="227" t="s">
        <v>246</v>
      </c>
      <c r="J9" s="226" t="s">
        <v>27</v>
      </c>
      <c r="K9" s="227" t="s">
        <v>247</v>
      </c>
      <c r="L9" s="22"/>
      <c r="M9" s="207" t="s">
        <v>333</v>
      </c>
      <c r="N9" s="207" t="s">
        <v>31</v>
      </c>
      <c r="O9" s="207" t="s">
        <v>334</v>
      </c>
      <c r="P9" s="207" t="s">
        <v>335</v>
      </c>
      <c r="Q9" s="207" t="s">
        <v>336</v>
      </c>
      <c r="R9" s="207" t="s">
        <v>337</v>
      </c>
      <c r="T9" s="30"/>
      <c r="AC9" s="22"/>
    </row>
    <row r="10" spans="1:29" ht="15.75" thickBot="1">
      <c r="A10" s="467"/>
      <c r="B10" s="467"/>
      <c r="C10" s="469"/>
      <c r="D10" s="228" t="s">
        <v>248</v>
      </c>
      <c r="E10" s="228" t="s">
        <v>249</v>
      </c>
      <c r="F10" s="229" t="s">
        <v>250</v>
      </c>
      <c r="G10" s="229" t="s">
        <v>251</v>
      </c>
      <c r="H10" s="230" t="s">
        <v>252</v>
      </c>
      <c r="I10" s="231" t="s">
        <v>253</v>
      </c>
      <c r="J10" s="229" t="s">
        <v>254</v>
      </c>
      <c r="K10" s="232" t="s">
        <v>254</v>
      </c>
      <c r="L10" s="22"/>
      <c r="M10" s="208" t="s">
        <v>338</v>
      </c>
      <c r="N10" s="208" t="s">
        <v>338</v>
      </c>
      <c r="O10" s="208" t="s">
        <v>338</v>
      </c>
      <c r="P10" s="208" t="s">
        <v>339</v>
      </c>
      <c r="Q10" s="208" t="s">
        <v>340</v>
      </c>
      <c r="R10" s="208" t="s">
        <v>340</v>
      </c>
      <c r="T10" s="30"/>
      <c r="AC10" s="22"/>
    </row>
    <row r="11" spans="1:29" ht="15.75" thickBot="1">
      <c r="A11" s="141">
        <v>110</v>
      </c>
      <c r="B11" s="142" t="s">
        <v>255</v>
      </c>
      <c r="C11" s="143"/>
      <c r="D11" s="144"/>
      <c r="E11" s="143"/>
      <c r="F11" s="145"/>
      <c r="G11" s="146"/>
      <c r="H11" s="145"/>
      <c r="I11" s="145"/>
      <c r="J11" s="145"/>
      <c r="K11" s="147"/>
      <c r="L11" s="22"/>
      <c r="N11" s="182"/>
      <c r="T11" s="30"/>
      <c r="AC11" s="22"/>
    </row>
    <row r="12" spans="1:29" ht="15.75" thickBot="1">
      <c r="A12" s="148">
        <v>111</v>
      </c>
      <c r="B12" s="149" t="s">
        <v>256</v>
      </c>
      <c r="C12" s="150"/>
      <c r="D12" s="151"/>
      <c r="E12" s="150"/>
      <c r="F12" s="152"/>
      <c r="G12" s="153"/>
      <c r="H12" s="152"/>
      <c r="I12" s="152"/>
      <c r="J12" s="152"/>
      <c r="K12" s="154"/>
      <c r="L12" s="22"/>
      <c r="T12" s="30"/>
      <c r="AC12" s="22"/>
    </row>
    <row r="13" spans="1:29">
      <c r="A13" s="355"/>
      <c r="B13" s="156" t="s">
        <v>257</v>
      </c>
      <c r="C13" s="356" t="s">
        <v>400</v>
      </c>
      <c r="D13" s="357">
        <v>900</v>
      </c>
      <c r="E13" s="357">
        <v>6</v>
      </c>
      <c r="F13" s="356">
        <v>2</v>
      </c>
      <c r="G13" s="158">
        <f>+D13*E13*F13</f>
        <v>10800</v>
      </c>
      <c r="H13" s="358">
        <v>39</v>
      </c>
      <c r="I13" s="159">
        <f>+H13*G13</f>
        <v>421200</v>
      </c>
      <c r="J13" s="160">
        <f>17300000*F13</f>
        <v>34600000</v>
      </c>
      <c r="K13" s="161">
        <f t="shared" ref="K13:K20" si="0">+J13+(G13*(H13-$E$75)^2)</f>
        <v>1192323481.180872</v>
      </c>
      <c r="L13" s="359"/>
      <c r="N13">
        <v>0</v>
      </c>
      <c r="O13" s="209"/>
      <c r="P13" s="182">
        <f>+M13*G13</f>
        <v>0</v>
      </c>
      <c r="Q13">
        <f>+N13*G13</f>
        <v>0</v>
      </c>
      <c r="R13" s="210">
        <f>+G13*O13</f>
        <v>0</v>
      </c>
      <c r="T13" s="30"/>
      <c r="AC13" s="22"/>
    </row>
    <row r="14" spans="1:29">
      <c r="A14" s="355"/>
      <c r="B14" s="156" t="s">
        <v>258</v>
      </c>
      <c r="C14" s="356" t="s">
        <v>400</v>
      </c>
      <c r="D14" s="357">
        <v>975</v>
      </c>
      <c r="E14" s="357">
        <v>4</v>
      </c>
      <c r="F14" s="356">
        <v>2</v>
      </c>
      <c r="G14" s="158">
        <f>+D14*E14*F14</f>
        <v>7800</v>
      </c>
      <c r="H14" s="358">
        <v>647.70000000000005</v>
      </c>
      <c r="I14" s="159">
        <f t="shared" ref="I14:I20" si="1">+G14*H14</f>
        <v>5052060</v>
      </c>
      <c r="J14" s="160">
        <f>+((1/12)*(E14*(D14^3)))*F14</f>
        <v>617906250</v>
      </c>
      <c r="K14" s="161">
        <f t="shared" si="0"/>
        <v>1235078570.3333471</v>
      </c>
      <c r="L14" s="360"/>
      <c r="O14" s="209"/>
      <c r="P14" s="182"/>
      <c r="R14" s="210"/>
      <c r="T14" s="30"/>
      <c r="AC14" s="22"/>
    </row>
    <row r="15" spans="1:29">
      <c r="A15" s="355"/>
      <c r="B15" s="156" t="s">
        <v>463</v>
      </c>
      <c r="C15" s="356" t="s">
        <v>400</v>
      </c>
      <c r="D15" s="357">
        <v>250</v>
      </c>
      <c r="E15" s="357">
        <v>4</v>
      </c>
      <c r="F15" s="356">
        <v>2</v>
      </c>
      <c r="G15" s="158">
        <f>+D15*E15*F15</f>
        <v>2000</v>
      </c>
      <c r="H15" s="358">
        <v>78</v>
      </c>
      <c r="I15" s="159">
        <f t="shared" si="1"/>
        <v>156000</v>
      </c>
      <c r="J15" s="160">
        <f>+((1/12)*(E15*(D15^3)))*F15</f>
        <v>10416666.666666666</v>
      </c>
      <c r="K15" s="161">
        <f t="shared" si="0"/>
        <v>176776108.17794558</v>
      </c>
      <c r="L15" s="360"/>
      <c r="O15" s="209"/>
      <c r="P15" s="182"/>
      <c r="R15" s="210"/>
      <c r="T15" s="30"/>
      <c r="AC15" s="22"/>
    </row>
    <row r="16" spans="1:29">
      <c r="A16" s="355"/>
      <c r="B16" s="156" t="s">
        <v>465</v>
      </c>
      <c r="C16" s="356" t="s">
        <v>400</v>
      </c>
      <c r="D16" s="357">
        <v>350</v>
      </c>
      <c r="E16" s="357">
        <v>4</v>
      </c>
      <c r="F16" s="356">
        <v>2</v>
      </c>
      <c r="G16" s="158">
        <f>+D16*E16*F16</f>
        <v>2800</v>
      </c>
      <c r="H16" s="358">
        <v>1215</v>
      </c>
      <c r="I16" s="159">
        <f t="shared" si="1"/>
        <v>3402000</v>
      </c>
      <c r="J16" s="160">
        <f>+((1/12)*(E16*(D16^3)))*F16</f>
        <v>28583333.333333332</v>
      </c>
      <c r="K16" s="161">
        <f t="shared" si="0"/>
        <v>2044882303.6030562</v>
      </c>
      <c r="L16" s="360"/>
      <c r="O16" s="209"/>
      <c r="P16" s="182"/>
      <c r="R16" s="210"/>
      <c r="T16" s="30"/>
      <c r="AC16" s="22"/>
    </row>
    <row r="17" spans="1:29">
      <c r="A17" s="355"/>
      <c r="B17" s="156" t="s">
        <v>259</v>
      </c>
      <c r="C17" s="356" t="s">
        <v>400</v>
      </c>
      <c r="D17" s="357">
        <v>2080</v>
      </c>
      <c r="E17" s="357">
        <v>4</v>
      </c>
      <c r="F17" s="356">
        <v>1</v>
      </c>
      <c r="G17" s="158">
        <f>+D17*E17*F17</f>
        <v>8320</v>
      </c>
      <c r="H17" s="358">
        <v>350</v>
      </c>
      <c r="I17" s="159">
        <f t="shared" si="1"/>
        <v>2912000</v>
      </c>
      <c r="J17" s="160">
        <f>+((1/12)*(D17*(E17^3)))*F17</f>
        <v>11093.333333333332</v>
      </c>
      <c r="K17" s="161">
        <f t="shared" si="0"/>
        <v>2251282.8216217458</v>
      </c>
      <c r="L17" s="360"/>
      <c r="O17" s="209"/>
      <c r="P17" s="182"/>
      <c r="R17" s="210"/>
      <c r="T17" s="30"/>
      <c r="AC17" s="22"/>
    </row>
    <row r="18" spans="1:29">
      <c r="A18" s="355"/>
      <c r="B18" s="156" t="s">
        <v>471</v>
      </c>
      <c r="C18" s="356" t="s">
        <v>401</v>
      </c>
      <c r="D18" s="357">
        <v>65</v>
      </c>
      <c r="E18" s="357">
        <v>6</v>
      </c>
      <c r="F18" s="356">
        <v>2</v>
      </c>
      <c r="G18" s="158">
        <f>(internos!S34+internos!S35)*F18</f>
        <v>780</v>
      </c>
      <c r="H18" s="358">
        <v>54</v>
      </c>
      <c r="I18" s="159">
        <f>+G18*H18</f>
        <v>42120</v>
      </c>
      <c r="J18" s="160">
        <f>(internos!V34+internos!V35)*10000</f>
        <v>489966.20795847749</v>
      </c>
      <c r="K18" s="161">
        <f t="shared" si="0"/>
        <v>76617459.376022398</v>
      </c>
      <c r="L18" s="360"/>
      <c r="O18" s="209"/>
      <c r="P18" s="182"/>
      <c r="R18" s="210"/>
      <c r="T18" s="30"/>
      <c r="AC18" s="22"/>
    </row>
    <row r="19" spans="1:29">
      <c r="A19" s="355"/>
      <c r="B19" s="156" t="s">
        <v>472</v>
      </c>
      <c r="C19" s="356" t="s">
        <v>401</v>
      </c>
      <c r="D19" s="357">
        <v>65</v>
      </c>
      <c r="E19" s="357">
        <v>6</v>
      </c>
      <c r="F19" s="356">
        <v>2</v>
      </c>
      <c r="G19" s="158">
        <f>(internos!S34+internos!S35)*F19</f>
        <v>780</v>
      </c>
      <c r="H19" s="358">
        <v>73</v>
      </c>
      <c r="I19" s="159">
        <f t="shared" si="1"/>
        <v>56940</v>
      </c>
      <c r="J19" s="160">
        <f>(internos!V34+internos!V35)*10000</f>
        <v>489966.20795847749</v>
      </c>
      <c r="K19" s="161">
        <f t="shared" si="0"/>
        <v>67639238.184579164</v>
      </c>
      <c r="L19" s="360"/>
      <c r="O19" s="209"/>
      <c r="P19" s="182"/>
      <c r="R19" s="210"/>
      <c r="T19" s="30"/>
      <c r="AC19" s="22"/>
    </row>
    <row r="20" spans="1:29" ht="15.75" thickBot="1">
      <c r="A20" s="355"/>
      <c r="B20" s="156" t="s">
        <v>473</v>
      </c>
      <c r="C20" s="356" t="s">
        <v>402</v>
      </c>
      <c r="D20" s="357">
        <v>65</v>
      </c>
      <c r="E20" s="357">
        <v>6</v>
      </c>
      <c r="F20" s="356">
        <v>2</v>
      </c>
      <c r="G20" s="158">
        <f>(internos!S34+internos!S35)*F20</f>
        <v>780</v>
      </c>
      <c r="H20" s="358">
        <v>110</v>
      </c>
      <c r="I20" s="159">
        <f t="shared" si="1"/>
        <v>85800</v>
      </c>
      <c r="J20" s="160">
        <f>(internos!V34+internos!V35)*10000</f>
        <v>489966.20795847749</v>
      </c>
      <c r="K20" s="161">
        <f t="shared" si="0"/>
        <v>51771493.759137049</v>
      </c>
      <c r="L20" s="360"/>
      <c r="O20" s="209"/>
      <c r="P20" s="182"/>
      <c r="R20" s="210"/>
      <c r="T20" s="30"/>
      <c r="AC20" s="22"/>
    </row>
    <row r="21" spans="1:29" ht="15.75" thickBot="1">
      <c r="A21" s="162">
        <v>116</v>
      </c>
      <c r="B21" s="163" t="s">
        <v>260</v>
      </c>
      <c r="C21" s="164"/>
      <c r="D21" s="165"/>
      <c r="E21" s="164"/>
      <c r="F21" s="166"/>
      <c r="G21" s="167"/>
      <c r="H21" s="168"/>
      <c r="I21" s="169"/>
      <c r="J21" s="166"/>
      <c r="K21" s="170"/>
      <c r="L21" s="360"/>
      <c r="T21" s="30"/>
      <c r="AC21" s="22"/>
    </row>
    <row r="22" spans="1:29">
      <c r="A22" s="361"/>
      <c r="B22" s="156" t="s">
        <v>468</v>
      </c>
      <c r="C22" s="356" t="s">
        <v>402</v>
      </c>
      <c r="D22" s="357">
        <v>100</v>
      </c>
      <c r="E22" s="356">
        <v>4</v>
      </c>
      <c r="F22" s="356">
        <v>2</v>
      </c>
      <c r="G22" s="171">
        <f>+D22*E22*F22</f>
        <v>800</v>
      </c>
      <c r="H22" s="358">
        <v>1400</v>
      </c>
      <c r="I22" s="159">
        <f t="shared" ref="I22:I29" si="2">+G22*H22</f>
        <v>1120000</v>
      </c>
      <c r="J22" s="160">
        <f>+((1/12)*(D22*(E22^3)))*F22</f>
        <v>1066.6666666666665</v>
      </c>
      <c r="K22" s="161">
        <f t="shared" ref="K22:K29" si="3">+J22+(G22*(H22-$E$75)^2)</f>
        <v>854649438.40812981</v>
      </c>
      <c r="L22" s="360"/>
      <c r="T22" s="30"/>
      <c r="AC22" s="22"/>
    </row>
    <row r="23" spans="1:29">
      <c r="A23" s="361"/>
      <c r="B23" s="156" t="s">
        <v>460</v>
      </c>
      <c r="C23" s="356" t="s">
        <v>402</v>
      </c>
      <c r="D23" s="357">
        <v>40</v>
      </c>
      <c r="E23" s="356">
        <v>5</v>
      </c>
      <c r="F23" s="356">
        <v>2</v>
      </c>
      <c r="G23" s="171">
        <f t="shared" ref="G23:G27" si="4">+D23*E23*F23</f>
        <v>400</v>
      </c>
      <c r="H23" s="358">
        <v>600</v>
      </c>
      <c r="I23" s="159">
        <f t="shared" si="2"/>
        <v>240000</v>
      </c>
      <c r="J23" s="160">
        <f>+((1/12)*(D23*(E23^3)))*F23</f>
        <v>833.33333333333326</v>
      </c>
      <c r="K23" s="161">
        <f t="shared" si="3"/>
        <v>21826745.335093174</v>
      </c>
      <c r="L23" s="360"/>
      <c r="T23" s="30"/>
      <c r="AC23" s="22"/>
    </row>
    <row r="24" spans="1:29">
      <c r="A24" s="361"/>
      <c r="B24" s="156" t="s">
        <v>461</v>
      </c>
      <c r="C24" s="356" t="s">
        <v>402</v>
      </c>
      <c r="D24" s="357">
        <v>40</v>
      </c>
      <c r="E24" s="356">
        <v>5</v>
      </c>
      <c r="F24" s="356">
        <v>2</v>
      </c>
      <c r="G24" s="171">
        <f t="shared" si="4"/>
        <v>400</v>
      </c>
      <c r="H24" s="358">
        <v>850</v>
      </c>
      <c r="I24" s="159">
        <f t="shared" si="2"/>
        <v>340000</v>
      </c>
      <c r="J24" s="160">
        <f>+((1/12)*(D24*(E24^3)))*F24</f>
        <v>833.33333333333326</v>
      </c>
      <c r="K24" s="161">
        <f t="shared" si="3"/>
        <v>93544955.919146851</v>
      </c>
      <c r="L24" s="360"/>
      <c r="T24" s="30"/>
      <c r="AC24" s="22"/>
    </row>
    <row r="25" spans="1:29">
      <c r="A25" s="361"/>
      <c r="B25" s="156" t="s">
        <v>462</v>
      </c>
      <c r="C25" s="356" t="s">
        <v>400</v>
      </c>
      <c r="D25" s="357">
        <v>100</v>
      </c>
      <c r="E25" s="356">
        <v>4</v>
      </c>
      <c r="F25" s="356">
        <v>2</v>
      </c>
      <c r="G25" s="171">
        <f t="shared" si="4"/>
        <v>800</v>
      </c>
      <c r="H25" s="358">
        <v>200</v>
      </c>
      <c r="I25" s="159">
        <f t="shared" si="2"/>
        <v>160000</v>
      </c>
      <c r="J25" s="160">
        <f>+((1/12)*(E25*(D25^3)))*F25</f>
        <v>666666.66666666663</v>
      </c>
      <c r="K25" s="161">
        <f t="shared" si="3"/>
        <v>22820216.801214613</v>
      </c>
      <c r="L25" s="360"/>
      <c r="T25" s="30"/>
      <c r="AC25" s="22"/>
    </row>
    <row r="26" spans="1:29">
      <c r="A26" s="361"/>
      <c r="B26" s="156" t="s">
        <v>464</v>
      </c>
      <c r="C26" s="356" t="s">
        <v>402</v>
      </c>
      <c r="D26" s="357">
        <v>40</v>
      </c>
      <c r="E26" s="356">
        <v>4</v>
      </c>
      <c r="F26" s="356">
        <v>5</v>
      </c>
      <c r="G26" s="171">
        <f t="shared" si="4"/>
        <v>800</v>
      </c>
      <c r="H26" s="358">
        <v>330</v>
      </c>
      <c r="I26" s="159">
        <f t="shared" si="2"/>
        <v>264000</v>
      </c>
      <c r="J26" s="160">
        <f>+((1/12)*(E26*(D26^3)))*F26</f>
        <v>106666.66666666666</v>
      </c>
      <c r="K26" s="161">
        <f t="shared" si="3"/>
        <v>1167155.8086304271</v>
      </c>
      <c r="L26" s="360"/>
      <c r="T26" s="30"/>
      <c r="AC26" s="22"/>
    </row>
    <row r="27" spans="1:29">
      <c r="A27" s="361"/>
      <c r="B27" s="156" t="s">
        <v>422</v>
      </c>
      <c r="C27" s="356" t="s">
        <v>402</v>
      </c>
      <c r="D27" s="357">
        <v>80</v>
      </c>
      <c r="E27" s="356">
        <v>12</v>
      </c>
      <c r="F27" s="356">
        <v>1</v>
      </c>
      <c r="G27" s="171">
        <f t="shared" si="4"/>
        <v>960</v>
      </c>
      <c r="H27" s="358">
        <v>34.57</v>
      </c>
      <c r="I27" s="159">
        <f t="shared" si="2"/>
        <v>33187.199999999997</v>
      </c>
      <c r="J27" s="160">
        <f>+((1/12)*(E27*(D27^3)))*F27</f>
        <v>512000</v>
      </c>
      <c r="K27" s="161">
        <f t="shared" si="3"/>
        <v>106224403.32702555</v>
      </c>
      <c r="L27" s="360"/>
      <c r="T27" s="30"/>
      <c r="AC27" s="22"/>
    </row>
    <row r="28" spans="1:29">
      <c r="A28" s="361"/>
      <c r="B28" s="156" t="s">
        <v>466</v>
      </c>
      <c r="C28" s="356" t="s">
        <v>402</v>
      </c>
      <c r="D28" s="357">
        <v>19</v>
      </c>
      <c r="E28" s="356">
        <v>19</v>
      </c>
      <c r="F28" s="356">
        <v>2</v>
      </c>
      <c r="G28" s="171">
        <f>F28*(PI()*((E28/2))^2)</f>
        <v>567.05747397295761</v>
      </c>
      <c r="H28" s="358">
        <v>97</v>
      </c>
      <c r="I28" s="159">
        <f t="shared" si="2"/>
        <v>55004.574975376891</v>
      </c>
      <c r="J28" s="160">
        <f>(PI()/64)*(E28^4)</f>
        <v>6397.1171282574287</v>
      </c>
      <c r="K28" s="161">
        <f t="shared" si="3"/>
        <v>41164098.140616551</v>
      </c>
      <c r="L28" s="360"/>
      <c r="T28" s="30"/>
      <c r="AC28" s="22"/>
    </row>
    <row r="29" spans="1:29" ht="15.75" thickBot="1">
      <c r="A29" s="361"/>
      <c r="B29" s="156" t="s">
        <v>467</v>
      </c>
      <c r="C29" s="356" t="s">
        <v>402</v>
      </c>
      <c r="D29" s="357">
        <v>19</v>
      </c>
      <c r="E29" s="356">
        <v>19</v>
      </c>
      <c r="F29" s="356">
        <v>2</v>
      </c>
      <c r="G29" s="171">
        <f>F29*(PI()*((E29/2))^2)</f>
        <v>567.05747397295761</v>
      </c>
      <c r="H29" s="358">
        <v>140</v>
      </c>
      <c r="I29" s="159">
        <f t="shared" si="2"/>
        <v>79388.046356214065</v>
      </c>
      <c r="J29" s="160">
        <f>(PI()/64)*(E29^4)</f>
        <v>6397.1171282574287</v>
      </c>
      <c r="K29" s="161">
        <f t="shared" si="3"/>
        <v>29074336.708272312</v>
      </c>
      <c r="L29" s="360"/>
      <c r="T29" s="30"/>
      <c r="AC29" s="22"/>
    </row>
    <row r="30" spans="1:29" ht="15.75" thickBot="1">
      <c r="A30" s="233"/>
      <c r="B30" s="472" t="s">
        <v>261</v>
      </c>
      <c r="C30" s="234"/>
      <c r="D30" s="362"/>
      <c r="E30" s="474" t="s">
        <v>262</v>
      </c>
      <c r="F30" s="474"/>
      <c r="G30" s="363" t="s">
        <v>263</v>
      </c>
      <c r="H30" s="364"/>
      <c r="I30" s="363" t="s">
        <v>264</v>
      </c>
      <c r="J30" s="365"/>
      <c r="K30" s="235" t="s">
        <v>265</v>
      </c>
      <c r="L30" s="360"/>
      <c r="M30" s="211" t="s">
        <v>341</v>
      </c>
      <c r="N30" s="211" t="s">
        <v>342</v>
      </c>
      <c r="O30" s="211" t="s">
        <v>343</v>
      </c>
      <c r="P30" s="211" t="s">
        <v>344</v>
      </c>
      <c r="Q30" s="211" t="s">
        <v>345</v>
      </c>
      <c r="R30" s="212" t="s">
        <v>346</v>
      </c>
      <c r="T30" s="28"/>
      <c r="U30" s="413"/>
      <c r="V30" s="23"/>
      <c r="W30" s="23"/>
      <c r="X30" s="23"/>
      <c r="Y30" s="23"/>
      <c r="Z30" s="23"/>
      <c r="AA30" s="23"/>
      <c r="AB30" s="23"/>
      <c r="AC30" s="24"/>
    </row>
    <row r="31" spans="1:29" ht="15.75" thickBot="1">
      <c r="A31" s="236"/>
      <c r="B31" s="473"/>
      <c r="C31" s="237"/>
      <c r="D31" s="238"/>
      <c r="E31" s="475"/>
      <c r="F31" s="475"/>
      <c r="G31" s="239">
        <f>SUM(G13:G29)</f>
        <v>39354.114947945913</v>
      </c>
      <c r="H31" s="240"/>
      <c r="I31" s="241">
        <f>SUM(I13:I29)</f>
        <v>14419699.82133159</v>
      </c>
      <c r="J31" s="242"/>
      <c r="K31" s="243">
        <f>SUM(K13:R29)</f>
        <v>6017811287.8847094</v>
      </c>
      <c r="L31" s="360"/>
      <c r="M31" s="213" t="s">
        <v>338</v>
      </c>
      <c r="N31" s="213" t="s">
        <v>338</v>
      </c>
      <c r="O31" s="213" t="s">
        <v>338</v>
      </c>
      <c r="P31" s="213" t="s">
        <v>339</v>
      </c>
      <c r="Q31" s="213" t="s">
        <v>339</v>
      </c>
      <c r="R31" s="214" t="s">
        <v>339</v>
      </c>
      <c r="T31" s="442" t="s">
        <v>433</v>
      </c>
      <c r="U31" s="443"/>
      <c r="V31" s="443"/>
      <c r="W31" s="443"/>
      <c r="X31" s="443"/>
      <c r="Y31" s="443"/>
      <c r="Z31" s="443"/>
      <c r="AA31" s="443"/>
      <c r="AB31" s="443"/>
      <c r="AC31" s="444"/>
    </row>
    <row r="32" spans="1:29" ht="16.5" hidden="1" customHeight="1">
      <c r="A32" s="366">
        <v>5</v>
      </c>
      <c r="B32" s="367" t="s">
        <v>266</v>
      </c>
      <c r="C32" s="368" t="e">
        <f>#REF!</f>
        <v>#REF!</v>
      </c>
      <c r="D32" s="367">
        <v>6.35</v>
      </c>
      <c r="E32" s="172" t="e">
        <f>#REF!+#REF!</f>
        <v>#REF!</v>
      </c>
      <c r="F32" s="157">
        <v>0</v>
      </c>
      <c r="G32" s="173"/>
      <c r="I32" s="173" t="e">
        <f>J32*1.83*6.1*50.2</f>
        <v>#REF!</v>
      </c>
      <c r="J32" s="157" t="e">
        <f>F32-#REF!</f>
        <v>#REF!</v>
      </c>
      <c r="L32" s="369"/>
      <c r="O32" s="215"/>
    </row>
    <row r="33" spans="1:14" ht="16.5" hidden="1" customHeight="1">
      <c r="A33" s="476" t="s">
        <v>267</v>
      </c>
      <c r="B33" s="477"/>
      <c r="C33" s="477"/>
      <c r="D33" s="477"/>
      <c r="E33" s="174" t="e">
        <f>SUM(E32:E32)</f>
        <v>#REF!</v>
      </c>
      <c r="F33" s="175"/>
      <c r="G33" s="370">
        <f>SUM(G32:G32)</f>
        <v>0</v>
      </c>
      <c r="I33" s="370" t="e">
        <f>SUM(I32:I32)</f>
        <v>#REF!</v>
      </c>
      <c r="L33" s="369"/>
    </row>
    <row r="34" spans="1:14" ht="16.5" hidden="1" customHeight="1">
      <c r="A34" s="371"/>
      <c r="B34" s="372"/>
      <c r="C34" s="372"/>
      <c r="D34" s="372"/>
      <c r="E34" s="176"/>
      <c r="F34" s="175"/>
      <c r="G34" s="373"/>
      <c r="I34" s="373"/>
      <c r="L34" s="369"/>
    </row>
    <row r="35" spans="1:14" ht="16.5" hidden="1" customHeight="1">
      <c r="A35" s="30"/>
      <c r="C35" s="263"/>
      <c r="D35" s="263"/>
      <c r="E35" s="177" t="s">
        <v>268</v>
      </c>
      <c r="F35" s="372" t="s">
        <v>269</v>
      </c>
      <c r="G35" s="372" t="s">
        <v>268</v>
      </c>
      <c r="H35" s="374"/>
      <c r="I35" s="372" t="s">
        <v>268</v>
      </c>
      <c r="J35" s="372" t="s">
        <v>269</v>
      </c>
      <c r="L35" s="369"/>
      <c r="M35" s="155"/>
    </row>
    <row r="36" spans="1:14" ht="15.75" hidden="1" customHeight="1">
      <c r="A36" s="366">
        <v>1</v>
      </c>
      <c r="B36" s="367" t="s">
        <v>270</v>
      </c>
      <c r="C36" s="368" t="s">
        <v>271</v>
      </c>
      <c r="D36" s="367">
        <v>9.5299999999999994</v>
      </c>
      <c r="E36" s="375" t="e">
        <f>#REF!+#REF!</f>
        <v>#REF!</v>
      </c>
      <c r="F36" s="157"/>
      <c r="G36" s="173">
        <v>5267.21</v>
      </c>
      <c r="L36" s="22" t="e">
        <f>IF(M36&gt;=0,#REF!,IF(M36&lt;0,#REF!,0))</f>
        <v>#REF!</v>
      </c>
      <c r="M36" s="216" t="e">
        <f t="shared" ref="M36:M41" si="5">+G36-E36*(1+0.08)</f>
        <v>#REF!</v>
      </c>
    </row>
    <row r="37" spans="1:14" ht="15.75" hidden="1" customHeight="1">
      <c r="A37" s="366">
        <v>2</v>
      </c>
      <c r="B37" s="367" t="s">
        <v>272</v>
      </c>
      <c r="C37" s="368" t="s">
        <v>271</v>
      </c>
      <c r="D37" s="367">
        <v>7.94</v>
      </c>
      <c r="E37" s="375" t="e">
        <f>#REF!+#REF!</f>
        <v>#REF!</v>
      </c>
      <c r="F37" s="157"/>
      <c r="G37" s="173">
        <f>8616.62+26580.068</f>
        <v>35196.688000000002</v>
      </c>
      <c r="L37" s="22" t="e">
        <f>IF(M37&gt;=0,#REF!,IF(M37&lt;0,#REF!,0))</f>
        <v>#REF!</v>
      </c>
      <c r="M37" s="216" t="e">
        <f t="shared" si="5"/>
        <v>#REF!</v>
      </c>
    </row>
    <row r="38" spans="1:14" ht="15.75" hidden="1" customHeight="1">
      <c r="A38" s="366">
        <v>3</v>
      </c>
      <c r="B38" s="367" t="s">
        <v>273</v>
      </c>
      <c r="C38" s="368" t="s">
        <v>271</v>
      </c>
      <c r="D38" s="367">
        <f>D37</f>
        <v>7.94</v>
      </c>
      <c r="E38" s="375" t="e">
        <f>#REF!+#REF!</f>
        <v>#REF!</v>
      </c>
      <c r="F38" s="157"/>
      <c r="G38" s="173">
        <v>9735.6</v>
      </c>
      <c r="L38" s="22" t="e">
        <f>IF(M38&gt;=0,#REF!,IF(M38&lt;0,#REF!,0))</f>
        <v>#REF!</v>
      </c>
      <c r="M38" s="216" t="e">
        <f t="shared" si="5"/>
        <v>#REF!</v>
      </c>
    </row>
    <row r="39" spans="1:14" ht="15.75" hidden="1" customHeight="1">
      <c r="A39" s="366">
        <v>4</v>
      </c>
      <c r="B39" s="367" t="s">
        <v>274</v>
      </c>
      <c r="C39" s="368" t="s">
        <v>271</v>
      </c>
      <c r="D39" s="367">
        <f>D37</f>
        <v>7.94</v>
      </c>
      <c r="E39" s="375" t="e">
        <f>#REF!+#REF!</f>
        <v>#REF!</v>
      </c>
      <c r="F39" s="157"/>
      <c r="G39" s="173">
        <v>20557.2</v>
      </c>
      <c r="L39" s="22" t="e">
        <f>IF(M39&gt;=0,#REF!,IF(M39&lt;0,#REF!,0))</f>
        <v>#REF!</v>
      </c>
      <c r="M39" s="216" t="e">
        <f t="shared" si="5"/>
        <v>#REF!</v>
      </c>
    </row>
    <row r="40" spans="1:14" ht="15.75" hidden="1" customHeight="1">
      <c r="A40" s="366">
        <v>5</v>
      </c>
      <c r="B40" s="367" t="s">
        <v>274</v>
      </c>
      <c r="C40" s="368" t="s">
        <v>271</v>
      </c>
      <c r="D40" s="367">
        <v>6.35</v>
      </c>
      <c r="E40" s="375" t="e">
        <f>#REF!+#REF!</f>
        <v>#REF!</v>
      </c>
      <c r="F40" s="157"/>
      <c r="G40" s="173">
        <v>3000.12</v>
      </c>
      <c r="L40" s="22" t="e">
        <f>IF(M40&gt;=0,#REF!,IF(M40&lt;0,#REF!,0))</f>
        <v>#REF!</v>
      </c>
      <c r="M40" s="216" t="e">
        <f t="shared" si="5"/>
        <v>#REF!</v>
      </c>
    </row>
    <row r="41" spans="1:14" ht="15.75" hidden="1" customHeight="1">
      <c r="A41" s="376">
        <v>6</v>
      </c>
      <c r="B41" s="178" t="s">
        <v>275</v>
      </c>
      <c r="C41" s="179" t="s">
        <v>276</v>
      </c>
      <c r="D41" s="178">
        <v>9.5299999999999994</v>
      </c>
      <c r="E41" s="172" t="e">
        <f>#REF!</f>
        <v>#REF!</v>
      </c>
      <c r="G41" s="173">
        <v>0</v>
      </c>
      <c r="L41" s="22" t="e">
        <f>IF(M41&gt;=0,#REF!,IF(M41&lt;0,#REF!,0))</f>
        <v>#REF!</v>
      </c>
      <c r="M41" s="216" t="e">
        <f t="shared" si="5"/>
        <v>#REF!</v>
      </c>
    </row>
    <row r="42" spans="1:14" ht="15.75" hidden="1" customHeight="1">
      <c r="A42" s="478" t="s">
        <v>277</v>
      </c>
      <c r="B42" s="479"/>
      <c r="C42" s="479"/>
      <c r="D42" s="479"/>
      <c r="E42" s="180" t="e">
        <f>SUM(E36:E41)</f>
        <v>#REF!</v>
      </c>
      <c r="F42" s="175"/>
      <c r="G42" s="370">
        <f>SUM(G36:G41)</f>
        <v>73756.817999999999</v>
      </c>
      <c r="L42" s="22"/>
    </row>
    <row r="43" spans="1:14" ht="15.75" hidden="1" customHeight="1">
      <c r="A43" s="480" t="s">
        <v>278</v>
      </c>
      <c r="B43" s="481"/>
      <c r="C43" s="481"/>
      <c r="D43" s="481"/>
      <c r="E43" s="370" t="e">
        <f>+E33+E42</f>
        <v>#REF!</v>
      </c>
      <c r="F43" s="374"/>
      <c r="G43" s="370">
        <f>+G33+G42</f>
        <v>73756.817999999999</v>
      </c>
      <c r="J43" s="377"/>
      <c r="L43" s="378"/>
      <c r="M43" s="182" t="e">
        <f>G43-E43</f>
        <v>#REF!</v>
      </c>
    </row>
    <row r="44" spans="1:14" ht="15.75" hidden="1" customHeight="1">
      <c r="A44" s="480" t="s">
        <v>279</v>
      </c>
      <c r="B44" s="481"/>
      <c r="C44" s="481"/>
      <c r="D44" s="481"/>
      <c r="E44" s="181" t="e">
        <f>#REF!+#REF!+#REF!+#REF!+#REF!+#REF!+#REF!+#REF!+#REF!*#REF!</f>
        <v>#REF!</v>
      </c>
      <c r="L44" s="22"/>
      <c r="M44" s="217" t="e">
        <f>M43/G43</f>
        <v>#REF!</v>
      </c>
      <c r="N44" t="s">
        <v>347</v>
      </c>
    </row>
    <row r="45" spans="1:14" ht="15.75" hidden="1" customHeight="1">
      <c r="A45" s="482" t="s">
        <v>280</v>
      </c>
      <c r="B45" s="483"/>
      <c r="C45" s="483"/>
      <c r="D45" s="483"/>
      <c r="E45" s="377" t="e">
        <f>E43+E44</f>
        <v>#REF!</v>
      </c>
      <c r="L45" s="22"/>
      <c r="M45" s="182" t="e">
        <f>#REF!+#REF!</f>
        <v>#REF!</v>
      </c>
    </row>
    <row r="46" spans="1:14" ht="15.75" customHeight="1" thickBot="1">
      <c r="A46" s="379"/>
      <c r="B46" s="380"/>
      <c r="C46" s="380"/>
      <c r="D46" s="380"/>
      <c r="E46" s="377"/>
      <c r="L46" s="22"/>
      <c r="M46" s="182"/>
    </row>
    <row r="47" spans="1:14" ht="16.5" thickBot="1">
      <c r="A47" s="30"/>
      <c r="C47" s="448" t="s">
        <v>281</v>
      </c>
      <c r="D47" s="449"/>
      <c r="E47" s="449"/>
      <c r="F47" s="450"/>
      <c r="I47" s="182"/>
      <c r="L47" s="22"/>
    </row>
    <row r="48" spans="1:14" hidden="1">
      <c r="A48" s="30"/>
      <c r="F48" s="32"/>
      <c r="L48" s="22"/>
    </row>
    <row r="49" spans="1:12" ht="20.25" hidden="1" customHeight="1">
      <c r="A49" s="453" t="s">
        <v>282</v>
      </c>
      <c r="B49" s="454"/>
      <c r="C49" s="454"/>
      <c r="D49" s="454"/>
      <c r="E49" s="454"/>
      <c r="F49" s="454"/>
      <c r="G49" s="454"/>
      <c r="L49" s="22"/>
    </row>
    <row r="50" spans="1:12" ht="15.75" hidden="1" customHeight="1">
      <c r="A50" s="455" t="s">
        <v>283</v>
      </c>
      <c r="B50" s="451" t="s">
        <v>284</v>
      </c>
      <c r="C50" s="457" t="s">
        <v>285</v>
      </c>
      <c r="D50" s="457"/>
      <c r="E50" s="451" t="s">
        <v>286</v>
      </c>
      <c r="F50" s="451" t="s">
        <v>287</v>
      </c>
      <c r="G50" s="451" t="s">
        <v>288</v>
      </c>
      <c r="L50" s="22"/>
    </row>
    <row r="51" spans="1:12" ht="30" hidden="1" customHeight="1">
      <c r="A51" s="456"/>
      <c r="B51" s="452"/>
      <c r="C51" s="183" t="s">
        <v>289</v>
      </c>
      <c r="D51" s="184" t="s">
        <v>290</v>
      </c>
      <c r="E51" s="452"/>
      <c r="F51" s="452"/>
      <c r="G51" s="452"/>
      <c r="L51" s="22"/>
    </row>
    <row r="52" spans="1:12" hidden="1">
      <c r="A52" s="381">
        <v>1</v>
      </c>
      <c r="B52" s="382" t="s">
        <v>291</v>
      </c>
      <c r="C52" s="157" t="s">
        <v>292</v>
      </c>
      <c r="D52" s="157">
        <v>12.7</v>
      </c>
      <c r="E52" s="185"/>
      <c r="F52" s="157" t="s">
        <v>293</v>
      </c>
      <c r="G52" s="383" t="e">
        <f>#REF!</f>
        <v>#REF!</v>
      </c>
      <c r="L52" s="22"/>
    </row>
    <row r="53" spans="1:12" hidden="1">
      <c r="A53" s="381">
        <v>2</v>
      </c>
      <c r="B53" s="382" t="str">
        <f>B52</f>
        <v>Lamina acero</v>
      </c>
      <c r="C53" s="157" t="str">
        <f>C52</f>
        <v>A131</v>
      </c>
      <c r="D53" s="157" t="e">
        <f>#REF!</f>
        <v>#REF!</v>
      </c>
      <c r="E53" s="186"/>
      <c r="F53" s="157" t="str">
        <f>F52</f>
        <v>1830x6100</v>
      </c>
      <c r="G53" s="383" t="e">
        <f>#REF!</f>
        <v>#REF!</v>
      </c>
      <c r="L53" s="22"/>
    </row>
    <row r="54" spans="1:12" hidden="1">
      <c r="A54" s="381">
        <v>3</v>
      </c>
      <c r="B54" s="382" t="str">
        <f>B52</f>
        <v>Lamina acero</v>
      </c>
      <c r="C54" s="157" t="str">
        <f>+C53</f>
        <v>A131</v>
      </c>
      <c r="D54" s="157" t="e">
        <f>#REF!</f>
        <v>#REF!</v>
      </c>
      <c r="E54" s="186"/>
      <c r="F54" s="157" t="str">
        <f>F53</f>
        <v>1830x6100</v>
      </c>
      <c r="G54" s="383" t="e">
        <f>#REF!</f>
        <v>#REF!</v>
      </c>
      <c r="L54" s="22"/>
    </row>
    <row r="55" spans="1:12" hidden="1">
      <c r="A55" s="381">
        <v>4</v>
      </c>
      <c r="B55" s="382" t="str">
        <f>B52</f>
        <v>Lamina acero</v>
      </c>
      <c r="C55" s="157" t="str">
        <f>C52</f>
        <v>A131</v>
      </c>
      <c r="D55" s="157" t="e">
        <f>#REF!</f>
        <v>#REF!</v>
      </c>
      <c r="E55" s="186"/>
      <c r="F55" s="157" t="s">
        <v>294</v>
      </c>
      <c r="G55" s="383"/>
      <c r="L55" s="22"/>
    </row>
    <row r="56" spans="1:12" hidden="1">
      <c r="A56" s="381">
        <v>5</v>
      </c>
      <c r="B56" s="382" t="s">
        <v>295</v>
      </c>
      <c r="C56" s="157" t="s">
        <v>296</v>
      </c>
      <c r="D56" s="157">
        <f>D36</f>
        <v>9.5299999999999994</v>
      </c>
      <c r="E56" s="186"/>
      <c r="F56" s="157" t="s">
        <v>297</v>
      </c>
      <c r="G56" s="383">
        <v>48</v>
      </c>
      <c r="L56" s="22"/>
    </row>
    <row r="57" spans="1:12" hidden="1">
      <c r="A57" s="381">
        <v>6</v>
      </c>
      <c r="B57" s="382" t="str">
        <f>B56</f>
        <v>Perfil L acero</v>
      </c>
      <c r="C57" s="157" t="str">
        <f>C56</f>
        <v>A36</v>
      </c>
      <c r="D57" s="157">
        <f>D37</f>
        <v>7.94</v>
      </c>
      <c r="E57" s="186"/>
      <c r="F57" s="157" t="s">
        <v>298</v>
      </c>
      <c r="G57" s="383"/>
      <c r="L57" s="22"/>
    </row>
    <row r="58" spans="1:12" hidden="1">
      <c r="A58" s="381">
        <v>7</v>
      </c>
      <c r="B58" s="382" t="str">
        <f>B56</f>
        <v>Perfil L acero</v>
      </c>
      <c r="C58" s="157" t="str">
        <f>C56</f>
        <v>A36</v>
      </c>
      <c r="D58" s="157">
        <f>D38</f>
        <v>7.94</v>
      </c>
      <c r="E58" s="186"/>
      <c r="F58" s="157" t="s">
        <v>299</v>
      </c>
      <c r="G58" s="383"/>
      <c r="L58" s="22"/>
    </row>
    <row r="59" spans="1:12" hidden="1">
      <c r="A59" s="381">
        <v>8</v>
      </c>
      <c r="B59" s="382" t="str">
        <f>B56</f>
        <v>Perfil L acero</v>
      </c>
      <c r="C59" s="157" t="str">
        <f>C56</f>
        <v>A36</v>
      </c>
      <c r="D59" s="157">
        <f>D39</f>
        <v>7.94</v>
      </c>
      <c r="E59" s="186"/>
      <c r="F59" s="157" t="s">
        <v>300</v>
      </c>
      <c r="G59" s="383"/>
      <c r="L59" s="22"/>
    </row>
    <row r="60" spans="1:12" hidden="1">
      <c r="A60" s="381">
        <v>9</v>
      </c>
      <c r="B60" s="382" t="str">
        <f>B56</f>
        <v>Perfil L acero</v>
      </c>
      <c r="C60" s="157" t="str">
        <f>C56</f>
        <v>A36</v>
      </c>
      <c r="D60" s="157">
        <f>D40</f>
        <v>6.35</v>
      </c>
      <c r="E60" s="186"/>
      <c r="F60" s="157" t="str">
        <f>F59</f>
        <v>76,2x6000</v>
      </c>
      <c r="G60" s="383"/>
      <c r="L60" s="22"/>
    </row>
    <row r="61" spans="1:12" hidden="1">
      <c r="A61" s="381">
        <v>10</v>
      </c>
      <c r="B61" s="384" t="s">
        <v>301</v>
      </c>
      <c r="C61" s="385" t="str">
        <f>+C60</f>
        <v>A36</v>
      </c>
      <c r="D61" s="386">
        <f>+F45</f>
        <v>0</v>
      </c>
      <c r="E61" s="387" t="e">
        <f>#REF!</f>
        <v>#REF!</v>
      </c>
      <c r="F61" s="386" t="s">
        <v>302</v>
      </c>
      <c r="G61" s="388"/>
      <c r="H61" t="s">
        <v>303</v>
      </c>
      <c r="L61" s="22"/>
    </row>
    <row r="62" spans="1:12" hidden="1">
      <c r="A62" s="381">
        <v>11</v>
      </c>
      <c r="B62" s="384" t="s">
        <v>304</v>
      </c>
      <c r="C62" s="385" t="str">
        <f>+C61</f>
        <v>A36</v>
      </c>
      <c r="D62" s="386">
        <v>3.91</v>
      </c>
      <c r="E62" s="387" t="e">
        <f>#REF!</f>
        <v>#REF!</v>
      </c>
      <c r="F62" s="386" t="s">
        <v>302</v>
      </c>
      <c r="G62" s="388"/>
      <c r="H62" t="s">
        <v>303</v>
      </c>
      <c r="L62" s="22"/>
    </row>
    <row r="63" spans="1:12" hidden="1">
      <c r="A63" s="389">
        <v>12</v>
      </c>
      <c r="B63" s="187" t="s">
        <v>305</v>
      </c>
      <c r="C63" s="188" t="str">
        <f>C56</f>
        <v>A36</v>
      </c>
      <c r="D63" s="188">
        <v>19.05</v>
      </c>
      <c r="E63" s="189" t="e">
        <f>G63*6*#REF!</f>
        <v>#REF!</v>
      </c>
      <c r="F63" s="188" t="s">
        <v>306</v>
      </c>
      <c r="G63" s="190" t="e">
        <f>ROUND((#REF!*2+#REF!*4+#REF!*2)/6,0)+1</f>
        <v>#REF!</v>
      </c>
      <c r="H63" t="s">
        <v>303</v>
      </c>
      <c r="L63" s="22"/>
    </row>
    <row r="64" spans="1:12" ht="16.5" hidden="1" customHeight="1">
      <c r="A64" s="458" t="s">
        <v>307</v>
      </c>
      <c r="B64" s="459"/>
      <c r="C64" s="263"/>
      <c r="D64" s="263"/>
      <c r="E64" s="390" t="e">
        <f>SUM(E52:E63)</f>
        <v>#REF!</v>
      </c>
      <c r="L64" s="22"/>
    </row>
    <row r="65" spans="1:26" hidden="1">
      <c r="A65" s="30"/>
      <c r="L65" s="22"/>
    </row>
    <row r="66" spans="1:26" ht="15.75" hidden="1" customHeight="1">
      <c r="A66" s="455" t="s">
        <v>283</v>
      </c>
      <c r="B66" s="451" t="s">
        <v>284</v>
      </c>
      <c r="C66" s="457" t="s">
        <v>285</v>
      </c>
      <c r="D66" s="457"/>
      <c r="E66" s="451" t="s">
        <v>286</v>
      </c>
      <c r="F66" s="451" t="s">
        <v>287</v>
      </c>
      <c r="G66" s="451" t="s">
        <v>288</v>
      </c>
      <c r="L66" s="22"/>
    </row>
    <row r="67" spans="1:26" ht="30" hidden="1" customHeight="1">
      <c r="A67" s="456"/>
      <c r="B67" s="452"/>
      <c r="C67" s="183" t="s">
        <v>289</v>
      </c>
      <c r="D67" s="184" t="s">
        <v>290</v>
      </c>
      <c r="E67" s="452"/>
      <c r="F67" s="452"/>
      <c r="G67" s="452"/>
      <c r="L67" s="22"/>
    </row>
    <row r="68" spans="1:26" hidden="1">
      <c r="A68" s="381">
        <v>1</v>
      </c>
      <c r="B68" s="384" t="s">
        <v>308</v>
      </c>
      <c r="C68" s="386" t="s">
        <v>309</v>
      </c>
      <c r="D68" s="386" t="s">
        <v>310</v>
      </c>
      <c r="E68" s="391" t="e">
        <f>#REF!</f>
        <v>#REF!</v>
      </c>
      <c r="F68" s="386" t="s">
        <v>311</v>
      </c>
      <c r="G68" s="392">
        <v>10</v>
      </c>
      <c r="L68" s="22"/>
    </row>
    <row r="69" spans="1:26" hidden="1">
      <c r="A69" s="381">
        <v>2</v>
      </c>
      <c r="B69" s="384" t="s">
        <v>312</v>
      </c>
      <c r="C69" s="386" t="str">
        <f>C68</f>
        <v>Acero</v>
      </c>
      <c r="D69" s="386" t="s">
        <v>310</v>
      </c>
      <c r="E69" s="391" t="e">
        <f>#REF!*#REF!</f>
        <v>#REF!</v>
      </c>
      <c r="F69" s="386" t="s">
        <v>313</v>
      </c>
      <c r="G69" s="392" t="e">
        <f>#REF!*#REF!</f>
        <v>#REF!</v>
      </c>
      <c r="L69" s="22"/>
    </row>
    <row r="70" spans="1:26" hidden="1">
      <c r="A70" s="381">
        <v>3</v>
      </c>
      <c r="B70" s="384" t="s">
        <v>314</v>
      </c>
      <c r="C70" s="386" t="str">
        <f>C68</f>
        <v>Acero</v>
      </c>
      <c r="D70" s="386" t="s">
        <v>310</v>
      </c>
      <c r="E70" s="391" t="e">
        <f>#REF!</f>
        <v>#REF!</v>
      </c>
      <c r="F70" s="386" t="s">
        <v>313</v>
      </c>
      <c r="G70" s="392" t="e">
        <f>#REF!</f>
        <v>#REF!</v>
      </c>
      <c r="L70" s="22"/>
    </row>
    <row r="71" spans="1:26" hidden="1">
      <c r="A71" s="381">
        <v>4</v>
      </c>
      <c r="B71" s="384" t="s">
        <v>315</v>
      </c>
      <c r="C71" s="386" t="str">
        <f>C68</f>
        <v>Acero</v>
      </c>
      <c r="D71" s="386" t="s">
        <v>310</v>
      </c>
      <c r="E71" s="391" t="e">
        <f>#REF!</f>
        <v>#REF!</v>
      </c>
      <c r="F71" s="386" t="s">
        <v>316</v>
      </c>
      <c r="G71" s="392" t="e">
        <f>#REF!</f>
        <v>#REF!</v>
      </c>
      <c r="L71" s="22"/>
    </row>
    <row r="72" spans="1:26" hidden="1">
      <c r="A72" s="389">
        <v>5</v>
      </c>
      <c r="B72" s="191" t="s">
        <v>317</v>
      </c>
      <c r="C72" s="192" t="s">
        <v>296</v>
      </c>
      <c r="D72" s="192" t="s">
        <v>310</v>
      </c>
      <c r="E72" s="193" t="e">
        <f>#REF!</f>
        <v>#REF!</v>
      </c>
      <c r="F72" s="192" t="s">
        <v>318</v>
      </c>
      <c r="G72" s="194" t="e">
        <f>#REF!*0.6</f>
        <v>#REF!</v>
      </c>
      <c r="I72" s="393" t="s">
        <v>319</v>
      </c>
      <c r="J72" s="393" t="s">
        <v>320</v>
      </c>
      <c r="L72" s="22"/>
    </row>
    <row r="73" spans="1:26" ht="16.5" hidden="1" customHeight="1">
      <c r="A73" s="458" t="s">
        <v>321</v>
      </c>
      <c r="B73" s="459"/>
      <c r="C73" s="263"/>
      <c r="D73" s="263"/>
      <c r="E73" s="394" t="e">
        <f>SUM(E68:E72)</f>
        <v>#REF!</v>
      </c>
      <c r="L73" s="22"/>
    </row>
    <row r="74" spans="1:26">
      <c r="A74" s="30"/>
      <c r="C74" s="460" t="s">
        <v>322</v>
      </c>
      <c r="D74" s="195" t="s">
        <v>323</v>
      </c>
      <c r="E74" s="196">
        <v>0</v>
      </c>
      <c r="F74" s="197"/>
      <c r="L74" s="22"/>
    </row>
    <row r="75" spans="1:26">
      <c r="A75" s="30"/>
      <c r="B75" s="395"/>
      <c r="C75" s="461"/>
      <c r="D75" s="198" t="s">
        <v>324</v>
      </c>
      <c r="E75" s="199">
        <f>+I31/G31</f>
        <v>366.40894707973166</v>
      </c>
      <c r="F75" s="200"/>
      <c r="L75" s="396"/>
      <c r="M75" s="157"/>
      <c r="N75" s="218"/>
      <c r="P75" s="219"/>
      <c r="Q75" s="218"/>
      <c r="R75" s="160"/>
      <c r="S75" s="160"/>
    </row>
    <row r="76" spans="1:26">
      <c r="A76" s="30"/>
      <c r="B76" s="397"/>
      <c r="C76" s="460" t="s">
        <v>325</v>
      </c>
      <c r="D76" s="201" t="s">
        <v>326</v>
      </c>
      <c r="E76" s="202">
        <f>1.2-E77</f>
        <v>0.83359105292026836</v>
      </c>
      <c r="F76" s="197" t="s">
        <v>259</v>
      </c>
      <c r="L76" s="396"/>
      <c r="M76" s="157"/>
      <c r="N76" s="218"/>
      <c r="P76" s="219"/>
      <c r="Q76" s="218"/>
      <c r="R76" s="160"/>
      <c r="S76" s="160"/>
    </row>
    <row r="77" spans="1:26">
      <c r="A77" s="30"/>
      <c r="C77" s="461"/>
      <c r="D77" s="203" t="s">
        <v>327</v>
      </c>
      <c r="E77" s="204">
        <f>+E75/1000</f>
        <v>0.36640894707973165</v>
      </c>
      <c r="F77" s="200" t="s">
        <v>328</v>
      </c>
      <c r="L77" s="396"/>
      <c r="M77" s="157"/>
      <c r="N77" s="218"/>
      <c r="P77" s="219"/>
      <c r="Q77" s="218"/>
      <c r="R77" s="160"/>
      <c r="S77" s="160"/>
    </row>
    <row r="78" spans="1:26">
      <c r="A78" s="30"/>
      <c r="C78" s="462" t="s">
        <v>329</v>
      </c>
      <c r="D78" s="244" t="s">
        <v>330</v>
      </c>
      <c r="E78" s="245">
        <f>+((K31/(1000*1000*1000*1000))/(E76))*100*100</f>
        <v>72.191409286398667</v>
      </c>
      <c r="F78" s="246" t="s">
        <v>331</v>
      </c>
      <c r="I78" s="264"/>
      <c r="J78" s="157"/>
      <c r="K78" s="157"/>
      <c r="L78" s="396"/>
      <c r="M78" s="157"/>
      <c r="N78" s="218"/>
      <c r="P78" s="219"/>
      <c r="Q78" s="218"/>
      <c r="R78" s="160"/>
      <c r="S78" s="160"/>
    </row>
    <row r="79" spans="1:26">
      <c r="A79" s="30"/>
      <c r="C79" s="463"/>
      <c r="D79" s="247" t="s">
        <v>332</v>
      </c>
      <c r="E79" s="248">
        <f>+((K31/(1000*1000*1000*1000))/(E77))*100*100</f>
        <v>164.2375639526951</v>
      </c>
      <c r="F79" s="249" t="s">
        <v>328</v>
      </c>
      <c r="G79" s="182"/>
      <c r="I79" s="264"/>
      <c r="L79" s="22"/>
    </row>
    <row r="80" spans="1:26">
      <c r="A80" s="30"/>
      <c r="G80" s="205"/>
      <c r="L80" s="22"/>
      <c r="Z80" s="220"/>
    </row>
    <row r="81" spans="1:26" ht="15.75" thickBot="1">
      <c r="A81" s="30"/>
      <c r="L81" s="22"/>
      <c r="Z81" s="220"/>
    </row>
    <row r="82" spans="1:26" ht="16.5" thickBot="1">
      <c r="A82" s="30"/>
      <c r="C82" s="448" t="s">
        <v>348</v>
      </c>
      <c r="D82" s="449"/>
      <c r="E82" s="449"/>
      <c r="F82" s="450"/>
      <c r="H82" s="205"/>
      <c r="I82" s="205"/>
      <c r="J82" s="205"/>
      <c r="K82" s="205"/>
      <c r="L82" s="22"/>
      <c r="Z82" s="220"/>
    </row>
    <row r="83" spans="1:26" ht="25.9" customHeight="1">
      <c r="A83" s="30"/>
      <c r="B83" s="398"/>
      <c r="C83" s="399" t="s">
        <v>358</v>
      </c>
      <c r="D83" s="400">
        <f>'Resistencia viga buque'!C16</f>
        <v>34.604470811492313</v>
      </c>
      <c r="E83" s="349" t="s">
        <v>349</v>
      </c>
      <c r="G83" s="252"/>
      <c r="H83" s="254"/>
      <c r="I83" s="254"/>
      <c r="J83" s="250"/>
      <c r="K83" s="349"/>
      <c r="L83" s="22"/>
      <c r="Z83" s="220"/>
    </row>
    <row r="84" spans="1:26" ht="34.9" customHeight="1">
      <c r="A84" s="30"/>
      <c r="C84" s="446" t="s">
        <v>361</v>
      </c>
      <c r="D84" s="447"/>
      <c r="E84" s="447"/>
      <c r="F84" s="447"/>
      <c r="G84" s="221"/>
      <c r="H84" s="221"/>
      <c r="I84" s="221"/>
      <c r="L84" s="22"/>
      <c r="Z84" s="220"/>
    </row>
    <row r="85" spans="1:26" ht="15" customHeight="1">
      <c r="A85" s="30"/>
      <c r="G85" s="221"/>
      <c r="H85" s="271"/>
      <c r="I85" s="221"/>
      <c r="J85" s="221"/>
      <c r="K85" s="221"/>
      <c r="L85" s="401"/>
      <c r="M85" s="221"/>
      <c r="N85" s="221"/>
      <c r="O85" s="221"/>
      <c r="P85" s="221"/>
      <c r="Q85" s="221"/>
      <c r="R85" s="221"/>
      <c r="S85" s="221"/>
      <c r="T85" s="221"/>
      <c r="Z85" s="220"/>
    </row>
    <row r="86" spans="1:26" ht="15.75" thickBot="1">
      <c r="A86" s="30"/>
      <c r="C86" s="271"/>
      <c r="G86" s="221"/>
      <c r="L86" s="360"/>
      <c r="M86" s="140"/>
      <c r="N86" s="140"/>
      <c r="O86" s="140"/>
      <c r="P86" s="140"/>
      <c r="Q86" s="140"/>
      <c r="R86" s="140"/>
      <c r="S86" s="140"/>
      <c r="T86" s="221"/>
    </row>
    <row r="87" spans="1:26" ht="16.5" thickBot="1">
      <c r="A87" s="30"/>
      <c r="C87" s="448" t="s">
        <v>351</v>
      </c>
      <c r="D87" s="449"/>
      <c r="E87" s="449"/>
      <c r="F87" s="450"/>
      <c r="G87" s="221"/>
      <c r="H87" s="445"/>
      <c r="I87" s="445"/>
      <c r="J87" s="445"/>
      <c r="K87" s="445"/>
      <c r="L87" s="402"/>
      <c r="M87" s="205"/>
      <c r="N87" s="205"/>
      <c r="O87" s="205"/>
      <c r="P87" s="205"/>
      <c r="Q87" s="205"/>
      <c r="R87" s="205"/>
      <c r="S87" s="205"/>
      <c r="T87" s="221"/>
    </row>
    <row r="88" spans="1:26">
      <c r="A88" s="30"/>
      <c r="C88" s="221" t="s">
        <v>352</v>
      </c>
      <c r="D88" s="420">
        <f>+D89/D90</f>
        <v>2.086187350751902</v>
      </c>
      <c r="E88" s="221"/>
      <c r="F88" s="221"/>
      <c r="H88" s="221"/>
      <c r="I88" s="255"/>
      <c r="J88" s="221"/>
      <c r="K88" s="221"/>
      <c r="L88" s="22"/>
      <c r="T88" s="221"/>
    </row>
    <row r="89" spans="1:26">
      <c r="A89" s="30"/>
      <c r="C89" s="221" t="s">
        <v>353</v>
      </c>
      <c r="D89" s="256">
        <f>+E78</f>
        <v>72.191409286398667</v>
      </c>
      <c r="E89" s="349" t="s">
        <v>349</v>
      </c>
      <c r="F89" s="221"/>
      <c r="H89" s="221"/>
      <c r="I89" s="256"/>
      <c r="J89" s="349"/>
      <c r="K89" s="221"/>
      <c r="L89" s="401"/>
      <c r="M89" s="221"/>
      <c r="N89" s="221"/>
      <c r="O89" s="221"/>
      <c r="P89" s="221"/>
      <c r="Q89" s="221"/>
      <c r="R89" s="221"/>
      <c r="S89" s="221"/>
      <c r="T89" s="221"/>
    </row>
    <row r="90" spans="1:26">
      <c r="A90" s="30"/>
      <c r="C90" s="221" t="s">
        <v>350</v>
      </c>
      <c r="D90" s="256">
        <f>+D83</f>
        <v>34.604470811492313</v>
      </c>
      <c r="E90" s="349" t="s">
        <v>349</v>
      </c>
      <c r="H90" s="221"/>
      <c r="I90" s="256"/>
      <c r="J90" s="349"/>
      <c r="L90" s="401"/>
      <c r="M90" s="221"/>
      <c r="N90" s="221"/>
      <c r="O90" s="221"/>
      <c r="P90" s="221"/>
      <c r="Q90" s="221"/>
      <c r="R90" s="221"/>
      <c r="S90" s="221"/>
    </row>
    <row r="91" spans="1:26">
      <c r="A91" s="30"/>
      <c r="C91" s="151" t="s">
        <v>354</v>
      </c>
      <c r="D91" s="151"/>
      <c r="E91" s="151"/>
      <c r="F91" s="200"/>
      <c r="H91" s="221"/>
      <c r="I91" s="221"/>
      <c r="J91" s="221"/>
      <c r="L91" s="401"/>
      <c r="M91" s="221"/>
      <c r="N91" s="221"/>
      <c r="O91" s="221"/>
      <c r="P91" s="221"/>
      <c r="Q91" s="221"/>
      <c r="R91" s="222"/>
      <c r="S91" s="221"/>
    </row>
    <row r="92" spans="1:26">
      <c r="A92" s="30"/>
      <c r="C92" s="221" t="s">
        <v>355</v>
      </c>
      <c r="H92" s="221"/>
      <c r="L92" s="401"/>
      <c r="M92" s="221"/>
      <c r="N92" s="221"/>
      <c r="O92" s="221"/>
      <c r="P92" s="221"/>
      <c r="Q92" s="221"/>
      <c r="R92" s="223"/>
      <c r="S92" s="221"/>
    </row>
    <row r="93" spans="1:26" ht="15.75" thickBot="1">
      <c r="A93" s="28"/>
      <c r="B93" s="23"/>
      <c r="C93" s="403"/>
      <c r="D93" s="23"/>
      <c r="E93" s="23"/>
      <c r="F93" s="23"/>
      <c r="G93" s="23"/>
      <c r="H93" s="23"/>
      <c r="I93" s="23"/>
      <c r="J93" s="23"/>
      <c r="K93" s="23"/>
      <c r="L93" s="404"/>
      <c r="M93" s="221"/>
      <c r="N93" s="221"/>
      <c r="O93" s="221"/>
      <c r="P93" s="221"/>
      <c r="Q93" s="221"/>
      <c r="R93" s="223"/>
      <c r="S93" s="221"/>
    </row>
    <row r="94" spans="1:26">
      <c r="C94" s="221"/>
      <c r="L94" s="221"/>
      <c r="M94" s="221"/>
      <c r="N94" s="221"/>
      <c r="O94" s="221"/>
      <c r="P94" s="221"/>
      <c r="Q94" s="221"/>
      <c r="R94" s="223"/>
      <c r="S94" s="221"/>
    </row>
    <row r="95" spans="1:26">
      <c r="C95" s="221"/>
      <c r="L95" s="221"/>
      <c r="M95" s="221"/>
      <c r="N95" s="221"/>
      <c r="O95" s="221"/>
      <c r="P95" s="221"/>
      <c r="Q95" s="221"/>
      <c r="R95" s="223"/>
      <c r="S95" s="221"/>
    </row>
    <row r="96" spans="1:26" ht="15.75">
      <c r="C96" s="445"/>
      <c r="D96" s="445"/>
      <c r="E96" s="445"/>
      <c r="F96" s="445"/>
      <c r="L96" s="221"/>
      <c r="M96" s="221"/>
      <c r="N96" s="221"/>
      <c r="O96" s="221"/>
      <c r="P96" s="221"/>
      <c r="Q96" s="221"/>
      <c r="R96" s="223"/>
      <c r="S96" s="221"/>
    </row>
    <row r="97" spans="3:19">
      <c r="C97" s="253"/>
      <c r="D97" s="253"/>
      <c r="E97" s="253"/>
      <c r="F97" s="253"/>
      <c r="G97" s="253"/>
      <c r="L97" s="221"/>
      <c r="M97" s="221"/>
      <c r="N97" s="221"/>
      <c r="O97" s="221"/>
      <c r="P97" s="221"/>
      <c r="Q97" s="221"/>
      <c r="R97" s="222">
        <f>+D103</f>
        <v>0</v>
      </c>
      <c r="S97" s="221"/>
    </row>
    <row r="98" spans="3:19">
      <c r="C98" s="257"/>
      <c r="L98" s="221"/>
      <c r="M98" s="221"/>
      <c r="N98" s="221"/>
      <c r="O98" s="221"/>
      <c r="P98" s="221"/>
      <c r="Q98" s="221"/>
      <c r="R98" s="221">
        <f>+D104</f>
        <v>0</v>
      </c>
      <c r="S98" s="221"/>
    </row>
    <row r="99" spans="3:19">
      <c r="C99" s="258"/>
      <c r="D99" s="259"/>
      <c r="G99" s="221"/>
      <c r="L99" s="221"/>
      <c r="M99" s="221"/>
      <c r="N99" s="221"/>
      <c r="O99" s="221"/>
      <c r="P99" s="221"/>
      <c r="Q99" s="221"/>
      <c r="R99" s="224" t="e">
        <f>(-0.11*R91*#REF!*R92*R97*(R98+0.7))*1000</f>
        <v>#REF!</v>
      </c>
    </row>
    <row r="100" spans="3:19">
      <c r="C100" s="258"/>
      <c r="D100" s="259"/>
      <c r="E100" s="221"/>
      <c r="F100" s="221"/>
      <c r="G100" s="221"/>
    </row>
    <row r="101" spans="3:19">
      <c r="C101" s="258"/>
      <c r="D101" s="259"/>
      <c r="E101" s="221"/>
      <c r="F101" s="251"/>
      <c r="G101" s="222"/>
      <c r="H101" s="205"/>
      <c r="I101" s="205"/>
      <c r="J101" s="205"/>
      <c r="K101" s="205"/>
      <c r="L101" s="205"/>
      <c r="M101" s="205"/>
    </row>
    <row r="102" spans="3:19">
      <c r="C102" s="258"/>
      <c r="D102" s="259"/>
      <c r="E102" s="221"/>
      <c r="F102" s="251"/>
      <c r="G102" s="260"/>
    </row>
    <row r="103" spans="3:19">
      <c r="C103" s="258"/>
      <c r="D103" s="259"/>
      <c r="E103" s="221"/>
      <c r="F103" s="251"/>
      <c r="G103" s="222"/>
    </row>
    <row r="104" spans="3:19">
      <c r="C104" s="258"/>
      <c r="D104" s="259"/>
      <c r="E104" s="221"/>
      <c r="F104" s="251"/>
      <c r="G104" s="221"/>
    </row>
    <row r="105" spans="3:19">
      <c r="C105" s="258"/>
      <c r="D105" s="259"/>
      <c r="E105" s="221"/>
      <c r="F105" s="251"/>
      <c r="G105" s="221"/>
    </row>
    <row r="106" spans="3:19">
      <c r="C106" s="261"/>
      <c r="D106" s="256"/>
      <c r="E106" s="252"/>
      <c r="F106" s="262"/>
      <c r="G106" s="256"/>
    </row>
    <row r="107" spans="3:19">
      <c r="C107" s="258"/>
      <c r="D107" s="259"/>
    </row>
    <row r="108" spans="3:19">
      <c r="C108" s="98"/>
      <c r="D108" s="263"/>
    </row>
    <row r="111" spans="3:19" ht="15.75">
      <c r="C111" s="445"/>
      <c r="D111" s="445"/>
      <c r="E111" s="445"/>
      <c r="F111" s="445"/>
      <c r="G111" s="264"/>
    </row>
    <row r="112" spans="3:19">
      <c r="C112" s="253"/>
      <c r="D112" s="205"/>
      <c r="E112" s="205"/>
      <c r="F112" s="205"/>
      <c r="G112" s="264"/>
    </row>
    <row r="113" spans="2:7">
      <c r="C113" s="221"/>
      <c r="D113" s="265"/>
      <c r="F113" s="157"/>
      <c r="G113" s="264"/>
    </row>
    <row r="114" spans="2:7">
      <c r="C114" s="221"/>
      <c r="D114" s="266"/>
      <c r="F114" s="157"/>
    </row>
    <row r="115" spans="2:7">
      <c r="C115" s="253"/>
      <c r="D115" s="205"/>
      <c r="E115" s="205"/>
      <c r="F115" s="205"/>
    </row>
    <row r="116" spans="2:7">
      <c r="C116" s="221"/>
      <c r="D116" s="265"/>
      <c r="F116" s="157"/>
    </row>
    <row r="117" spans="2:7">
      <c r="C117" s="221"/>
      <c r="D117" s="266"/>
      <c r="F117" s="157"/>
    </row>
    <row r="127" spans="2:7">
      <c r="B127" s="140"/>
    </row>
    <row r="147" spans="3:6">
      <c r="F147" s="140"/>
    </row>
    <row r="151" spans="3:6">
      <c r="C151" s="197"/>
      <c r="D151" s="225" t="s">
        <v>356</v>
      </c>
      <c r="E151" s="225"/>
    </row>
    <row r="152" spans="3:6">
      <c r="C152" s="441" t="s">
        <v>357</v>
      </c>
      <c r="D152" s="441"/>
      <c r="E152" s="441"/>
    </row>
  </sheetData>
  <mergeCells count="41">
    <mergeCell ref="F1:G1"/>
    <mergeCell ref="D4:L4"/>
    <mergeCell ref="C47:F47"/>
    <mergeCell ref="A8:K8"/>
    <mergeCell ref="A9:A10"/>
    <mergeCell ref="B9:B10"/>
    <mergeCell ref="C9:C10"/>
    <mergeCell ref="D9:E9"/>
    <mergeCell ref="B30:B31"/>
    <mergeCell ref="E30:F31"/>
    <mergeCell ref="A33:D33"/>
    <mergeCell ref="A42:D42"/>
    <mergeCell ref="A43:D43"/>
    <mergeCell ref="A44:D44"/>
    <mergeCell ref="A45:D45"/>
    <mergeCell ref="A64:B64"/>
    <mergeCell ref="A66:A67"/>
    <mergeCell ref="B66:B67"/>
    <mergeCell ref="C66:D66"/>
    <mergeCell ref="E66:E67"/>
    <mergeCell ref="A73:B73"/>
    <mergeCell ref="C74:C75"/>
    <mergeCell ref="C76:C77"/>
    <mergeCell ref="C78:C79"/>
    <mergeCell ref="C82:F82"/>
    <mergeCell ref="T31:AC31"/>
    <mergeCell ref="C111:F111"/>
    <mergeCell ref="C152:E152"/>
    <mergeCell ref="C84:F84"/>
    <mergeCell ref="C87:F87"/>
    <mergeCell ref="H87:K87"/>
    <mergeCell ref="C96:F96"/>
    <mergeCell ref="G66:G67"/>
    <mergeCell ref="F66:F67"/>
    <mergeCell ref="A49:G49"/>
    <mergeCell ref="A50:A51"/>
    <mergeCell ref="B50:B51"/>
    <mergeCell ref="C50:D50"/>
    <mergeCell ref="E50:E51"/>
    <mergeCell ref="F50:F51"/>
    <mergeCell ref="G50:G51"/>
  </mergeCells>
  <conditionalFormatting sqref="I32">
    <cfRule type="top10" priority="2" rank="1"/>
  </conditionalFormatting>
  <conditionalFormatting sqref="M36:M41">
    <cfRule type="top10" priority="1" rank="1"/>
  </conditionalFormatting>
  <hyperlinks>
    <hyperlink ref="I72" r:id="rId1" xr:uid="{00000000-0004-0000-0100-000000000000}"/>
  </hyperlinks>
  <pageMargins left="0.7" right="0.7" top="0.75" bottom="0.75" header="0.3" footer="0.3"/>
  <ignoredErrors>
    <ignoredError sqref="J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S50"/>
  <sheetViews>
    <sheetView topLeftCell="A7" zoomScale="85" zoomScaleNormal="85" workbookViewId="0">
      <selection activeCell="B12" sqref="B12"/>
    </sheetView>
  </sheetViews>
  <sheetFormatPr baseColWidth="10" defaultColWidth="11.42578125" defaultRowHeight="15"/>
  <cols>
    <col min="1" max="1" width="18.42578125" customWidth="1"/>
    <col min="2" max="2" width="39.42578125" customWidth="1"/>
    <col min="3" max="3" width="18.85546875" customWidth="1"/>
    <col min="4" max="4" width="17.28515625" customWidth="1"/>
    <col min="5" max="5" width="17.85546875" customWidth="1"/>
    <col min="6" max="6" width="13.42578125" customWidth="1"/>
    <col min="7" max="7" width="23.5703125" customWidth="1"/>
  </cols>
  <sheetData>
    <row r="1" spans="1:19" ht="29.25">
      <c r="A1" s="20"/>
      <c r="B1" s="291" t="s">
        <v>228</v>
      </c>
      <c r="C1" s="292" t="s">
        <v>229</v>
      </c>
      <c r="D1" s="293" t="s">
        <v>230</v>
      </c>
      <c r="E1" s="429" t="s">
        <v>425</v>
      </c>
      <c r="F1" s="429"/>
      <c r="G1" s="21"/>
      <c r="H1" s="21"/>
      <c r="I1" s="294" t="s">
        <v>231</v>
      </c>
      <c r="J1" s="295"/>
      <c r="K1" s="296"/>
    </row>
    <row r="2" spans="1:19">
      <c r="A2" s="30"/>
      <c r="B2" s="297" t="s">
        <v>232</v>
      </c>
      <c r="C2" s="298"/>
      <c r="D2" s="138" t="s">
        <v>233</v>
      </c>
      <c r="E2" s="263">
        <v>4020</v>
      </c>
      <c r="I2" s="299" t="s">
        <v>234</v>
      </c>
      <c r="J2" s="140">
        <v>0</v>
      </c>
      <c r="K2" s="22"/>
    </row>
    <row r="3" spans="1:19">
      <c r="A3" s="30"/>
      <c r="B3" s="297"/>
      <c r="C3" s="300"/>
      <c r="D3" s="138" t="s">
        <v>235</v>
      </c>
      <c r="E3" t="s">
        <v>426</v>
      </c>
      <c r="F3" s="263"/>
      <c r="G3" s="301"/>
      <c r="H3" s="301"/>
      <c r="I3" s="301"/>
      <c r="J3" s="301"/>
      <c r="K3" s="302"/>
    </row>
    <row r="4" spans="1:19">
      <c r="A4" s="30"/>
      <c r="B4" s="303" t="s">
        <v>236</v>
      </c>
      <c r="C4" s="430" t="s">
        <v>384</v>
      </c>
      <c r="D4" s="430"/>
      <c r="E4" s="430"/>
      <c r="F4" s="430"/>
      <c r="G4" s="430"/>
      <c r="H4" s="430"/>
      <c r="I4" s="430"/>
      <c r="J4" s="430"/>
      <c r="K4" s="431"/>
    </row>
    <row r="5" spans="1:19">
      <c r="A5" s="30"/>
      <c r="B5" s="30"/>
      <c r="K5" s="22"/>
    </row>
    <row r="6" spans="1:19" ht="15.75" thickBot="1">
      <c r="A6" s="30"/>
      <c r="B6" s="30"/>
      <c r="K6" s="22"/>
    </row>
    <row r="7" spans="1:19">
      <c r="A7" s="484" t="s">
        <v>141</v>
      </c>
      <c r="B7" s="485"/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37"/>
      <c r="Q7" s="38"/>
    </row>
    <row r="8" spans="1:19" ht="15.75" thickBot="1">
      <c r="A8" s="486"/>
      <c r="B8" s="487"/>
      <c r="C8" s="487"/>
      <c r="D8" s="487"/>
      <c r="E8" s="487"/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77"/>
      <c r="Q8" s="78"/>
    </row>
    <row r="9" spans="1:19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7"/>
    </row>
    <row r="10" spans="1:19">
      <c r="A10" s="30"/>
      <c r="Q10" s="22"/>
    </row>
    <row r="11" spans="1:19" ht="15.75" thickBot="1">
      <c r="A11" s="30"/>
      <c r="Q11" s="22"/>
    </row>
    <row r="12" spans="1:19" ht="21.75" thickBot="1">
      <c r="A12" s="30"/>
      <c r="B12" s="341" t="s">
        <v>378</v>
      </c>
      <c r="G12" s="279"/>
      <c r="H12" s="335" t="s">
        <v>142</v>
      </c>
      <c r="I12" s="59"/>
      <c r="J12" s="59"/>
      <c r="K12" s="335" t="s">
        <v>142</v>
      </c>
      <c r="L12" s="335"/>
      <c r="M12" s="335"/>
      <c r="N12" s="335"/>
      <c r="O12" s="335"/>
      <c r="P12" s="335"/>
      <c r="Q12" s="336"/>
      <c r="R12" s="316"/>
      <c r="S12" s="316"/>
    </row>
    <row r="13" spans="1:19" ht="15.75">
      <c r="A13" s="30"/>
      <c r="B13" s="342" t="s">
        <v>430</v>
      </c>
      <c r="C13" s="343">
        <f>'COMPARACIÓN NORMAS'!B12</f>
        <v>7.3247999999999998</v>
      </c>
      <c r="D13" s="4" t="s">
        <v>0</v>
      </c>
      <c r="G13" s="280"/>
      <c r="H13" s="281"/>
      <c r="Q13" s="22"/>
    </row>
    <row r="14" spans="1:19" ht="15.75">
      <c r="A14" s="30"/>
      <c r="B14" s="102" t="s">
        <v>4</v>
      </c>
      <c r="C14" s="282">
        <f>'COMPARACIÓN NORMAS'!B13</f>
        <v>2.25</v>
      </c>
      <c r="D14" s="5" t="s">
        <v>0</v>
      </c>
      <c r="G14" s="280"/>
      <c r="H14" s="281"/>
      <c r="Q14" s="22"/>
    </row>
    <row r="15" spans="1:19" ht="15.75">
      <c r="A15" s="30"/>
      <c r="B15" s="102" t="s">
        <v>5</v>
      </c>
      <c r="C15" s="282">
        <f>'COMPARACIÓN NORMAS'!B14</f>
        <v>1</v>
      </c>
      <c r="D15" s="5" t="s">
        <v>0</v>
      </c>
      <c r="Q15" s="22"/>
    </row>
    <row r="16" spans="1:19" ht="15.75">
      <c r="A16" s="30"/>
      <c r="B16" s="102" t="s">
        <v>227</v>
      </c>
      <c r="C16" s="282">
        <v>0.34</v>
      </c>
      <c r="D16" s="5" t="s">
        <v>0</v>
      </c>
      <c r="Q16" s="22"/>
    </row>
    <row r="17" spans="1:17" ht="15.75">
      <c r="A17" s="30"/>
      <c r="B17" s="102" t="s">
        <v>6</v>
      </c>
      <c r="C17" s="282">
        <f>'COMPARACIÓN NORMAS'!B16</f>
        <v>3.8</v>
      </c>
      <c r="D17" s="5" t="s">
        <v>1</v>
      </c>
      <c r="Q17" s="22"/>
    </row>
    <row r="18" spans="1:17" ht="15.75">
      <c r="A18" s="30"/>
      <c r="B18" s="102" t="s">
        <v>7</v>
      </c>
      <c r="C18" s="282">
        <f>'COMPARACIÓN NORMAS'!B17</f>
        <v>27</v>
      </c>
      <c r="D18" s="5" t="s">
        <v>2</v>
      </c>
      <c r="Q18" s="22"/>
    </row>
    <row r="19" spans="1:17" ht="15.75">
      <c r="A19" s="30"/>
      <c r="B19" s="102" t="s">
        <v>8</v>
      </c>
      <c r="C19" s="283">
        <v>5</v>
      </c>
      <c r="D19" s="5" t="s">
        <v>3</v>
      </c>
      <c r="Q19" s="22"/>
    </row>
    <row r="20" spans="1:17" ht="15.75">
      <c r="A20" s="30"/>
      <c r="B20" s="102" t="s">
        <v>9</v>
      </c>
      <c r="C20" s="283">
        <v>5</v>
      </c>
      <c r="D20" s="5" t="s">
        <v>3</v>
      </c>
      <c r="E20" t="s">
        <v>474</v>
      </c>
      <c r="Q20" s="22"/>
    </row>
    <row r="21" spans="1:17" ht="15.75">
      <c r="A21" s="30"/>
      <c r="B21" s="102" t="s">
        <v>10</v>
      </c>
      <c r="C21" s="283">
        <v>55</v>
      </c>
      <c r="D21" s="5" t="s">
        <v>3</v>
      </c>
      <c r="Q21" s="22"/>
    </row>
    <row r="22" spans="1:17" ht="16.5" thickBot="1">
      <c r="A22" s="30"/>
      <c r="B22" s="103" t="s">
        <v>11</v>
      </c>
      <c r="C22" s="284">
        <v>55</v>
      </c>
      <c r="D22" s="6" t="s">
        <v>3</v>
      </c>
      <c r="Q22" s="22"/>
    </row>
    <row r="23" spans="1:17" ht="30.75" thickBot="1">
      <c r="A23" s="30"/>
      <c r="B23" s="104" t="s">
        <v>143</v>
      </c>
      <c r="C23" s="105">
        <f>C18/(C13^0.5)</f>
        <v>9.9762168031674605</v>
      </c>
      <c r="D23" s="106" t="str">
        <f>IF(C23&gt;5,"embarcación de planeo","embrcación de desplazamiento")</f>
        <v>embarcación de planeo</v>
      </c>
      <c r="Q23" s="22"/>
    </row>
    <row r="24" spans="1:17" ht="15.75" thickBot="1">
      <c r="A24" s="30"/>
      <c r="Q24" s="22"/>
    </row>
    <row r="25" spans="1:17" ht="30">
      <c r="A25" s="30"/>
      <c r="B25" s="25"/>
      <c r="C25" s="21" t="s">
        <v>144</v>
      </c>
      <c r="D25" s="72" t="s">
        <v>145</v>
      </c>
      <c r="E25" s="107" t="s">
        <v>146</v>
      </c>
      <c r="F25" s="108" t="s">
        <v>147</v>
      </c>
      <c r="Q25" s="22"/>
    </row>
    <row r="26" spans="1:17" ht="19.5" thickBot="1">
      <c r="A26" s="30"/>
      <c r="B26" s="109" t="s">
        <v>148</v>
      </c>
      <c r="C26" s="110" t="s">
        <v>149</v>
      </c>
      <c r="D26" s="331" t="str">
        <f>VLOOKUP(C26,categorias!C4:D7,2,FALSE)</f>
        <v>D</v>
      </c>
      <c r="E26" s="111">
        <f>VLOOKUP(C26,categorias!C4:E7,3,)</f>
        <v>0.4</v>
      </c>
      <c r="F26" s="24">
        <f>VLOOKUP(C26,categorias!C4:F7,4,FALSE)</f>
        <v>0.5</v>
      </c>
      <c r="Q26" s="22"/>
    </row>
    <row r="27" spans="1:17">
      <c r="A27" s="30"/>
      <c r="Q27" s="22"/>
    </row>
    <row r="28" spans="1:17" ht="15.75">
      <c r="A28" s="30"/>
      <c r="B28" s="337" t="s">
        <v>150</v>
      </c>
      <c r="C28" s="338">
        <f>IF(0.32*(C13/(10*C14)+0.084)*(50-C20)*(C18^2*C14^2/(C17*1000))&lt;3,0.32*(C13/(10*C14)+0.084)*(50-C20)*(C18^2*C14^2/(C17*1000)),(0.5*C18/((C17*1000)^0.17)))</f>
        <v>3.3248385172004093</v>
      </c>
      <c r="Q28" s="22"/>
    </row>
    <row r="29" spans="1:17" ht="16.5" thickBot="1">
      <c r="A29" s="30"/>
      <c r="B29" s="339"/>
      <c r="C29" s="32"/>
      <c r="Q29" s="22"/>
    </row>
    <row r="30" spans="1:17">
      <c r="A30" s="30"/>
      <c r="B30" s="36" t="s">
        <v>151</v>
      </c>
      <c r="C30" s="412">
        <v>0.6</v>
      </c>
      <c r="Q30" s="22"/>
    </row>
    <row r="31" spans="1:17" ht="32.25" thickBot="1">
      <c r="A31" s="30"/>
      <c r="B31" s="317" t="s">
        <v>152</v>
      </c>
      <c r="C31" s="419">
        <f>IF(C30&gt;0.6,1,((1-0.167*C28)/0.6)*C30+0.167*C28)</f>
        <v>1</v>
      </c>
      <c r="Q31" s="22"/>
    </row>
    <row r="32" spans="1:17" ht="15.75">
      <c r="A32" s="30"/>
      <c r="B32" s="340"/>
      <c r="Q32" s="22"/>
    </row>
    <row r="33" spans="1:17" ht="15.75" thickBot="1">
      <c r="A33" s="30"/>
      <c r="B33" s="271"/>
      <c r="Q33" s="22"/>
    </row>
    <row r="34" spans="1:17" ht="15.75" thickBot="1">
      <c r="A34" s="30"/>
      <c r="B34" s="322" t="s">
        <v>153</v>
      </c>
      <c r="C34" s="113">
        <v>0.25</v>
      </c>
      <c r="Q34" s="22"/>
    </row>
    <row r="35" spans="1:17" ht="15.75" thickBot="1">
      <c r="A35" s="30"/>
      <c r="Q35" s="22"/>
    </row>
    <row r="36" spans="1:17" ht="30.75" thickBot="1">
      <c r="A36" s="30"/>
      <c r="B36" s="318" t="s">
        <v>154</v>
      </c>
      <c r="C36" s="323">
        <v>800</v>
      </c>
      <c r="D36" s="7" t="s">
        <v>76</v>
      </c>
      <c r="Q36" s="22"/>
    </row>
    <row r="37" spans="1:17" ht="30">
      <c r="A37" s="30"/>
      <c r="B37" s="319" t="s">
        <v>155</v>
      </c>
      <c r="C37" s="85">
        <v>250</v>
      </c>
      <c r="D37" s="22" t="s">
        <v>76</v>
      </c>
      <c r="H37" s="20"/>
      <c r="I37" s="21"/>
      <c r="J37" s="21"/>
      <c r="K37" s="7"/>
      <c r="Q37" s="22"/>
    </row>
    <row r="38" spans="1:17" ht="15.75" thickBot="1">
      <c r="A38" s="30"/>
      <c r="B38" s="320" t="s">
        <v>156</v>
      </c>
      <c r="C38" s="321">
        <f>(C36-C37)/C36</f>
        <v>0.6875</v>
      </c>
      <c r="D38" s="24"/>
      <c r="H38" s="30"/>
      <c r="K38" s="22"/>
      <c r="Q38" s="22"/>
    </row>
    <row r="39" spans="1:17">
      <c r="A39" s="30"/>
      <c r="H39" s="30"/>
      <c r="K39" s="22"/>
      <c r="Q39" s="22"/>
    </row>
    <row r="40" spans="1:17">
      <c r="A40" s="30"/>
      <c r="H40" s="30"/>
      <c r="K40" s="22"/>
      <c r="Q40" s="22"/>
    </row>
    <row r="41" spans="1:17">
      <c r="A41" s="30"/>
      <c r="H41" s="30"/>
      <c r="K41" s="22"/>
      <c r="Q41" s="22"/>
    </row>
    <row r="42" spans="1:17">
      <c r="A42" s="30"/>
      <c r="H42" s="30"/>
      <c r="K42" s="22"/>
      <c r="Q42" s="22"/>
    </row>
    <row r="43" spans="1:17" ht="15.75" thickBot="1">
      <c r="A43" s="30"/>
      <c r="H43" s="30"/>
      <c r="K43" s="22"/>
      <c r="Q43" s="22"/>
    </row>
    <row r="44" spans="1:17" ht="15.75" thickBot="1">
      <c r="A44" s="30"/>
      <c r="B44" s="327" t="s">
        <v>382</v>
      </c>
      <c r="C44" s="42"/>
      <c r="H44" s="30"/>
      <c r="K44" s="22"/>
      <c r="Q44" s="22"/>
    </row>
    <row r="45" spans="1:17" ht="15.75" thickBot="1">
      <c r="A45" s="30"/>
      <c r="B45" s="30" t="s">
        <v>383</v>
      </c>
      <c r="C45" s="326"/>
      <c r="H45" s="30"/>
      <c r="K45" s="22"/>
      <c r="Q45" s="22"/>
    </row>
    <row r="46" spans="1:17" ht="15.75" thickBot="1">
      <c r="A46" s="30"/>
      <c r="B46" s="30" t="s">
        <v>398</v>
      </c>
      <c r="C46" s="324"/>
      <c r="H46" s="30"/>
      <c r="K46" s="22"/>
      <c r="Q46" s="22"/>
    </row>
    <row r="47" spans="1:17" ht="15.75" thickBot="1">
      <c r="A47" s="30"/>
      <c r="B47" s="28" t="s">
        <v>399</v>
      </c>
      <c r="C47" s="325"/>
      <c r="H47" s="28"/>
      <c r="I47" s="23"/>
      <c r="J47" s="23"/>
      <c r="K47" s="24"/>
      <c r="Q47" s="22"/>
    </row>
    <row r="48" spans="1:17" ht="16.5" thickBot="1">
      <c r="A48" s="30"/>
      <c r="B48" s="280"/>
      <c r="C48" s="281"/>
      <c r="H48" s="488" t="s">
        <v>431</v>
      </c>
      <c r="I48" s="489"/>
      <c r="J48" s="489"/>
      <c r="K48" s="490"/>
      <c r="Q48" s="22"/>
    </row>
    <row r="49" spans="1:17">
      <c r="A49" s="30"/>
      <c r="Q49" s="22"/>
    </row>
    <row r="50" spans="1:17" ht="15.75" thickBot="1">
      <c r="A50" s="28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4"/>
    </row>
  </sheetData>
  <mergeCells count="4">
    <mergeCell ref="A7:O8"/>
    <mergeCell ref="E1:F1"/>
    <mergeCell ref="C4:K4"/>
    <mergeCell ref="H48:K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categorias!$C$4:$C$7</xm:f>
          </x14:formula1>
          <xm:sqref>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7"/>
  <sheetViews>
    <sheetView workbookViewId="0">
      <selection activeCell="D14" sqref="D14"/>
    </sheetView>
  </sheetViews>
  <sheetFormatPr baseColWidth="10" defaultColWidth="11.42578125" defaultRowHeight="15"/>
  <cols>
    <col min="2" max="2" width="17.85546875" customWidth="1"/>
    <col min="3" max="3" width="21.140625" customWidth="1"/>
    <col min="6" max="6" width="18.7109375" customWidth="1"/>
  </cols>
  <sheetData>
    <row r="3" spans="2:6">
      <c r="B3" t="s">
        <v>167</v>
      </c>
      <c r="E3" t="s">
        <v>168</v>
      </c>
      <c r="F3" t="s">
        <v>169</v>
      </c>
    </row>
    <row r="4" spans="2:6">
      <c r="B4" t="s">
        <v>170</v>
      </c>
      <c r="C4" t="s">
        <v>171</v>
      </c>
      <c r="D4" t="s">
        <v>170</v>
      </c>
      <c r="E4">
        <v>1</v>
      </c>
      <c r="F4">
        <v>4</v>
      </c>
    </row>
    <row r="5" spans="2:6">
      <c r="B5" t="s">
        <v>172</v>
      </c>
      <c r="C5" t="s">
        <v>173</v>
      </c>
      <c r="D5" t="s">
        <v>172</v>
      </c>
      <c r="E5">
        <v>0.8</v>
      </c>
      <c r="F5">
        <v>4</v>
      </c>
    </row>
    <row r="6" spans="2:6">
      <c r="B6" t="s">
        <v>19</v>
      </c>
      <c r="C6" t="s">
        <v>174</v>
      </c>
      <c r="D6" t="s">
        <v>19</v>
      </c>
      <c r="E6">
        <v>0.6</v>
      </c>
      <c r="F6">
        <v>2</v>
      </c>
    </row>
    <row r="7" spans="2:6">
      <c r="B7" t="s">
        <v>175</v>
      </c>
      <c r="C7" t="s">
        <v>149</v>
      </c>
      <c r="D7" t="s">
        <v>175</v>
      </c>
      <c r="E7">
        <v>0.4</v>
      </c>
      <c r="F7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K28"/>
  <sheetViews>
    <sheetView zoomScale="70" zoomScaleNormal="70" workbookViewId="0">
      <selection activeCell="M13" sqref="M13"/>
    </sheetView>
  </sheetViews>
  <sheetFormatPr baseColWidth="10" defaultColWidth="11.42578125" defaultRowHeight="15"/>
  <cols>
    <col min="2" max="2" width="9.7109375" customWidth="1"/>
    <col min="3" max="3" width="15.140625" customWidth="1"/>
    <col min="4" max="4" width="12.28515625" customWidth="1"/>
    <col min="5" max="5" width="12" bestFit="1" customWidth="1"/>
    <col min="10" max="10" width="12" bestFit="1" customWidth="1"/>
  </cols>
  <sheetData>
    <row r="1" spans="1:11">
      <c r="A1" s="493" t="s">
        <v>157</v>
      </c>
      <c r="B1" s="494"/>
      <c r="C1" s="494"/>
      <c r="D1" s="494"/>
      <c r="E1" s="494"/>
      <c r="F1" s="494"/>
      <c r="G1" s="494"/>
      <c r="H1" s="494"/>
      <c r="I1" s="494"/>
      <c r="J1" s="494"/>
      <c r="K1" s="495"/>
    </row>
    <row r="2" spans="1:11" ht="15.75" thickBot="1">
      <c r="A2" s="496"/>
      <c r="B2" s="497"/>
      <c r="C2" s="497"/>
      <c r="D2" s="497"/>
      <c r="E2" s="497"/>
      <c r="F2" s="497"/>
      <c r="G2" s="497"/>
      <c r="H2" s="497"/>
      <c r="I2" s="497"/>
      <c r="J2" s="497"/>
      <c r="K2" s="498"/>
    </row>
    <row r="3" spans="1:11">
      <c r="A3" s="20"/>
      <c r="B3" s="21"/>
      <c r="C3" s="21"/>
      <c r="D3" s="21"/>
      <c r="E3" s="21"/>
      <c r="F3" s="21"/>
      <c r="G3" s="21"/>
      <c r="H3" s="21"/>
      <c r="I3" s="21"/>
      <c r="J3" s="21"/>
      <c r="K3" s="7"/>
    </row>
    <row r="4" spans="1:11" ht="15.75" thickBot="1">
      <c r="A4" s="30"/>
      <c r="K4" s="22"/>
    </row>
    <row r="5" spans="1:11" ht="15.75" thickBot="1">
      <c r="A5" s="30"/>
      <c r="B5" s="39" t="s">
        <v>158</v>
      </c>
      <c r="C5" s="112" t="str">
        <f>'ISO 12215 Datos de entrada'!D23</f>
        <v>embarcación de planeo</v>
      </c>
      <c r="D5" s="113"/>
      <c r="K5" s="22"/>
    </row>
    <row r="6" spans="1:11" ht="15.75" thickBot="1">
      <c r="A6" s="30"/>
      <c r="K6" s="22"/>
    </row>
    <row r="7" spans="1:11" ht="16.5" thickBot="1">
      <c r="A7" s="30"/>
      <c r="B7" s="424" t="s">
        <v>159</v>
      </c>
      <c r="C7" s="425"/>
      <c r="D7" s="79">
        <f>IF(C5="embarcación de planeo",((0.1*'ISO 12215 Datos de entrada'!C17*1000)/('ISO 12215 Datos de entrada'!C13*'ISO 12215 Datos de entrada'!C14))*(1+'ISO 12215 Datos de entrada'!E26^0.5*'ISO 12215 Datos de entrada'!C28),(2.4*('ISO 12215 Datos de entrada'!C17*1000)^0.33+20)*'ISO 12215 Datos de entrada'!E26*'ISO 12215 Datos de entrada'!C31*'ISO 12215 Datos de entrada'!E26)</f>
        <v>71.541961255665768</v>
      </c>
      <c r="E7" s="114" t="s">
        <v>34</v>
      </c>
      <c r="K7" s="22"/>
    </row>
    <row r="8" spans="1:11" ht="15.75" thickBot="1">
      <c r="A8" s="30"/>
      <c r="K8" s="22"/>
    </row>
    <row r="9" spans="1:11" ht="16.5" thickBot="1">
      <c r="A9" s="30"/>
      <c r="B9" s="424" t="s">
        <v>160</v>
      </c>
      <c r="C9" s="425"/>
      <c r="D9" s="79">
        <f>(0.35*'ISO 12215 Datos de entrada'!C13+14.6)+'ISO 12215 Datos de entrada'!C38*(((0.25*0.1*('ISO 12215 Datos de entrada'!C17*1000)/('ISO 12215 Datos de entrada'!C13*'ISO 12215 Datos de entrada'!C14))*(1+'ISO 12215 Datos de entrada'!E26^0.5*'ISO 12215 Datos de entrada'!C28))-(0.35*'ISO 12215 Datos de entrada'!C13+14.6))*'ISO 12215 Datos de entrada'!C34*'ISO 12215 Datos de entrada'!E26*'ISO 12215 Datos de entrada'!C31</f>
        <v>17.213304459081755</v>
      </c>
      <c r="E9" s="114" t="s">
        <v>34</v>
      </c>
      <c r="K9" s="22"/>
    </row>
    <row r="10" spans="1:11" ht="15.75" thickBot="1">
      <c r="A10" s="30"/>
      <c r="D10" s="32"/>
      <c r="K10" s="22"/>
    </row>
    <row r="11" spans="1:11" ht="16.5" thickBot="1">
      <c r="A11" s="30"/>
      <c r="B11" s="424" t="s">
        <v>161</v>
      </c>
      <c r="C11" s="425"/>
      <c r="D11" s="79">
        <f>0.9*'ISO 12215 Datos de entrada'!C13*'ISO 12215 Datos de entrada'!E26</f>
        <v>2.6369280000000002</v>
      </c>
      <c r="E11" s="114" t="s">
        <v>34</v>
      </c>
      <c r="K11" s="22"/>
    </row>
    <row r="12" spans="1:11" ht="15.75" thickBot="1">
      <c r="A12" s="30"/>
      <c r="K12" s="22"/>
    </row>
    <row r="13" spans="1:11" ht="16.5" thickBot="1">
      <c r="A13" s="30"/>
      <c r="B13" s="424" t="s">
        <v>162</v>
      </c>
      <c r="C13" s="425"/>
      <c r="D13" s="79">
        <f>(0.35*'ISO 12215 Datos de entrada'!C13+14.6)*'ISO 12215 Datos de entrada'!E26*'ISO 12215 Datos de entrada'!C34*0.67</f>
        <v>1.1499665600000002</v>
      </c>
      <c r="E13" s="114" t="s">
        <v>34</v>
      </c>
      <c r="K13" s="22"/>
    </row>
    <row r="14" spans="1:11" ht="15.75" thickBot="1">
      <c r="A14" s="30"/>
      <c r="K14" s="22"/>
    </row>
    <row r="15" spans="1:11" ht="16.5" thickBot="1">
      <c r="A15" s="30"/>
      <c r="B15" s="424" t="s">
        <v>163</v>
      </c>
      <c r="C15" s="425"/>
      <c r="D15" s="79">
        <v>5</v>
      </c>
      <c r="E15" s="42" t="s">
        <v>34</v>
      </c>
      <c r="K15" s="22"/>
    </row>
    <row r="16" spans="1:11" ht="15.75" thickBot="1">
      <c r="A16" s="30"/>
      <c r="K16" s="22"/>
    </row>
    <row r="17" spans="1:11" ht="16.5" thickBot="1">
      <c r="A17" s="30"/>
      <c r="B17" s="491" t="s">
        <v>164</v>
      </c>
      <c r="C17" s="492"/>
      <c r="D17" s="41">
        <f>7*D18</f>
        <v>1.4000000000000001</v>
      </c>
      <c r="E17" s="114" t="s">
        <v>34</v>
      </c>
      <c r="K17" s="22"/>
    </row>
    <row r="18" spans="1:11" ht="45.75" thickBot="1">
      <c r="A18" s="30"/>
      <c r="C18" s="115" t="s">
        <v>165</v>
      </c>
      <c r="D18" s="116">
        <f>200/1000</f>
        <v>0.2</v>
      </c>
      <c r="E18" s="114" t="s">
        <v>0</v>
      </c>
      <c r="K18" s="22"/>
    </row>
    <row r="19" spans="1:11">
      <c r="A19" s="30"/>
      <c r="K19" s="22"/>
    </row>
    <row r="20" spans="1:11" ht="15.75" thickBot="1">
      <c r="A20" s="30"/>
      <c r="K20" s="22"/>
    </row>
    <row r="21" spans="1:11" ht="16.5" thickBot="1">
      <c r="A21" s="30"/>
      <c r="B21" s="491" t="s">
        <v>164</v>
      </c>
      <c r="C21" s="492"/>
      <c r="D21" s="79">
        <f>10*D22</f>
        <v>2</v>
      </c>
      <c r="E21" s="114" t="s">
        <v>34</v>
      </c>
      <c r="J21" s="32"/>
      <c r="K21" s="22"/>
    </row>
    <row r="22" spans="1:11" ht="45.75" thickBot="1">
      <c r="A22" s="30"/>
      <c r="C22" s="115" t="s">
        <v>165</v>
      </c>
      <c r="D22" s="116">
        <f>200/1000</f>
        <v>0.2</v>
      </c>
      <c r="E22" s="114" t="s">
        <v>0</v>
      </c>
      <c r="K22" s="22"/>
    </row>
    <row r="23" spans="1:11" ht="15.75" thickBot="1">
      <c r="A23" s="30"/>
      <c r="K23" s="22"/>
    </row>
    <row r="24" spans="1:11" ht="16.5" thickBot="1">
      <c r="A24" s="30"/>
      <c r="B24" s="491" t="s">
        <v>166</v>
      </c>
      <c r="C24" s="492"/>
      <c r="D24" s="117">
        <f>D21</f>
        <v>2</v>
      </c>
      <c r="E24" s="114" t="s">
        <v>34</v>
      </c>
      <c r="K24" s="22"/>
    </row>
    <row r="25" spans="1:11">
      <c r="A25" s="30"/>
      <c r="K25" s="22"/>
    </row>
    <row r="26" spans="1:11">
      <c r="A26" s="30"/>
      <c r="K26" s="22"/>
    </row>
    <row r="27" spans="1:11">
      <c r="A27" s="30"/>
      <c r="K27" s="22"/>
    </row>
    <row r="28" spans="1:11" ht="15.75" thickBot="1">
      <c r="A28" s="28"/>
      <c r="B28" s="23"/>
      <c r="C28" s="23"/>
      <c r="D28" s="23"/>
      <c r="E28" s="23"/>
      <c r="F28" s="23"/>
      <c r="G28" s="23"/>
      <c r="H28" s="23"/>
      <c r="I28" s="23"/>
      <c r="J28" s="23"/>
      <c r="K28" s="24"/>
    </row>
  </sheetData>
  <mergeCells count="9">
    <mergeCell ref="B17:C17"/>
    <mergeCell ref="B21:C21"/>
    <mergeCell ref="B24:C24"/>
    <mergeCell ref="A1:K2"/>
    <mergeCell ref="B7:C7"/>
    <mergeCell ref="B9:C9"/>
    <mergeCell ref="B11:C11"/>
    <mergeCell ref="B13:C13"/>
    <mergeCell ref="B15:C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K43"/>
  <sheetViews>
    <sheetView workbookViewId="0">
      <selection activeCell="C5" sqref="C5"/>
    </sheetView>
  </sheetViews>
  <sheetFormatPr baseColWidth="10" defaultColWidth="11.42578125" defaultRowHeight="15"/>
  <cols>
    <col min="1" max="1" width="9.28515625" customWidth="1"/>
    <col min="2" max="2" width="23.140625" customWidth="1"/>
  </cols>
  <sheetData>
    <row r="1" spans="1:11">
      <c r="A1" s="499" t="s">
        <v>185</v>
      </c>
      <c r="B1" s="500"/>
      <c r="C1" s="500"/>
      <c r="D1" s="500"/>
      <c r="E1" s="500"/>
      <c r="F1" s="500"/>
      <c r="G1" s="500"/>
      <c r="H1" s="500"/>
      <c r="I1" s="500"/>
      <c r="J1" s="500"/>
      <c r="K1" s="501"/>
    </row>
    <row r="2" spans="1:11" ht="15.75" thickBot="1">
      <c r="A2" s="502"/>
      <c r="B2" s="503"/>
      <c r="C2" s="503"/>
      <c r="D2" s="503"/>
      <c r="E2" s="503"/>
      <c r="F2" s="503"/>
      <c r="G2" s="503"/>
      <c r="H2" s="503"/>
      <c r="I2" s="503"/>
      <c r="J2" s="503"/>
      <c r="K2" s="504"/>
    </row>
    <row r="3" spans="1:11">
      <c r="A3" s="20"/>
      <c r="B3" s="21"/>
      <c r="C3" s="21"/>
      <c r="D3" s="21"/>
      <c r="E3" s="21"/>
      <c r="F3" s="21"/>
      <c r="G3" s="21"/>
      <c r="H3" s="21"/>
      <c r="I3" s="21"/>
      <c r="J3" s="21"/>
      <c r="K3" s="7"/>
    </row>
    <row r="4" spans="1:11" ht="15.75" thickBot="1">
      <c r="A4" s="30"/>
      <c r="K4" s="22"/>
    </row>
    <row r="5" spans="1:11">
      <c r="A5" s="30"/>
      <c r="B5" s="20" t="s">
        <v>186</v>
      </c>
      <c r="C5" s="125">
        <v>125</v>
      </c>
      <c r="D5" s="7" t="s">
        <v>187</v>
      </c>
      <c r="K5" s="22"/>
    </row>
    <row r="6" spans="1:11" ht="15.75" thickBot="1">
      <c r="A6" s="30"/>
      <c r="B6" s="28" t="s">
        <v>188</v>
      </c>
      <c r="C6" s="23">
        <f>0.6*C5</f>
        <v>75</v>
      </c>
      <c r="D6" s="24" t="s">
        <v>187</v>
      </c>
      <c r="K6" s="22"/>
    </row>
    <row r="7" spans="1:11">
      <c r="A7" s="30"/>
      <c r="K7" s="22"/>
    </row>
    <row r="8" spans="1:11" ht="15.75" thickBot="1">
      <c r="A8" s="30"/>
      <c r="K8" s="22"/>
    </row>
    <row r="9" spans="1:11">
      <c r="A9" s="30"/>
      <c r="B9" s="25" t="s">
        <v>367</v>
      </c>
      <c r="C9" s="267">
        <v>1</v>
      </c>
      <c r="D9" s="25"/>
      <c r="K9" s="22"/>
    </row>
    <row r="10" spans="1:11" ht="30">
      <c r="A10" s="30"/>
      <c r="B10" s="126" t="s">
        <v>189</v>
      </c>
      <c r="C10" s="268">
        <v>225</v>
      </c>
      <c r="D10" s="26" t="s">
        <v>76</v>
      </c>
      <c r="K10" s="22"/>
    </row>
    <row r="11" spans="1:11">
      <c r="A11" s="30"/>
      <c r="B11" s="26" t="s">
        <v>190</v>
      </c>
      <c r="C11" s="268">
        <v>0</v>
      </c>
      <c r="D11" s="26" t="s">
        <v>76</v>
      </c>
      <c r="K11" s="22"/>
    </row>
    <row r="12" spans="1:11" ht="30">
      <c r="A12" s="30"/>
      <c r="B12" s="126" t="s">
        <v>191</v>
      </c>
      <c r="C12" s="268">
        <v>750</v>
      </c>
      <c r="D12" s="26" t="s">
        <v>76</v>
      </c>
      <c r="K12" s="22"/>
    </row>
    <row r="13" spans="1:11">
      <c r="A13" s="30"/>
      <c r="B13" s="26" t="s">
        <v>192</v>
      </c>
      <c r="C13" s="269">
        <f>IF(C12/C10&gt;2,2,C12/C10)</f>
        <v>2</v>
      </c>
      <c r="D13" s="26"/>
      <c r="K13" s="22"/>
    </row>
    <row r="14" spans="1:11">
      <c r="A14" s="30"/>
      <c r="B14" s="126" t="s">
        <v>193</v>
      </c>
      <c r="C14" s="268">
        <f>0.5</f>
        <v>0.5</v>
      </c>
      <c r="D14" s="26"/>
      <c r="K14" s="22"/>
    </row>
    <row r="15" spans="1:11" ht="15.75" thickBot="1">
      <c r="A15" s="30"/>
      <c r="B15" s="27" t="s">
        <v>194</v>
      </c>
      <c r="C15" s="270">
        <v>2.8000000000000001E-2</v>
      </c>
      <c r="D15" s="27"/>
      <c r="K15" s="22"/>
    </row>
    <row r="16" spans="1:11" ht="27.6" customHeight="1" thickBot="1">
      <c r="A16" s="30"/>
      <c r="B16" s="505" t="s">
        <v>195</v>
      </c>
      <c r="C16" s="505"/>
      <c r="D16" s="505"/>
      <c r="E16" s="505"/>
      <c r="K16" s="22"/>
    </row>
    <row r="17" spans="1:11" ht="16.5" thickBot="1">
      <c r="A17" s="30"/>
      <c r="B17" s="424" t="s">
        <v>196</v>
      </c>
      <c r="C17" s="425"/>
      <c r="D17" s="117">
        <f>(C10)*C9*(('Presiones de diseño'!D7*'espesores laminas'!C14)/(1000*'espesores laminas'!C6))^0.5</f>
        <v>4.9137981158964195</v>
      </c>
      <c r="E17" s="42" t="s">
        <v>76</v>
      </c>
      <c r="G17" s="60" t="s">
        <v>366</v>
      </c>
      <c r="H17" s="60" t="s">
        <v>435</v>
      </c>
      <c r="K17" s="22"/>
    </row>
    <row r="18" spans="1:11" ht="15.75" thickBot="1">
      <c r="A18" s="30"/>
      <c r="K18" s="22"/>
    </row>
    <row r="19" spans="1:11" ht="16.5" thickBot="1">
      <c r="A19" s="30"/>
      <c r="B19" s="424" t="s">
        <v>197</v>
      </c>
      <c r="C19" s="425"/>
      <c r="D19" s="117">
        <f>C10*C9*(('Presiones de diseño'!D9*'espesores laminas'!C14)/(1000*'espesores laminas'!C6))^0.5</f>
        <v>2.4102884173766617</v>
      </c>
      <c r="E19" s="42" t="s">
        <v>76</v>
      </c>
      <c r="G19" s="60" t="s">
        <v>394</v>
      </c>
      <c r="H19" s="60" t="s">
        <v>436</v>
      </c>
      <c r="K19" s="22"/>
    </row>
    <row r="20" spans="1:11" ht="15.75" thickBot="1">
      <c r="A20" s="30"/>
      <c r="K20" s="22"/>
    </row>
    <row r="21" spans="1:11" ht="16.5" thickBot="1">
      <c r="A21" s="30"/>
      <c r="B21" s="424" t="s">
        <v>198</v>
      </c>
      <c r="C21" s="425"/>
      <c r="D21" s="117">
        <f>C10*C9*(('Presiones de diseño'!D11*'espesores laminas'!C14)/(1000*'espesores laminas'!C6))^0.5</f>
        <v>0.94337860904305015</v>
      </c>
      <c r="E21" s="42" t="s">
        <v>76</v>
      </c>
      <c r="G21" s="60" t="s">
        <v>395</v>
      </c>
      <c r="H21" s="60" t="s">
        <v>437</v>
      </c>
      <c r="K21" s="22"/>
    </row>
    <row r="22" spans="1:11" ht="15.75" thickBot="1">
      <c r="A22" s="30"/>
      <c r="K22" s="22"/>
    </row>
    <row r="23" spans="1:11" ht="16.5" thickBot="1">
      <c r="A23" s="30"/>
      <c r="B23" s="424" t="s">
        <v>199</v>
      </c>
      <c r="C23" s="425"/>
      <c r="D23" s="117">
        <f>C10*C9*(('Presiones de diseño'!D13*'espesores laminas'!C14)/(1000*'espesores laminas'!C6))^0.5</f>
        <v>0.62298773182142198</v>
      </c>
      <c r="E23" s="42" t="s">
        <v>76</v>
      </c>
      <c r="G23" s="60" t="s">
        <v>396</v>
      </c>
      <c r="H23" s="60" t="s">
        <v>438</v>
      </c>
      <c r="K23" s="22"/>
    </row>
    <row r="24" spans="1:11" ht="15.75" thickBot="1">
      <c r="A24" s="30"/>
      <c r="K24" s="22"/>
    </row>
    <row r="25" spans="1:11" ht="16.5" thickBot="1">
      <c r="A25" s="30"/>
      <c r="B25" s="424" t="s">
        <v>200</v>
      </c>
      <c r="C25" s="425"/>
      <c r="D25" s="117">
        <f>C10*C9*(('Presiones de diseño'!D15*'espesores laminas'!C14)/(1000*'espesores laminas'!C6))^0.5</f>
        <v>1.299038105676658</v>
      </c>
      <c r="E25" s="42" t="s">
        <v>76</v>
      </c>
      <c r="G25" s="60" t="s">
        <v>395</v>
      </c>
      <c r="H25" s="60" t="s">
        <v>439</v>
      </c>
      <c r="K25" s="22"/>
    </row>
    <row r="26" spans="1:11">
      <c r="A26" s="30"/>
      <c r="K26" s="22"/>
    </row>
    <row r="27" spans="1:11" ht="15.75" thickBot="1">
      <c r="A27" s="30"/>
      <c r="K27" s="22"/>
    </row>
    <row r="28" spans="1:11" ht="16.5" thickBot="1">
      <c r="A28" s="30"/>
      <c r="B28" s="424" t="s">
        <v>201</v>
      </c>
      <c r="C28" s="425"/>
      <c r="D28" s="117">
        <f>D29*(D32+D30*'ISO 12215 Datos de entrada'!C14+'espesores laminas'!D31*('ISO 12215 Datos de entrada'!C13*1000)^0.33)</f>
        <v>2.9303092764449783</v>
      </c>
      <c r="E28" s="42" t="s">
        <v>76</v>
      </c>
      <c r="G28" s="60" t="s">
        <v>105</v>
      </c>
      <c r="H28" s="60" t="s">
        <v>436</v>
      </c>
      <c r="K28" s="22"/>
    </row>
    <row r="29" spans="1:11">
      <c r="A29" s="30"/>
      <c r="C29" s="25" t="s">
        <v>202</v>
      </c>
      <c r="D29" s="7">
        <f>(125/C5)^0.5</f>
        <v>1</v>
      </c>
      <c r="K29" s="22"/>
    </row>
    <row r="30" spans="1:11">
      <c r="A30" s="30"/>
      <c r="C30" s="26" t="s">
        <v>203</v>
      </c>
      <c r="D30" s="22">
        <v>0.02</v>
      </c>
      <c r="K30" s="22"/>
    </row>
    <row r="31" spans="1:11">
      <c r="A31" s="30"/>
      <c r="C31" s="26" t="s">
        <v>204</v>
      </c>
      <c r="D31" s="22">
        <v>0.1</v>
      </c>
      <c r="K31" s="22"/>
    </row>
    <row r="32" spans="1:11" ht="15.75" thickBot="1">
      <c r="A32" s="30"/>
      <c r="C32" s="27" t="s">
        <v>170</v>
      </c>
      <c r="D32" s="24">
        <v>1</v>
      </c>
      <c r="K32" s="22"/>
    </row>
    <row r="33" spans="1:11" ht="15.75" thickBot="1">
      <c r="A33" s="30"/>
      <c r="K33" s="22"/>
    </row>
    <row r="34" spans="1:11" ht="16.5" thickBot="1">
      <c r="A34" s="30"/>
      <c r="B34" s="424" t="s">
        <v>205</v>
      </c>
      <c r="C34" s="425"/>
      <c r="D34" s="117">
        <f>D35*(D38+D36*'ISO 12215 Datos de entrada'!C20+'espesores laminas'!D37*('ISO 12215 Datos de entrada'!C19*1000)^0.33)</f>
        <v>2.6621112974623795</v>
      </c>
      <c r="E34" s="42" t="s">
        <v>76</v>
      </c>
      <c r="G34" s="60" t="s">
        <v>394</v>
      </c>
      <c r="H34" s="60" t="s">
        <v>436</v>
      </c>
      <c r="K34" s="22"/>
    </row>
    <row r="35" spans="1:11">
      <c r="A35" s="30"/>
      <c r="C35" s="25" t="s">
        <v>202</v>
      </c>
      <c r="D35" s="7">
        <f>(125/C5)^0.5</f>
        <v>1</v>
      </c>
      <c r="K35" s="22"/>
    </row>
    <row r="36" spans="1:11">
      <c r="A36" s="30"/>
      <c r="C36" s="26" t="s">
        <v>203</v>
      </c>
      <c r="D36" s="22">
        <v>0</v>
      </c>
      <c r="K36" s="22"/>
    </row>
    <row r="37" spans="1:11">
      <c r="A37" s="30"/>
      <c r="C37" s="26" t="s">
        <v>204</v>
      </c>
      <c r="D37" s="22">
        <v>0.1</v>
      </c>
      <c r="K37" s="22"/>
    </row>
    <row r="38" spans="1:11" ht="15.75" thickBot="1">
      <c r="A38" s="30"/>
      <c r="C38" s="27" t="s">
        <v>170</v>
      </c>
      <c r="D38" s="24">
        <v>1</v>
      </c>
      <c r="K38" s="22"/>
    </row>
    <row r="39" spans="1:11">
      <c r="A39" s="30"/>
      <c r="K39" s="22"/>
    </row>
    <row r="40" spans="1:11" ht="15.75" thickBot="1">
      <c r="A40" s="30"/>
      <c r="K40" s="22"/>
    </row>
    <row r="41" spans="1:11" ht="16.5" thickBot="1">
      <c r="A41" s="30"/>
      <c r="B41" s="424" t="s">
        <v>206</v>
      </c>
      <c r="C41" s="425"/>
      <c r="D41" s="117">
        <f>1.35+0.06*'ISO 12215 Datos de entrada'!C13</f>
        <v>1.789488</v>
      </c>
      <c r="E41" s="42" t="s">
        <v>76</v>
      </c>
      <c r="G41" s="60" t="s">
        <v>395</v>
      </c>
      <c r="H41" s="60" t="s">
        <v>397</v>
      </c>
      <c r="K41" s="22"/>
    </row>
    <row r="42" spans="1:11">
      <c r="A42" s="30"/>
      <c r="K42" s="22"/>
    </row>
    <row r="43" spans="1:11" ht="15.75" thickBot="1">
      <c r="A43" s="28"/>
      <c r="B43" s="23"/>
      <c r="C43" s="23"/>
      <c r="D43" s="23"/>
      <c r="E43" s="23"/>
      <c r="F43" s="23"/>
      <c r="G43" s="23"/>
      <c r="H43" s="23"/>
      <c r="I43" s="23"/>
      <c r="J43" s="23"/>
      <c r="K43" s="24"/>
    </row>
  </sheetData>
  <mergeCells count="10">
    <mergeCell ref="B25:C25"/>
    <mergeCell ref="B28:C28"/>
    <mergeCell ref="B34:C34"/>
    <mergeCell ref="B41:C41"/>
    <mergeCell ref="A1:K2"/>
    <mergeCell ref="B16:E16"/>
    <mergeCell ref="B17:C17"/>
    <mergeCell ref="B19:C19"/>
    <mergeCell ref="B21:C21"/>
    <mergeCell ref="B23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N50"/>
  <sheetViews>
    <sheetView topLeftCell="A7" zoomScaleNormal="100" workbookViewId="0">
      <selection activeCell="E30" sqref="E30"/>
    </sheetView>
  </sheetViews>
  <sheetFormatPr baseColWidth="10" defaultColWidth="11.42578125" defaultRowHeight="15"/>
  <cols>
    <col min="1" max="1" width="29" customWidth="1"/>
    <col min="2" max="2" width="13.7109375" bestFit="1" customWidth="1"/>
    <col min="9" max="9" width="29.7109375" customWidth="1"/>
  </cols>
  <sheetData>
    <row r="1" spans="1:14">
      <c r="A1" s="499" t="s">
        <v>176</v>
      </c>
      <c r="B1" s="500"/>
      <c r="C1" s="500"/>
      <c r="D1" s="500"/>
      <c r="E1" s="500"/>
      <c r="F1" s="500"/>
      <c r="G1" s="500"/>
      <c r="H1" s="500"/>
      <c r="I1" s="500"/>
      <c r="J1" s="500"/>
      <c r="K1" s="501"/>
    </row>
    <row r="2" spans="1:14" ht="15.75" thickBot="1">
      <c r="A2" s="502"/>
      <c r="B2" s="503"/>
      <c r="C2" s="503"/>
      <c r="D2" s="503"/>
      <c r="E2" s="503"/>
      <c r="F2" s="503"/>
      <c r="G2" s="503"/>
      <c r="H2" s="503"/>
      <c r="I2" s="503"/>
      <c r="J2" s="503"/>
      <c r="K2" s="504"/>
    </row>
    <row r="5" spans="1:14" ht="15.75" thickBot="1"/>
    <row r="6" spans="1:14">
      <c r="A6" s="50" t="s">
        <v>177</v>
      </c>
      <c r="B6" s="21">
        <f>0.7*'espesores laminas'!C5</f>
        <v>87.5</v>
      </c>
      <c r="C6" s="7" t="s">
        <v>94</v>
      </c>
    </row>
    <row r="7" spans="1:14" ht="15.75" thickBot="1">
      <c r="A7" s="118" t="s">
        <v>178</v>
      </c>
      <c r="B7" s="23">
        <f>0.4*'espesores laminas'!C5</f>
        <v>50</v>
      </c>
      <c r="C7" s="24" t="s">
        <v>94</v>
      </c>
    </row>
    <row r="8" spans="1:14" ht="15.75" thickBot="1"/>
    <row r="9" spans="1:14">
      <c r="A9" s="119" t="s">
        <v>179</v>
      </c>
      <c r="B9" s="21">
        <v>5</v>
      </c>
      <c r="C9" s="7"/>
    </row>
    <row r="10" spans="1:14">
      <c r="A10" s="120" t="s">
        <v>71</v>
      </c>
      <c r="B10">
        <v>225</v>
      </c>
      <c r="C10" s="22" t="s">
        <v>76</v>
      </c>
    </row>
    <row r="11" spans="1:14">
      <c r="A11" s="120" t="s">
        <v>180</v>
      </c>
      <c r="B11">
        <v>750</v>
      </c>
      <c r="C11" s="22" t="s">
        <v>76</v>
      </c>
    </row>
    <row r="12" spans="1:14" ht="15.75" thickBot="1">
      <c r="A12" s="121" t="s">
        <v>221</v>
      </c>
      <c r="B12" s="23">
        <v>1</v>
      </c>
      <c r="C12" s="24"/>
    </row>
    <row r="13" spans="1:14" ht="15.75" thickBot="1"/>
    <row r="14" spans="1:14" ht="15.75" thickBot="1">
      <c r="A14" s="438" t="s">
        <v>181</v>
      </c>
      <c r="B14" s="439"/>
      <c r="C14" s="439"/>
      <c r="D14" s="439"/>
      <c r="E14" s="439"/>
      <c r="F14" s="440"/>
      <c r="I14" s="438" t="s">
        <v>222</v>
      </c>
      <c r="J14" s="439"/>
      <c r="K14" s="439"/>
      <c r="L14" s="439"/>
      <c r="M14" s="439"/>
      <c r="N14" s="440"/>
    </row>
    <row r="15" spans="1:14" ht="15.75" thickBot="1"/>
    <row r="16" spans="1:14" ht="15.75" thickBot="1">
      <c r="A16" s="122" t="s">
        <v>208</v>
      </c>
      <c r="B16" s="123">
        <f>(B9*'Presiones de diseño'!D7*Refuerzos!B10*Refuerzos!B11/1000000)/Refuerzos!B7</f>
        <v>1.2072705961893599</v>
      </c>
      <c r="C16" s="42" t="s">
        <v>182</v>
      </c>
      <c r="I16" s="58" t="s">
        <v>214</v>
      </c>
      <c r="J16" s="133">
        <f>(internos!$N$35*internos!$N$34)/100</f>
        <v>3.9</v>
      </c>
      <c r="K16" s="42" t="s">
        <v>182</v>
      </c>
    </row>
    <row r="17" spans="1:14" ht="15.75" thickBot="1"/>
    <row r="18" spans="1:14" ht="15.75" thickBot="1">
      <c r="A18" s="122" t="s">
        <v>209</v>
      </c>
      <c r="B18" s="123">
        <f>(B9*'Presiones de diseño'!D9*Refuerzos!B28*Refuerzos!B11/1000000)/Refuerzos!B7</f>
        <v>0.32274945860778287</v>
      </c>
      <c r="C18" s="42" t="s">
        <v>182</v>
      </c>
      <c r="I18" s="58" t="s">
        <v>215</v>
      </c>
      <c r="J18" s="133">
        <f>J16</f>
        <v>3.9</v>
      </c>
      <c r="K18" s="42" t="s">
        <v>182</v>
      </c>
    </row>
    <row r="19" spans="1:14" ht="15.75" thickBot="1"/>
    <row r="20" spans="1:14" ht="15.75" thickBot="1">
      <c r="A20" s="122" t="s">
        <v>213</v>
      </c>
      <c r="B20" s="124">
        <f>(B9*'espesores laminas'!D25*B33*B32/1000000)/Refuerzos!B7</f>
        <v>9.7427857925749373E-2</v>
      </c>
      <c r="C20" s="42" t="s">
        <v>182</v>
      </c>
      <c r="I20" s="58" t="s">
        <v>216</v>
      </c>
      <c r="J20" s="79">
        <f>(internos!$S$63+internos!$S$63)/1000</f>
        <v>0.20799999999999999</v>
      </c>
      <c r="K20" s="42" t="s">
        <v>182</v>
      </c>
    </row>
    <row r="22" spans="1:14" ht="15.75" thickBot="1"/>
    <row r="23" spans="1:14" ht="15.75" thickBot="1">
      <c r="A23" s="438" t="s">
        <v>183</v>
      </c>
      <c r="B23" s="439"/>
      <c r="C23" s="439"/>
      <c r="D23" s="439"/>
      <c r="E23" s="439"/>
      <c r="F23" s="440"/>
      <c r="I23" s="438" t="s">
        <v>212</v>
      </c>
      <c r="J23" s="439"/>
      <c r="K23" s="439"/>
      <c r="L23" s="439"/>
      <c r="M23" s="439"/>
      <c r="N23" s="440"/>
    </row>
    <row r="24" spans="1:14" ht="15.75" thickBot="1"/>
    <row r="25" spans="1:14" ht="15.75" thickBot="1">
      <c r="A25" s="122" t="s">
        <v>210</v>
      </c>
      <c r="B25" s="117">
        <f>(83.33*B12*'Presiones de diseño'!D7*Refuerzos!B10*Refuerzos!B11^2/1000000000)/Refuerzos!B6</f>
        <v>8.6230164668965177</v>
      </c>
      <c r="C25" s="42" t="s">
        <v>184</v>
      </c>
      <c r="I25" s="58" t="s">
        <v>214</v>
      </c>
      <c r="J25" s="133">
        <f>internos!M37</f>
        <v>8.9518064303845062</v>
      </c>
      <c r="K25" s="42" t="s">
        <v>91</v>
      </c>
    </row>
    <row r="26" spans="1:14" ht="15.75" thickBot="1">
      <c r="A26" s="128" t="s">
        <v>111</v>
      </c>
      <c r="B26" s="31">
        <f>J25/B25</f>
        <v>1.0381293442671951</v>
      </c>
      <c r="C26" s="24"/>
      <c r="I26" s="30"/>
      <c r="J26" s="61"/>
      <c r="K26" s="22"/>
    </row>
    <row r="27" spans="1:14" ht="15.75" thickBot="1">
      <c r="A27" s="98"/>
      <c r="B27" s="32"/>
      <c r="I27" s="30"/>
      <c r="K27" s="22"/>
    </row>
    <row r="28" spans="1:14" ht="15.75" thickBot="1">
      <c r="A28" s="127" t="s">
        <v>71</v>
      </c>
      <c r="B28" s="21">
        <v>250</v>
      </c>
      <c r="C28" s="7" t="s">
        <v>76</v>
      </c>
      <c r="I28" s="58" t="s">
        <v>215</v>
      </c>
      <c r="J28" s="133">
        <f>internos!M69</f>
        <v>3.1912568306010933</v>
      </c>
      <c r="K28" s="42" t="s">
        <v>91</v>
      </c>
    </row>
    <row r="29" spans="1:14" ht="15.75" thickBot="1">
      <c r="A29" s="122" t="s">
        <v>211</v>
      </c>
      <c r="B29" s="117">
        <f>(83.33*B12*'Presiones de diseño'!D9*B28*Refuerzos!B11^2/1000000000)/Refuerzos!B6</f>
        <v>2.3052610616388471</v>
      </c>
      <c r="C29" s="42" t="s">
        <v>184</v>
      </c>
      <c r="I29" s="30"/>
      <c r="K29" s="22"/>
    </row>
    <row r="30" spans="1:14" ht="15.75" thickBot="1">
      <c r="A30" s="128" t="s">
        <v>111</v>
      </c>
      <c r="B30" s="31">
        <f>J28/B29</f>
        <v>1.3843364136521603</v>
      </c>
      <c r="C30" s="24"/>
      <c r="I30" s="30"/>
      <c r="K30" s="22"/>
    </row>
    <row r="31" spans="1:14" ht="15.75" thickBot="1">
      <c r="A31" s="98"/>
      <c r="B31" s="32"/>
      <c r="I31" s="58" t="s">
        <v>216</v>
      </c>
      <c r="J31" s="79">
        <f>internos!M63</f>
        <v>4.2694042608422675</v>
      </c>
      <c r="K31" s="42" t="s">
        <v>91</v>
      </c>
    </row>
    <row r="32" spans="1:14" ht="15.75" thickBot="1">
      <c r="A32" s="129" t="s">
        <v>207</v>
      </c>
      <c r="B32" s="130">
        <v>1000</v>
      </c>
      <c r="C32" s="7" t="s">
        <v>76</v>
      </c>
      <c r="I32" s="30"/>
      <c r="K32" s="22"/>
    </row>
    <row r="33" spans="1:11" ht="15.75" thickBot="1">
      <c r="A33" s="131" t="s">
        <v>71</v>
      </c>
      <c r="B33">
        <v>750</v>
      </c>
      <c r="C33" s="22" t="s">
        <v>76</v>
      </c>
      <c r="I33" s="58" t="s">
        <v>217</v>
      </c>
      <c r="J33" s="133">
        <f>internos!M47</f>
        <v>35.358736059479561</v>
      </c>
      <c r="K33" s="42" t="s">
        <v>91</v>
      </c>
    </row>
    <row r="34" spans="1:11" ht="15.75" thickBot="1">
      <c r="A34" s="122" t="s">
        <v>226</v>
      </c>
      <c r="B34" s="117">
        <f>(83.33*B12*'Presiones de diseño'!D15*B33*B32^2/1000000000)/Refuerzos!B6</f>
        <v>3.5712857142857146</v>
      </c>
      <c r="C34" s="42" t="s">
        <v>184</v>
      </c>
      <c r="I34" s="30"/>
      <c r="K34" s="22"/>
    </row>
    <row r="35" spans="1:11" ht="15.75" thickBot="1">
      <c r="A35" s="128" t="s">
        <v>111</v>
      </c>
      <c r="B35" s="31">
        <f>J31/B34</f>
        <v>1.1954810122763257</v>
      </c>
      <c r="C35" s="24"/>
      <c r="I35" s="58" t="s">
        <v>108</v>
      </c>
      <c r="J35" s="134">
        <f>internos!M53</f>
        <v>27.664721520138198</v>
      </c>
      <c r="K35" s="42" t="s">
        <v>91</v>
      </c>
    </row>
    <row r="36" spans="1:11" ht="15.75" thickBot="1">
      <c r="I36" s="30"/>
      <c r="K36" s="22"/>
    </row>
    <row r="37" spans="1:11" ht="15.75" thickBot="1">
      <c r="A37" s="129" t="s">
        <v>207</v>
      </c>
      <c r="B37" s="132">
        <v>500</v>
      </c>
      <c r="C37" s="7" t="s">
        <v>76</v>
      </c>
      <c r="I37" s="58" t="s">
        <v>218</v>
      </c>
      <c r="J37" s="134">
        <f>internos!M58</f>
        <v>19.638462672608245</v>
      </c>
      <c r="K37" s="42" t="s">
        <v>91</v>
      </c>
    </row>
    <row r="38" spans="1:11" ht="15.75" thickBot="1">
      <c r="A38" s="131" t="s">
        <v>71</v>
      </c>
      <c r="B38">
        <v>750</v>
      </c>
      <c r="C38" s="22" t="s">
        <v>76</v>
      </c>
      <c r="I38" s="30"/>
      <c r="K38" s="22"/>
    </row>
    <row r="39" spans="1:11" ht="15.75" thickBot="1">
      <c r="A39" s="122" t="s">
        <v>219</v>
      </c>
      <c r="B39" s="117">
        <f>(83.33*B12*'Presiones de diseño'!D7*B38*B37^2/1000000000)/Refuerzos!B6</f>
        <v>12.774839210217058</v>
      </c>
      <c r="C39" s="42" t="s">
        <v>184</v>
      </c>
      <c r="I39" s="58"/>
      <c r="J39" s="134"/>
      <c r="K39" s="42"/>
    </row>
    <row r="40" spans="1:11" ht="15.75" thickBot="1">
      <c r="A40" s="128" t="s">
        <v>111</v>
      </c>
      <c r="B40" s="31">
        <f>J35/B39</f>
        <v>2.1655631875203967</v>
      </c>
      <c r="C40" s="24"/>
    </row>
    <row r="41" spans="1:11" ht="15.75" thickBot="1"/>
    <row r="42" spans="1:11">
      <c r="A42" s="129" t="s">
        <v>207</v>
      </c>
      <c r="B42" s="130">
        <v>750</v>
      </c>
      <c r="C42" s="7" t="s">
        <v>76</v>
      </c>
    </row>
    <row r="43" spans="1:11" ht="15.75" thickBot="1">
      <c r="A43" s="131" t="s">
        <v>71</v>
      </c>
      <c r="B43">
        <v>750</v>
      </c>
      <c r="C43" s="22" t="s">
        <v>76</v>
      </c>
    </row>
    <row r="44" spans="1:11" ht="15.75" thickBot="1">
      <c r="A44" s="122" t="s">
        <v>220</v>
      </c>
      <c r="B44" s="117">
        <f>(83.33*B12*'Presiones de diseño'!D9*B43*B42^2/1000000000)/Refuerzos!B6</f>
        <v>6.915783184916541</v>
      </c>
      <c r="C44" s="42" t="s">
        <v>184</v>
      </c>
    </row>
    <row r="45" spans="1:11" ht="15.75" thickBot="1">
      <c r="A45" s="128" t="s">
        <v>111</v>
      </c>
      <c r="B45" s="31">
        <f>J37/B44</f>
        <v>2.8396585242059236</v>
      </c>
      <c r="C45" s="24"/>
    </row>
    <row r="47" spans="1:11">
      <c r="A47" s="98"/>
      <c r="B47" s="334"/>
    </row>
    <row r="48" spans="1:11">
      <c r="A48" s="98"/>
    </row>
    <row r="49" spans="1:2">
      <c r="A49" s="98"/>
      <c r="B49" s="32"/>
    </row>
    <row r="50" spans="1:2">
      <c r="A50" s="98"/>
      <c r="B50" s="32"/>
    </row>
  </sheetData>
  <mergeCells count="5">
    <mergeCell ref="A1:K2"/>
    <mergeCell ref="A14:F14"/>
    <mergeCell ref="A23:F23"/>
    <mergeCell ref="I23:N23"/>
    <mergeCell ref="I14:N14"/>
  </mergeCells>
  <conditionalFormatting sqref="J16">
    <cfRule type="cellIs" dxfId="40" priority="5" operator="greaterThan">
      <formula>$B$16</formula>
    </cfRule>
    <cfRule type="cellIs" dxfId="39" priority="10" operator="greaterThan">
      <formula>$B$25</formula>
    </cfRule>
    <cfRule type="cellIs" dxfId="38" priority="11" operator="lessThan">
      <formula>$B$25</formula>
    </cfRule>
  </conditionalFormatting>
  <conditionalFormatting sqref="J18">
    <cfRule type="cellIs" dxfId="37" priority="8" operator="greaterThan">
      <formula>$B$29</formula>
    </cfRule>
    <cfRule type="cellIs" dxfId="36" priority="9" operator="lessThan">
      <formula>$B$29</formula>
    </cfRule>
  </conditionalFormatting>
  <conditionalFormatting sqref="J20">
    <cfRule type="cellIs" dxfId="35" priority="4" operator="greaterThan">
      <formula>$B$20</formula>
    </cfRule>
    <cfRule type="cellIs" dxfId="34" priority="6" operator="greaterThan">
      <formula>$B$49</formula>
    </cfRule>
    <cfRule type="cellIs" dxfId="33" priority="7" operator="lessThan">
      <formula>$B$49</formula>
    </cfRule>
  </conditionalFormatting>
  <conditionalFormatting sqref="J25">
    <cfRule type="cellIs" dxfId="32" priority="18" operator="greaterThan">
      <formula>$B$25</formula>
    </cfRule>
    <cfRule type="cellIs" dxfId="31" priority="20" operator="lessThan">
      <formula>$B$25</formula>
    </cfRule>
  </conditionalFormatting>
  <conditionalFormatting sqref="J28">
    <cfRule type="cellIs" dxfId="30" priority="17" operator="greaterThan">
      <formula>$B$29</formula>
    </cfRule>
    <cfRule type="cellIs" dxfId="29" priority="19" operator="lessThan">
      <formula>$B$29</formula>
    </cfRule>
  </conditionalFormatting>
  <conditionalFormatting sqref="J31">
    <cfRule type="cellIs" dxfId="28" priority="2" operator="greaterThan">
      <formula>$B$34</formula>
    </cfRule>
  </conditionalFormatting>
  <conditionalFormatting sqref="J33">
    <cfRule type="cellIs" dxfId="27" priority="16" operator="greaterThan">
      <formula>$B$25</formula>
    </cfRule>
  </conditionalFormatting>
  <conditionalFormatting sqref="J35">
    <cfRule type="cellIs" dxfId="26" priority="15" operator="greaterThan">
      <formula>$B$39</formula>
    </cfRule>
  </conditionalFormatting>
  <conditionalFormatting sqref="J37">
    <cfRule type="cellIs" dxfId="25" priority="14" operator="greaterThan">
      <formula>$B$44</formula>
    </cfRule>
  </conditionalFormatting>
  <conditionalFormatting sqref="J39">
    <cfRule type="cellIs" dxfId="24" priority="1" operator="greaterThan">
      <formula>$B$44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K46"/>
  <sheetViews>
    <sheetView topLeftCell="A9" zoomScaleNormal="100" workbookViewId="0">
      <selection activeCell="B46" sqref="B46"/>
    </sheetView>
  </sheetViews>
  <sheetFormatPr baseColWidth="10" defaultRowHeight="15"/>
  <cols>
    <col min="1" max="1" width="40.85546875" customWidth="1"/>
    <col min="2" max="2" width="15" customWidth="1"/>
    <col min="3" max="3" width="13.28515625" customWidth="1"/>
    <col min="4" max="4" width="15.7109375" bestFit="1" customWidth="1"/>
    <col min="5" max="5" width="6.85546875" customWidth="1"/>
    <col min="6" max="6" width="10.42578125" customWidth="1"/>
    <col min="9" max="9" width="10.85546875" customWidth="1"/>
    <col min="10" max="10" width="14.28515625" customWidth="1"/>
    <col min="11" max="11" width="8.7109375" customWidth="1"/>
  </cols>
  <sheetData>
    <row r="1" spans="1:11" ht="29.25">
      <c r="A1" s="20"/>
      <c r="B1" s="291" t="s">
        <v>228</v>
      </c>
      <c r="C1" s="292" t="s">
        <v>229</v>
      </c>
      <c r="D1" s="293" t="s">
        <v>230</v>
      </c>
      <c r="E1" s="509" t="s">
        <v>425</v>
      </c>
      <c r="F1" s="509"/>
      <c r="G1" s="21"/>
      <c r="H1" s="21"/>
      <c r="I1" s="294" t="s">
        <v>231</v>
      </c>
      <c r="J1" s="295"/>
      <c r="K1" s="296"/>
    </row>
    <row r="2" spans="1:11">
      <c r="A2" s="30"/>
      <c r="B2" s="297" t="s">
        <v>232</v>
      </c>
      <c r="C2" s="298"/>
      <c r="D2" s="138" t="s">
        <v>233</v>
      </c>
      <c r="E2" s="263"/>
      <c r="F2">
        <v>4020</v>
      </c>
      <c r="I2" s="299" t="s">
        <v>234</v>
      </c>
      <c r="J2" s="140">
        <v>0</v>
      </c>
      <c r="K2" s="22"/>
    </row>
    <row r="3" spans="1:11">
      <c r="A3" s="30"/>
      <c r="B3" s="297"/>
      <c r="C3" s="300"/>
      <c r="D3" s="138" t="s">
        <v>235</v>
      </c>
      <c r="F3" s="263" t="s">
        <v>426</v>
      </c>
      <c r="G3" s="301"/>
      <c r="H3" s="301"/>
      <c r="I3" s="301"/>
      <c r="J3" s="301"/>
      <c r="K3" s="302"/>
    </row>
    <row r="4" spans="1:11" ht="21" customHeight="1">
      <c r="A4" s="30"/>
      <c r="B4" s="303" t="s">
        <v>236</v>
      </c>
      <c r="C4" s="510" t="s">
        <v>384</v>
      </c>
      <c r="D4" s="510"/>
      <c r="E4" s="510"/>
      <c r="F4" s="510"/>
      <c r="G4" s="510"/>
      <c r="H4" s="510"/>
      <c r="I4" s="510"/>
      <c r="J4" s="510"/>
      <c r="K4" s="511"/>
    </row>
    <row r="5" spans="1:11">
      <c r="A5" s="30"/>
      <c r="B5" s="30"/>
      <c r="K5" s="22"/>
    </row>
    <row r="6" spans="1:11" ht="15.75" thickBot="1">
      <c r="A6" s="28"/>
      <c r="B6" s="28"/>
      <c r="C6" s="23"/>
      <c r="D6" s="23"/>
      <c r="E6" s="23"/>
      <c r="F6" s="23"/>
      <c r="G6" s="23"/>
      <c r="H6" s="23"/>
      <c r="I6" s="23"/>
      <c r="J6" s="23"/>
      <c r="K6" s="24"/>
    </row>
    <row r="7" spans="1:11">
      <c r="A7" s="432" t="s">
        <v>363</v>
      </c>
      <c r="B7" s="433"/>
      <c r="C7" s="433"/>
      <c r="D7" s="433"/>
      <c r="E7" s="433"/>
      <c r="F7" s="433"/>
      <c r="G7" s="433"/>
      <c r="H7" s="433"/>
      <c r="I7" s="433"/>
      <c r="J7" s="433"/>
      <c r="K7" s="434"/>
    </row>
    <row r="8" spans="1:11" ht="15.75" thickBot="1">
      <c r="A8" s="435"/>
      <c r="B8" s="436"/>
      <c r="C8" s="436"/>
      <c r="D8" s="436"/>
      <c r="E8" s="436"/>
      <c r="F8" s="436"/>
      <c r="G8" s="436"/>
      <c r="H8" s="436"/>
      <c r="I8" s="436"/>
      <c r="J8" s="436"/>
      <c r="K8" s="437"/>
    </row>
    <row r="9" spans="1:11" ht="15.75" thickBot="1">
      <c r="A9" s="506" t="s">
        <v>136</v>
      </c>
      <c r="B9" s="507"/>
      <c r="C9" s="507"/>
      <c r="D9" s="507"/>
      <c r="E9" s="507"/>
      <c r="F9" s="507"/>
      <c r="G9" s="507"/>
      <c r="H9" s="507"/>
      <c r="I9" s="507"/>
      <c r="J9" s="507"/>
      <c r="K9" s="508"/>
    </row>
    <row r="10" spans="1:11" ht="15.75" thickBot="1">
      <c r="A10" s="30"/>
      <c r="K10" s="22"/>
    </row>
    <row r="11" spans="1:11" ht="15.75" thickBot="1">
      <c r="A11" s="286" t="s">
        <v>362</v>
      </c>
      <c r="J11" s="98"/>
      <c r="K11" s="329"/>
    </row>
    <row r="12" spans="1:11">
      <c r="A12" s="54" t="s">
        <v>430</v>
      </c>
      <c r="B12" s="93">
        <f>'COMPARACIÓN NORMAS'!B12</f>
        <v>7.3247999999999998</v>
      </c>
      <c r="C12" s="4" t="s">
        <v>0</v>
      </c>
      <c r="G12" s="25"/>
      <c r="H12" s="21"/>
      <c r="I12" s="21"/>
      <c r="J12" s="21"/>
      <c r="K12" s="7"/>
    </row>
    <row r="13" spans="1:11">
      <c r="A13" s="55" t="s">
        <v>4</v>
      </c>
      <c r="B13" s="94">
        <f>'COMPARACIÓN NORMAS'!B13</f>
        <v>2.25</v>
      </c>
      <c r="C13" s="5" t="s">
        <v>0</v>
      </c>
      <c r="G13" s="26"/>
      <c r="K13" s="22"/>
    </row>
    <row r="14" spans="1:11">
      <c r="A14" s="55" t="s">
        <v>5</v>
      </c>
      <c r="B14" s="94">
        <f>'COMPARACIÓN NORMAS'!B14</f>
        <v>1</v>
      </c>
      <c r="C14" s="5" t="s">
        <v>0</v>
      </c>
      <c r="G14" s="26"/>
      <c r="K14" s="22"/>
    </row>
    <row r="15" spans="1:11">
      <c r="A15" s="55" t="s">
        <v>365</v>
      </c>
      <c r="B15" s="94">
        <f>'COMPARACIÓN NORMAS'!B15</f>
        <v>0.34</v>
      </c>
      <c r="C15" s="5" t="s">
        <v>0</v>
      </c>
      <c r="E15" s="32"/>
      <c r="G15" s="26"/>
      <c r="K15" s="22"/>
    </row>
    <row r="16" spans="1:11">
      <c r="A16" s="55" t="s">
        <v>6</v>
      </c>
      <c r="B16" s="94">
        <f>'COMPARACIÓN NORMAS'!B16</f>
        <v>3.8</v>
      </c>
      <c r="C16" s="5" t="s">
        <v>1</v>
      </c>
      <c r="G16" s="26"/>
      <c r="K16" s="22"/>
    </row>
    <row r="17" spans="1:11">
      <c r="A17" s="55" t="s">
        <v>7</v>
      </c>
      <c r="B17" s="94">
        <f>'COMPARACIÓN NORMAS'!B17</f>
        <v>27</v>
      </c>
      <c r="C17" s="5" t="s">
        <v>2</v>
      </c>
      <c r="G17" s="26"/>
      <c r="K17" s="22"/>
    </row>
    <row r="18" spans="1:11">
      <c r="A18" s="55" t="s">
        <v>8</v>
      </c>
      <c r="B18" s="94">
        <v>5</v>
      </c>
      <c r="C18" s="5" t="s">
        <v>3</v>
      </c>
      <c r="G18" s="26"/>
      <c r="K18" s="22"/>
    </row>
    <row r="19" spans="1:11">
      <c r="A19" s="55" t="s">
        <v>9</v>
      </c>
      <c r="B19" s="94">
        <v>5</v>
      </c>
      <c r="C19" s="5" t="s">
        <v>3</v>
      </c>
      <c r="G19" s="26"/>
      <c r="K19" s="22"/>
    </row>
    <row r="20" spans="1:11" ht="15.75" thickBot="1">
      <c r="A20" s="55" t="s">
        <v>10</v>
      </c>
      <c r="B20" s="94">
        <v>5</v>
      </c>
      <c r="C20" s="5" t="s">
        <v>3</v>
      </c>
      <c r="G20" s="27"/>
      <c r="H20" s="23"/>
      <c r="I20" s="23"/>
      <c r="J20" s="23"/>
      <c r="K20" s="24"/>
    </row>
    <row r="21" spans="1:11" ht="15.75" thickBot="1">
      <c r="A21" s="56" t="s">
        <v>11</v>
      </c>
      <c r="B21" s="95">
        <v>55</v>
      </c>
      <c r="C21" s="6" t="s">
        <v>3</v>
      </c>
      <c r="G21" s="506" t="s">
        <v>112</v>
      </c>
      <c r="H21" s="507"/>
      <c r="I21" s="507"/>
      <c r="J21" s="507"/>
      <c r="K21" s="508"/>
    </row>
    <row r="22" spans="1:11">
      <c r="A22" s="30"/>
      <c r="G22" s="30"/>
      <c r="K22" s="22"/>
    </row>
    <row r="23" spans="1:11">
      <c r="A23" s="30"/>
      <c r="G23" s="30"/>
      <c r="K23" s="22"/>
    </row>
    <row r="24" spans="1:11" ht="15.75" thickBot="1">
      <c r="A24" s="30"/>
      <c r="G24" s="30"/>
      <c r="K24" s="22"/>
    </row>
    <row r="25" spans="1:11" ht="15.75" thickBot="1">
      <c r="A25" s="40" t="s">
        <v>12</v>
      </c>
      <c r="B25" s="114"/>
      <c r="G25" s="30"/>
      <c r="K25" s="22"/>
    </row>
    <row r="26" spans="1:11" ht="18">
      <c r="A26" s="1" t="s">
        <v>364</v>
      </c>
      <c r="B26" s="411">
        <f>IF(0.0078*(((12*B29)/B13)+1)*B28*(50-B18)*(B17^2*B13^2/(B16*1000))&gt;3.37,3.37,0.0078*(((12*B29)/B13)+1)*B28*(50-B18)*(B17^2*B13^2/(B16*1000)))</f>
        <v>3.37</v>
      </c>
      <c r="C26" s="137"/>
      <c r="D26" s="285"/>
      <c r="G26" s="30"/>
      <c r="K26" s="22"/>
    </row>
    <row r="27" spans="1:11" ht="18">
      <c r="A27" s="2" t="s">
        <v>13</v>
      </c>
      <c r="B27" s="411">
        <f>B26*0.8</f>
        <v>2.6960000000000002</v>
      </c>
      <c r="G27" s="30"/>
      <c r="K27" s="22"/>
    </row>
    <row r="28" spans="1:11">
      <c r="A28" s="2" t="s">
        <v>14</v>
      </c>
      <c r="B28" s="96">
        <v>6</v>
      </c>
      <c r="G28" s="30"/>
      <c r="K28" s="22"/>
    </row>
    <row r="29" spans="1:11" ht="18.75" thickBot="1">
      <c r="A29" s="3" t="s">
        <v>15</v>
      </c>
      <c r="B29" s="97">
        <v>0.5</v>
      </c>
      <c r="G29" s="30"/>
      <c r="K29" s="22"/>
    </row>
    <row r="30" spans="1:11" ht="15.75" thickBot="1">
      <c r="A30" s="30"/>
      <c r="G30" s="30"/>
      <c r="K30" s="22"/>
    </row>
    <row r="31" spans="1:11" ht="15.75" thickBot="1">
      <c r="A31" s="30"/>
      <c r="G31" s="506" t="s">
        <v>113</v>
      </c>
      <c r="H31" s="507"/>
      <c r="I31" s="507"/>
      <c r="J31" s="507"/>
      <c r="K31" s="508"/>
    </row>
    <row r="32" spans="1:11">
      <c r="A32" s="30"/>
      <c r="K32" s="22"/>
    </row>
    <row r="33" spans="1:11" ht="15.75" thickBot="1">
      <c r="A33" s="30"/>
      <c r="K33" s="22"/>
    </row>
    <row r="34" spans="1:11">
      <c r="A34" s="30"/>
      <c r="G34" s="20"/>
      <c r="H34" s="21"/>
      <c r="I34" s="21"/>
      <c r="J34" s="21"/>
      <c r="K34" s="7"/>
    </row>
    <row r="35" spans="1:11">
      <c r="A35" s="30"/>
      <c r="G35" s="30"/>
      <c r="K35" s="22"/>
    </row>
    <row r="36" spans="1:11">
      <c r="A36" s="30"/>
      <c r="G36" s="30"/>
      <c r="K36" s="22"/>
    </row>
    <row r="37" spans="1:11" ht="15.75" thickBot="1">
      <c r="A37" s="30"/>
      <c r="G37" s="30"/>
      <c r="K37" s="22"/>
    </row>
    <row r="38" spans="1:11" ht="15.75" thickBot="1">
      <c r="A38" s="304" t="s">
        <v>382</v>
      </c>
      <c r="B38" s="7"/>
      <c r="G38" s="30"/>
      <c r="K38" s="22"/>
    </row>
    <row r="39" spans="1:11" ht="15.75" thickBot="1">
      <c r="A39" s="30" t="s">
        <v>383</v>
      </c>
      <c r="B39" s="290"/>
      <c r="G39" s="30"/>
      <c r="K39" s="22"/>
    </row>
    <row r="40" spans="1:11" ht="15.75" thickBot="1">
      <c r="A40" s="30" t="s">
        <v>398</v>
      </c>
      <c r="B40" s="324"/>
      <c r="G40" s="30"/>
      <c r="K40" s="22"/>
    </row>
    <row r="41" spans="1:11" ht="15.75" thickBot="1">
      <c r="A41" s="28" t="s">
        <v>399</v>
      </c>
      <c r="B41" s="325"/>
      <c r="G41" s="30"/>
      <c r="K41" s="22"/>
    </row>
    <row r="42" spans="1:11" ht="15.75" thickBot="1">
      <c r="A42" s="30"/>
      <c r="G42" s="28"/>
      <c r="H42" s="23"/>
      <c r="I42" s="23"/>
      <c r="J42" s="23"/>
      <c r="K42" s="24"/>
    </row>
    <row r="43" spans="1:11" ht="15.75" thickBot="1">
      <c r="A43" s="30"/>
      <c r="F43" s="271"/>
      <c r="G43" s="506" t="s">
        <v>135</v>
      </c>
      <c r="H43" s="507"/>
      <c r="I43" s="507"/>
      <c r="J43" s="507"/>
      <c r="K43" s="508"/>
    </row>
    <row r="44" spans="1:11" ht="15.75" thickBot="1">
      <c r="A44" s="28"/>
      <c r="B44" s="23"/>
      <c r="C44" s="23"/>
      <c r="D44" s="23"/>
      <c r="E44" s="23"/>
      <c r="F44" s="23"/>
      <c r="G44" s="23"/>
      <c r="H44" s="23"/>
      <c r="I44" s="23"/>
      <c r="J44" s="23"/>
      <c r="K44" s="24"/>
    </row>
    <row r="45" spans="1:11">
      <c r="A45" s="287" t="s">
        <v>380</v>
      </c>
      <c r="B45" s="21"/>
      <c r="C45" s="21"/>
      <c r="D45" s="21"/>
      <c r="E45" s="21"/>
      <c r="F45" s="21"/>
      <c r="G45" s="21"/>
      <c r="H45" s="21"/>
      <c r="I45" s="21"/>
      <c r="J45" s="21"/>
      <c r="K45" s="7"/>
    </row>
    <row r="46" spans="1:11" ht="16.5" thickBot="1">
      <c r="A46" s="288" t="s">
        <v>381</v>
      </c>
      <c r="B46" s="351">
        <f>B12*0.04</f>
        <v>0.29299199999999997</v>
      </c>
      <c r="C46" s="289" t="s">
        <v>0</v>
      </c>
      <c r="D46" s="23"/>
      <c r="E46" s="23"/>
      <c r="F46" s="23"/>
      <c r="G46" s="23"/>
      <c r="H46" s="23"/>
      <c r="I46" s="23"/>
      <c r="J46" s="23"/>
      <c r="K46" s="24"/>
    </row>
  </sheetData>
  <mergeCells count="7">
    <mergeCell ref="G43:K43"/>
    <mergeCell ref="E1:F1"/>
    <mergeCell ref="C4:K4"/>
    <mergeCell ref="G21:K21"/>
    <mergeCell ref="G31:K31"/>
    <mergeCell ref="A7:K8"/>
    <mergeCell ref="A9:K9"/>
  </mergeCells>
  <dataValidations count="2">
    <dataValidation allowBlank="1" showInputMessage="1" showErrorMessage="1" sqref="B27" xr:uid="{00000000-0002-0000-0700-000000000000}"/>
    <dataValidation operator="lessThan" allowBlank="1" showInputMessage="1" showErrorMessage="1" errorTitle="Se ha sobrepasado el máximo" error="Se ha sobrepasado el valor maximo de aceleración vertical permitido por ABS HSC - 2012" sqref="B26" xr:uid="{00000000-0002-0000-0700-000001000000}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N28"/>
  <sheetViews>
    <sheetView zoomScaleNormal="100" workbookViewId="0">
      <selection activeCell="N13" sqref="N13"/>
    </sheetView>
  </sheetViews>
  <sheetFormatPr baseColWidth="10" defaultRowHeight="15"/>
  <cols>
    <col min="6" max="6" width="14.28515625" customWidth="1"/>
  </cols>
  <sheetData>
    <row r="1" spans="1:14" ht="15.75" thickBot="1">
      <c r="A1" s="514" t="s">
        <v>140</v>
      </c>
      <c r="B1" s="515"/>
      <c r="C1" s="515"/>
      <c r="D1" s="516"/>
    </row>
    <row r="2" spans="1:14" ht="15.75" thickBot="1">
      <c r="A2" s="517"/>
      <c r="B2" s="518"/>
      <c r="C2" s="518"/>
      <c r="D2" s="519"/>
      <c r="E2" s="21"/>
      <c r="F2" s="21"/>
      <c r="G2" s="21"/>
      <c r="H2" s="21"/>
      <c r="I2" s="21"/>
      <c r="J2" s="21"/>
      <c r="K2" s="21"/>
      <c r="L2" s="21"/>
      <c r="M2" s="21"/>
      <c r="N2" s="7"/>
    </row>
    <row r="3" spans="1:14" ht="15.75" thickBot="1">
      <c r="A3" s="30"/>
      <c r="G3" s="20"/>
      <c r="H3" s="21"/>
      <c r="I3" s="21"/>
      <c r="J3" s="21"/>
      <c r="K3" s="21"/>
      <c r="L3" s="7"/>
      <c r="N3" s="22"/>
    </row>
    <row r="4" spans="1:14">
      <c r="A4" s="512" t="s">
        <v>63</v>
      </c>
      <c r="B4" s="513"/>
      <c r="C4" s="513"/>
      <c r="D4" s="10"/>
      <c r="G4" s="30"/>
      <c r="L4" s="22"/>
      <c r="N4" s="22"/>
    </row>
    <row r="5" spans="1:14">
      <c r="A5" s="11"/>
      <c r="B5" s="8" t="s">
        <v>16</v>
      </c>
      <c r="C5" s="9">
        <f>0.044*'ABS Datos de entrada'!B12+3.75</f>
        <v>4.0722911999999996</v>
      </c>
      <c r="D5" s="12"/>
      <c r="G5" s="30"/>
      <c r="L5" s="22"/>
      <c r="N5" s="22"/>
    </row>
    <row r="6" spans="1:14">
      <c r="A6" s="11"/>
      <c r="B6" s="8" t="s">
        <v>17</v>
      </c>
      <c r="C6" s="84">
        <v>0.01</v>
      </c>
      <c r="D6" s="12"/>
      <c r="G6" s="30"/>
      <c r="L6" s="22"/>
      <c r="N6" s="22"/>
    </row>
    <row r="7" spans="1:14">
      <c r="A7" s="11"/>
      <c r="B7" s="8" t="s">
        <v>18</v>
      </c>
      <c r="C7" s="9">
        <f>0.7+0.3*(('ABS Datos de entrada'!B17/('ABS Datos de entrada'!B12)^0.5)/2.36)</f>
        <v>1.9681631529450161</v>
      </c>
      <c r="D7" s="12"/>
      <c r="E7" s="421" t="s">
        <v>475</v>
      </c>
      <c r="F7" s="421"/>
      <c r="G7" s="30"/>
      <c r="L7" s="22"/>
      <c r="N7" s="22"/>
    </row>
    <row r="8" spans="1:14">
      <c r="A8" s="11"/>
      <c r="B8" s="8" t="s">
        <v>19</v>
      </c>
      <c r="C8" s="84">
        <v>0.9</v>
      </c>
      <c r="D8" s="12"/>
      <c r="G8" s="30"/>
      <c r="L8" s="22"/>
      <c r="N8" s="22"/>
    </row>
    <row r="9" spans="1:14">
      <c r="A9" s="11"/>
      <c r="B9" s="8" t="s">
        <v>20</v>
      </c>
      <c r="C9" s="9">
        <f>0.9+C11</f>
        <v>3.4555555555555553</v>
      </c>
      <c r="D9" s="12"/>
      <c r="G9" s="30"/>
      <c r="L9" s="22"/>
      <c r="N9" s="22"/>
    </row>
    <row r="10" spans="1:14">
      <c r="A10" s="11"/>
      <c r="B10" s="8" t="s">
        <v>21</v>
      </c>
      <c r="C10" s="8">
        <f>60*0.75</f>
        <v>45</v>
      </c>
      <c r="D10" s="12" t="s">
        <v>24</v>
      </c>
      <c r="G10" s="30"/>
      <c r="L10" s="22"/>
      <c r="N10" s="22"/>
    </row>
    <row r="11" spans="1:14">
      <c r="A11" s="11"/>
      <c r="B11" s="8" t="s">
        <v>22</v>
      </c>
      <c r="C11" s="9">
        <f>115/C10</f>
        <v>2.5555555555555554</v>
      </c>
      <c r="D11" s="12" t="s">
        <v>106</v>
      </c>
      <c r="G11" s="30"/>
      <c r="L11" s="22"/>
      <c r="N11" s="22"/>
    </row>
    <row r="12" spans="1:14">
      <c r="A12" s="11"/>
      <c r="B12" s="8" t="s">
        <v>23</v>
      </c>
      <c r="C12" s="84">
        <v>0.45</v>
      </c>
      <c r="D12" s="12"/>
      <c r="G12" s="30"/>
      <c r="L12" s="22"/>
      <c r="N12" s="22"/>
    </row>
    <row r="13" spans="1:14" ht="15.75" thickBot="1">
      <c r="A13" s="13"/>
      <c r="B13" s="14" t="s">
        <v>28</v>
      </c>
      <c r="C13" s="92">
        <v>13.33</v>
      </c>
      <c r="D13" s="15" t="s">
        <v>24</v>
      </c>
      <c r="G13" s="30"/>
      <c r="L13" s="22"/>
      <c r="N13" s="22"/>
    </row>
    <row r="14" spans="1:14">
      <c r="A14" s="30"/>
      <c r="G14" s="30"/>
      <c r="L14" s="22"/>
      <c r="N14" s="22"/>
    </row>
    <row r="15" spans="1:14" ht="15.75" thickBot="1">
      <c r="A15" s="30"/>
      <c r="G15" s="30"/>
      <c r="L15" s="22"/>
      <c r="N15" s="22"/>
    </row>
    <row r="16" spans="1:14" ht="15.75" thickBot="1">
      <c r="A16" s="16"/>
      <c r="B16" s="57" t="s">
        <v>25</v>
      </c>
      <c r="C16" s="17">
        <f>C5*C6*'ABS Datos de entrada'!B12^2*'ABS Datos de entrada'!B13*('Resistencia viga buque'!C12+0.7)*'Resistencia viga buque'!C7*'Resistencia viga buque'!C8*'Resistencia viga buque'!C9</f>
        <v>34.604470811492313</v>
      </c>
      <c r="D16" s="18" t="s">
        <v>26</v>
      </c>
      <c r="G16" s="30"/>
      <c r="L16" s="22"/>
      <c r="N16" s="22"/>
    </row>
    <row r="17" spans="1:14" ht="15.75" thickBot="1">
      <c r="A17" s="30"/>
      <c r="C17" s="32"/>
      <c r="G17" s="30"/>
      <c r="L17" s="22"/>
      <c r="N17" s="22"/>
    </row>
    <row r="18" spans="1:14">
      <c r="A18" s="512" t="s">
        <v>64</v>
      </c>
      <c r="B18" s="513"/>
      <c r="C18" s="513"/>
      <c r="D18" s="10"/>
      <c r="G18" s="30"/>
      <c r="L18" s="22"/>
      <c r="N18" s="22"/>
    </row>
    <row r="19" spans="1:14" ht="15.75" thickBot="1">
      <c r="A19" s="13"/>
      <c r="B19" s="14" t="s">
        <v>27</v>
      </c>
      <c r="C19" s="19">
        <f>('ABS Datos de entrada'!B12/('Resistencia viga buque'!C9*'Resistencia viga buque'!C8))*('Resistencia viga buque'!C16/'Resistencia viga buque'!C13)</f>
        <v>6.1141690840721168</v>
      </c>
      <c r="D19" s="15" t="s">
        <v>65</v>
      </c>
      <c r="G19" s="30"/>
      <c r="L19" s="22"/>
      <c r="N19" s="22"/>
    </row>
    <row r="20" spans="1:14">
      <c r="A20" s="30"/>
      <c r="G20" s="30"/>
      <c r="L20" s="22"/>
      <c r="N20" s="22"/>
    </row>
    <row r="21" spans="1:14">
      <c r="A21" s="30"/>
      <c r="G21" s="30"/>
      <c r="L21" s="22"/>
      <c r="N21" s="22"/>
    </row>
    <row r="22" spans="1:14">
      <c r="A22" s="30"/>
      <c r="G22" s="30"/>
      <c r="L22" s="22"/>
      <c r="N22" s="22"/>
    </row>
    <row r="23" spans="1:14">
      <c r="A23" s="30"/>
      <c r="G23" s="30"/>
      <c r="L23" s="22"/>
      <c r="N23" s="22"/>
    </row>
    <row r="24" spans="1:14">
      <c r="A24" s="30"/>
      <c r="G24" s="30"/>
      <c r="L24" s="22"/>
      <c r="N24" s="22"/>
    </row>
    <row r="25" spans="1:14">
      <c r="A25" s="30"/>
      <c r="G25" s="30"/>
      <c r="L25" s="22"/>
      <c r="N25" s="22"/>
    </row>
    <row r="26" spans="1:14" ht="15.75" thickBot="1">
      <c r="A26" s="30"/>
      <c r="G26" s="28"/>
      <c r="H26" s="23"/>
      <c r="I26" s="23"/>
      <c r="J26" s="23"/>
      <c r="K26" s="23"/>
      <c r="L26" s="24"/>
      <c r="N26" s="22"/>
    </row>
    <row r="27" spans="1:14">
      <c r="A27" s="30"/>
      <c r="N27" s="22"/>
    </row>
    <row r="28" spans="1:14" ht="15.75" thickBot="1">
      <c r="A28" s="520" t="s">
        <v>359</v>
      </c>
      <c r="B28" s="505"/>
      <c r="C28" s="505"/>
      <c r="D28" s="505"/>
      <c r="E28" s="505"/>
      <c r="F28" s="505"/>
      <c r="G28" s="505"/>
      <c r="H28" s="505"/>
      <c r="I28" s="23"/>
      <c r="J28" s="23"/>
      <c r="K28" s="23"/>
      <c r="L28" s="23"/>
      <c r="M28" s="23"/>
      <c r="N28" s="24"/>
    </row>
  </sheetData>
  <mergeCells count="4">
    <mergeCell ref="A4:C4"/>
    <mergeCell ref="A18:C18"/>
    <mergeCell ref="A1:D2"/>
    <mergeCell ref="A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COMPARACIÓN NORMAS</vt:lpstr>
      <vt:lpstr>Módulo de sección F.S</vt:lpstr>
      <vt:lpstr>ISO 12215 Datos de entrada</vt:lpstr>
      <vt:lpstr>categorias</vt:lpstr>
      <vt:lpstr>Presiones de diseño</vt:lpstr>
      <vt:lpstr>espesores laminas</vt:lpstr>
      <vt:lpstr>Refuerzos</vt:lpstr>
      <vt:lpstr>ABS Datos de entrada</vt:lpstr>
      <vt:lpstr>Resistencia viga buque</vt:lpstr>
      <vt:lpstr>ABS Presiones de diseño</vt:lpstr>
      <vt:lpstr>paneles</vt:lpstr>
      <vt:lpstr>internos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alvarado</dc:creator>
  <cp:lastModifiedBy>Jhonattan de Jesus Llamas Reinoso</cp:lastModifiedBy>
  <dcterms:created xsi:type="dcterms:W3CDTF">2020-04-27T16:20:10Z</dcterms:created>
  <dcterms:modified xsi:type="dcterms:W3CDTF">2024-04-02T19:39:46Z</dcterms:modified>
</cp:coreProperties>
</file>