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lvarado\Desktop\"/>
    </mc:Choice>
  </mc:AlternateContent>
  <bookViews>
    <workbookView xWindow="0" yWindow="0" windowWidth="28800" windowHeight="12330" tabRatio="918"/>
  </bookViews>
  <sheets>
    <sheet name="RESUMEN" sheetId="11" r:id="rId1"/>
    <sheet name="ISO 12215 Datos de entrada" sheetId="6" r:id="rId2"/>
    <sheet name="Módulo de sección F.S" sheetId="12" r:id="rId3"/>
    <sheet name="Resistencia viga buque" sheetId="2" r:id="rId4"/>
    <sheet name="categorias" sheetId="7" state="hidden" r:id="rId5"/>
    <sheet name="Presiones de diseño" sheetId="8" r:id="rId6"/>
    <sheet name="espesores laminas" sheetId="10" r:id="rId7"/>
    <sheet name="Hoja1" sheetId="14" state="hidden" r:id="rId8"/>
    <sheet name="Refuerzos" sheetId="9" r:id="rId9"/>
    <sheet name="C. inercias" sheetId="13" r:id="rId10"/>
    <sheet name="ABS Datos de entrada" sheetId="1" state="hidden" r:id="rId11"/>
    <sheet name="ABS Presiones de diseño" sheetId="3" state="hidden" r:id="rId12"/>
    <sheet name="paneles" sheetId="4" state="hidden" r:id="rId13"/>
    <sheet name="internos" sheetId="5" state="hidden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9" i="10" l="1"/>
  <c r="X73" i="10"/>
  <c r="X72" i="10"/>
  <c r="N27" i="10"/>
  <c r="N28" i="10"/>
  <c r="N29" i="10"/>
  <c r="O27" i="10"/>
  <c r="O28" i="10"/>
  <c r="O29" i="10"/>
  <c r="O30" i="10"/>
  <c r="O31" i="10"/>
  <c r="J13" i="12"/>
  <c r="B12" i="11"/>
  <c r="X74" i="10" l="1"/>
  <c r="N30" i="10"/>
  <c r="X76" i="10" l="1"/>
  <c r="X75" i="10"/>
  <c r="U16" i="10"/>
  <c r="V10" i="10"/>
  <c r="X10" i="10" s="1"/>
  <c r="V12" i="10" s="1"/>
  <c r="V17" i="10" s="1"/>
  <c r="D26" i="6"/>
  <c r="AF78" i="13"/>
  <c r="AF77" i="13"/>
  <c r="AF76" i="13"/>
  <c r="AF81" i="13" s="1"/>
  <c r="J20" i="12" s="1"/>
  <c r="AA78" i="13"/>
  <c r="AA77" i="13"/>
  <c r="AC77" i="13" s="1"/>
  <c r="AA76" i="13"/>
  <c r="AC78" i="13"/>
  <c r="W78" i="13"/>
  <c r="W77" i="13"/>
  <c r="W76" i="13"/>
  <c r="AF75" i="13"/>
  <c r="AA75" i="13"/>
  <c r="AC75" i="13" s="1"/>
  <c r="Y75" i="13"/>
  <c r="Z75" i="13" s="1"/>
  <c r="R6" i="9"/>
  <c r="R20" i="9" s="1"/>
  <c r="F11" i="13"/>
  <c r="X70" i="10"/>
  <c r="AC76" i="13" l="1"/>
  <c r="G20" i="12"/>
  <c r="I20" i="12" s="1"/>
  <c r="AE78" i="13"/>
  <c r="AD78" i="13"/>
  <c r="AD77" i="13"/>
  <c r="AE77" i="13"/>
  <c r="AE76" i="13"/>
  <c r="AD76" i="13"/>
  <c r="AE75" i="13"/>
  <c r="AD75" i="13"/>
  <c r="G17" i="12"/>
  <c r="I17" i="12" s="1"/>
  <c r="J14" i="12"/>
  <c r="J15" i="12"/>
  <c r="AE27" i="9"/>
  <c r="AB68" i="9"/>
  <c r="C38" i="6"/>
  <c r="J85" i="13"/>
  <c r="J102" i="13"/>
  <c r="J99" i="13"/>
  <c r="J88" i="13"/>
  <c r="AH173" i="9"/>
  <c r="E99" i="13" s="1"/>
  <c r="G99" i="13" s="1"/>
  <c r="AM145" i="9"/>
  <c r="AM144" i="9"/>
  <c r="AM143" i="9"/>
  <c r="AJ145" i="9"/>
  <c r="AJ144" i="9"/>
  <c r="AJ143" i="9"/>
  <c r="AH145" i="9"/>
  <c r="AH144" i="9"/>
  <c r="AH143" i="9"/>
  <c r="AG143" i="9"/>
  <c r="AI143" i="9" s="1"/>
  <c r="AK143" i="9" s="1"/>
  <c r="AL143" i="9" s="1"/>
  <c r="AE170" i="9"/>
  <c r="AB190" i="9"/>
  <c r="AO173" i="9"/>
  <c r="AM173" i="9"/>
  <c r="AJ173" i="9"/>
  <c r="AG173" i="9"/>
  <c r="AM172" i="9"/>
  <c r="AH172" i="9"/>
  <c r="AG172" i="9"/>
  <c r="AI172" i="9" s="1"/>
  <c r="AM171" i="9"/>
  <c r="AJ171" i="9"/>
  <c r="AH171" i="9"/>
  <c r="E102" i="13" s="1"/>
  <c r="G102" i="13" s="1"/>
  <c r="AG171" i="9"/>
  <c r="AJ170" i="9"/>
  <c r="AE142" i="9"/>
  <c r="AB126" i="9"/>
  <c r="AE112" i="9" s="1"/>
  <c r="AB162" i="9"/>
  <c r="AG145" i="9"/>
  <c r="AI145" i="9" s="1"/>
  <c r="AK145" i="9" s="1"/>
  <c r="AL145" i="9" s="1"/>
  <c r="AG144" i="9"/>
  <c r="AI144" i="9" s="1"/>
  <c r="AK144" i="9" s="1"/>
  <c r="AL144" i="9" s="1"/>
  <c r="AJ142" i="9"/>
  <c r="J74" i="13"/>
  <c r="J71" i="13"/>
  <c r="AJ115" i="9"/>
  <c r="C71" i="13" s="1"/>
  <c r="AJ114" i="9"/>
  <c r="AJ79" i="9"/>
  <c r="AJ113" i="9"/>
  <c r="C74" i="13" s="1"/>
  <c r="AH115" i="9"/>
  <c r="AH114" i="9"/>
  <c r="AH113" i="9"/>
  <c r="E74" i="13" s="1"/>
  <c r="G74" i="13" s="1"/>
  <c r="AG113" i="9"/>
  <c r="AI113" i="9" s="1"/>
  <c r="AB132" i="9"/>
  <c r="AO115" i="9"/>
  <c r="AM115" i="9"/>
  <c r="AG115" i="9"/>
  <c r="AM114" i="9"/>
  <c r="AG114" i="9"/>
  <c r="AM113" i="9"/>
  <c r="AJ112" i="9"/>
  <c r="C70" i="13" s="1"/>
  <c r="J59" i="13"/>
  <c r="J56" i="13"/>
  <c r="C59" i="13"/>
  <c r="C42" i="13"/>
  <c r="C41" i="13"/>
  <c r="AJ81" i="9"/>
  <c r="AH81" i="9"/>
  <c r="E56" i="13" s="1"/>
  <c r="G56" i="13" s="1"/>
  <c r="AH80" i="9"/>
  <c r="AH79" i="9"/>
  <c r="E59" i="13" s="1"/>
  <c r="G59" i="13" s="1"/>
  <c r="C56" i="13" l="1"/>
  <c r="AJ80" i="9"/>
  <c r="AI115" i="9"/>
  <c r="AK115" i="9" s="1"/>
  <c r="AH142" i="9"/>
  <c r="AH146" i="9" s="1"/>
  <c r="U18" i="9" s="1"/>
  <c r="J84" i="13"/>
  <c r="AM142" i="9"/>
  <c r="C98" i="13"/>
  <c r="C84" i="13"/>
  <c r="C102" i="13"/>
  <c r="C88" i="13"/>
  <c r="AJ172" i="9"/>
  <c r="AK172" i="9" s="1"/>
  <c r="AL172" i="9" s="1"/>
  <c r="AN172" i="9" s="1"/>
  <c r="C99" i="13"/>
  <c r="C85" i="13"/>
  <c r="J98" i="13"/>
  <c r="AH170" i="9"/>
  <c r="E98" i="13" s="1"/>
  <c r="G98" i="13" s="1"/>
  <c r="G24" i="12"/>
  <c r="G23" i="12"/>
  <c r="I23" i="12" s="1"/>
  <c r="E71" i="13"/>
  <c r="G71" i="13" s="1"/>
  <c r="E85" i="13"/>
  <c r="G85" i="13" s="1"/>
  <c r="E84" i="13"/>
  <c r="G84" i="13" s="1"/>
  <c r="AI173" i="9"/>
  <c r="AK173" i="9" s="1"/>
  <c r="AL173" i="9" s="1"/>
  <c r="E88" i="13"/>
  <c r="G88" i="13" s="1"/>
  <c r="AI114" i="9"/>
  <c r="AK114" i="9" s="1"/>
  <c r="AL114" i="9" s="1"/>
  <c r="AN114" i="9" s="1"/>
  <c r="AS114" i="9" s="1"/>
  <c r="AH174" i="9"/>
  <c r="U20" i="9" s="1"/>
  <c r="AN145" i="9"/>
  <c r="AS145" i="9" s="1"/>
  <c r="AK113" i="9"/>
  <c r="AI171" i="9"/>
  <c r="G26" i="12"/>
  <c r="G25" i="12"/>
  <c r="AN173" i="9"/>
  <c r="AS173" i="9" s="1"/>
  <c r="AN144" i="9"/>
  <c r="AS144" i="9" s="1"/>
  <c r="AK171" i="9"/>
  <c r="AL171" i="9" s="1"/>
  <c r="AN171" i="9" s="1"/>
  <c r="AS171" i="9" s="1"/>
  <c r="AS172" i="9"/>
  <c r="AM170" i="9"/>
  <c r="AH112" i="9"/>
  <c r="AH116" i="9" s="1"/>
  <c r="J70" i="13"/>
  <c r="AO145" i="9"/>
  <c r="AN143" i="9"/>
  <c r="AS143" i="9" s="1"/>
  <c r="AL113" i="9"/>
  <c r="AN113" i="9" s="1"/>
  <c r="AS113" i="9" s="1"/>
  <c r="AM112" i="9"/>
  <c r="AL115" i="9"/>
  <c r="AN115" i="9" s="1"/>
  <c r="J45" i="13"/>
  <c r="J42" i="13"/>
  <c r="E45" i="13"/>
  <c r="G45" i="13" s="1"/>
  <c r="AM30" i="9"/>
  <c r="AM29" i="9"/>
  <c r="AH30" i="9"/>
  <c r="AH29" i="9"/>
  <c r="J25" i="12" l="1"/>
  <c r="E70" i="13"/>
  <c r="G70" i="13" s="1"/>
  <c r="AS115" i="9"/>
  <c r="AJ52" i="9"/>
  <c r="AF28" i="9"/>
  <c r="AH28" i="9" s="1"/>
  <c r="AM53" i="9"/>
  <c r="AM54" i="9"/>
  <c r="AM55" i="9"/>
  <c r="AJ55" i="9"/>
  <c r="AO81" i="9"/>
  <c r="AJ53" i="9"/>
  <c r="C45" i="13" s="1"/>
  <c r="AJ54" i="9"/>
  <c r="AB93" i="9"/>
  <c r="AE78" i="9" s="1"/>
  <c r="AM79" i="9"/>
  <c r="AM80" i="9"/>
  <c r="AM81" i="9"/>
  <c r="AJ78" i="9"/>
  <c r="C55" i="13" s="1"/>
  <c r="AB62" i="9"/>
  <c r="AE52" i="9" s="1"/>
  <c r="J41" i="13" s="1"/>
  <c r="AB99" i="9"/>
  <c r="AG81" i="9"/>
  <c r="AI81" i="9" s="1"/>
  <c r="AK81" i="9" s="1"/>
  <c r="AL81" i="9" s="1"/>
  <c r="AG80" i="9"/>
  <c r="AI80" i="9" s="1"/>
  <c r="AK80" i="9" s="1"/>
  <c r="AG79" i="9"/>
  <c r="AI79" i="9" s="1"/>
  <c r="AK79" i="9" s="1"/>
  <c r="AH52" i="9" l="1"/>
  <c r="AM78" i="9"/>
  <c r="AH78" i="9"/>
  <c r="J55" i="13"/>
  <c r="AM28" i="9"/>
  <c r="AM52" i="9"/>
  <c r="AN81" i="9"/>
  <c r="AL79" i="9"/>
  <c r="AN79" i="9" s="1"/>
  <c r="AL80" i="9"/>
  <c r="AN80" i="9" s="1"/>
  <c r="AS81" i="9"/>
  <c r="AH82" i="9" l="1"/>
  <c r="E55" i="13"/>
  <c r="G55" i="13" s="1"/>
  <c r="E41" i="13"/>
  <c r="G41" i="13" s="1"/>
  <c r="AS80" i="9"/>
  <c r="AS79" i="9"/>
  <c r="AH55" i="9"/>
  <c r="E42" i="13" s="1"/>
  <c r="G42" i="13" s="1"/>
  <c r="AG55" i="9"/>
  <c r="AI55" i="9" s="1"/>
  <c r="AK55" i="9" s="1"/>
  <c r="AL55" i="9" s="1"/>
  <c r="AN55" i="9" s="1"/>
  <c r="AH54" i="9"/>
  <c r="AG54" i="9"/>
  <c r="AG53" i="9"/>
  <c r="J19" i="12" s="1"/>
  <c r="AH53" i="9"/>
  <c r="AH56" i="9" s="1"/>
  <c r="G19" i="12" s="1"/>
  <c r="I19" i="12" s="1"/>
  <c r="AB40" i="9"/>
  <c r="E28" i="13"/>
  <c r="E31" i="13"/>
  <c r="AG29" i="9"/>
  <c r="AG30" i="9"/>
  <c r="F28" i="13" s="1"/>
  <c r="J28" i="13" s="1"/>
  <c r="AG28" i="9"/>
  <c r="F31" i="13" s="1"/>
  <c r="J31" i="13" s="1"/>
  <c r="I11" i="13"/>
  <c r="G13" i="13"/>
  <c r="J13" i="13" s="1"/>
  <c r="G12" i="13"/>
  <c r="J12" i="13" s="1"/>
  <c r="G11" i="13"/>
  <c r="J11" i="13" s="1"/>
  <c r="F13" i="13"/>
  <c r="I13" i="13" s="1"/>
  <c r="F12" i="13"/>
  <c r="I12" i="13" s="1"/>
  <c r="E11" i="13"/>
  <c r="E13" i="13"/>
  <c r="E12" i="13"/>
  <c r="F29" i="13" l="1"/>
  <c r="F30" i="13"/>
  <c r="G31" i="13"/>
  <c r="AI29" i="9"/>
  <c r="G28" i="13"/>
  <c r="AI30" i="9"/>
  <c r="AI28" i="9"/>
  <c r="AI54" i="9"/>
  <c r="AK54" i="9" s="1"/>
  <c r="AL54" i="9" s="1"/>
  <c r="AN54" i="9" s="1"/>
  <c r="AI53" i="9"/>
  <c r="AK53" i="9" s="1"/>
  <c r="AL53" i="9" s="1"/>
  <c r="AN53" i="9" s="1"/>
  <c r="AS54" i="9" l="1"/>
  <c r="AS53" i="9" l="1"/>
  <c r="AS55" i="9"/>
  <c r="X102" i="10" l="1"/>
  <c r="X106" i="10"/>
  <c r="X105" i="10"/>
  <c r="O104" i="10"/>
  <c r="N104" i="10"/>
  <c r="X103" i="10"/>
  <c r="O103" i="10"/>
  <c r="N103" i="10"/>
  <c r="X107" i="10"/>
  <c r="O101" i="10"/>
  <c r="N101" i="10"/>
  <c r="O100" i="10"/>
  <c r="N100" i="10"/>
  <c r="X89" i="10"/>
  <c r="X88" i="10"/>
  <c r="T88" i="10"/>
  <c r="O86" i="10"/>
  <c r="N86" i="10"/>
  <c r="O87" i="10"/>
  <c r="N87" i="10"/>
  <c r="X86" i="10"/>
  <c r="X85" i="10"/>
  <c r="X90" i="10" s="1"/>
  <c r="O84" i="10"/>
  <c r="N84" i="10"/>
  <c r="O83" i="10"/>
  <c r="N83" i="10"/>
  <c r="X93" i="10" s="1"/>
  <c r="O71" i="10"/>
  <c r="N71" i="10"/>
  <c r="O70" i="10"/>
  <c r="N70" i="10"/>
  <c r="X78" i="10" s="1"/>
  <c r="O68" i="10"/>
  <c r="N68" i="10"/>
  <c r="O67" i="10"/>
  <c r="N67" i="10"/>
  <c r="O66" i="10"/>
  <c r="N66" i="10"/>
  <c r="X77" i="10" s="1"/>
  <c r="X94" i="10" l="1"/>
  <c r="X108" i="10"/>
  <c r="X109" i="10"/>
  <c r="X84" i="10"/>
  <c r="X101" i="10"/>
  <c r="X100" i="10" s="1"/>
  <c r="X92" i="10"/>
  <c r="X67" i="10" l="1"/>
  <c r="X65" i="10" s="1"/>
  <c r="X83" i="10"/>
  <c r="J18" i="12"/>
  <c r="X99" i="10"/>
  <c r="X91" i="10"/>
  <c r="X82" i="10" s="1"/>
  <c r="J17" i="12" l="1"/>
  <c r="X66" i="10"/>
  <c r="O59" i="10"/>
  <c r="N59" i="10"/>
  <c r="O58" i="10"/>
  <c r="N58" i="10"/>
  <c r="O57" i="10"/>
  <c r="N57" i="10"/>
  <c r="O56" i="10"/>
  <c r="N56" i="10"/>
  <c r="O55" i="10"/>
  <c r="N55" i="10"/>
  <c r="T55" i="10" s="1"/>
  <c r="O50" i="10"/>
  <c r="N50" i="10"/>
  <c r="O49" i="10"/>
  <c r="N49" i="10"/>
  <c r="O48" i="10"/>
  <c r="N48" i="10"/>
  <c r="O47" i="10"/>
  <c r="N47" i="10"/>
  <c r="O46" i="10"/>
  <c r="N46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T36" i="10" s="1"/>
  <c r="O26" i="10"/>
  <c r="N31" i="10"/>
  <c r="N26" i="10"/>
  <c r="T26" i="10" s="1"/>
  <c r="T37" i="10" l="1"/>
  <c r="T38" i="10" s="1"/>
  <c r="T46" i="10"/>
  <c r="T56" i="10"/>
  <c r="T47" i="10"/>
  <c r="T74" i="10" s="1"/>
  <c r="T27" i="10"/>
  <c r="T28" i="10" s="1"/>
  <c r="N6" i="10"/>
  <c r="N14" i="10"/>
  <c r="N13" i="10"/>
  <c r="C20" i="6"/>
  <c r="C19" i="6"/>
  <c r="B15" i="11"/>
  <c r="B16" i="11"/>
  <c r="C11" i="2" l="1"/>
  <c r="T73" i="10"/>
  <c r="T106" i="10"/>
  <c r="T89" i="10"/>
  <c r="T82" i="10" s="1"/>
  <c r="AG142" i="9"/>
  <c r="AI142" i="9" s="1"/>
  <c r="AK142" i="9" s="1"/>
  <c r="AG52" i="9"/>
  <c r="AI52" i="9" s="1"/>
  <c r="AK52" i="9" s="1"/>
  <c r="AG78" i="9"/>
  <c r="AI78" i="9" s="1"/>
  <c r="AK78" i="9" s="1"/>
  <c r="AG112" i="9"/>
  <c r="AI112" i="9" s="1"/>
  <c r="AK112" i="9" s="1"/>
  <c r="AG170" i="9"/>
  <c r="AI170" i="9" s="1"/>
  <c r="AK170" i="9" s="1"/>
  <c r="AF27" i="9"/>
  <c r="AG27" i="9"/>
  <c r="T107" i="10"/>
  <c r="T90" i="10"/>
  <c r="T84" i="10" s="1"/>
  <c r="T48" i="10"/>
  <c r="T57" i="10"/>
  <c r="C20" i="5"/>
  <c r="R41" i="5"/>
  <c r="B15" i="1"/>
  <c r="C10" i="3"/>
  <c r="AB133" i="9" l="1"/>
  <c r="AL112" i="9"/>
  <c r="AN112" i="9" s="1"/>
  <c r="AB191" i="9"/>
  <c r="AL170" i="9"/>
  <c r="AN170" i="9" s="1"/>
  <c r="AL52" i="9"/>
  <c r="AN52" i="9" s="1"/>
  <c r="AB69" i="9"/>
  <c r="AB163" i="9"/>
  <c r="AL142" i="9"/>
  <c r="AN142" i="9" s="1"/>
  <c r="T83" i="10"/>
  <c r="F27" i="13"/>
  <c r="J27" i="13" s="1"/>
  <c r="AB100" i="9"/>
  <c r="AL78" i="9"/>
  <c r="AN78" i="9" s="1"/>
  <c r="AM27" i="9"/>
  <c r="AJ27" i="9"/>
  <c r="AJ30" i="9"/>
  <c r="AJ29" i="9"/>
  <c r="AK29" i="9" s="1"/>
  <c r="AL29" i="9" s="1"/>
  <c r="AN29" i="9" s="1"/>
  <c r="AS29" i="9" s="1"/>
  <c r="AJ28" i="9"/>
  <c r="AH27" i="9"/>
  <c r="AN146" i="9" l="1"/>
  <c r="AS142" i="9"/>
  <c r="AS146" i="9" s="1"/>
  <c r="AO142" i="9"/>
  <c r="AO144" i="9"/>
  <c r="AO143" i="9"/>
  <c r="AS78" i="9"/>
  <c r="AS82" i="9" s="1"/>
  <c r="AN82" i="9"/>
  <c r="AO55" i="9"/>
  <c r="AO54" i="9"/>
  <c r="AO53" i="9"/>
  <c r="AO52" i="9"/>
  <c r="C38" i="13"/>
  <c r="AO114" i="9"/>
  <c r="AO113" i="9"/>
  <c r="C67" i="13"/>
  <c r="AO112" i="9"/>
  <c r="AN56" i="9"/>
  <c r="AB70" i="9" s="1"/>
  <c r="AS52" i="9"/>
  <c r="AS56" i="9" s="1"/>
  <c r="E27" i="13"/>
  <c r="G27" i="13" s="1"/>
  <c r="AH31" i="9"/>
  <c r="U16" i="9" s="1"/>
  <c r="AI27" i="9"/>
  <c r="AK27" i="9" s="1"/>
  <c r="AS170" i="9"/>
  <c r="AS174" i="9" s="1"/>
  <c r="AN174" i="9"/>
  <c r="C28" i="13"/>
  <c r="AK30" i="9"/>
  <c r="AL30" i="9" s="1"/>
  <c r="C52" i="13"/>
  <c r="AO80" i="9"/>
  <c r="AO78" i="9"/>
  <c r="AO79" i="9"/>
  <c r="C31" i="13"/>
  <c r="AK28" i="9"/>
  <c r="AL28" i="9" s="1"/>
  <c r="AN28" i="9" s="1"/>
  <c r="AS28" i="9" s="1"/>
  <c r="C81" i="13"/>
  <c r="C95" i="13"/>
  <c r="AO172" i="9"/>
  <c r="AO170" i="9"/>
  <c r="AO171" i="9"/>
  <c r="C27" i="13"/>
  <c r="AS112" i="9"/>
  <c r="AS116" i="9" s="1"/>
  <c r="AN116" i="9"/>
  <c r="J16" i="12"/>
  <c r="G16" i="12"/>
  <c r="J24" i="12" l="1"/>
  <c r="J23" i="12"/>
  <c r="AB192" i="9"/>
  <c r="U34" i="9"/>
  <c r="E44" i="13"/>
  <c r="G44" i="13" s="1"/>
  <c r="J43" i="13"/>
  <c r="J44" i="13"/>
  <c r="E43" i="13"/>
  <c r="G43" i="13" s="1"/>
  <c r="D41" i="13"/>
  <c r="C43" i="13"/>
  <c r="D43" i="13" s="1"/>
  <c r="D45" i="13"/>
  <c r="D42" i="13"/>
  <c r="C44" i="13"/>
  <c r="D44" i="13" s="1"/>
  <c r="E58" i="13"/>
  <c r="G58" i="13" s="1"/>
  <c r="J58" i="13"/>
  <c r="D55" i="13"/>
  <c r="C57" i="13"/>
  <c r="D57" i="13" s="1"/>
  <c r="J57" i="13"/>
  <c r="D56" i="13"/>
  <c r="D59" i="13"/>
  <c r="C58" i="13"/>
  <c r="D58" i="13" s="1"/>
  <c r="E57" i="13"/>
  <c r="G57" i="13" s="1"/>
  <c r="D70" i="13"/>
  <c r="C73" i="13"/>
  <c r="D73" i="13" s="1"/>
  <c r="E73" i="13"/>
  <c r="G73" i="13" s="1"/>
  <c r="D74" i="13"/>
  <c r="J73" i="13"/>
  <c r="J72" i="13"/>
  <c r="D71" i="13"/>
  <c r="E72" i="13"/>
  <c r="G72" i="13" s="1"/>
  <c r="C72" i="13"/>
  <c r="D72" i="13" s="1"/>
  <c r="AL27" i="9"/>
  <c r="AN27" i="9" s="1"/>
  <c r="AS27" i="9" s="1"/>
  <c r="AB41" i="9"/>
  <c r="AO27" i="9" s="1"/>
  <c r="J100" i="13"/>
  <c r="J101" i="13"/>
  <c r="E101" i="13"/>
  <c r="G101" i="13" s="1"/>
  <c r="D102" i="13"/>
  <c r="C101" i="13"/>
  <c r="D101" i="13" s="1"/>
  <c r="C100" i="13"/>
  <c r="D100" i="13" s="1"/>
  <c r="D98" i="13"/>
  <c r="E100" i="13"/>
  <c r="G100" i="13" s="1"/>
  <c r="D99" i="13"/>
  <c r="D85" i="13"/>
  <c r="J86" i="13"/>
  <c r="C87" i="13"/>
  <c r="D87" i="13" s="1"/>
  <c r="D88" i="13"/>
  <c r="E86" i="13"/>
  <c r="G86" i="13" s="1"/>
  <c r="J87" i="13"/>
  <c r="E87" i="13"/>
  <c r="G87" i="13" s="1"/>
  <c r="D84" i="13"/>
  <c r="C86" i="13"/>
  <c r="D86" i="13" s="1"/>
  <c r="AN30" i="9"/>
  <c r="AS30" i="9" s="1"/>
  <c r="AB164" i="9"/>
  <c r="U29" i="9"/>
  <c r="I16" i="12"/>
  <c r="AJ96" i="5"/>
  <c r="AJ97" i="5"/>
  <c r="AK96" i="5"/>
  <c r="AK95" i="5"/>
  <c r="AJ95" i="5"/>
  <c r="C44" i="5"/>
  <c r="G15" i="12"/>
  <c r="I15" i="12" s="1"/>
  <c r="AL96" i="5" l="1"/>
  <c r="J89" i="13"/>
  <c r="L101" i="13"/>
  <c r="H101" i="13"/>
  <c r="J75" i="13"/>
  <c r="I55" i="13"/>
  <c r="K55" i="13" s="1"/>
  <c r="L55" i="13"/>
  <c r="H55" i="13"/>
  <c r="L43" i="13"/>
  <c r="H43" i="13"/>
  <c r="I43" i="13"/>
  <c r="K43" i="13" s="1"/>
  <c r="J103" i="13"/>
  <c r="I74" i="13"/>
  <c r="K74" i="13" s="1"/>
  <c r="H74" i="13"/>
  <c r="L74" i="13"/>
  <c r="L57" i="13"/>
  <c r="I57" i="13"/>
  <c r="K57" i="13" s="1"/>
  <c r="H57" i="13"/>
  <c r="I58" i="13"/>
  <c r="K58" i="13" s="1"/>
  <c r="L58" i="13"/>
  <c r="H58" i="13"/>
  <c r="J46" i="13"/>
  <c r="H87" i="13"/>
  <c r="I87" i="13"/>
  <c r="K87" i="13" s="1"/>
  <c r="L87" i="13"/>
  <c r="C24" i="13"/>
  <c r="AO28" i="9"/>
  <c r="AO29" i="9"/>
  <c r="AO30" i="9"/>
  <c r="L73" i="13"/>
  <c r="I73" i="13"/>
  <c r="K73" i="13" s="1"/>
  <c r="H73" i="13"/>
  <c r="L44" i="13"/>
  <c r="H44" i="13"/>
  <c r="I44" i="13"/>
  <c r="K44" i="13" s="1"/>
  <c r="H102" i="13"/>
  <c r="L102" i="13"/>
  <c r="I102" i="13"/>
  <c r="K102" i="13" s="1"/>
  <c r="I99" i="13"/>
  <c r="K99" i="13" s="1"/>
  <c r="H99" i="13"/>
  <c r="L99" i="13"/>
  <c r="L100" i="13"/>
  <c r="H100" i="13"/>
  <c r="I100" i="13"/>
  <c r="K100" i="13" s="1"/>
  <c r="H98" i="13"/>
  <c r="I98" i="13"/>
  <c r="K98" i="13" s="1"/>
  <c r="L98" i="13"/>
  <c r="AN31" i="9"/>
  <c r="AB42" i="9" s="1"/>
  <c r="U25" i="9" s="1"/>
  <c r="AS31" i="9"/>
  <c r="I59" i="13"/>
  <c r="K59" i="13" s="1"/>
  <c r="H59" i="13"/>
  <c r="L59" i="13"/>
  <c r="I42" i="13"/>
  <c r="K42" i="13" s="1"/>
  <c r="H42" i="13"/>
  <c r="L42" i="13"/>
  <c r="I71" i="13"/>
  <c r="K71" i="13" s="1"/>
  <c r="H71" i="13"/>
  <c r="L71" i="13"/>
  <c r="H41" i="13"/>
  <c r="L41" i="13"/>
  <c r="I41" i="13"/>
  <c r="K41" i="13" s="1"/>
  <c r="L85" i="13"/>
  <c r="H85" i="13"/>
  <c r="I85" i="13"/>
  <c r="K85" i="13" s="1"/>
  <c r="L84" i="13"/>
  <c r="I84" i="13"/>
  <c r="K84" i="13" s="1"/>
  <c r="H84" i="13"/>
  <c r="H86" i="13"/>
  <c r="L86" i="13"/>
  <c r="I86" i="13"/>
  <c r="K86" i="13" s="1"/>
  <c r="L70" i="13"/>
  <c r="H70" i="13"/>
  <c r="I70" i="13"/>
  <c r="K70" i="13" s="1"/>
  <c r="I56" i="13"/>
  <c r="K56" i="13" s="1"/>
  <c r="H56" i="13"/>
  <c r="L56" i="13"/>
  <c r="L45" i="13"/>
  <c r="H45" i="13"/>
  <c r="I45" i="13"/>
  <c r="K45" i="13" s="1"/>
  <c r="H88" i="13"/>
  <c r="L88" i="13"/>
  <c r="I88" i="13"/>
  <c r="K88" i="13" s="1"/>
  <c r="I101" i="13"/>
  <c r="K101" i="13" s="1"/>
  <c r="L72" i="13"/>
  <c r="H72" i="13"/>
  <c r="I72" i="13"/>
  <c r="K72" i="13" s="1"/>
  <c r="J60" i="13"/>
  <c r="AL95" i="5"/>
  <c r="AK97" i="5"/>
  <c r="AL97" i="5" s="1"/>
  <c r="K60" i="13" l="1"/>
  <c r="K103" i="13"/>
  <c r="K46" i="13"/>
  <c r="K89" i="13"/>
  <c r="K75" i="13"/>
  <c r="E30" i="13"/>
  <c r="G30" i="13" s="1"/>
  <c r="C29" i="13"/>
  <c r="D29" i="13" s="1"/>
  <c r="J29" i="13"/>
  <c r="E29" i="13"/>
  <c r="G29" i="13" s="1"/>
  <c r="C30" i="13"/>
  <c r="D30" i="13" s="1"/>
  <c r="J30" i="13"/>
  <c r="D27" i="13"/>
  <c r="D28" i="13"/>
  <c r="D31" i="13"/>
  <c r="AI99" i="5"/>
  <c r="AH82" i="5"/>
  <c r="AI82" i="5"/>
  <c r="AK83" i="5" s="1"/>
  <c r="AK81" i="5"/>
  <c r="AJ83" i="5"/>
  <c r="AJ81" i="5"/>
  <c r="AL81" i="5" s="1"/>
  <c r="J32" i="13" l="1"/>
  <c r="AP81" i="9"/>
  <c r="AP80" i="9"/>
  <c r="AP79" i="9"/>
  <c r="AP78" i="9"/>
  <c r="L30" i="13"/>
  <c r="H30" i="13"/>
  <c r="I30" i="13"/>
  <c r="K30" i="13" s="1"/>
  <c r="L28" i="13"/>
  <c r="H28" i="13"/>
  <c r="I28" i="13"/>
  <c r="K28" i="13" s="1"/>
  <c r="AP113" i="9"/>
  <c r="AP115" i="9"/>
  <c r="AP114" i="9"/>
  <c r="AP112" i="9"/>
  <c r="L31" i="13"/>
  <c r="I31" i="13"/>
  <c r="K31" i="13" s="1"/>
  <c r="H31" i="13"/>
  <c r="L27" i="13"/>
  <c r="I27" i="13"/>
  <c r="K27" i="13" s="1"/>
  <c r="H27" i="13"/>
  <c r="AP143" i="9"/>
  <c r="AP144" i="9"/>
  <c r="AP145" i="9"/>
  <c r="AP142" i="9"/>
  <c r="AP54" i="9"/>
  <c r="AP52" i="9"/>
  <c r="AP55" i="9"/>
  <c r="AP53" i="9"/>
  <c r="L29" i="13"/>
  <c r="H29" i="13"/>
  <c r="I29" i="13"/>
  <c r="K29" i="13" s="1"/>
  <c r="AP173" i="9"/>
  <c r="AP170" i="9"/>
  <c r="AP171" i="9"/>
  <c r="AP172" i="9"/>
  <c r="AM96" i="5"/>
  <c r="AM95" i="5"/>
  <c r="AM97" i="5"/>
  <c r="AK82" i="5"/>
  <c r="AJ82" i="5"/>
  <c r="AL83" i="5"/>
  <c r="K32" i="13" l="1"/>
  <c r="AL82" i="5"/>
  <c r="AI100" i="5"/>
  <c r="AI85" i="5"/>
  <c r="AM82" i="5" s="1"/>
  <c r="R58" i="5"/>
  <c r="R53" i="5"/>
  <c r="AP27" i="9" l="1"/>
  <c r="J25" i="9" s="1"/>
  <c r="AP30" i="9"/>
  <c r="AP28" i="9"/>
  <c r="AP29" i="9"/>
  <c r="AI101" i="5"/>
  <c r="M47" i="5" s="1"/>
  <c r="M46" i="5"/>
  <c r="AM81" i="5"/>
  <c r="AM83" i="5"/>
  <c r="AI86" i="5" l="1"/>
  <c r="D30" i="10"/>
  <c r="B13" i="1"/>
  <c r="B12" i="1"/>
  <c r="AI87" i="5" l="1"/>
  <c r="M42" i="5" s="1"/>
  <c r="M41" i="5"/>
  <c r="Q80" i="5"/>
  <c r="J26" i="12"/>
  <c r="Q63" i="5" l="1"/>
  <c r="R63" i="5"/>
  <c r="Q34" i="5" l="1"/>
  <c r="C8" i="5"/>
  <c r="T35" i="5"/>
  <c r="Q90" i="5" l="1"/>
  <c r="Q91" i="5"/>
  <c r="Q79" i="5"/>
  <c r="R79" i="5" s="1"/>
  <c r="D47" i="5"/>
  <c r="C89" i="5"/>
  <c r="C78" i="5"/>
  <c r="B69" i="3"/>
  <c r="B66" i="3"/>
  <c r="Q92" i="5" l="1"/>
  <c r="R90" i="5"/>
  <c r="R92" i="5" s="1"/>
  <c r="U90" i="5" s="1"/>
  <c r="U91" i="5" s="1"/>
  <c r="Q81" i="5"/>
  <c r="R81" i="5"/>
  <c r="U79" i="5" s="1"/>
  <c r="U80" i="5" l="1"/>
  <c r="U92" i="5"/>
  <c r="M90" i="5" s="1"/>
  <c r="U81" i="5"/>
  <c r="U78" i="5" s="1"/>
  <c r="M80" i="5" s="1"/>
  <c r="M79" i="5" l="1"/>
  <c r="U89" i="5"/>
  <c r="M91" i="5" s="1"/>
  <c r="AG67" i="5"/>
  <c r="AH67" i="5" s="1"/>
  <c r="AG66" i="5"/>
  <c r="AG65" i="5"/>
  <c r="S56" i="5"/>
  <c r="S58" i="5" s="1"/>
  <c r="AI57" i="5"/>
  <c r="AI70" i="5"/>
  <c r="AG53" i="5"/>
  <c r="AG54" i="5"/>
  <c r="AG52" i="5"/>
  <c r="S51" i="5"/>
  <c r="S53" i="5" s="1"/>
  <c r="T33" i="5"/>
  <c r="S33" i="5"/>
  <c r="U33" i="5" s="1"/>
  <c r="AI46" i="5"/>
  <c r="AK47" i="5" s="1"/>
  <c r="AH47" i="5"/>
  <c r="AK45" i="5"/>
  <c r="AJ47" i="5"/>
  <c r="AH46" i="5"/>
  <c r="AJ45" i="5"/>
  <c r="R43" i="5"/>
  <c r="Q43" i="5"/>
  <c r="AI31" i="5"/>
  <c r="AK30" i="5"/>
  <c r="AH32" i="5"/>
  <c r="AJ32" i="5" s="1"/>
  <c r="AH31" i="5"/>
  <c r="AJ30" i="5"/>
  <c r="AL30" i="5" s="1"/>
  <c r="AH52" i="5" l="1"/>
  <c r="AH65" i="5"/>
  <c r="S34" i="5"/>
  <c r="T34" i="5"/>
  <c r="S35" i="5"/>
  <c r="AL47" i="5"/>
  <c r="AK46" i="5"/>
  <c r="AJ46" i="5"/>
  <c r="AL45" i="5"/>
  <c r="AL46" i="5"/>
  <c r="U41" i="5"/>
  <c r="U42" i="5" s="1"/>
  <c r="AJ31" i="5"/>
  <c r="AK31" i="5"/>
  <c r="AK32" i="5"/>
  <c r="AL32" i="5" s="1"/>
  <c r="AL49" i="5" l="1"/>
  <c r="AL51" i="5" s="1"/>
  <c r="AM46" i="5"/>
  <c r="AM47" i="5"/>
  <c r="AM45" i="5"/>
  <c r="U35" i="5"/>
  <c r="U34" i="5"/>
  <c r="AL31" i="5"/>
  <c r="AO30" i="5" s="1"/>
  <c r="AO20" i="5" s="1"/>
  <c r="AM32" i="5" s="1"/>
  <c r="U43" i="5"/>
  <c r="C12" i="2"/>
  <c r="C13" i="2"/>
  <c r="C10" i="2" s="1"/>
  <c r="AL50" i="5" l="1"/>
  <c r="AM50" i="5"/>
  <c r="AL52" i="5"/>
  <c r="U40" i="5"/>
  <c r="M69" i="5" s="1"/>
  <c r="M68" i="5"/>
  <c r="U36" i="5"/>
  <c r="AP32" i="5"/>
  <c r="AM31" i="5"/>
  <c r="AM30" i="5"/>
  <c r="T64" i="5"/>
  <c r="T63" i="5"/>
  <c r="T62" i="5"/>
  <c r="S64" i="5"/>
  <c r="V64" i="5" s="1"/>
  <c r="S63" i="5"/>
  <c r="J20" i="9" s="1"/>
  <c r="S62" i="5"/>
  <c r="J28" i="9" l="1"/>
  <c r="V33" i="5"/>
  <c r="V35" i="5"/>
  <c r="V34" i="5"/>
  <c r="U63" i="5"/>
  <c r="AM34" i="5"/>
  <c r="AM35" i="5" s="1"/>
  <c r="U64" i="5"/>
  <c r="AI71" i="5" s="1"/>
  <c r="V63" i="5"/>
  <c r="U62" i="5"/>
  <c r="B17" i="1"/>
  <c r="B16" i="1"/>
  <c r="B14" i="1"/>
  <c r="C18" i="6"/>
  <c r="C17" i="6"/>
  <c r="C16" i="6"/>
  <c r="C15" i="6"/>
  <c r="C14" i="6"/>
  <c r="C13" i="6"/>
  <c r="N19" i="10" s="1"/>
  <c r="R98" i="12"/>
  <c r="R99" i="12"/>
  <c r="G73" i="12"/>
  <c r="E73" i="12"/>
  <c r="G72" i="12"/>
  <c r="E72" i="12"/>
  <c r="C72" i="12"/>
  <c r="G71" i="12"/>
  <c r="E71" i="12"/>
  <c r="C71" i="12"/>
  <c r="G70" i="12"/>
  <c r="E70" i="12"/>
  <c r="C70" i="12"/>
  <c r="E69" i="12"/>
  <c r="E74" i="12" s="1"/>
  <c r="G64" i="12"/>
  <c r="E64" i="12" s="1"/>
  <c r="C64" i="12"/>
  <c r="E63" i="12"/>
  <c r="E62" i="12"/>
  <c r="E65" i="12" s="1"/>
  <c r="D62" i="12"/>
  <c r="F61" i="12"/>
  <c r="D61" i="12"/>
  <c r="C61" i="12"/>
  <c r="C62" i="12" s="1"/>
  <c r="C63" i="12" s="1"/>
  <c r="B61" i="12"/>
  <c r="C60" i="12"/>
  <c r="B60" i="12"/>
  <c r="C59" i="12"/>
  <c r="B59" i="12"/>
  <c r="D58" i="12"/>
  <c r="C58" i="12"/>
  <c r="B58" i="12"/>
  <c r="D57" i="12"/>
  <c r="D56" i="12"/>
  <c r="C56" i="12"/>
  <c r="B56" i="12"/>
  <c r="G55" i="12"/>
  <c r="D55" i="12"/>
  <c r="B55" i="12"/>
  <c r="G54" i="12"/>
  <c r="F54" i="12"/>
  <c r="F55" i="12" s="1"/>
  <c r="D54" i="12"/>
  <c r="C54" i="12"/>
  <c r="C55" i="12" s="1"/>
  <c r="B54" i="12"/>
  <c r="G53" i="12"/>
  <c r="M46" i="12"/>
  <c r="E45" i="12"/>
  <c r="E42" i="12"/>
  <c r="M42" i="12" s="1"/>
  <c r="L42" i="12" s="1"/>
  <c r="E41" i="12"/>
  <c r="M41" i="12" s="1"/>
  <c r="L41" i="12" s="1"/>
  <c r="E40" i="12"/>
  <c r="M40" i="12" s="1"/>
  <c r="L40" i="12" s="1"/>
  <c r="D40" i="12"/>
  <c r="D60" i="12" s="1"/>
  <c r="E39" i="12"/>
  <c r="M39" i="12" s="1"/>
  <c r="L39" i="12" s="1"/>
  <c r="D39" i="12"/>
  <c r="D59" i="12" s="1"/>
  <c r="G38" i="12"/>
  <c r="G43" i="12" s="1"/>
  <c r="E38" i="12"/>
  <c r="E37" i="12"/>
  <c r="E43" i="12" s="1"/>
  <c r="G34" i="12"/>
  <c r="J33" i="12"/>
  <c r="I33" i="12" s="1"/>
  <c r="I34" i="12" s="1"/>
  <c r="E33" i="12"/>
  <c r="E34" i="12" s="1"/>
  <c r="C33" i="12"/>
  <c r="I26" i="12"/>
  <c r="I25" i="12"/>
  <c r="I24" i="12"/>
  <c r="G18" i="12"/>
  <c r="G14" i="12"/>
  <c r="I14" i="12" s="1"/>
  <c r="G13" i="12"/>
  <c r="I13" i="12" l="1"/>
  <c r="Q17" i="10"/>
  <c r="M36" i="5"/>
  <c r="M37" i="5" s="1"/>
  <c r="C30" i="11"/>
  <c r="T49" i="10"/>
  <c r="Q18" i="10"/>
  <c r="I18" i="12"/>
  <c r="I32" i="12" s="1"/>
  <c r="G32" i="12"/>
  <c r="D42" i="10"/>
  <c r="D29" i="10"/>
  <c r="U65" i="5"/>
  <c r="Q66" i="5" s="1"/>
  <c r="C79" i="4"/>
  <c r="C7" i="2"/>
  <c r="C5" i="2"/>
  <c r="B46" i="1"/>
  <c r="B26" i="1"/>
  <c r="C23" i="6"/>
  <c r="C28" i="6"/>
  <c r="C31" i="6" s="1"/>
  <c r="R13" i="12"/>
  <c r="G44" i="12"/>
  <c r="M37" i="12"/>
  <c r="L37" i="12" s="1"/>
  <c r="E44" i="12"/>
  <c r="E46" i="12" s="1"/>
  <c r="R100" i="12"/>
  <c r="P13" i="12"/>
  <c r="M38" i="12"/>
  <c r="L38" i="12" s="1"/>
  <c r="Q13" i="12"/>
  <c r="E76" i="12" l="1"/>
  <c r="K13" i="12" s="1"/>
  <c r="V62" i="5"/>
  <c r="V65" i="5" s="1"/>
  <c r="M62" i="5" s="1"/>
  <c r="M63" i="5" s="1"/>
  <c r="J31" i="9" s="1"/>
  <c r="C18" i="2"/>
  <c r="C19" i="2"/>
  <c r="D84" i="12"/>
  <c r="C21" i="2"/>
  <c r="M44" i="12"/>
  <c r="M45" i="12" s="1"/>
  <c r="E78" i="12"/>
  <c r="J16" i="9"/>
  <c r="J18" i="9" s="1"/>
  <c r="K17" i="12" l="1"/>
  <c r="K16" i="12"/>
  <c r="K26" i="12"/>
  <c r="K15" i="12"/>
  <c r="K25" i="12"/>
  <c r="K23" i="12"/>
  <c r="K24" i="12"/>
  <c r="K19" i="12"/>
  <c r="K20" i="12"/>
  <c r="K14" i="12"/>
  <c r="K18" i="12"/>
  <c r="E77" i="12"/>
  <c r="B7" i="9"/>
  <c r="B6" i="9"/>
  <c r="B34" i="9" s="1"/>
  <c r="D36" i="10"/>
  <c r="D35" i="10" s="1"/>
  <c r="C14" i="10"/>
  <c r="C13" i="10"/>
  <c r="C6" i="10"/>
  <c r="F26" i="6"/>
  <c r="E26" i="6"/>
  <c r="D22" i="8"/>
  <c r="D21" i="8" s="1"/>
  <c r="D18" i="8"/>
  <c r="D17" i="8" s="1"/>
  <c r="D23" i="6"/>
  <c r="C5" i="8" s="1"/>
  <c r="D24" i="8" l="1"/>
  <c r="T105" i="10"/>
  <c r="D11" i="8"/>
  <c r="D22" i="10" s="1"/>
  <c r="T77" i="10"/>
  <c r="T78" i="10" s="1"/>
  <c r="T93" i="10"/>
  <c r="T94" i="10" s="1"/>
  <c r="D26" i="10"/>
  <c r="D7" i="8"/>
  <c r="B35" i="9"/>
  <c r="K32" i="12"/>
  <c r="E80" i="12" s="1"/>
  <c r="D9" i="8"/>
  <c r="D13" i="8"/>
  <c r="R18" i="9" l="1"/>
  <c r="N18" i="10"/>
  <c r="R16" i="9"/>
  <c r="N17" i="10"/>
  <c r="T29" i="10" s="1"/>
  <c r="T99" i="10"/>
  <c r="T100" i="10"/>
  <c r="T101" i="10"/>
  <c r="R35" i="9"/>
  <c r="R30" i="9"/>
  <c r="R25" i="9"/>
  <c r="B34" i="11" s="1"/>
  <c r="R26" i="9"/>
  <c r="B6" i="13"/>
  <c r="D17" i="10"/>
  <c r="D24" i="10"/>
  <c r="B8" i="13"/>
  <c r="T72" i="10"/>
  <c r="N20" i="10"/>
  <c r="T58" i="10" s="1"/>
  <c r="D90" i="12"/>
  <c r="E79" i="12"/>
  <c r="R34" i="9"/>
  <c r="B42" i="11" s="1"/>
  <c r="R29" i="9"/>
  <c r="B38" i="11" s="1"/>
  <c r="B7" i="13"/>
  <c r="D19" i="10"/>
  <c r="B20" i="9"/>
  <c r="B44" i="9"/>
  <c r="B29" i="9"/>
  <c r="B30" i="9" s="1"/>
  <c r="B25" i="9"/>
  <c r="B39" i="9"/>
  <c r="B18" i="9"/>
  <c r="B16" i="9"/>
  <c r="T67" i="10" l="1"/>
  <c r="T66" i="10"/>
  <c r="T65" i="10"/>
  <c r="G6" i="13"/>
  <c r="H6" i="13" s="1"/>
  <c r="F6" i="13"/>
  <c r="C26" i="11"/>
  <c r="T39" i="10"/>
  <c r="C28" i="11"/>
  <c r="G8" i="13"/>
  <c r="H8" i="13" s="1"/>
  <c r="F8" i="13"/>
  <c r="B46" i="11"/>
  <c r="B47" i="11" s="1"/>
  <c r="AQ78" i="9"/>
  <c r="G7" i="13"/>
  <c r="H7" i="13" s="1"/>
  <c r="F7" i="13"/>
  <c r="C32" i="5"/>
  <c r="C34" i="5" s="1"/>
  <c r="C38" i="5" s="1"/>
  <c r="Q58" i="5"/>
  <c r="AH54" i="5"/>
  <c r="B27" i="1"/>
  <c r="B27" i="3" s="1"/>
  <c r="C22" i="5" s="1"/>
  <c r="Q53" i="5"/>
  <c r="J33" i="9"/>
  <c r="C12" i="3"/>
  <c r="C14" i="3"/>
  <c r="C8" i="3"/>
  <c r="M102" i="13" l="1"/>
  <c r="N102" i="13" s="1"/>
  <c r="O102" i="13" s="1"/>
  <c r="M101" i="13"/>
  <c r="N101" i="13" s="1"/>
  <c r="O101" i="13" s="1"/>
  <c r="M100" i="13"/>
  <c r="N100" i="13" s="1"/>
  <c r="O100" i="13" s="1"/>
  <c r="M98" i="13"/>
  <c r="N98" i="13" s="1"/>
  <c r="O98" i="13" s="1"/>
  <c r="M99" i="13"/>
  <c r="N99" i="13" s="1"/>
  <c r="O99" i="13" s="1"/>
  <c r="AQ173" i="9"/>
  <c r="AR173" i="9" s="1"/>
  <c r="AQ170" i="9"/>
  <c r="AR170" i="9" s="1"/>
  <c r="AQ171" i="9"/>
  <c r="AR171" i="9" s="1"/>
  <c r="AQ172" i="9"/>
  <c r="AR172" i="9" s="1"/>
  <c r="M29" i="13"/>
  <c r="N29" i="13" s="1"/>
  <c r="O29" i="13" s="1"/>
  <c r="M31" i="13"/>
  <c r="N31" i="13" s="1"/>
  <c r="O31" i="13" s="1"/>
  <c r="M55" i="13"/>
  <c r="N55" i="13" s="1"/>
  <c r="O55" i="13" s="1"/>
  <c r="M45" i="13"/>
  <c r="N45" i="13" s="1"/>
  <c r="O45" i="13" s="1"/>
  <c r="M58" i="13"/>
  <c r="N58" i="13" s="1"/>
  <c r="O58" i="13" s="1"/>
  <c r="M59" i="13"/>
  <c r="N59" i="13" s="1"/>
  <c r="O59" i="13" s="1"/>
  <c r="M43" i="13"/>
  <c r="N43" i="13" s="1"/>
  <c r="O43" i="13" s="1"/>
  <c r="M28" i="13"/>
  <c r="N28" i="13" s="1"/>
  <c r="O28" i="13" s="1"/>
  <c r="M27" i="13"/>
  <c r="N27" i="13" s="1"/>
  <c r="O27" i="13" s="1"/>
  <c r="M72" i="13"/>
  <c r="N72" i="13" s="1"/>
  <c r="O72" i="13" s="1"/>
  <c r="M71" i="13"/>
  <c r="N71" i="13" s="1"/>
  <c r="O71" i="13" s="1"/>
  <c r="M44" i="13"/>
  <c r="N44" i="13" s="1"/>
  <c r="O44" i="13" s="1"/>
  <c r="M42" i="13"/>
  <c r="N42" i="13" s="1"/>
  <c r="O42" i="13" s="1"/>
  <c r="M73" i="13"/>
  <c r="N73" i="13" s="1"/>
  <c r="O73" i="13" s="1"/>
  <c r="M30" i="13"/>
  <c r="N30" i="13" s="1"/>
  <c r="O30" i="13" s="1"/>
  <c r="M41" i="13"/>
  <c r="N41" i="13" s="1"/>
  <c r="O41" i="13" s="1"/>
  <c r="M70" i="13"/>
  <c r="N70" i="13" s="1"/>
  <c r="O70" i="13" s="1"/>
  <c r="M74" i="13"/>
  <c r="N74" i="13" s="1"/>
  <c r="O74" i="13" s="1"/>
  <c r="M57" i="13"/>
  <c r="N57" i="13" s="1"/>
  <c r="O57" i="13" s="1"/>
  <c r="M56" i="13"/>
  <c r="N56" i="13" s="1"/>
  <c r="O56" i="13" s="1"/>
  <c r="AQ27" i="9"/>
  <c r="AR27" i="9" s="1"/>
  <c r="AQ30" i="9"/>
  <c r="AR30" i="9" s="1"/>
  <c r="AQ54" i="9"/>
  <c r="AR54" i="9" s="1"/>
  <c r="AQ112" i="9"/>
  <c r="AR112" i="9" s="1"/>
  <c r="AQ53" i="9"/>
  <c r="AR53" i="9" s="1"/>
  <c r="AQ80" i="9"/>
  <c r="AR80" i="9" s="1"/>
  <c r="AQ55" i="9"/>
  <c r="AR55" i="9" s="1"/>
  <c r="AQ114" i="9"/>
  <c r="AR114" i="9" s="1"/>
  <c r="AQ113" i="9"/>
  <c r="AR113" i="9" s="1"/>
  <c r="AQ28" i="9"/>
  <c r="AR28" i="9" s="1"/>
  <c r="AQ29" i="9"/>
  <c r="AR29" i="9" s="1"/>
  <c r="AQ79" i="9"/>
  <c r="AR79" i="9" s="1"/>
  <c r="AQ52" i="9"/>
  <c r="AR52" i="9" s="1"/>
  <c r="AR78" i="9"/>
  <c r="AQ115" i="9"/>
  <c r="AR115" i="9" s="1"/>
  <c r="AQ81" i="9"/>
  <c r="AR81" i="9" s="1"/>
  <c r="AQ145" i="9"/>
  <c r="AR145" i="9" s="1"/>
  <c r="AQ144" i="9"/>
  <c r="AR144" i="9" s="1"/>
  <c r="AQ143" i="9"/>
  <c r="AR143" i="9" s="1"/>
  <c r="AQ142" i="9"/>
  <c r="AR142" i="9" s="1"/>
  <c r="M88" i="13"/>
  <c r="N88" i="13" s="1"/>
  <c r="O88" i="13" s="1"/>
  <c r="M86" i="13"/>
  <c r="N86" i="13" s="1"/>
  <c r="O86" i="13" s="1"/>
  <c r="M85" i="13"/>
  <c r="N85" i="13" s="1"/>
  <c r="O85" i="13" s="1"/>
  <c r="M84" i="13"/>
  <c r="N84" i="13" s="1"/>
  <c r="O84" i="13" s="1"/>
  <c r="M87" i="13"/>
  <c r="N87" i="13" s="1"/>
  <c r="O87" i="13" s="1"/>
  <c r="AH66" i="5"/>
  <c r="U56" i="5" s="1"/>
  <c r="AH53" i="5"/>
  <c r="U51" i="5" s="1"/>
  <c r="AI53" i="5" s="1"/>
  <c r="B26" i="9"/>
  <c r="B32" i="3"/>
  <c r="C68" i="5"/>
  <c r="AR31" i="9" l="1"/>
  <c r="AR174" i="9"/>
  <c r="B43" i="11" s="1"/>
  <c r="AR82" i="9"/>
  <c r="AR146" i="9"/>
  <c r="B39" i="11" s="1"/>
  <c r="AR116" i="9"/>
  <c r="AR56" i="9"/>
  <c r="AI67" i="5"/>
  <c r="AI65" i="5"/>
  <c r="U58" i="5" s="1"/>
  <c r="AI66" i="5"/>
  <c r="AI52" i="5"/>
  <c r="U53" i="5" s="1"/>
  <c r="AI54" i="5"/>
  <c r="U52" i="5" s="1"/>
  <c r="AI58" i="5"/>
  <c r="C56" i="5"/>
  <c r="B18" i="3"/>
  <c r="B22" i="3"/>
  <c r="B35" i="11" l="1"/>
  <c r="C46" i="5"/>
  <c r="C50" i="5" s="1"/>
  <c r="C13" i="5"/>
  <c r="C10" i="5"/>
  <c r="C58" i="5"/>
  <c r="M52" i="5"/>
  <c r="M53" i="5" s="1"/>
  <c r="J35" i="9" s="1"/>
  <c r="B40" i="9" s="1"/>
  <c r="AI69" i="5"/>
  <c r="AI72" i="5" s="1"/>
  <c r="U57" i="5"/>
  <c r="M57" i="5" s="1"/>
  <c r="M58" i="5" s="1"/>
  <c r="AI56" i="5"/>
  <c r="AI59" i="5" s="1"/>
  <c r="C70" i="5" l="1"/>
  <c r="J37" i="9"/>
  <c r="B45" i="9" s="1"/>
  <c r="C62" i="5"/>
  <c r="F67" i="4"/>
  <c r="B57" i="3"/>
  <c r="D71" i="5"/>
  <c r="D81" i="5" s="1"/>
  <c r="D35" i="5"/>
  <c r="D59" i="5" s="1"/>
  <c r="C35" i="5"/>
  <c r="C37" i="5" s="1"/>
  <c r="C24" i="5"/>
  <c r="C23" i="5"/>
  <c r="C25" i="5" s="1"/>
  <c r="C80" i="5" l="1"/>
  <c r="C84" i="5" s="1"/>
  <c r="C91" i="5"/>
  <c r="C95" i="5" s="1"/>
  <c r="C14" i="5"/>
  <c r="C74" i="5"/>
  <c r="C47" i="5"/>
  <c r="C59" i="5"/>
  <c r="F80" i="4"/>
  <c r="C10" i="4"/>
  <c r="C9" i="4"/>
  <c r="C8" i="4"/>
  <c r="B62" i="3"/>
  <c r="C62" i="4" s="1"/>
  <c r="F61" i="4" s="1"/>
  <c r="B52" i="3"/>
  <c r="C56" i="4" s="1"/>
  <c r="C15" i="3"/>
  <c r="C13" i="3"/>
  <c r="B44" i="3" s="1"/>
  <c r="C73" i="5" l="1"/>
  <c r="C61" i="5"/>
  <c r="C83" i="5"/>
  <c r="C37" i="4"/>
  <c r="C54" i="4"/>
  <c r="C66" i="4"/>
  <c r="C60" i="4"/>
  <c r="C22" i="4"/>
  <c r="C81" i="5"/>
  <c r="C92" i="5" s="1"/>
  <c r="C94" i="5" s="1"/>
  <c r="C49" i="5"/>
  <c r="B47" i="3"/>
  <c r="C81" i="4" s="1"/>
  <c r="C71" i="5"/>
  <c r="C26" i="5"/>
  <c r="C39" i="4"/>
  <c r="F38" i="4" s="1"/>
  <c r="F55" i="4"/>
  <c r="C24" i="4" l="1"/>
  <c r="F23" i="4" s="1"/>
  <c r="D91" i="12" l="1"/>
  <c r="D89" i="12" s="1"/>
</calcChain>
</file>

<file path=xl/comments1.xml><?xml version="1.0" encoding="utf-8"?>
<comments xmlns="http://schemas.openxmlformats.org/spreadsheetml/2006/main">
  <authors>
    <author>Giuseppe Ospino Isaza</author>
  </authors>
  <commentList>
    <comment ref="G73" authorId="0" shapeId="0">
      <text>
        <r>
          <rPr>
            <b/>
            <sz val="8"/>
            <color indexed="81"/>
            <rFont val="Tahoma"/>
            <family val="2"/>
          </rPr>
          <t>Giuseppe Ospino Isaza:</t>
        </r>
        <r>
          <rPr>
            <sz val="8"/>
            <color indexed="81"/>
            <rFont val="Tahoma"/>
            <family val="2"/>
          </rPr>
          <t xml:space="preserve">
Metros cuadrados</t>
        </r>
      </text>
    </comment>
  </commentList>
</comments>
</file>

<file path=xl/sharedStrings.xml><?xml version="1.0" encoding="utf-8"?>
<sst xmlns="http://schemas.openxmlformats.org/spreadsheetml/2006/main" count="1734" uniqueCount="611">
  <si>
    <t>CLIENTE:</t>
  </si>
  <si>
    <t>COTECMAR/GEDIN</t>
  </si>
  <si>
    <t>PROYECTO:</t>
  </si>
  <si>
    <t>LANCHA TAM</t>
  </si>
  <si>
    <t>N° DOC:</t>
  </si>
  <si>
    <t>SERVICIO:</t>
  </si>
  <si>
    <t>ID PROYECTO:</t>
  </si>
  <si>
    <t>N° de VERSION:</t>
  </si>
  <si>
    <t>PLANO REF. :</t>
  </si>
  <si>
    <t>MER-179-100</t>
  </si>
  <si>
    <t xml:space="preserve">PROPOSITO: </t>
  </si>
  <si>
    <t>Definir las dimensiones de los elementos que conforman la estructura del casco</t>
  </si>
  <si>
    <t xml:space="preserve">[4020]  ESCANTILLONADO DEL CASCO DE LA LANCHA AMBULANCIA TAM (FIBRA DE VIDRIO) </t>
  </si>
  <si>
    <t>Dimensiones de escantillón</t>
  </si>
  <si>
    <t>Dimensiones generales</t>
  </si>
  <si>
    <t>Eslora de escatillón</t>
  </si>
  <si>
    <t>m</t>
  </si>
  <si>
    <t>Eslora  total</t>
  </si>
  <si>
    <r>
      <t>Manga en flotacion (</t>
    </r>
    <r>
      <rPr>
        <b/>
        <sz val="10"/>
        <rFont val="Arial"/>
        <family val="2"/>
      </rPr>
      <t>BWL</t>
    </r>
    <r>
      <rPr>
        <sz val="10"/>
        <rFont val="Arial"/>
        <family val="2"/>
      </rPr>
      <t>)</t>
    </r>
  </si>
  <si>
    <t>Eslora de flotación (LWL)</t>
  </si>
  <si>
    <r>
      <t>Puntal (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>)</t>
    </r>
  </si>
  <si>
    <t>Manga máxima</t>
  </si>
  <si>
    <r>
      <t>Calado (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>)</t>
    </r>
  </si>
  <si>
    <t>Calado de diseño</t>
  </si>
  <si>
    <r>
      <t>Desplazamiento (</t>
    </r>
    <r>
      <rPr>
        <b/>
        <sz val="10"/>
        <rFont val="Arial"/>
        <family val="2"/>
      </rPr>
      <t>Δ</t>
    </r>
    <r>
      <rPr>
        <sz val="10"/>
        <rFont val="Arial"/>
        <family val="2"/>
      </rPr>
      <t>)</t>
    </r>
  </si>
  <si>
    <t>Ton</t>
  </si>
  <si>
    <t>Desplazamiento de diseño</t>
  </si>
  <si>
    <r>
      <t>Velocidad (</t>
    </r>
    <r>
      <rPr>
        <b/>
        <sz val="10"/>
        <rFont val="Arial"/>
        <family val="2"/>
      </rPr>
      <t>V</t>
    </r>
    <r>
      <rPr>
        <sz val="10"/>
        <rFont val="Arial"/>
        <family val="2"/>
      </rPr>
      <t>)</t>
    </r>
  </si>
  <si>
    <t>Knots</t>
  </si>
  <si>
    <t>N° tripulación</t>
  </si>
  <si>
    <t>personas</t>
  </si>
  <si>
    <r>
      <t>Astilla Muerta Fondo en LCG (</t>
    </r>
    <r>
      <rPr>
        <b/>
        <sz val="10"/>
        <rFont val="Arial"/>
        <family val="2"/>
      </rPr>
      <t>β</t>
    </r>
    <r>
      <rPr>
        <b/>
        <vertAlign val="subscript"/>
        <sz val="10"/>
        <rFont val="Arial"/>
        <family val="2"/>
      </rPr>
      <t>cg</t>
    </r>
    <r>
      <rPr>
        <sz val="10"/>
        <rFont val="Arial"/>
        <family val="2"/>
      </rPr>
      <t>)</t>
    </r>
  </si>
  <si>
    <t>°</t>
  </si>
  <si>
    <t xml:space="preserve">Velocidad máxima </t>
  </si>
  <si>
    <t>nudos</t>
  </si>
  <si>
    <r>
      <t>Astilla Muerta Fondo Cerca al LCG (</t>
    </r>
    <r>
      <rPr>
        <b/>
        <sz val="10"/>
        <rFont val="Arial"/>
        <family val="2"/>
      </rPr>
      <t>β</t>
    </r>
    <r>
      <rPr>
        <b/>
        <vertAlign val="subscript"/>
        <sz val="10"/>
        <rFont val="Arial"/>
        <family val="2"/>
      </rPr>
      <t>xx</t>
    </r>
    <r>
      <rPr>
        <sz val="10"/>
        <rFont val="Arial"/>
        <family val="2"/>
      </rPr>
      <t>)</t>
    </r>
  </si>
  <si>
    <r>
      <t>Astilla Muerta Costados en LCG (</t>
    </r>
    <r>
      <rPr>
        <b/>
        <sz val="10"/>
        <rFont val="Arial"/>
        <family val="2"/>
      </rPr>
      <t>β</t>
    </r>
    <r>
      <rPr>
        <b/>
        <vertAlign val="subscript"/>
        <sz val="10"/>
        <rFont val="Arial"/>
        <family val="2"/>
      </rPr>
      <t>cg</t>
    </r>
    <r>
      <rPr>
        <sz val="10"/>
        <rFont val="Arial"/>
        <family val="2"/>
      </rPr>
      <t>)</t>
    </r>
  </si>
  <si>
    <t xml:space="preserve">TABLA  DE RESULTADOS </t>
  </si>
  <si>
    <t>GREY CODE - ISO 12215</t>
  </si>
  <si>
    <t>instalado</t>
  </si>
  <si>
    <t>[10.6] Espesor en el fondo</t>
  </si>
  <si>
    <t>mm</t>
  </si>
  <si>
    <t>[10.6] Espesor en el costado</t>
  </si>
  <si>
    <t>[10.6] Espesor en cubierta</t>
  </si>
  <si>
    <t>[11.1]Refuerzos long. Fondo (Sm)</t>
  </si>
  <si>
    <t>cm^3</t>
  </si>
  <si>
    <t>F.S capa de menor resistencia</t>
  </si>
  <si>
    <t>[11.1]Refuerzos long. costados (Sm)</t>
  </si>
  <si>
    <t>[11.1]refuerzos long. cubierta (Sm)</t>
  </si>
  <si>
    <t>[11.1] mamparos (Sm)</t>
  </si>
  <si>
    <t>cm^3/cm</t>
  </si>
  <si>
    <t>Notas:</t>
  </si>
  <si>
    <t>Información adicional se muestra en las siguientes hojas según el código utilizado</t>
  </si>
  <si>
    <t>Se toma como criterio de diseño la condición más crítica entre ambas normas</t>
  </si>
  <si>
    <t>Convención de colores:</t>
  </si>
  <si>
    <t>casillas modificables</t>
  </si>
  <si>
    <t>Valor no cumple con el criterio</t>
  </si>
  <si>
    <t>Valor cumple con el criterio</t>
  </si>
  <si>
    <t>ESCANTILLONADO GREY CODE - ISO 12215</t>
  </si>
  <si>
    <t>GREY CODE LLOYD'S REGISTER</t>
  </si>
  <si>
    <r>
      <t>Eslora de escantillón (</t>
    </r>
    <r>
      <rPr>
        <b/>
        <sz val="10"/>
        <rFont val="Arial"/>
        <family val="2"/>
      </rPr>
      <t>LWL</t>
    </r>
    <r>
      <rPr>
        <sz val="10"/>
        <rFont val="Arial"/>
        <family val="2"/>
      </rPr>
      <t>)</t>
    </r>
  </si>
  <si>
    <r>
      <t>Astilla Muerta Costados Cerca al LCG (</t>
    </r>
    <r>
      <rPr>
        <b/>
        <sz val="10"/>
        <rFont val="Arial"/>
        <family val="2"/>
      </rPr>
      <t>β</t>
    </r>
    <r>
      <rPr>
        <b/>
        <vertAlign val="subscript"/>
        <sz val="10"/>
        <rFont val="Arial"/>
        <family val="2"/>
      </rPr>
      <t>sx</t>
    </r>
    <r>
      <rPr>
        <sz val="10"/>
        <rFont val="Arial"/>
        <family val="2"/>
      </rPr>
      <t>) °</t>
    </r>
  </si>
  <si>
    <t>Relación velocidad/ eslora</t>
  </si>
  <si>
    <t>(lista desplegable)</t>
  </si>
  <si>
    <t>CATEGORÍA</t>
  </si>
  <si>
    <t>Factor categoría de diseño (Kdc)</t>
  </si>
  <si>
    <t>Altura de ola [m]</t>
  </si>
  <si>
    <t>Categoría de Diseño</t>
  </si>
  <si>
    <t>AGUAS PROTEGIDAS</t>
  </si>
  <si>
    <t>Factor de carga dinámica (n cg)</t>
  </si>
  <si>
    <t>x/LWL</t>
  </si>
  <si>
    <t>Factor longitudinal de distribución de presión (Kl)</t>
  </si>
  <si>
    <t>Factor de reducción de presión (Kar) minimo</t>
  </si>
  <si>
    <t>altura de parte superior del casco  desde Linea de flotación (Z)</t>
  </si>
  <si>
    <t>altura punto medio del refuerzo desde linea de flotación (h)</t>
  </si>
  <si>
    <t>Factor de reducción de presión (Kz)</t>
  </si>
  <si>
    <t>MER-179-117</t>
  </si>
  <si>
    <t>ARC-4020-117-01</t>
  </si>
  <si>
    <t>Estimar la resistencia longitudinal, a partir de la configuración estructural longitudinal de los elementos que conforman la Sección maestra por su grupo constructivo 100</t>
  </si>
  <si>
    <t>MODULO DE SECCIÓN</t>
  </si>
  <si>
    <t>N° SISTEMA</t>
  </si>
  <si>
    <t>NOMBRE SISTEMA / ELEMENTOS</t>
  </si>
  <si>
    <t>MATERIAL</t>
  </si>
  <si>
    <t>DIMENSIONES</t>
  </si>
  <si>
    <t>CANTIDAD</t>
  </si>
  <si>
    <t xml:space="preserve">AREA </t>
  </si>
  <si>
    <t>Yg</t>
  </si>
  <si>
    <t>My</t>
  </si>
  <si>
    <t>I</t>
  </si>
  <si>
    <t>I+Ad2</t>
  </si>
  <si>
    <t>x</t>
  </si>
  <si>
    <t>y</t>
  </si>
  <si>
    <t>z</t>
  </si>
  <si>
    <t>mx</t>
  </si>
  <si>
    <t>my</t>
  </si>
  <si>
    <t>mz</t>
  </si>
  <si>
    <t>Long.(mm)</t>
  </si>
  <si>
    <t>Espesor(mm)</t>
  </si>
  <si>
    <t>(u)</t>
  </si>
  <si>
    <t>(mm2)</t>
  </si>
  <si>
    <t>(mm)</t>
  </si>
  <si>
    <t>(mm2-mm)</t>
  </si>
  <si>
    <t>(mm4)</t>
  </si>
  <si>
    <t>(m)</t>
  </si>
  <si>
    <t>(Kg-m)</t>
  </si>
  <si>
    <t>(kg-m)</t>
  </si>
  <si>
    <t>Estructura de Casco</t>
  </si>
  <si>
    <t>Laminas del Forro Exterior</t>
  </si>
  <si>
    <t xml:space="preserve">Forro Fondo </t>
  </si>
  <si>
    <t>GFRP</t>
  </si>
  <si>
    <t>Forro Costado</t>
  </si>
  <si>
    <t>Forro Pantoque</t>
  </si>
  <si>
    <t>Forro superestructura</t>
  </si>
  <si>
    <t>Forro techo</t>
  </si>
  <si>
    <t>Cubierta</t>
  </si>
  <si>
    <t>Ref. Longitudinal fondo 500x230x6 480@LC</t>
  </si>
  <si>
    <t>Ref. Longitudinal fondo 400x230x6 940@LC</t>
  </si>
  <si>
    <t>Estructura Longitudinal</t>
  </si>
  <si>
    <t>Ref. Longitudinal costado 60x50x5   980@LB</t>
  </si>
  <si>
    <t>Ref. Longitudinal costado 60x50x5   1180@LB</t>
  </si>
  <si>
    <t>Ref. Longitudinal costado 60x50x5   2975@LB</t>
  </si>
  <si>
    <t>Calculo de Momento de Inercia</t>
  </si>
  <si>
    <r>
      <rPr>
        <b/>
        <sz val="10"/>
        <color theme="1"/>
        <rFont val="Arial"/>
        <family val="2"/>
      </rPr>
      <t>Ʃ</t>
    </r>
    <r>
      <rPr>
        <b/>
        <sz val="10"/>
        <color theme="1"/>
        <rFont val="Arial Unicode MS"/>
        <family val="2"/>
      </rPr>
      <t>Totales</t>
    </r>
  </si>
  <si>
    <t>Ʃarea (mm2)</t>
  </si>
  <si>
    <t>ƩMy (mm2-mm)</t>
  </si>
  <si>
    <t>ƩIy (mm4)</t>
  </si>
  <si>
    <t>X</t>
  </si>
  <si>
    <t>Y</t>
  </si>
  <si>
    <t>Z</t>
  </si>
  <si>
    <t>Ʃmx</t>
  </si>
  <si>
    <t>Ʃmy</t>
  </si>
  <si>
    <t>Ʃmz</t>
  </si>
  <si>
    <t>Sección transversal cuaderna maestra</t>
  </si>
  <si>
    <t>2440x6100mm</t>
  </si>
  <si>
    <t>PESO LAMINAS (kg)</t>
  </si>
  <si>
    <r>
      <t xml:space="preserve">Peso </t>
    </r>
    <r>
      <rPr>
        <sz val="10"/>
        <color theme="1"/>
        <rFont val="Arial Unicode MS"/>
        <family val="2"/>
      </rPr>
      <t>(Kg)</t>
    </r>
  </si>
  <si>
    <t>N° Perfiles</t>
  </si>
  <si>
    <t>127x6100mm</t>
  </si>
  <si>
    <t>Perfil L</t>
  </si>
  <si>
    <t>101,6x12000mm</t>
  </si>
  <si>
    <t>101,6x6100mm</t>
  </si>
  <si>
    <t>76,2x6100mm</t>
  </si>
  <si>
    <t>19,05x6000</t>
  </si>
  <si>
    <t>Barra</t>
  </si>
  <si>
    <t>PESO PERFILES (kg)</t>
  </si>
  <si>
    <t>PESO TOTAL REQUERIDO ACERO CASCO (kg)</t>
  </si>
  <si>
    <t>PESO TOTAL REQUERIDO ACCESORIOS CASCO (kg)</t>
  </si>
  <si>
    <t>Desperdicio</t>
  </si>
  <si>
    <t>PESO TOTAL GRUPO 100 - CASCO</t>
  </si>
  <si>
    <t>Cálculo de Centroides y Modulo Seccional</t>
  </si>
  <si>
    <t>RESUMEN MATERIALES</t>
  </si>
  <si>
    <t>Item</t>
  </si>
  <si>
    <t>Elemento</t>
  </si>
  <si>
    <t>Especificación</t>
  </si>
  <si>
    <t>Peso Kg</t>
  </si>
  <si>
    <t>Formato</t>
  </si>
  <si>
    <t>Cantidad #</t>
  </si>
  <si>
    <t>Estand. Mate.</t>
  </si>
  <si>
    <r>
      <t xml:space="preserve">Esp.
</t>
    </r>
    <r>
      <rPr>
        <sz val="10"/>
        <color theme="1"/>
        <rFont val="Arial Unicode MS"/>
        <family val="2"/>
      </rPr>
      <t>(mm)</t>
    </r>
  </si>
  <si>
    <t>Lamina acero</t>
  </si>
  <si>
    <t>A131</t>
  </si>
  <si>
    <t>1830x6100</t>
  </si>
  <si>
    <t>2440x6100</t>
  </si>
  <si>
    <t>Perfil L acero</t>
  </si>
  <si>
    <t>A36</t>
  </si>
  <si>
    <t>127x6000</t>
  </si>
  <si>
    <t>101,6x12000</t>
  </si>
  <si>
    <t>101,6x6000</t>
  </si>
  <si>
    <t>76,2x6000</t>
  </si>
  <si>
    <t>Tuberia DN 4" SCH 40</t>
  </si>
  <si>
    <t>Long=6 mts</t>
  </si>
  <si>
    <t>Por comprar por parte del Cliente</t>
  </si>
  <si>
    <t>Tuberia DN 2" SCH 40</t>
  </si>
  <si>
    <t>Barra circular acero</t>
  </si>
  <si>
    <t>19,06x6000</t>
  </si>
  <si>
    <r>
      <t xml:space="preserve">TUBERIA Y CONEXIONES GRUPO 500 </t>
    </r>
    <r>
      <rPr>
        <sz val="10"/>
        <color theme="1"/>
        <rFont val="Arial Unicode MS"/>
        <family val="2"/>
      </rPr>
      <t>(kg)</t>
    </r>
  </si>
  <si>
    <t>Tronco de Expansion</t>
  </si>
  <si>
    <t>Acero</t>
  </si>
  <si>
    <t>N/A</t>
  </si>
  <si>
    <t>24"x42"</t>
  </si>
  <si>
    <t>Tapa estanca no rasante</t>
  </si>
  <si>
    <t>18"x24"</t>
  </si>
  <si>
    <t>Tapa estanca rasante</t>
  </si>
  <si>
    <t>Tapa lavado</t>
  </si>
  <si>
    <t>14"</t>
  </si>
  <si>
    <t>Enjaretado</t>
  </si>
  <si>
    <t>25X5 Tipo T, W=600mm</t>
  </si>
  <si>
    <t>http://www.taesmet.com/catalogo_rejillas.pdf</t>
  </si>
  <si>
    <t>http://www.colrejillas.com/estructuras-metalicas.html</t>
  </si>
  <si>
    <r>
      <t xml:space="preserve">ACCESORIOS GRUPO 500 </t>
    </r>
    <r>
      <rPr>
        <sz val="10"/>
        <color theme="1"/>
        <rFont val="Arial Unicode MS"/>
        <family val="2"/>
      </rPr>
      <t>(kg)</t>
    </r>
  </si>
  <si>
    <t>Centroides (mm)</t>
  </si>
  <si>
    <t>Xcg</t>
  </si>
  <si>
    <t>Ycg</t>
  </si>
  <si>
    <t>Distancia a la fibra externa(m)</t>
  </si>
  <si>
    <t>C1(m)</t>
  </si>
  <si>
    <t>C2(m)</t>
  </si>
  <si>
    <t>Fondo</t>
  </si>
  <si>
    <t xml:space="preserve">Modulo seccional  Cuaderna Maestra </t>
  </si>
  <si>
    <r>
      <t>Smax(cm</t>
    </r>
    <r>
      <rPr>
        <b/>
        <sz val="10"/>
        <color theme="1"/>
        <rFont val="Calibri"/>
        <family val="2"/>
      </rPr>
      <t>²</t>
    </r>
    <r>
      <rPr>
        <b/>
        <sz val="10"/>
        <color theme="1"/>
        <rFont val="Arial Unicode MS"/>
        <family val="2"/>
      </rPr>
      <t>-</t>
    </r>
    <r>
      <rPr>
        <sz val="10"/>
        <color theme="1"/>
        <rFont val="Arial Unicode MS"/>
        <family val="2"/>
      </rPr>
      <t>m</t>
    </r>
    <r>
      <rPr>
        <b/>
        <sz val="10"/>
        <color theme="1"/>
        <rFont val="Arial Unicode MS"/>
        <family val="2"/>
      </rPr>
      <t>)</t>
    </r>
  </si>
  <si>
    <t xml:space="preserve">Cubierta </t>
  </si>
  <si>
    <r>
      <t>Smin(cm</t>
    </r>
    <r>
      <rPr>
        <b/>
        <sz val="10"/>
        <color theme="1"/>
        <rFont val="Calibri"/>
        <family val="2"/>
      </rPr>
      <t>²</t>
    </r>
    <r>
      <rPr>
        <b/>
        <sz val="10"/>
        <color theme="1"/>
        <rFont val="Arial Unicode MS"/>
        <family val="2"/>
      </rPr>
      <t>-</t>
    </r>
    <r>
      <rPr>
        <sz val="10"/>
        <color theme="1"/>
        <rFont val="Arial Unicode MS"/>
        <family val="2"/>
      </rPr>
      <t>m</t>
    </r>
    <r>
      <rPr>
        <b/>
        <sz val="10"/>
        <color theme="1"/>
        <rFont val="Arial Unicode MS"/>
        <family val="2"/>
      </rPr>
      <t>)</t>
    </r>
  </si>
  <si>
    <t>Seleccionar material (lista desplegable)</t>
  </si>
  <si>
    <t xml:space="preserve">Cálculo de Modulo Seccional Mínimo Norma  </t>
  </si>
  <si>
    <r>
      <t>SM</t>
    </r>
    <r>
      <rPr>
        <sz val="10"/>
        <color theme="1"/>
        <rFont val="Calibri"/>
        <family val="2"/>
        <scheme val="minor"/>
      </rPr>
      <t>R= Modulo Seccional Minimo Requerido(cm</t>
    </r>
    <r>
      <rPr>
        <sz val="10"/>
        <color theme="1"/>
        <rFont val="Calibri"/>
        <family val="2"/>
      </rPr>
      <t>²</t>
    </r>
    <r>
      <rPr>
        <sz val="10"/>
        <color theme="1"/>
        <rFont val="Calibri"/>
        <family val="2"/>
        <scheme val="minor"/>
      </rPr>
      <t>-m</t>
    </r>
  </si>
  <si>
    <r>
      <t>cm</t>
    </r>
    <r>
      <rPr>
        <b/>
        <sz val="11"/>
        <color theme="1"/>
        <rFont val="Calibri"/>
        <family val="2"/>
      </rPr>
      <t>²-m</t>
    </r>
  </si>
  <si>
    <r>
      <rPr>
        <b/>
        <i/>
        <sz val="10"/>
        <color theme="1"/>
        <rFont val="Arial Unicode MS"/>
      </rPr>
      <t xml:space="preserve">REFERENCIA: </t>
    </r>
    <r>
      <rPr>
        <i/>
        <sz val="10"/>
        <color theme="1"/>
        <rFont val="Arial Unicode MS"/>
        <family val="2"/>
      </rPr>
      <t>ABS - RULES FOR BUILDING AND CLASSING -  HIGH SPEED CRAFT -  PART 3</t>
    </r>
  </si>
  <si>
    <t xml:space="preserve">Calculo Factor de Seguridad </t>
  </si>
  <si>
    <t>n=  Factor de Seguridad Modulo  Smin/SMR</t>
  </si>
  <si>
    <t>Smin</t>
  </si>
  <si>
    <r>
      <t>SM</t>
    </r>
    <r>
      <rPr>
        <i/>
        <sz val="8"/>
        <color theme="1"/>
        <rFont val="Arial Unicode MS"/>
        <family val="2"/>
      </rPr>
      <t>R</t>
    </r>
  </si>
  <si>
    <t>Observación: Modulo seccional de la cuaderna maestra cumple con lo requerido en la norma</t>
  </si>
  <si>
    <t>Nota 1, Modulo seccional de la cuaderna maestra cumple con lo requerido en la norma</t>
  </si>
  <si>
    <t>Dawin Jimenez Vargas</t>
  </si>
  <si>
    <t xml:space="preserve">IS_ESTRUCTURAS Y MATERIALES </t>
  </si>
  <si>
    <t xml:space="preserve">MÓDULO DE SECCIÓN </t>
  </si>
  <si>
    <t>Datos de cálculo</t>
  </si>
  <si>
    <t>C1</t>
  </si>
  <si>
    <t>C2</t>
  </si>
  <si>
    <t>K3</t>
  </si>
  <si>
    <t>C_al</t>
  </si>
  <si>
    <t>C_fv</t>
  </si>
  <si>
    <t>Q</t>
  </si>
  <si>
    <t>Q_fibra</t>
  </si>
  <si>
    <t>Sy</t>
  </si>
  <si>
    <t>MPa</t>
  </si>
  <si>
    <t>q5</t>
  </si>
  <si>
    <t>1/MPa</t>
  </si>
  <si>
    <t>Cb</t>
  </si>
  <si>
    <t>K</t>
  </si>
  <si>
    <t>aluminio</t>
  </si>
  <si>
    <t>SM</t>
  </si>
  <si>
    <t>cm^2-m</t>
  </si>
  <si>
    <t>Momento de inercia</t>
  </si>
  <si>
    <t>cm^2-m^2</t>
  </si>
  <si>
    <r>
      <rPr>
        <b/>
        <sz val="11"/>
        <color theme="1"/>
        <rFont val="Calibri"/>
        <family val="2"/>
        <scheme val="minor"/>
      </rPr>
      <t>REFERENCIA</t>
    </r>
    <r>
      <rPr>
        <sz val="11"/>
        <color theme="1"/>
        <rFont val="Calibri"/>
        <family val="2"/>
        <scheme val="minor"/>
      </rPr>
      <t>: ABS - RULES FOR BUILDING AND CLASSING -  HIGH SPEED CRAFT -  PART 3</t>
    </r>
  </si>
  <si>
    <t>Categorias de diseño</t>
  </si>
  <si>
    <t>Kdc</t>
  </si>
  <si>
    <t>altura de ola</t>
  </si>
  <si>
    <t>A</t>
  </si>
  <si>
    <t>OCEANICA</t>
  </si>
  <si>
    <t>B</t>
  </si>
  <si>
    <t>AGUAS AFUERA</t>
  </si>
  <si>
    <t>C</t>
  </si>
  <si>
    <t>AGUAS ADENTRO</t>
  </si>
  <si>
    <t>D</t>
  </si>
  <si>
    <t>PRESIONES DE DISEÑO PARA LAS EMBARCACIONES A MOTOR</t>
  </si>
  <si>
    <t>modo:</t>
  </si>
  <si>
    <t>Presión en el fondo</t>
  </si>
  <si>
    <t>kN/m2</t>
  </si>
  <si>
    <t>Presión en el costado</t>
  </si>
  <si>
    <t>Presión en amura</t>
  </si>
  <si>
    <t>Presión en cabinas</t>
  </si>
  <si>
    <t>Presión en cubierta</t>
  </si>
  <si>
    <t xml:space="preserve">Mamparos estancos </t>
  </si>
  <si>
    <t>altura de la carga de agua (h)</t>
  </si>
  <si>
    <t xml:space="preserve">Mamparos de colisión </t>
  </si>
  <si>
    <t>ESPESORES REQUERIDOS PARA ALUMINIO</t>
  </si>
  <si>
    <t>ESPESORES DE LÁMINAS GFRP- SÓLIDOS Y SANDWICH</t>
  </si>
  <si>
    <t>σuw (soldado)</t>
  </si>
  <si>
    <t>N/mm2</t>
  </si>
  <si>
    <t>σut</t>
  </si>
  <si>
    <t>Esf. Diseño σd</t>
  </si>
  <si>
    <t>Propiedades del núcleo para soportar cortante</t>
  </si>
  <si>
    <t>*factor curvatura (kc)</t>
  </si>
  <si>
    <t>K4_CASCO</t>
  </si>
  <si>
    <t>tipo</t>
  </si>
  <si>
    <t>fact. Diseño</t>
  </si>
  <si>
    <t>E. fluencia, cortante N/mm2</t>
  </si>
  <si>
    <t>E. fluencia, diseño cortante N/mm2</t>
  </si>
  <si>
    <t>espacio entre refuerzos (b)</t>
  </si>
  <si>
    <t>K4_COSTADOS</t>
  </si>
  <si>
    <t>Nucleo PVC , SAN,lineal. &gt;35% S. strain</t>
  </si>
  <si>
    <t>curvatura (c)</t>
  </si>
  <si>
    <t>K4_CUBIERTA</t>
  </si>
  <si>
    <t>Espesor de núcleo</t>
  </si>
  <si>
    <t>Espacio entre cuadernas (s)</t>
  </si>
  <si>
    <t>K5</t>
  </si>
  <si>
    <t>Espesor de sandwich minimo requerido para soportar cortante</t>
  </si>
  <si>
    <t>l/b</t>
  </si>
  <si>
    <t>K6</t>
  </si>
  <si>
    <t>kc</t>
  </si>
  <si>
    <t>k2</t>
  </si>
  <si>
    <t>Ksch</t>
  </si>
  <si>
    <t>k3</t>
  </si>
  <si>
    <t>b</t>
  </si>
  <si>
    <t>Se toma el mayor valor registrado</t>
  </si>
  <si>
    <t>Gramaje mínimo</t>
  </si>
  <si>
    <t>P</t>
  </si>
  <si>
    <t>kPa</t>
  </si>
  <si>
    <t>Espesor en el fondo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</si>
  <si>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6mm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</si>
  <si>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 1/4 in</t>
    </r>
  </si>
  <si>
    <t>FONDO</t>
  </si>
  <si>
    <t>Espesor mínimo forro laminado solido</t>
  </si>
  <si>
    <t>kg/m2</t>
  </si>
  <si>
    <t>Espesor mínimo de nucleo</t>
  </si>
  <si>
    <t>* Valido para la cubierta</t>
  </si>
  <si>
    <t>COSTADO</t>
  </si>
  <si>
    <t>Espesor en el costado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</si>
  <si>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3mm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</si>
  <si>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1/8 in</t>
    </r>
  </si>
  <si>
    <t>CUBIERTA</t>
  </si>
  <si>
    <t>CABINA</t>
  </si>
  <si>
    <t>Espesor en amura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</si>
  <si>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2mm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</si>
  <si>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3/32 in</t>
    </r>
  </si>
  <si>
    <t>* se debe verificar la aceptación del espesor del laminado con base en la masa de fibra seca por cada metro cuadrado</t>
  </si>
  <si>
    <t>Espesor en cabinas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</si>
  <si>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1mm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</si>
  <si>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 3/64 in</t>
    </r>
  </si>
  <si>
    <t xml:space="preserve">N° Capa </t>
  </si>
  <si>
    <t>REFUERZO</t>
  </si>
  <si>
    <t>GRAMAJE</t>
  </si>
  <si>
    <t>REL. FIBRA</t>
  </si>
  <si>
    <t>t(mm)</t>
  </si>
  <si>
    <t>propiedades de fondo</t>
  </si>
  <si>
    <t>Espesor en cubierta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</si>
  <si>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5/64 in</t>
    </r>
  </si>
  <si>
    <t>MAT225</t>
  </si>
  <si>
    <t xml:space="preserve">cantidad total de fibra </t>
  </si>
  <si>
    <t>BIAX0/90</t>
  </si>
  <si>
    <t>% total de fibra</t>
  </si>
  <si>
    <t>%</t>
  </si>
  <si>
    <t xml:space="preserve">espesor nominal </t>
  </si>
  <si>
    <t>Espesor minimo del fondo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</si>
  <si>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4mm</t>
    </r>
  </si>
  <si>
    <t>FS</t>
  </si>
  <si>
    <t>k5</t>
  </si>
  <si>
    <t>k7</t>
  </si>
  <si>
    <t>k8</t>
  </si>
  <si>
    <t>COSTADOS</t>
  </si>
  <si>
    <t>Espesor minimo del costado/espejo</t>
  </si>
  <si>
    <t>propiedades de costado</t>
  </si>
  <si>
    <t>Espesor minimo de cubierta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</si>
  <si>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0,072 in</t>
    </r>
  </si>
  <si>
    <t>LAMINADO DE CUBIERTA PRINCIPAL</t>
  </si>
  <si>
    <t>propiedades de cubierta principal</t>
  </si>
  <si>
    <t xml:space="preserve">LAMINADO DE COSTADOS DE LA SUPERESTRUCTURA </t>
  </si>
  <si>
    <t>propiedades de superestructura</t>
  </si>
  <si>
    <t>Laminación del casco y superestructura</t>
  </si>
  <si>
    <t>LAMINADO DEL TECHO DE LA SUPERESTRUCTURA - sandwich</t>
  </si>
  <si>
    <t xml:space="preserve">Propiedades requeridas </t>
  </si>
  <si>
    <t>Propiedades del panel</t>
  </si>
  <si>
    <t>SM mínima requerida EXT</t>
  </si>
  <si>
    <t>cm3/cm</t>
  </si>
  <si>
    <t>SM EXT</t>
  </si>
  <si>
    <t>SM mínima requerida INT</t>
  </si>
  <si>
    <t>SM INT</t>
  </si>
  <si>
    <t>Inercia min. Requerida</t>
  </si>
  <si>
    <t>cm4/cm</t>
  </si>
  <si>
    <t>Inercia</t>
  </si>
  <si>
    <t>NÚCLEO</t>
  </si>
  <si>
    <t>PRIMACORE 100</t>
  </si>
  <si>
    <t>dimension menor del panel b</t>
  </si>
  <si>
    <t>tc</t>
  </si>
  <si>
    <t>tt</t>
  </si>
  <si>
    <t>factor de alargamiento</t>
  </si>
  <si>
    <t>Presión</t>
  </si>
  <si>
    <t>t0</t>
  </si>
  <si>
    <t>Ruptura por tracción</t>
  </si>
  <si>
    <t>ti</t>
  </si>
  <si>
    <t>Ec</t>
  </si>
  <si>
    <t>ts</t>
  </si>
  <si>
    <t>Eco</t>
  </si>
  <si>
    <t>y0</t>
  </si>
  <si>
    <t>Gc</t>
  </si>
  <si>
    <t>yi</t>
  </si>
  <si>
    <t>masa minima de fibra exterior</t>
  </si>
  <si>
    <t>masa minima de fibra interior</t>
  </si>
  <si>
    <t>LAMINADO DE LA CUBIERTA INTERNA - sandwich</t>
  </si>
  <si>
    <t>E</t>
  </si>
  <si>
    <t>LAMINADO DE LOS MAMPAROS - sandwich</t>
  </si>
  <si>
    <t>Balso "end grain"</t>
  </si>
  <si>
    <t>Nucleo PVC ret. &lt;35% S. strain</t>
  </si>
  <si>
    <t>Honeycomb</t>
  </si>
  <si>
    <t>REFUERZOS - ESFUERZOS DE DISEÑO- GFRP</t>
  </si>
  <si>
    <t xml:space="preserve">Esfuerzo de diseño a la tracción </t>
  </si>
  <si>
    <t>N/mm^2</t>
  </si>
  <si>
    <t>Esfuerzo de diseño a cortante (TD)</t>
  </si>
  <si>
    <t>KSA</t>
  </si>
  <si>
    <t>s</t>
  </si>
  <si>
    <t>Lu</t>
  </si>
  <si>
    <t>KCS</t>
  </si>
  <si>
    <t>Superficie del Alma Aw</t>
  </si>
  <si>
    <t>Superficie del Alma (Aw) geometría</t>
  </si>
  <si>
    <t>Refuerzos long. Fondo (Aw)</t>
  </si>
  <si>
    <t>cm^2</t>
  </si>
  <si>
    <t xml:space="preserve">Refuerzos long. Fondo </t>
  </si>
  <si>
    <t>Refuerzos long. costados  (Aw)</t>
  </si>
  <si>
    <t xml:space="preserve">Refuerzos long. costados </t>
  </si>
  <si>
    <t>Refuerzos trans. cubierta (Aw)</t>
  </si>
  <si>
    <t xml:space="preserve">Refuerzos trans. cubierta </t>
  </si>
  <si>
    <t>Modulo de sección Sm</t>
  </si>
  <si>
    <t>Modulo de sección (Sm) geometría</t>
  </si>
  <si>
    <t>REFUERZOS DE FONDO</t>
  </si>
  <si>
    <t>Refuerzos long. Fondo (Sm)</t>
  </si>
  <si>
    <t>cm3</t>
  </si>
  <si>
    <t>F.S</t>
  </si>
  <si>
    <t xml:space="preserve">Inercia minima </t>
  </si>
  <si>
    <t>cm^4</t>
  </si>
  <si>
    <t>Ancho mm</t>
  </si>
  <si>
    <t>alto mm</t>
  </si>
  <si>
    <t>E N/mm2</t>
  </si>
  <si>
    <t>ÁREA  mm2</t>
  </si>
  <si>
    <t>AE</t>
  </si>
  <si>
    <t>AEyi</t>
  </si>
  <si>
    <t>AEyi^2</t>
  </si>
  <si>
    <t>Rigidez EI N/mm2</t>
  </si>
  <si>
    <t>EI tot</t>
  </si>
  <si>
    <t>ZCRIT</t>
  </si>
  <si>
    <t>SM [cm3]</t>
  </si>
  <si>
    <t>ESFUERZO  FLEX. N/mm2</t>
  </si>
  <si>
    <t>I [cm4]</t>
  </si>
  <si>
    <t>Forro efectivo</t>
  </si>
  <si>
    <t>Laminación del refuerzo ALA</t>
  </si>
  <si>
    <t>Refuerzos long. costados (Sm)</t>
  </si>
  <si>
    <t>Laminación del refuerzo ALMA</t>
  </si>
  <si>
    <t>Laminación del refuerzo ángulo</t>
  </si>
  <si>
    <t>TOTAL</t>
  </si>
  <si>
    <t>lu</t>
  </si>
  <si>
    <t xml:space="preserve">Quilla </t>
  </si>
  <si>
    <t>Refuerzo trnas. cubierta (Sm)</t>
  </si>
  <si>
    <t>Espesor</t>
  </si>
  <si>
    <t>Varenga fondo</t>
  </si>
  <si>
    <t>alto</t>
  </si>
  <si>
    <t>ancho W</t>
  </si>
  <si>
    <t>varenga costado</t>
  </si>
  <si>
    <t>varenga fondo (Sm)</t>
  </si>
  <si>
    <t>%fibra</t>
  </si>
  <si>
    <t>Et</t>
  </si>
  <si>
    <t>Eje neutro</t>
  </si>
  <si>
    <t>cm4</t>
  </si>
  <si>
    <t>varenga costado (Sm)</t>
  </si>
  <si>
    <t>EI</t>
  </si>
  <si>
    <t>REFUERZOS DE COSTADO</t>
  </si>
  <si>
    <t>REFUERZOS DE SUPERESTRUCTURA</t>
  </si>
  <si>
    <t>CÁLCULOS DE INERCIAS EN LÍNEA NEUTRA Y ESFUERZOS CORTANTES</t>
  </si>
  <si>
    <t>Momento flector de diseño</t>
  </si>
  <si>
    <t>Presión de Diseño P [kN/mm2]</t>
  </si>
  <si>
    <t>luz de refuerzo lu</t>
  </si>
  <si>
    <t>separación de refuerzos</t>
  </si>
  <si>
    <t xml:space="preserve">coeficiente de cortante </t>
  </si>
  <si>
    <t>Fuerza cortante de diseño N</t>
  </si>
  <si>
    <t>N.m</t>
  </si>
  <si>
    <t>N.mm</t>
  </si>
  <si>
    <t>ELEMENTO</t>
  </si>
  <si>
    <t>Módulo Et N/mm2</t>
  </si>
  <si>
    <t>Scu N/mm2</t>
  </si>
  <si>
    <t>Cortante Ult N/mm2</t>
  </si>
  <si>
    <t>fact. Esf. Diseño</t>
  </si>
  <si>
    <t>Esf. Diseño N/mm2</t>
  </si>
  <si>
    <t>Esf. Cort. Diseño N/mm2</t>
  </si>
  <si>
    <t>MAT 225</t>
  </si>
  <si>
    <t>BIAX 0/90</t>
  </si>
  <si>
    <t xml:space="preserve">CALCULADORA DE INERCIAS RESPECTO A LA LINEA NEUTRA </t>
  </si>
  <si>
    <t>Espesor laminación alma</t>
  </si>
  <si>
    <t>Espesor laminación ala</t>
  </si>
  <si>
    <t>EJE NEUTRO</t>
  </si>
  <si>
    <t>Zi respecto (0,0) [mm]</t>
  </si>
  <si>
    <t>Zi respecto a NA [mm]</t>
  </si>
  <si>
    <t>Area mm2</t>
  </si>
  <si>
    <t>E [N/mm2]</t>
  </si>
  <si>
    <t>EA</t>
  </si>
  <si>
    <t>ExAxz</t>
  </si>
  <si>
    <t>ExAxz2</t>
  </si>
  <si>
    <t xml:space="preserve">EI </t>
  </si>
  <si>
    <t>Eina</t>
  </si>
  <si>
    <t>Qi</t>
  </si>
  <si>
    <t>q</t>
  </si>
  <si>
    <t>Esf. Cortante</t>
  </si>
  <si>
    <t>ángulos</t>
  </si>
  <si>
    <t>alma sobre de NA</t>
  </si>
  <si>
    <t>alma bajo de NA</t>
  </si>
  <si>
    <t>ala</t>
  </si>
  <si>
    <t>ancho</t>
  </si>
  <si>
    <t xml:space="preserve">alma </t>
  </si>
  <si>
    <t>BRF 120</t>
  </si>
  <si>
    <t xml:space="preserve">  ESCANTILLONADO DEL CASCO DE BOTE DE BAJO CALADO EN ALUMINIO </t>
  </si>
  <si>
    <t xml:space="preserve">ABS - RULES FOR BUILDING AND CLASSING -  HIGH SPEED CRAFT -  PART 3 </t>
  </si>
  <si>
    <t>dimensiones  de escantillón (Símbolo)</t>
  </si>
  <si>
    <r>
      <t>*Calado (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>)</t>
    </r>
  </si>
  <si>
    <t>Vista de perfil</t>
  </si>
  <si>
    <t>Datos de Operación</t>
  </si>
  <si>
    <r>
      <t>**Aceleración Vertical CG (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cg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),g's</t>
    </r>
  </si>
  <si>
    <r>
      <t>Aceleración Vertical Cerca CG(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xx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),g's</t>
    </r>
  </si>
  <si>
    <r>
      <t>Trim de Navegacion (</t>
    </r>
    <r>
      <rPr>
        <b/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</rPr>
      <t>), °</t>
    </r>
  </si>
  <si>
    <r>
      <t>Altura de olas (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bscript"/>
        <sz val="11"/>
        <color theme="1"/>
        <rFont val="Calibri"/>
        <family val="2"/>
        <scheme val="minor"/>
      </rPr>
      <t>1/3</t>
    </r>
    <r>
      <rPr>
        <sz val="11"/>
        <color theme="1"/>
        <rFont val="Calibri"/>
        <family val="2"/>
        <scheme val="minor"/>
      </rPr>
      <t>), m</t>
    </r>
  </si>
  <si>
    <t>Vista de cubierta principal</t>
  </si>
  <si>
    <t>Altura de ola de diseño</t>
  </si>
  <si>
    <t>*El calado de escantillón no puede ser menor a</t>
  </si>
  <si>
    <t xml:space="preserve">PRESIONES DE DISEÑO </t>
  </si>
  <si>
    <t>Datos de Cálculo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</si>
  <si>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</si>
  <si>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</si>
  <si>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</si>
  <si>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H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</si>
  <si>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v</t>
    </r>
  </si>
  <si>
    <t>Fd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</si>
  <si>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v</t>
    </r>
  </si>
  <si>
    <t>W</t>
  </si>
  <si>
    <t>Hs</t>
  </si>
  <si>
    <t>W2</t>
  </si>
  <si>
    <t>Presión de Slamming en el fondo</t>
  </si>
  <si>
    <t>Presión hidrostatica</t>
  </si>
  <si>
    <t xml:space="preserve">Presiones en cubiertas </t>
  </si>
  <si>
    <t>Presión slamming espejo y costado</t>
  </si>
  <si>
    <t>Presión hidróstatica de costados</t>
  </si>
  <si>
    <t>PRESIÓN DE DISEÑO EN CUBIERTAS</t>
  </si>
  <si>
    <t>Cubiertas acomodamiento</t>
  </si>
  <si>
    <t>cubiertas con carga concentrada, bases de equipos</t>
  </si>
  <si>
    <t>persona de 100 kg parada sobre cubierta</t>
  </si>
  <si>
    <t>persona de 100 kg parada sobre cubierta y afuste del arma principal</t>
  </si>
  <si>
    <t>Compartimientos para almacenamiento combustible</t>
  </si>
  <si>
    <t>densidad de carga</t>
  </si>
  <si>
    <t>kN/m3</t>
  </si>
  <si>
    <t>h</t>
  </si>
  <si>
    <t>MAMPARO DE TANQUES FIJOS</t>
  </si>
  <si>
    <t>N3</t>
  </si>
  <si>
    <t>Compartimientos de maquinaria</t>
  </si>
  <si>
    <t>presión</t>
  </si>
  <si>
    <t xml:space="preserve">cubierta expuesta </t>
  </si>
  <si>
    <t xml:space="preserve">cubierta interna </t>
  </si>
  <si>
    <t>PRESIONES DE DISEÑO DE SUPERESTRUCTURA</t>
  </si>
  <si>
    <t>Placas frontales</t>
  </si>
  <si>
    <t>rigidizadores frontales</t>
  </si>
  <si>
    <t>Superestructura en popa</t>
  </si>
  <si>
    <t>rigidizadores en popa</t>
  </si>
  <si>
    <t>"house tops" delante de sección media placas y rigidizadores</t>
  </si>
  <si>
    <t>"house tops" hacia popa placas y rigidizadores</t>
  </si>
  <si>
    <t xml:space="preserve">Espesor de paneles </t>
  </si>
  <si>
    <t>Espesor por carga lateral</t>
  </si>
  <si>
    <t>Datos</t>
  </si>
  <si>
    <t>l</t>
  </si>
  <si>
    <t>k</t>
  </si>
  <si>
    <t>σy</t>
  </si>
  <si>
    <t>Mpa</t>
  </si>
  <si>
    <t xml:space="preserve"> aluminio soldado</t>
  </si>
  <si>
    <t>σa slamming</t>
  </si>
  <si>
    <t>σa hydros.</t>
  </si>
  <si>
    <t>qa</t>
  </si>
  <si>
    <t>plating</t>
  </si>
  <si>
    <t>espesor mínimo</t>
  </si>
  <si>
    <t>Espesor min. a usar</t>
  </si>
  <si>
    <t>carga lateral</t>
  </si>
  <si>
    <t>~PL  0.220 in</t>
  </si>
  <si>
    <t xml:space="preserve">Esfuerzos de diseño ABS </t>
  </si>
  <si>
    <t>S</t>
  </si>
  <si>
    <t>Tanque de combustible</t>
  </si>
  <si>
    <t>Espesor min.  a usar</t>
  </si>
  <si>
    <t>cuarto de maquinaria</t>
  </si>
  <si>
    <t>Relación de longitudes</t>
  </si>
  <si>
    <t xml:space="preserve">mamparos de tanques </t>
  </si>
  <si>
    <t>cubierta proa afuste arma principal</t>
  </si>
  <si>
    <t>PROPIEDADES DE REFUERZOS</t>
  </si>
  <si>
    <t>Según norma</t>
  </si>
  <si>
    <t>REFUERZOS LONGITUDINALES DE FONDO</t>
  </si>
  <si>
    <t>σa</t>
  </si>
  <si>
    <t>K4</t>
  </si>
  <si>
    <t>REFUERZOS LONGITUDINALES LATERALES</t>
  </si>
  <si>
    <t xml:space="preserve">Cuaderna maestra </t>
  </si>
  <si>
    <t>L</t>
  </si>
  <si>
    <t>ALTO</t>
  </si>
  <si>
    <t>ANCHO</t>
  </si>
  <si>
    <t>ESPESOR</t>
  </si>
  <si>
    <t>REFUERZOS TRANSVERSALES CUBIERTA</t>
  </si>
  <si>
    <t>area</t>
  </si>
  <si>
    <t>Ay</t>
  </si>
  <si>
    <t>forro</t>
  </si>
  <si>
    <t>Cálculo de inercias perfiles HP</t>
  </si>
  <si>
    <t>alma</t>
  </si>
  <si>
    <t>PROPIEDADES GEOMÉTRICAS</t>
  </si>
  <si>
    <t>eje neutro</t>
  </si>
  <si>
    <t>largo</t>
  </si>
  <si>
    <t>CM3</t>
  </si>
  <si>
    <t>Longitudinales</t>
  </si>
  <si>
    <t>espesor (mm)</t>
  </si>
  <si>
    <t>altura (mm)</t>
  </si>
  <si>
    <t>bulbo</t>
  </si>
  <si>
    <t>eje neutro (mm)</t>
  </si>
  <si>
    <t>mamp. Longitudinal</t>
  </si>
  <si>
    <t>Cálculo de inercias FB costado</t>
  </si>
  <si>
    <t>FB40x5</t>
  </si>
  <si>
    <t>forro efectivo</t>
  </si>
  <si>
    <t>MAMPARO LONGITUDINAL</t>
  </si>
  <si>
    <t>ancho (mm)</t>
  </si>
  <si>
    <t>BULBO</t>
  </si>
  <si>
    <t>I1 cm4</t>
  </si>
  <si>
    <t>area (mm2)</t>
  </si>
  <si>
    <t>I2 cm4</t>
  </si>
  <si>
    <t>quilla</t>
  </si>
  <si>
    <t>Cuaderna Maestra</t>
  </si>
  <si>
    <t>Cálculo de inercias perfiles T</t>
  </si>
  <si>
    <t>ay</t>
  </si>
  <si>
    <t>VARENGA FONDO</t>
  </si>
  <si>
    <t>Varenga costado</t>
  </si>
  <si>
    <t>BAO L 30X30X4</t>
  </si>
  <si>
    <t>Cálculo de inercias de perfiles L</t>
  </si>
  <si>
    <t>centroide</t>
  </si>
  <si>
    <t>a*y</t>
  </si>
  <si>
    <t>sección 1</t>
  </si>
  <si>
    <t>sección 2</t>
  </si>
  <si>
    <t>VARENGA COSTADO</t>
  </si>
  <si>
    <t>Longitudinales de costado</t>
  </si>
  <si>
    <t>eje neutro [mm]</t>
  </si>
  <si>
    <t>REFUERZOS MAMPARO ESTANCO</t>
  </si>
  <si>
    <t>Ref. Mamparo estanco</t>
  </si>
  <si>
    <t>Cálculo de inercias FB mamparo estanco</t>
  </si>
  <si>
    <t>Mamp.long</t>
  </si>
  <si>
    <t>refuerzo de cubierta</t>
  </si>
  <si>
    <t>refuerzos de cubierta</t>
  </si>
  <si>
    <t>Cálculo de inercias FB refuerzos de cubierta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</si>
</sst>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64" formatCode="0.0"/>
    <numFmt numFmtId="165" formatCode="0.00\ &quot;m&quot;"/>
    <numFmt numFmtId="166" formatCode="0.00\ &quot;kN/m^2&quot;"/>
    <numFmt numFmtId="167" formatCode="0.000"/>
    <numFmt numFmtId="168" formatCode="_(* #,##0.00_);_(* \(#,##0.00\);_(* &quot;-&quot;??_);_(@_)"/>
    <numFmt numFmtId="169" formatCode="_(* #,##0.0_);_(* \(#,##0.0\);_(* &quot;-&quot;??_);_(@_)"/>
    <numFmt numFmtId="170" formatCode="_(* #,##0.0_);_(* \(#,##0.0\);_(* &quot;-&quot;?_);_(@_)"/>
    <numFmt numFmtId="171" formatCode="_(* #,##0_);_(* \(#,##0\);_(* &quot;-&quot;??_);_(@_)"/>
    <numFmt numFmtId="172" formatCode="0.0000000000000000000000000"/>
    <numFmt numFmtId="173" formatCode="0.0000000000"/>
    <numFmt numFmtId="174" formatCode="0.0000"/>
    <numFmt numFmtId="175" formatCode="0.00000"/>
  </numFmts>
  <fonts count="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1"/>
      <charset val="2"/>
      <scheme val="minor"/>
    </font>
    <font>
      <b/>
      <sz val="11"/>
      <color rgb="FF00B050"/>
      <name val="Symbol"/>
      <family val="1"/>
      <charset val="2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u/>
      <sz val="14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sz val="9"/>
      <color theme="1"/>
      <name val="Arial Unicode MS"/>
      <family val="2"/>
    </font>
    <font>
      <i/>
      <sz val="10"/>
      <color theme="1"/>
      <name val="Arial Unicode MS"/>
      <family val="2"/>
    </font>
    <font>
      <sz val="10"/>
      <name val="Arial Unicode MS"/>
      <family val="2"/>
    </font>
    <font>
      <b/>
      <i/>
      <sz val="10"/>
      <color theme="1"/>
      <name val="Arial Unicode MS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 Unicode MS"/>
      <family val="2"/>
    </font>
    <font>
      <b/>
      <sz val="12"/>
      <color theme="1"/>
      <name val="Arial Unicode MS"/>
      <family val="2"/>
    </font>
    <font>
      <b/>
      <i/>
      <sz val="10"/>
      <color theme="1"/>
      <name val="Arial Unicode MS"/>
      <family val="2"/>
    </font>
    <font>
      <b/>
      <sz val="10"/>
      <name val="Arial Unicode MS"/>
      <family val="2"/>
    </font>
    <font>
      <b/>
      <sz val="10"/>
      <color theme="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 Unicode MS"/>
      <family val="2"/>
    </font>
    <font>
      <i/>
      <sz val="10"/>
      <color theme="1"/>
      <name val="Arial Unicode MS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71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2" fontId="0" fillId="0" borderId="14" xfId="0" applyNumberFormat="1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/>
    <xf numFmtId="0" fontId="0" fillId="0" borderId="25" xfId="0" applyBorder="1"/>
    <xf numFmtId="2" fontId="0" fillId="0" borderId="21" xfId="0" applyNumberFormat="1" applyBorder="1"/>
    <xf numFmtId="0" fontId="0" fillId="0" borderId="5" xfId="0" applyBorder="1"/>
    <xf numFmtId="0" fontId="0" fillId="0" borderId="26" xfId="0" applyBorder="1"/>
    <xf numFmtId="0" fontId="0" fillId="0" borderId="12" xfId="0" applyBorder="1"/>
    <xf numFmtId="0" fontId="0" fillId="0" borderId="27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64" fontId="0" fillId="0" borderId="27" xfId="0" applyNumberFormat="1" applyBorder="1"/>
    <xf numFmtId="0" fontId="0" fillId="0" borderId="6" xfId="0" applyBorder="1"/>
    <xf numFmtId="2" fontId="0" fillId="0" borderId="27" xfId="0" applyNumberFormat="1" applyBorder="1"/>
    <xf numFmtId="2" fontId="0" fillId="0" borderId="0" xfId="0" applyNumberFormat="1"/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2" borderId="5" xfId="0" applyFont="1" applyFill="1" applyBorder="1"/>
    <xf numFmtId="0" fontId="0" fillId="2" borderId="26" xfId="0" applyFill="1" applyBorder="1"/>
    <xf numFmtId="0" fontId="0" fillId="2" borderId="11" xfId="0" applyFill="1" applyBorder="1"/>
    <xf numFmtId="0" fontId="1" fillId="2" borderId="1" xfId="0" applyFont="1" applyFill="1" applyBorder="1"/>
    <xf numFmtId="0" fontId="3" fillId="2" borderId="1" xfId="1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2" fontId="0" fillId="4" borderId="0" xfId="0" applyNumberFormat="1" applyFill="1"/>
    <xf numFmtId="0" fontId="0" fillId="4" borderId="12" xfId="0" applyFill="1" applyBorder="1"/>
    <xf numFmtId="2" fontId="0" fillId="4" borderId="27" xfId="0" applyNumberFormat="1" applyFill="1" applyBorder="1"/>
    <xf numFmtId="0" fontId="0" fillId="4" borderId="13" xfId="0" applyFill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2" xfId="0" applyFont="1" applyBorder="1"/>
    <xf numFmtId="0" fontId="1" fillId="0" borderId="3" xfId="0" applyFont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0" borderId="2" xfId="1" applyBorder="1" applyAlignment="1">
      <alignment horizontal="right"/>
    </xf>
    <xf numFmtId="0" fontId="2" fillId="0" borderId="3" xfId="1" applyBorder="1" applyAlignment="1">
      <alignment horizontal="right"/>
    </xf>
    <xf numFmtId="0" fontId="2" fillId="0" borderId="4" xfId="1" applyBorder="1" applyAlignment="1">
      <alignment horizontal="right"/>
    </xf>
    <xf numFmtId="0" fontId="13" fillId="0" borderId="24" xfId="0" applyFont="1" applyBorder="1"/>
    <xf numFmtId="0" fontId="0" fillId="0" borderId="28" xfId="0" applyBorder="1"/>
    <xf numFmtId="0" fontId="0" fillId="2" borderId="0" xfId="0" applyFill="1"/>
    <xf numFmtId="0" fontId="14" fillId="0" borderId="0" xfId="0" applyFont="1"/>
    <xf numFmtId="164" fontId="0" fillId="0" borderId="0" xfId="0" applyNumberFormat="1"/>
    <xf numFmtId="0" fontId="1" fillId="4" borderId="0" xfId="0" applyFont="1" applyFill="1"/>
    <xf numFmtId="1" fontId="0" fillId="0" borderId="27" xfId="0" applyNumberFormat="1" applyBorder="1"/>
    <xf numFmtId="2" fontId="0" fillId="0" borderId="19" xfId="0" applyNumberFormat="1" applyBorder="1"/>
    <xf numFmtId="0" fontId="0" fillId="2" borderId="15" xfId="0" applyFill="1" applyBorder="1"/>
    <xf numFmtId="0" fontId="0" fillId="2" borderId="16" xfId="0" applyFill="1" applyBorder="1"/>
    <xf numFmtId="0" fontId="1" fillId="2" borderId="16" xfId="0" applyFont="1" applyFill="1" applyBorder="1"/>
    <xf numFmtId="0" fontId="1" fillId="0" borderId="18" xfId="0" applyFont="1" applyBorder="1"/>
    <xf numFmtId="0" fontId="1" fillId="0" borderId="20" xfId="0" applyFont="1" applyBorder="1"/>
    <xf numFmtId="0" fontId="1" fillId="0" borderId="14" xfId="0" applyFont="1" applyBorder="1"/>
    <xf numFmtId="0" fontId="1" fillId="0" borderId="21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16" xfId="0" applyFont="1" applyBorder="1"/>
    <xf numFmtId="0" fontId="0" fillId="2" borderId="5" xfId="0" applyFill="1" applyBorder="1"/>
    <xf numFmtId="0" fontId="0" fillId="2" borderId="7" xfId="0" applyFill="1" applyBorder="1"/>
    <xf numFmtId="0" fontId="0" fillId="2" borderId="27" xfId="0" applyFill="1" applyBorder="1"/>
    <xf numFmtId="0" fontId="0" fillId="2" borderId="13" xfId="0" applyFill="1" applyBorder="1"/>
    <xf numFmtId="2" fontId="0" fillId="0" borderId="29" xfId="0" applyNumberFormat="1" applyBorder="1"/>
    <xf numFmtId="0" fontId="0" fillId="5" borderId="17" xfId="0" applyFill="1" applyBorder="1"/>
    <xf numFmtId="0" fontId="0" fillId="5" borderId="22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0" xfId="0" applyFill="1"/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  <xf numFmtId="166" fontId="0" fillId="5" borderId="19" xfId="0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0" fontId="0" fillId="5" borderId="21" xfId="0" applyFill="1" applyBorder="1"/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5" borderId="27" xfId="0" applyNumberFormat="1" applyFill="1" applyBorder="1"/>
    <xf numFmtId="0" fontId="20" fillId="0" borderId="6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" fillId="0" borderId="3" xfId="1" applyBorder="1" applyAlignment="1">
      <alignment horizontal="left"/>
    </xf>
    <xf numFmtId="0" fontId="2" fillId="0" borderId="4" xfId="1" applyBorder="1" applyAlignment="1">
      <alignment horizontal="left"/>
    </xf>
    <xf numFmtId="0" fontId="2" fillId="0" borderId="1" xfId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1" fillId="0" borderId="30" xfId="0" applyFont="1" applyBorder="1" applyAlignment="1">
      <alignment wrapText="1"/>
    </xf>
    <xf numFmtId="0" fontId="1" fillId="2" borderId="26" xfId="0" applyFont="1" applyFill="1" applyBorder="1" applyAlignment="1">
      <alignment wrapText="1"/>
    </xf>
    <xf numFmtId="0" fontId="1" fillId="0" borderId="11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right"/>
    </xf>
    <xf numFmtId="0" fontId="0" fillId="6" borderId="27" xfId="0" applyFill="1" applyBorder="1"/>
    <xf numFmtId="0" fontId="0" fillId="2" borderId="27" xfId="0" applyFill="1" applyBorder="1" applyAlignment="1">
      <alignment horizontal="center" vertical="center"/>
    </xf>
    <xf numFmtId="0" fontId="0" fillId="2" borderId="29" xfId="0" applyFill="1" applyBorder="1"/>
    <xf numFmtId="0" fontId="0" fillId="2" borderId="30" xfId="0" applyFill="1" applyBorder="1"/>
    <xf numFmtId="0" fontId="0" fillId="0" borderId="1" xfId="0" applyBorder="1"/>
    <xf numFmtId="0" fontId="1" fillId="6" borderId="28" xfId="0" applyFont="1" applyFill="1" applyBorder="1" applyAlignment="1">
      <alignment horizontal="left" wrapText="1"/>
    </xf>
    <xf numFmtId="0" fontId="0" fillId="7" borderId="30" xfId="0" applyFill="1" applyBorder="1"/>
    <xf numFmtId="2" fontId="0" fillId="0" borderId="28" xfId="0" applyNumberFormat="1" applyBorder="1"/>
    <xf numFmtId="0" fontId="1" fillId="0" borderId="4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2" fontId="0" fillId="0" borderId="29" xfId="0" applyNumberFormat="1" applyBorder="1" applyAlignment="1">
      <alignment horizontal="left" indent="7"/>
    </xf>
    <xf numFmtId="167" fontId="0" fillId="0" borderId="29" xfId="0" applyNumberFormat="1" applyBorder="1"/>
    <xf numFmtId="0" fontId="0" fillId="7" borderId="26" xfId="0" applyFill="1" applyBorder="1"/>
    <xf numFmtId="0" fontId="0" fillId="0" borderId="3" xfId="0" applyBorder="1" applyAlignment="1">
      <alignment wrapText="1"/>
    </xf>
    <xf numFmtId="0" fontId="0" fillId="2" borderId="5" xfId="0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0" fillId="0" borderId="26" xfId="0" applyNumberFormat="1" applyBorder="1"/>
    <xf numFmtId="0" fontId="1" fillId="2" borderId="6" xfId="0" applyFont="1" applyFill="1" applyBorder="1" applyAlignment="1">
      <alignment horizontal="right"/>
    </xf>
    <xf numFmtId="2" fontId="0" fillId="0" borderId="26" xfId="0" applyNumberFormat="1" applyBorder="1"/>
    <xf numFmtId="164" fontId="0" fillId="0" borderId="29" xfId="0" applyNumberFormat="1" applyBorder="1"/>
    <xf numFmtId="1" fontId="0" fillId="0" borderId="29" xfId="0" applyNumberFormat="1" applyBorder="1"/>
    <xf numFmtId="164" fontId="0" fillId="4" borderId="0" xfId="0" applyNumberFormat="1" applyFill="1"/>
    <xf numFmtId="0" fontId="0" fillId="0" borderId="0" xfId="0" applyAlignment="1">
      <alignment horizontal="left"/>
    </xf>
    <xf numFmtId="0" fontId="25" fillId="0" borderId="0" xfId="0" applyFont="1"/>
    <xf numFmtId="0" fontId="26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8" fillId="5" borderId="33" xfId="0" applyFont="1" applyFill="1" applyBorder="1" applyAlignment="1">
      <alignment horizontal="left"/>
    </xf>
    <xf numFmtId="0" fontId="28" fillId="5" borderId="34" xfId="0" applyFont="1" applyFill="1" applyBorder="1" applyAlignment="1">
      <alignment horizontal="left"/>
    </xf>
    <xf numFmtId="0" fontId="28" fillId="5" borderId="34" xfId="0" applyFont="1" applyFill="1" applyBorder="1"/>
    <xf numFmtId="0" fontId="29" fillId="5" borderId="34" xfId="0" applyFont="1" applyFill="1" applyBorder="1"/>
    <xf numFmtId="169" fontId="28" fillId="5" borderId="34" xfId="2" applyNumberFormat="1" applyFont="1" applyFill="1" applyBorder="1" applyAlignment="1">
      <alignment horizontal="right"/>
    </xf>
    <xf numFmtId="0" fontId="29" fillId="5" borderId="35" xfId="0" applyFont="1" applyFill="1" applyBorder="1"/>
    <xf numFmtId="0" fontId="31" fillId="0" borderId="1" xfId="0" applyFont="1" applyBorder="1" applyAlignment="1">
      <alignment horizontal="center"/>
    </xf>
    <xf numFmtId="0" fontId="31" fillId="0" borderId="33" xfId="0" applyFont="1" applyBorder="1" applyAlignment="1">
      <alignment horizontal="left"/>
    </xf>
    <xf numFmtId="0" fontId="31" fillId="0" borderId="34" xfId="0" applyFont="1" applyBorder="1" applyAlignment="1">
      <alignment horizontal="left"/>
    </xf>
    <xf numFmtId="0" fontId="31" fillId="0" borderId="34" xfId="0" applyFont="1" applyBorder="1"/>
    <xf numFmtId="0" fontId="29" fillId="0" borderId="34" xfId="0" applyFont="1" applyBorder="1"/>
    <xf numFmtId="164" fontId="29" fillId="0" borderId="34" xfId="2" applyNumberFormat="1" applyFont="1" applyBorder="1"/>
    <xf numFmtId="0" fontId="29" fillId="0" borderId="35" xfId="0" applyFont="1" applyBorder="1"/>
    <xf numFmtId="0" fontId="29" fillId="0" borderId="0" xfId="0" applyFont="1"/>
    <xf numFmtId="0" fontId="32" fillId="0" borderId="6" xfId="0" applyFont="1" applyBorder="1" applyAlignment="1">
      <alignment horizontal="right"/>
    </xf>
    <xf numFmtId="0" fontId="29" fillId="0" borderId="0" xfId="0" applyFont="1" applyAlignment="1">
      <alignment horizontal="center"/>
    </xf>
    <xf numFmtId="39" fontId="29" fillId="0" borderId="0" xfId="2" applyNumberFormat="1" applyFont="1" applyFill="1" applyBorder="1"/>
    <xf numFmtId="4" fontId="29" fillId="0" borderId="0" xfId="2" applyNumberFormat="1" applyFont="1" applyFill="1" applyBorder="1" applyAlignment="1">
      <alignment horizontal="center"/>
    </xf>
    <xf numFmtId="11" fontId="29" fillId="0" borderId="0" xfId="0" applyNumberFormat="1" applyFont="1"/>
    <xf numFmtId="11" fontId="29" fillId="0" borderId="12" xfId="0" applyNumberFormat="1" applyFont="1" applyBorder="1"/>
    <xf numFmtId="0" fontId="31" fillId="5" borderId="1" xfId="0" applyFont="1" applyFill="1" applyBorder="1" applyAlignment="1">
      <alignment horizontal="center"/>
    </xf>
    <xf numFmtId="0" fontId="33" fillId="5" borderId="36" xfId="0" applyFont="1" applyFill="1" applyBorder="1" applyAlignment="1">
      <alignment horizontal="left"/>
    </xf>
    <xf numFmtId="0" fontId="31" fillId="5" borderId="37" xfId="0" applyFont="1" applyFill="1" applyBorder="1" applyAlignment="1">
      <alignment horizontal="left"/>
    </xf>
    <xf numFmtId="2" fontId="31" fillId="5" borderId="37" xfId="0" applyNumberFormat="1" applyFont="1" applyFill="1" applyBorder="1" applyAlignment="1">
      <alignment horizontal="center"/>
    </xf>
    <xf numFmtId="0" fontId="29" fillId="5" borderId="37" xfId="0" applyFont="1" applyFill="1" applyBorder="1"/>
    <xf numFmtId="164" fontId="29" fillId="5" borderId="37" xfId="2" applyNumberFormat="1" applyFont="1" applyFill="1" applyBorder="1"/>
    <xf numFmtId="0" fontId="29" fillId="5" borderId="37" xfId="0" applyFont="1" applyFill="1" applyBorder="1" applyAlignment="1">
      <alignment horizontal="center"/>
    </xf>
    <xf numFmtId="4" fontId="29" fillId="5" borderId="37" xfId="2" applyNumberFormat="1" applyFont="1" applyFill="1" applyBorder="1"/>
    <xf numFmtId="0" fontId="29" fillId="5" borderId="38" xfId="0" applyFont="1" applyFill="1" applyBorder="1"/>
    <xf numFmtId="169" fontId="29" fillId="0" borderId="0" xfId="2" applyNumberFormat="1" applyFont="1" applyFill="1" applyBorder="1"/>
    <xf numFmtId="169" fontId="29" fillId="10" borderId="34" xfId="2" applyNumberFormat="1" applyFont="1" applyFill="1" applyBorder="1" applyAlignment="1"/>
    <xf numFmtId="43" fontId="29" fillId="0" borderId="0" xfId="2" applyFont="1" applyFill="1" applyBorder="1" applyAlignment="1">
      <alignment horizontal="right"/>
    </xf>
    <xf numFmtId="169" fontId="29" fillId="0" borderId="40" xfId="2" applyNumberFormat="1" applyFont="1" applyBorder="1" applyAlignment="1"/>
    <xf numFmtId="169" fontId="28" fillId="0" borderId="0" xfId="2" applyNumberFormat="1" applyFont="1" applyFill="1" applyBorder="1" applyAlignment="1"/>
    <xf numFmtId="169" fontId="36" fillId="0" borderId="0" xfId="2" applyNumberFormat="1" applyFont="1" applyBorder="1" applyAlignment="1"/>
    <xf numFmtId="0" fontId="28" fillId="0" borderId="34" xfId="0" applyFont="1" applyBorder="1" applyAlignment="1">
      <alignment horizontal="center"/>
    </xf>
    <xf numFmtId="0" fontId="29" fillId="10" borderId="34" xfId="0" applyFont="1" applyFill="1" applyBorder="1" applyAlignment="1">
      <alignment horizontal="center"/>
    </xf>
    <xf numFmtId="0" fontId="29" fillId="10" borderId="34" xfId="0" applyFont="1" applyFill="1" applyBorder="1"/>
    <xf numFmtId="169" fontId="29" fillId="0" borderId="34" xfId="2" applyNumberFormat="1" applyFont="1" applyBorder="1" applyAlignment="1"/>
    <xf numFmtId="169" fontId="29" fillId="0" borderId="34" xfId="0" applyNumberFormat="1" applyFont="1" applyBorder="1"/>
    <xf numFmtId="170" fontId="0" fillId="0" borderId="0" xfId="0" applyNumberFormat="1"/>
    <xf numFmtId="0" fontId="28" fillId="10" borderId="34" xfId="0" applyFont="1" applyFill="1" applyBorder="1" applyAlignment="1">
      <alignment horizontal="center" wrapText="1"/>
    </xf>
    <xf numFmtId="0" fontId="28" fillId="10" borderId="34" xfId="0" applyFont="1" applyFill="1" applyBorder="1" applyAlignment="1">
      <alignment horizontal="center" vertical="center" wrapText="1"/>
    </xf>
    <xf numFmtId="169" fontId="29" fillId="0" borderId="0" xfId="2" applyNumberFormat="1" applyFont="1" applyFill="1" applyBorder="1" applyAlignment="1">
      <alignment horizontal="center"/>
    </xf>
    <xf numFmtId="169" fontId="29" fillId="0" borderId="0" xfId="2" applyNumberFormat="1" applyFont="1" applyFill="1" applyBorder="1" applyAlignment="1"/>
    <xf numFmtId="0" fontId="32" fillId="11" borderId="34" xfId="0" applyFont="1" applyFill="1" applyBorder="1" applyAlignment="1">
      <alignment horizontal="left"/>
    </xf>
    <xf numFmtId="0" fontId="32" fillId="11" borderId="34" xfId="0" applyFont="1" applyFill="1" applyBorder="1" applyAlignment="1">
      <alignment horizontal="center"/>
    </xf>
    <xf numFmtId="169" fontId="32" fillId="11" borderId="34" xfId="2" applyNumberFormat="1" applyFont="1" applyFill="1" applyBorder="1" applyAlignment="1"/>
    <xf numFmtId="1" fontId="32" fillId="11" borderId="34" xfId="0" applyNumberFormat="1" applyFont="1" applyFill="1" applyBorder="1" applyAlignment="1">
      <alignment horizontal="center"/>
    </xf>
    <xf numFmtId="0" fontId="29" fillId="11" borderId="34" xfId="0" applyFont="1" applyFill="1" applyBorder="1" applyAlignment="1">
      <alignment horizontal="left"/>
    </xf>
    <xf numFmtId="0" fontId="29" fillId="11" borderId="34" xfId="0" applyFont="1" applyFill="1" applyBorder="1" applyAlignment="1">
      <alignment horizontal="center"/>
    </xf>
    <xf numFmtId="164" fontId="29" fillId="11" borderId="34" xfId="0" applyNumberFormat="1" applyFont="1" applyFill="1" applyBorder="1" applyAlignment="1">
      <alignment horizontal="right" vertical="center"/>
    </xf>
    <xf numFmtId="1" fontId="29" fillId="11" borderId="34" xfId="0" applyNumberFormat="1" applyFont="1" applyFill="1" applyBorder="1" applyAlignment="1">
      <alignment horizontal="center" vertical="center"/>
    </xf>
    <xf numFmtId="0" fontId="28" fillId="0" borderId="40" xfId="0" applyFont="1" applyBorder="1"/>
    <xf numFmtId="2" fontId="26" fillId="0" borderId="40" xfId="0" applyNumberFormat="1" applyFont="1" applyBorder="1" applyAlignment="1">
      <alignment horizontal="center"/>
    </xf>
    <xf numFmtId="0" fontId="0" fillId="0" borderId="40" xfId="0" applyBorder="1"/>
    <xf numFmtId="0" fontId="28" fillId="0" borderId="34" xfId="0" applyFont="1" applyBorder="1"/>
    <xf numFmtId="1" fontId="26" fillId="0" borderId="34" xfId="0" applyNumberFormat="1" applyFont="1" applyBorder="1" applyAlignment="1">
      <alignment horizontal="center"/>
    </xf>
    <xf numFmtId="0" fontId="0" fillId="0" borderId="34" xfId="0" applyBorder="1"/>
    <xf numFmtId="0" fontId="28" fillId="0" borderId="40" xfId="0" applyFont="1" applyBorder="1" applyAlignment="1">
      <alignment vertical="center"/>
    </xf>
    <xf numFmtId="167" fontId="26" fillId="0" borderId="40" xfId="0" applyNumberFormat="1" applyFont="1" applyBorder="1" applyAlignment="1">
      <alignment horizontal="center"/>
    </xf>
    <xf numFmtId="0" fontId="28" fillId="0" borderId="34" xfId="0" applyFont="1" applyBorder="1" applyAlignment="1">
      <alignment vertical="center"/>
    </xf>
    <xf numFmtId="167" fontId="26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 vertical="top" wrapText="1"/>
    </xf>
    <xf numFmtId="0" fontId="30" fillId="0" borderId="34" xfId="0" applyFont="1" applyBorder="1" applyAlignment="1">
      <alignment horizontal="center" vertical="top"/>
    </xf>
    <xf numFmtId="174" fontId="0" fillId="0" borderId="0" xfId="0" applyNumberFormat="1"/>
    <xf numFmtId="167" fontId="0" fillId="0" borderId="0" xfId="0" applyNumberFormat="1"/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2" xfId="0" applyBorder="1" applyAlignment="1">
      <alignment horizontal="center"/>
    </xf>
    <xf numFmtId="168" fontId="0" fillId="0" borderId="0" xfId="0" applyNumberFormat="1"/>
    <xf numFmtId="43" fontId="29" fillId="0" borderId="0" xfId="2" applyFont="1" applyAlignment="1">
      <alignment horizontal="right"/>
    </xf>
    <xf numFmtId="9" fontId="0" fillId="0" borderId="0" xfId="3" applyFont="1"/>
    <xf numFmtId="169" fontId="29" fillId="0" borderId="0" xfId="2" applyNumberFormat="1" applyFont="1" applyFill="1"/>
    <xf numFmtId="164" fontId="29" fillId="0" borderId="0" xfId="0" applyNumberFormat="1" applyFont="1" applyAlignment="1">
      <alignment horizontal="center"/>
    </xf>
    <xf numFmtId="0" fontId="0" fillId="12" borderId="0" xfId="0" applyFill="1"/>
    <xf numFmtId="0" fontId="31" fillId="0" borderId="0" xfId="0" applyFont="1" applyAlignment="1">
      <alignment horizontal="left"/>
    </xf>
    <xf numFmtId="2" fontId="31" fillId="0" borderId="0" xfId="0" applyNumberFormat="1" applyFont="1" applyAlignment="1">
      <alignment horizontal="left"/>
    </xf>
    <xf numFmtId="1" fontId="31" fillId="0" borderId="0" xfId="0" applyNumberFormat="1" applyFont="1" applyAlignment="1">
      <alignment horizontal="left"/>
    </xf>
    <xf numFmtId="4" fontId="31" fillId="0" borderId="0" xfId="0" applyNumberFormat="1" applyFont="1" applyAlignment="1">
      <alignment horizontal="right"/>
    </xf>
    <xf numFmtId="0" fontId="0" fillId="0" borderId="40" xfId="0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wrapText="1"/>
    </xf>
    <xf numFmtId="0" fontId="29" fillId="4" borderId="27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30" fillId="4" borderId="27" xfId="0" applyFont="1" applyFill="1" applyBorder="1" applyAlignment="1">
      <alignment horizontal="center" vertical="top"/>
    </xf>
    <xf numFmtId="0" fontId="30" fillId="4" borderId="13" xfId="0" applyFont="1" applyFill="1" applyBorder="1" applyAlignment="1">
      <alignment horizontal="center" vertical="top"/>
    </xf>
    <xf numFmtId="0" fontId="29" fillId="4" borderId="2" xfId="0" applyFont="1" applyFill="1" applyBorder="1"/>
    <xf numFmtId="0" fontId="29" fillId="4" borderId="40" xfId="0" applyFont="1" applyFill="1" applyBorder="1" applyAlignment="1">
      <alignment horizontal="center"/>
    </xf>
    <xf numFmtId="0" fontId="35" fillId="4" borderId="12" xfId="0" applyFont="1" applyFill="1" applyBorder="1" applyAlignment="1">
      <alignment horizontal="center"/>
    </xf>
    <xf numFmtId="0" fontId="29" fillId="4" borderId="4" xfId="0" applyFont="1" applyFill="1" applyBorder="1"/>
    <xf numFmtId="0" fontId="29" fillId="4" borderId="27" xfId="0" applyFont="1" applyFill="1" applyBorder="1" applyAlignment="1">
      <alignment horizontal="center"/>
    </xf>
    <xf numFmtId="0" fontId="29" fillId="4" borderId="27" xfId="0" applyFont="1" applyFill="1" applyBorder="1"/>
    <xf numFmtId="39" fontId="29" fillId="4" borderId="27" xfId="2" applyNumberFormat="1" applyFont="1" applyFill="1" applyBorder="1"/>
    <xf numFmtId="164" fontId="29" fillId="4" borderId="27" xfId="0" applyNumberFormat="1" applyFont="1" applyFill="1" applyBorder="1"/>
    <xf numFmtId="4" fontId="29" fillId="4" borderId="27" xfId="0" applyNumberFormat="1" applyFont="1" applyFill="1" applyBorder="1"/>
    <xf numFmtId="164" fontId="32" fillId="4" borderId="27" xfId="0" applyNumberFormat="1" applyFont="1" applyFill="1" applyBorder="1"/>
    <xf numFmtId="11" fontId="29" fillId="4" borderId="13" xfId="0" applyNumberFormat="1" applyFont="1" applyFill="1" applyBorder="1"/>
    <xf numFmtId="0" fontId="28" fillId="4" borderId="34" xfId="0" applyFont="1" applyFill="1" applyBorder="1" applyAlignment="1">
      <alignment vertical="center"/>
    </xf>
    <xf numFmtId="4" fontId="26" fillId="4" borderId="37" xfId="0" applyNumberFormat="1" applyFont="1" applyFill="1" applyBorder="1" applyAlignment="1">
      <alignment horizontal="center"/>
    </xf>
    <xf numFmtId="167" fontId="0" fillId="4" borderId="37" xfId="0" applyNumberFormat="1" applyFill="1" applyBorder="1"/>
    <xf numFmtId="0" fontId="28" fillId="4" borderId="37" xfId="0" applyFont="1" applyFill="1" applyBorder="1" applyAlignment="1">
      <alignment vertical="center"/>
    </xf>
    <xf numFmtId="4" fontId="26" fillId="4" borderId="34" xfId="0" applyNumberFormat="1" applyFont="1" applyFill="1" applyBorder="1" applyAlignment="1">
      <alignment horizontal="center"/>
    </xf>
    <xf numFmtId="0" fontId="0" fillId="4" borderId="34" xfId="0" applyFill="1" applyBorder="1"/>
    <xf numFmtId="2" fontId="33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wrapText="1"/>
    </xf>
    <xf numFmtId="164" fontId="31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8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2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left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right"/>
    </xf>
    <xf numFmtId="0" fontId="26" fillId="0" borderId="0" xfId="0" applyFont="1"/>
    <xf numFmtId="0" fontId="32" fillId="0" borderId="0" xfId="0" applyFont="1" applyAlignment="1">
      <alignment horizontal="right"/>
    </xf>
    <xf numFmtId="4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5" borderId="4" xfId="0" applyFill="1" applyBorder="1"/>
    <xf numFmtId="0" fontId="1" fillId="0" borderId="0" xfId="0" applyFont="1"/>
    <xf numFmtId="0" fontId="1" fillId="0" borderId="43" xfId="0" applyFont="1" applyBorder="1" applyAlignment="1">
      <alignment horizontal="right"/>
    </xf>
    <xf numFmtId="2" fontId="0" fillId="0" borderId="43" xfId="0" applyNumberFormat="1" applyBorder="1"/>
    <xf numFmtId="0" fontId="1" fillId="2" borderId="15" xfId="0" applyFont="1" applyFill="1" applyBorder="1"/>
    <xf numFmtId="2" fontId="0" fillId="2" borderId="16" xfId="0" applyNumberFormat="1" applyFill="1" applyBorder="1"/>
    <xf numFmtId="2" fontId="0" fillId="0" borderId="22" xfId="0" applyNumberFormat="1" applyBorder="1"/>
    <xf numFmtId="0" fontId="47" fillId="0" borderId="0" xfId="0" applyFont="1"/>
    <xf numFmtId="0" fontId="1" fillId="0" borderId="5" xfId="0" applyFont="1" applyBorder="1"/>
    <xf numFmtId="0" fontId="18" fillId="0" borderId="0" xfId="0" applyFont="1"/>
    <xf numFmtId="0" fontId="2" fillId="0" borderId="0" xfId="1" applyAlignment="1">
      <alignment horizontal="left"/>
    </xf>
    <xf numFmtId="2" fontId="21" fillId="0" borderId="0" xfId="0" applyNumberFormat="1" applyFont="1" applyAlignment="1">
      <alignment horizontal="center"/>
    </xf>
    <xf numFmtId="2" fontId="21" fillId="5" borderId="6" xfId="0" applyNumberFormat="1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1" fillId="2" borderId="2" xfId="0" applyFont="1" applyFill="1" applyBorder="1"/>
    <xf numFmtId="0" fontId="48" fillId="0" borderId="5" xfId="0" applyFont="1" applyBorder="1"/>
    <xf numFmtId="0" fontId="48" fillId="0" borderId="7" xfId="0" applyFont="1" applyBorder="1"/>
    <xf numFmtId="0" fontId="48" fillId="0" borderId="27" xfId="0" applyFont="1" applyBorder="1"/>
    <xf numFmtId="0" fontId="50" fillId="5" borderId="1" xfId="0" applyFont="1" applyFill="1" applyBorder="1"/>
    <xf numFmtId="0" fontId="25" fillId="0" borderId="5" xfId="0" applyFont="1" applyBorder="1"/>
    <xf numFmtId="0" fontId="26" fillId="0" borderId="26" xfId="0" applyFont="1" applyBorder="1" applyAlignment="1">
      <alignment wrapText="1"/>
    </xf>
    <xf numFmtId="0" fontId="25" fillId="0" borderId="26" xfId="0" applyFont="1" applyBorder="1" applyAlignment="1">
      <alignment horizontal="left"/>
    </xf>
    <xf numFmtId="0" fontId="25" fillId="0" borderId="26" xfId="0" applyFont="1" applyBorder="1" applyAlignment="1">
      <alignment horizontal="right"/>
    </xf>
    <xf numFmtId="0" fontId="26" fillId="0" borderId="26" xfId="0" applyFont="1" applyBorder="1"/>
    <xf numFmtId="0" fontId="26" fillId="0" borderId="11" xfId="0" applyFont="1" applyBorder="1" applyAlignment="1">
      <alignment vertical="top" wrapText="1"/>
    </xf>
    <xf numFmtId="0" fontId="25" fillId="0" borderId="6" xfId="0" applyFont="1" applyBorder="1"/>
    <xf numFmtId="164" fontId="26" fillId="0" borderId="0" xfId="0" applyNumberFormat="1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25" fillId="0" borderId="0" xfId="0" applyFont="1" applyAlignment="1">
      <alignment vertical="top" wrapText="1"/>
    </xf>
    <xf numFmtId="0" fontId="25" fillId="0" borderId="12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13" fillId="0" borderId="5" xfId="0" applyFont="1" applyBorder="1"/>
    <xf numFmtId="164" fontId="0" fillId="0" borderId="19" xfId="0" applyNumberFormat="1" applyBorder="1"/>
    <xf numFmtId="164" fontId="0" fillId="0" borderId="22" xfId="0" applyNumberFormat="1" applyBorder="1"/>
    <xf numFmtId="164" fontId="0" fillId="0" borderId="28" xfId="0" applyNumberFormat="1" applyBorder="1"/>
    <xf numFmtId="2" fontId="0" fillId="5" borderId="0" xfId="0" applyNumberFormat="1" applyFill="1" applyAlignment="1">
      <alignment horizontal="center"/>
    </xf>
    <xf numFmtId="0" fontId="2" fillId="0" borderId="0" xfId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5" xfId="1" applyBorder="1" applyAlignment="1">
      <alignment horizontal="right"/>
    </xf>
    <xf numFmtId="2" fontId="0" fillId="5" borderId="26" xfId="0" applyNumberFormat="1" applyFill="1" applyBorder="1" applyAlignment="1">
      <alignment horizontal="center"/>
    </xf>
    <xf numFmtId="0" fontId="2" fillId="0" borderId="6" xfId="1" applyBorder="1" applyAlignment="1">
      <alignment horizontal="right"/>
    </xf>
    <xf numFmtId="0" fontId="2" fillId="0" borderId="7" xfId="1" applyBorder="1" applyAlignment="1">
      <alignment horizontal="right"/>
    </xf>
    <xf numFmtId="2" fontId="0" fillId="5" borderId="27" xfId="0" applyNumberFormat="1" applyFill="1" applyBorder="1" applyAlignment="1">
      <alignment horizontal="center"/>
    </xf>
    <xf numFmtId="0" fontId="11" fillId="0" borderId="0" xfId="0" applyFont="1"/>
    <xf numFmtId="0" fontId="10" fillId="2" borderId="7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7" xfId="0" applyFont="1" applyFill="1" applyBorder="1"/>
    <xf numFmtId="2" fontId="0" fillId="2" borderId="27" xfId="0" applyNumberFormat="1" applyFill="1" applyBorder="1"/>
    <xf numFmtId="0" fontId="1" fillId="2" borderId="28" xfId="0" applyFont="1" applyFill="1" applyBorder="1"/>
    <xf numFmtId="0" fontId="0" fillId="5" borderId="26" xfId="0" applyFill="1" applyBorder="1"/>
    <xf numFmtId="0" fontId="0" fillId="13" borderId="1" xfId="0" applyFill="1" applyBorder="1"/>
    <xf numFmtId="0" fontId="0" fillId="14" borderId="1" xfId="0" applyFill="1" applyBorder="1"/>
    <xf numFmtId="0" fontId="50" fillId="5" borderId="4" xfId="0" applyFont="1" applyFill="1" applyBorder="1"/>
    <xf numFmtId="0" fontId="13" fillId="0" borderId="28" xfId="0" applyFont="1" applyBorder="1"/>
    <xf numFmtId="2" fontId="0" fillId="0" borderId="27" xfId="0" applyNumberFormat="1" applyBorder="1" applyAlignment="1">
      <alignment horizontal="center"/>
    </xf>
    <xf numFmtId="0" fontId="0" fillId="0" borderId="44" xfId="0" applyBorder="1"/>
    <xf numFmtId="0" fontId="48" fillId="0" borderId="6" xfId="0" applyFont="1" applyBorder="1"/>
    <xf numFmtId="0" fontId="0" fillId="0" borderId="27" xfId="0" applyBorder="1" applyAlignment="1">
      <alignment horizontal="center"/>
    </xf>
    <xf numFmtId="2" fontId="0" fillId="2" borderId="17" xfId="0" applyNumberFormat="1" applyFill="1" applyBorder="1"/>
    <xf numFmtId="0" fontId="1" fillId="0" borderId="43" xfId="0" applyFont="1" applyBorder="1"/>
    <xf numFmtId="1" fontId="0" fillId="0" borderId="0" xfId="0" applyNumberFormat="1"/>
    <xf numFmtId="0" fontId="11" fillId="2" borderId="0" xfId="0" applyFont="1" applyFill="1"/>
    <xf numFmtId="0" fontId="11" fillId="0" borderId="12" xfId="0" applyFont="1" applyBorder="1"/>
    <xf numFmtId="0" fontId="10" fillId="2" borderId="0" xfId="0" applyFont="1" applyFill="1"/>
    <xf numFmtId="2" fontId="0" fillId="2" borderId="0" xfId="0" applyNumberFormat="1" applyFill="1"/>
    <xf numFmtId="0" fontId="10" fillId="0" borderId="0" xfId="0" applyFont="1"/>
    <xf numFmtId="0" fontId="10" fillId="0" borderId="0" xfId="0" applyFont="1" applyAlignment="1">
      <alignment wrapText="1"/>
    </xf>
    <xf numFmtId="0" fontId="18" fillId="2" borderId="2" xfId="0" applyFont="1" applyFill="1" applyBorder="1"/>
    <xf numFmtId="0" fontId="2" fillId="0" borderId="2" xfId="1" applyBorder="1" applyAlignment="1">
      <alignment horizontal="left"/>
    </xf>
    <xf numFmtId="2" fontId="21" fillId="5" borderId="5" xfId="0" applyNumberFormat="1" applyFont="1" applyFill="1" applyBorder="1" applyAlignment="1">
      <alignment horizontal="center"/>
    </xf>
    <xf numFmtId="0" fontId="0" fillId="2" borderId="28" xfId="0" applyFill="1" applyBorder="1"/>
    <xf numFmtId="0" fontId="0" fillId="2" borderId="6" xfId="0" applyFill="1" applyBorder="1"/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43" xfId="0" applyFont="1" applyFill="1" applyBorder="1"/>
    <xf numFmtId="2" fontId="49" fillId="0" borderId="27" xfId="0" applyNumberFormat="1" applyFont="1" applyBorder="1" applyAlignment="1">
      <alignment horizontal="center"/>
    </xf>
    <xf numFmtId="0" fontId="25" fillId="0" borderId="6" xfId="0" applyFont="1" applyBorder="1" applyAlignment="1">
      <alignment vertical="top" wrapText="1"/>
    </xf>
    <xf numFmtId="0" fontId="26" fillId="0" borderId="0" xfId="0" applyFont="1" applyAlignment="1">
      <alignment vertical="top"/>
    </xf>
    <xf numFmtId="0" fontId="26" fillId="0" borderId="12" xfId="0" applyFont="1" applyBorder="1" applyAlignment="1">
      <alignment vertical="top" wrapText="1"/>
    </xf>
    <xf numFmtId="0" fontId="29" fillId="0" borderId="6" xfId="0" applyFont="1" applyBorder="1"/>
    <xf numFmtId="0" fontId="29" fillId="5" borderId="0" xfId="0" applyFont="1" applyFill="1" applyAlignment="1">
      <alignment horizontal="center"/>
    </xf>
    <xf numFmtId="2" fontId="29" fillId="5" borderId="0" xfId="0" applyNumberFormat="1" applyFont="1" applyFill="1" applyAlignment="1">
      <alignment horizontal="center"/>
    </xf>
    <xf numFmtId="2" fontId="29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29" fillId="4" borderId="0" xfId="0" applyFont="1" applyFill="1"/>
    <xf numFmtId="0" fontId="35" fillId="4" borderId="0" xfId="0" applyFont="1" applyFill="1" applyAlignment="1">
      <alignment horizontal="center"/>
    </xf>
    <xf numFmtId="0" fontId="0" fillId="4" borderId="0" xfId="0" applyFill="1"/>
    <xf numFmtId="164" fontId="32" fillId="4" borderId="0" xfId="0" applyNumberFormat="1" applyFont="1" applyFill="1"/>
    <xf numFmtId="0" fontId="29" fillId="9" borderId="6" xfId="0" applyFont="1" applyFill="1" applyBorder="1" applyAlignment="1">
      <alignment horizontal="center"/>
    </xf>
    <xf numFmtId="0" fontId="29" fillId="10" borderId="0" xfId="0" applyFont="1" applyFill="1" applyAlignment="1">
      <alignment horizontal="center"/>
    </xf>
    <xf numFmtId="0" fontId="29" fillId="10" borderId="0" xfId="0" applyFont="1" applyFill="1"/>
    <xf numFmtId="0" fontId="26" fillId="0" borderId="12" xfId="0" applyFont="1" applyBorder="1"/>
    <xf numFmtId="169" fontId="29" fillId="0" borderId="0" xfId="0" applyNumberFormat="1" applyFont="1"/>
    <xf numFmtId="0" fontId="28" fillId="0" borderId="6" xfId="0" applyFont="1" applyBorder="1" applyAlignment="1">
      <alignment horizontal="center"/>
    </xf>
    <xf numFmtId="0" fontId="28" fillId="0" borderId="0" xfId="0" applyFont="1" applyAlignment="1">
      <alignment horizontal="center"/>
    </xf>
    <xf numFmtId="169" fontId="36" fillId="0" borderId="0" xfId="0" applyNumberFormat="1" applyFont="1"/>
    <xf numFmtId="0" fontId="28" fillId="0" borderId="0" xfId="0" applyFont="1"/>
    <xf numFmtId="169" fontId="29" fillId="10" borderId="0" xfId="2" applyNumberFormat="1" applyFont="1" applyFill="1" applyBorder="1" applyAlignment="1"/>
    <xf numFmtId="0" fontId="29" fillId="9" borderId="33" xfId="0" applyFont="1" applyFill="1" applyBorder="1" applyAlignment="1">
      <alignment horizontal="center"/>
    </xf>
    <xf numFmtId="169" fontId="28" fillId="0" borderId="0" xfId="0" applyNumberFormat="1" applyFont="1"/>
    <xf numFmtId="168" fontId="0" fillId="0" borderId="12" xfId="0" applyNumberFormat="1" applyBorder="1"/>
    <xf numFmtId="0" fontId="28" fillId="0" borderId="6" xfId="0" applyFont="1" applyBorder="1" applyAlignment="1">
      <alignment horizontal="right"/>
    </xf>
    <xf numFmtId="0" fontId="28" fillId="0" borderId="0" xfId="0" applyFont="1" applyAlignment="1">
      <alignment horizontal="right"/>
    </xf>
    <xf numFmtId="0" fontId="29" fillId="0" borderId="6" xfId="0" applyFont="1" applyBorder="1" applyAlignment="1">
      <alignment horizontal="center"/>
    </xf>
    <xf numFmtId="0" fontId="29" fillId="0" borderId="0" xfId="0" applyFont="1" applyAlignment="1">
      <alignment horizontal="left"/>
    </xf>
    <xf numFmtId="1" fontId="29" fillId="0" borderId="0" xfId="0" applyNumberFormat="1" applyFont="1" applyAlignment="1">
      <alignment horizontal="center"/>
    </xf>
    <xf numFmtId="0" fontId="29" fillId="11" borderId="0" xfId="0" applyFont="1" applyFill="1" applyAlignment="1">
      <alignment horizontal="left"/>
    </xf>
    <xf numFmtId="0" fontId="29" fillId="11" borderId="0" xfId="0" applyFont="1" applyFill="1"/>
    <xf numFmtId="0" fontId="29" fillId="11" borderId="0" xfId="0" applyFont="1" applyFill="1" applyAlignment="1">
      <alignment horizontal="center"/>
    </xf>
    <xf numFmtId="169" fontId="29" fillId="11" borderId="0" xfId="0" applyNumberFormat="1" applyFont="1" applyFill="1"/>
    <xf numFmtId="1" fontId="29" fillId="11" borderId="0" xfId="0" applyNumberFormat="1" applyFont="1" applyFill="1" applyAlignment="1">
      <alignment horizontal="center"/>
    </xf>
    <xf numFmtId="0" fontId="29" fillId="0" borderId="33" xfId="0" applyFont="1" applyBorder="1" applyAlignment="1">
      <alignment horizontal="center"/>
    </xf>
    <xf numFmtId="37" fontId="25" fillId="0" borderId="0" xfId="0" applyNumberFormat="1" applyFont="1"/>
    <xf numFmtId="169" fontId="29" fillId="11" borderId="0" xfId="0" applyNumberFormat="1" applyFont="1" applyFill="1" applyAlignment="1">
      <alignment horizontal="center" vertical="center"/>
    </xf>
    <xf numFmtId="1" fontId="29" fillId="11" borderId="0" xfId="0" applyNumberFormat="1" applyFont="1" applyFill="1" applyAlignment="1">
      <alignment horizontal="center" vertical="center"/>
    </xf>
    <xf numFmtId="0" fontId="24" fillId="0" borderId="0" xfId="4" applyBorder="1"/>
    <xf numFmtId="171" fontId="25" fillId="0" borderId="0" xfId="0" applyNumberFormat="1" applyFont="1"/>
    <xf numFmtId="172" fontId="38" fillId="0" borderId="0" xfId="0" applyNumberFormat="1" applyFont="1" applyAlignment="1">
      <alignment horizontal="center"/>
    </xf>
    <xf numFmtId="0" fontId="29" fillId="0" borderId="12" xfId="0" applyFont="1" applyBorder="1" applyAlignment="1">
      <alignment horizontal="center"/>
    </xf>
    <xf numFmtId="173" fontId="31" fillId="0" borderId="0" xfId="0" applyNumberFormat="1" applyFont="1" applyAlignment="1">
      <alignment horizontal="left"/>
    </xf>
    <xf numFmtId="0" fontId="31" fillId="0" borderId="0" xfId="0" applyFont="1" applyAlignment="1">
      <alignment horizontal="right" wrapText="1"/>
    </xf>
    <xf numFmtId="4" fontId="33" fillId="0" borderId="0" xfId="0" applyNumberFormat="1" applyFont="1" applyAlignment="1">
      <alignment horizontal="center"/>
    </xf>
    <xf numFmtId="0" fontId="31" fillId="0" borderId="12" xfId="0" applyFont="1" applyBorder="1" applyAlignment="1">
      <alignment horizontal="left"/>
    </xf>
    <xf numFmtId="0" fontId="28" fillId="0" borderId="12" xfId="0" applyFont="1" applyBorder="1" applyAlignment="1">
      <alignment vertical="center"/>
    </xf>
    <xf numFmtId="0" fontId="31" fillId="0" borderId="27" xfId="0" applyFont="1" applyBorder="1" applyAlignment="1">
      <alignment horizontal="left"/>
    </xf>
    <xf numFmtId="0" fontId="31" fillId="0" borderId="13" xfId="0" applyFont="1" applyBorder="1" applyAlignment="1">
      <alignment horizontal="left"/>
    </xf>
    <xf numFmtId="0" fontId="1" fillId="0" borderId="7" xfId="0" applyFont="1" applyBorder="1"/>
    <xf numFmtId="0" fontId="0" fillId="4" borderId="27" xfId="0" applyFill="1" applyBorder="1"/>
    <xf numFmtId="0" fontId="29" fillId="0" borderId="26" xfId="0" applyFont="1" applyBorder="1" applyAlignment="1">
      <alignment wrapText="1"/>
    </xf>
    <xf numFmtId="0" fontId="51" fillId="0" borderId="0" xfId="0" applyFont="1"/>
    <xf numFmtId="0" fontId="52" fillId="0" borderId="0" xfId="0" applyFont="1"/>
    <xf numFmtId="2" fontId="0" fillId="2" borderId="12" xfId="0" applyNumberFormat="1" applyFill="1" applyBorder="1" applyAlignment="1">
      <alignment horizontal="center"/>
    </xf>
    <xf numFmtId="164" fontId="0" fillId="5" borderId="11" xfId="0" applyNumberFormat="1" applyFill="1" applyBorder="1"/>
    <xf numFmtId="11" fontId="29" fillId="0" borderId="27" xfId="0" applyNumberFormat="1" applyFont="1" applyBorder="1"/>
    <xf numFmtId="0" fontId="0" fillId="2" borderId="45" xfId="0" applyFill="1" applyBorder="1"/>
    <xf numFmtId="0" fontId="1" fillId="2" borderId="46" xfId="0" applyFont="1" applyFill="1" applyBorder="1"/>
    <xf numFmtId="0" fontId="1" fillId="0" borderId="6" xfId="0" applyFont="1" applyBorder="1"/>
    <xf numFmtId="2" fontId="0" fillId="0" borderId="12" xfId="0" applyNumberFormat="1" applyBorder="1"/>
    <xf numFmtId="2" fontId="0" fillId="0" borderId="46" xfId="0" applyNumberFormat="1" applyBorder="1"/>
    <xf numFmtId="2" fontId="0" fillId="2" borderId="13" xfId="0" applyNumberFormat="1" applyFill="1" applyBorder="1"/>
    <xf numFmtId="2" fontId="3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0" fillId="2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2" xfId="0" applyFill="1" applyBorder="1"/>
    <xf numFmtId="167" fontId="0" fillId="0" borderId="26" xfId="0" applyNumberFormat="1" applyBorder="1"/>
    <xf numFmtId="167" fontId="0" fillId="0" borderId="27" xfId="0" applyNumberFormat="1" applyBorder="1"/>
    <xf numFmtId="0" fontId="0" fillId="0" borderId="47" xfId="0" applyBorder="1"/>
    <xf numFmtId="0" fontId="0" fillId="14" borderId="11" xfId="0" applyFill="1" applyBorder="1"/>
    <xf numFmtId="0" fontId="0" fillId="14" borderId="13" xfId="0" applyFill="1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" fontId="0" fillId="0" borderId="5" xfId="0" applyNumberFormat="1" applyBorder="1"/>
    <xf numFmtId="2" fontId="0" fillId="0" borderId="7" xfId="0" applyNumberFormat="1" applyBorder="1"/>
    <xf numFmtId="2" fontId="0" fillId="0" borderId="29" xfId="0" applyNumberFormat="1" applyBorder="1" applyAlignment="1">
      <alignment horizontal="center"/>
    </xf>
    <xf numFmtId="11" fontId="0" fillId="0" borderId="0" xfId="0" applyNumberFormat="1"/>
    <xf numFmtId="164" fontId="0" fillId="0" borderId="14" xfId="0" applyNumberFormat="1" applyBorder="1"/>
    <xf numFmtId="1" fontId="0" fillId="0" borderId="14" xfId="0" applyNumberFormat="1" applyBorder="1"/>
    <xf numFmtId="0" fontId="0" fillId="15" borderId="15" xfId="0" applyFill="1" applyBorder="1"/>
    <xf numFmtId="0" fontId="0" fillId="15" borderId="16" xfId="0" applyFill="1" applyBorder="1"/>
    <xf numFmtId="0" fontId="0" fillId="15" borderId="16" xfId="0" applyFill="1" applyBorder="1" applyAlignment="1">
      <alignment wrapText="1"/>
    </xf>
    <xf numFmtId="0" fontId="0" fillId="15" borderId="17" xfId="0" applyFill="1" applyBorder="1"/>
    <xf numFmtId="167" fontId="0" fillId="0" borderId="19" xfId="0" applyNumberFormat="1" applyBorder="1"/>
    <xf numFmtId="0" fontId="0" fillId="0" borderId="18" xfId="0" applyBorder="1" applyAlignment="1">
      <alignment wrapText="1"/>
    </xf>
    <xf numFmtId="1" fontId="0" fillId="0" borderId="19" xfId="0" applyNumberFormat="1" applyBorder="1"/>
    <xf numFmtId="0" fontId="0" fillId="0" borderId="20" xfId="0" applyBorder="1" applyAlignment="1">
      <alignment wrapText="1"/>
    </xf>
    <xf numFmtId="164" fontId="0" fillId="0" borderId="21" xfId="0" applyNumberFormat="1" applyBorder="1"/>
    <xf numFmtId="0" fontId="0" fillId="0" borderId="48" xfId="0" applyBorder="1"/>
    <xf numFmtId="11" fontId="0" fillId="0" borderId="14" xfId="0" applyNumberFormat="1" applyBorder="1"/>
    <xf numFmtId="0" fontId="0" fillId="0" borderId="0" xfId="0" applyAlignment="1">
      <alignment horizontal="right"/>
    </xf>
    <xf numFmtId="167" fontId="0" fillId="0" borderId="14" xfId="0" applyNumberFormat="1" applyBorder="1"/>
    <xf numFmtId="0" fontId="0" fillId="0" borderId="49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16" xfId="0" applyNumberFormat="1" applyBorder="1"/>
    <xf numFmtId="1" fontId="0" fillId="0" borderId="21" xfId="0" applyNumberFormat="1" applyBorder="1"/>
    <xf numFmtId="0" fontId="0" fillId="3" borderId="16" xfId="0" applyFill="1" applyBorder="1"/>
    <xf numFmtId="0" fontId="0" fillId="3" borderId="14" xfId="0" applyFill="1" applyBorder="1"/>
    <xf numFmtId="0" fontId="0" fillId="3" borderId="21" xfId="0" applyFill="1" applyBorder="1"/>
    <xf numFmtId="9" fontId="0" fillId="3" borderId="16" xfId="0" applyNumberFormat="1" applyFill="1" applyBorder="1"/>
    <xf numFmtId="2" fontId="0" fillId="3" borderId="14" xfId="0" applyNumberFormat="1" applyFill="1" applyBorder="1"/>
    <xf numFmtId="0" fontId="0" fillId="3" borderId="29" xfId="0" applyFill="1" applyBorder="1"/>
    <xf numFmtId="0" fontId="0" fillId="0" borderId="50" xfId="0" applyBorder="1"/>
    <xf numFmtId="1" fontId="0" fillId="0" borderId="1" xfId="0" applyNumberFormat="1" applyBorder="1"/>
    <xf numFmtId="0" fontId="1" fillId="0" borderId="0" xfId="0" applyFont="1" applyAlignment="1">
      <alignment horizontal="right" wrapText="1"/>
    </xf>
    <xf numFmtId="0" fontId="1" fillId="0" borderId="6" xfId="0" applyFont="1" applyBorder="1" applyAlignment="1">
      <alignment horizontal="right"/>
    </xf>
    <xf numFmtId="2" fontId="0" fillId="0" borderId="6" xfId="0" applyNumberFormat="1" applyBorder="1"/>
    <xf numFmtId="2" fontId="0" fillId="0" borderId="13" xfId="0" applyNumberFormat="1" applyBorder="1"/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11" fontId="0" fillId="0" borderId="43" xfId="0" applyNumberFormat="1" applyBorder="1"/>
    <xf numFmtId="0" fontId="1" fillId="5" borderId="16" xfId="0" applyFont="1" applyFill="1" applyBorder="1"/>
    <xf numFmtId="0" fontId="1" fillId="5" borderId="17" xfId="0" applyFont="1" applyFill="1" applyBorder="1"/>
    <xf numFmtId="11" fontId="0" fillId="0" borderId="21" xfId="0" applyNumberFormat="1" applyBorder="1"/>
    <xf numFmtId="167" fontId="0" fillId="0" borderId="21" xfId="0" applyNumberFormat="1" applyBorder="1"/>
    <xf numFmtId="0" fontId="0" fillId="0" borderId="51" xfId="0" applyBorder="1"/>
    <xf numFmtId="0" fontId="0" fillId="0" borderId="52" xfId="0" applyBorder="1"/>
    <xf numFmtId="2" fontId="0" fillId="0" borderId="53" xfId="0" applyNumberFormat="1" applyBorder="1"/>
    <xf numFmtId="0" fontId="1" fillId="5" borderId="51" xfId="0" applyFont="1" applyFill="1" applyBorder="1"/>
    <xf numFmtId="2" fontId="0" fillId="0" borderId="52" xfId="0" applyNumberFormat="1" applyBorder="1"/>
    <xf numFmtId="1" fontId="0" fillId="0" borderId="53" xfId="0" applyNumberFormat="1" applyBorder="1"/>
    <xf numFmtId="0" fontId="1" fillId="5" borderId="8" xfId="0" applyFont="1" applyFill="1" applyBorder="1"/>
    <xf numFmtId="164" fontId="0" fillId="7" borderId="26" xfId="0" applyNumberFormat="1" applyFill="1" applyBorder="1"/>
    <xf numFmtId="0" fontId="0" fillId="3" borderId="0" xfId="0" applyFill="1"/>
    <xf numFmtId="0" fontId="1" fillId="3" borderId="0" xfId="0" applyFont="1" applyFill="1"/>
    <xf numFmtId="0" fontId="11" fillId="10" borderId="0" xfId="0" applyFont="1" applyFill="1" applyAlignment="1">
      <alignment wrapText="1"/>
    </xf>
    <xf numFmtId="0" fontId="11" fillId="15" borderId="16" xfId="0" applyFont="1" applyFill="1" applyBorder="1"/>
    <xf numFmtId="1" fontId="0" fillId="3" borderId="26" xfId="0" applyNumberFormat="1" applyFill="1" applyBorder="1"/>
    <xf numFmtId="0" fontId="0" fillId="3" borderId="26" xfId="0" applyFill="1" applyBorder="1"/>
    <xf numFmtId="0" fontId="54" fillId="0" borderId="0" xfId="0" applyFont="1" applyAlignment="1">
      <alignment wrapText="1"/>
    </xf>
    <xf numFmtId="2" fontId="54" fillId="0" borderId="0" xfId="0" applyNumberFormat="1" applyFont="1"/>
    <xf numFmtId="0" fontId="54" fillId="0" borderId="0" xfId="0" applyFont="1"/>
    <xf numFmtId="0" fontId="0" fillId="3" borderId="11" xfId="0" applyFill="1" applyBorder="1"/>
    <xf numFmtId="0" fontId="0" fillId="3" borderId="12" xfId="0" applyFill="1" applyBorder="1"/>
    <xf numFmtId="2" fontId="0" fillId="3" borderId="54" xfId="0" applyNumberFormat="1" applyFill="1" applyBorder="1"/>
    <xf numFmtId="0" fontId="0" fillId="0" borderId="56" xfId="0" applyBorder="1"/>
    <xf numFmtId="167" fontId="0" fillId="0" borderId="24" xfId="0" applyNumberFormat="1" applyBorder="1"/>
    <xf numFmtId="0" fontId="1" fillId="0" borderId="26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5" xfId="0" applyFont="1" applyBorder="1"/>
    <xf numFmtId="0" fontId="1" fillId="0" borderId="55" xfId="0" applyFont="1" applyBorder="1"/>
    <xf numFmtId="0" fontId="0" fillId="3" borderId="13" xfId="0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5" borderId="29" xfId="0" applyFont="1" applyFill="1" applyBorder="1" applyAlignment="1">
      <alignment wrapText="1"/>
    </xf>
    <xf numFmtId="0" fontId="1" fillId="5" borderId="30" xfId="0" applyFont="1" applyFill="1" applyBorder="1"/>
    <xf numFmtId="0" fontId="13" fillId="5" borderId="6" xfId="0" applyFont="1" applyFill="1" applyBorder="1" applyAlignment="1">
      <alignment horizontal="left" wrapText="1"/>
    </xf>
    <xf numFmtId="0" fontId="13" fillId="5" borderId="0" xfId="0" applyFont="1" applyFill="1" applyAlignment="1">
      <alignment horizontal="left" wrapText="1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2" fillId="3" borderId="5" xfId="0" applyFont="1" applyFill="1" applyBorder="1" applyAlignment="1">
      <alignment horizontal="center"/>
    </xf>
    <xf numFmtId="0" fontId="22" fillId="3" borderId="26" xfId="0" applyFont="1" applyFill="1" applyBorder="1" applyAlignment="1">
      <alignment horizontal="center"/>
    </xf>
    <xf numFmtId="0" fontId="22" fillId="3" borderId="1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0" xfId="0" applyFont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17" fillId="2" borderId="5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46" fillId="0" borderId="0" xfId="0" applyFont="1" applyAlignment="1">
      <alignment horizontal="center" wrapText="1"/>
    </xf>
    <xf numFmtId="0" fontId="31" fillId="0" borderId="0" xfId="0" applyFont="1" applyAlignment="1">
      <alignment horizontal="center" wrapText="1"/>
    </xf>
    <xf numFmtId="0" fontId="37" fillId="4" borderId="28" xfId="0" applyFont="1" applyFill="1" applyBorder="1" applyAlignment="1">
      <alignment horizontal="center" vertical="center"/>
    </xf>
    <xf numFmtId="0" fontId="37" fillId="4" borderId="29" xfId="0" applyFont="1" applyFill="1" applyBorder="1" applyAlignment="1">
      <alignment horizontal="center" vertical="center"/>
    </xf>
    <xf numFmtId="0" fontId="37" fillId="4" borderId="30" xfId="0" applyFont="1" applyFill="1" applyBorder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28" fillId="10" borderId="34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10" borderId="6" xfId="0" applyFont="1" applyFill="1" applyBorder="1" applyAlignment="1">
      <alignment horizontal="center" vertical="center"/>
    </xf>
    <xf numFmtId="0" fontId="28" fillId="10" borderId="33" xfId="0" applyFont="1" applyFill="1" applyBorder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0" borderId="39" xfId="0" applyFont="1" applyBorder="1" applyAlignment="1">
      <alignment horizontal="center"/>
    </xf>
    <xf numFmtId="0" fontId="28" fillId="0" borderId="40" xfId="0" applyFont="1" applyBorder="1" applyAlignment="1">
      <alignment horizontal="center"/>
    </xf>
    <xf numFmtId="0" fontId="31" fillId="0" borderId="40" xfId="0" applyFont="1" applyBorder="1" applyAlignment="1">
      <alignment horizontal="right" vertical="center"/>
    </xf>
    <xf numFmtId="0" fontId="31" fillId="0" borderId="34" xfId="0" applyFont="1" applyBorder="1" applyAlignment="1">
      <alignment horizontal="right" vertical="center"/>
    </xf>
    <xf numFmtId="0" fontId="39" fillId="4" borderId="40" xfId="0" applyFont="1" applyFill="1" applyBorder="1" applyAlignment="1">
      <alignment horizontal="center" vertical="center" wrapText="1"/>
    </xf>
    <xf numFmtId="0" fontId="39" fillId="4" borderId="34" xfId="0" applyFont="1" applyFill="1" applyBorder="1" applyAlignment="1">
      <alignment horizontal="center" vertical="center" wrapText="1"/>
    </xf>
    <xf numFmtId="0" fontId="27" fillId="8" borderId="6" xfId="0" applyFont="1" applyFill="1" applyBorder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8" fillId="4" borderId="2" xfId="0" applyFont="1" applyFill="1" applyBorder="1" applyAlignment="1">
      <alignment horizontal="center" vertical="center" wrapText="1"/>
    </xf>
    <xf numFmtId="0" fontId="28" fillId="4" borderId="4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0" fontId="28" fillId="4" borderId="30" xfId="0" applyFont="1" applyFill="1" applyBorder="1" applyAlignment="1">
      <alignment horizontal="center" vertical="center"/>
    </xf>
    <xf numFmtId="0" fontId="28" fillId="4" borderId="39" xfId="0" applyFont="1" applyFill="1" applyBorder="1" applyAlignment="1">
      <alignment horizontal="center" vertical="center"/>
    </xf>
    <xf numFmtId="0" fontId="28" fillId="4" borderId="7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/>
    </xf>
    <xf numFmtId="0" fontId="28" fillId="4" borderId="27" xfId="0" applyFont="1" applyFill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9" xfId="0" applyFont="1" applyBorder="1" applyAlignment="1">
      <alignment horizontal="center"/>
    </xf>
    <xf numFmtId="0" fontId="29" fillId="0" borderId="40" xfId="0" applyFont="1" applyBorder="1" applyAlignment="1">
      <alignment horizontal="center"/>
    </xf>
    <xf numFmtId="0" fontId="29" fillId="0" borderId="6" xfId="0" applyFont="1" applyBorder="1" applyAlignment="1">
      <alignment horizontal="right"/>
    </xf>
    <xf numFmtId="0" fontId="29" fillId="0" borderId="0" xfId="0" applyFont="1" applyAlignment="1">
      <alignment horizontal="right"/>
    </xf>
    <xf numFmtId="0" fontId="28" fillId="0" borderId="6" xfId="0" applyFont="1" applyBorder="1" applyAlignment="1">
      <alignment horizontal="right"/>
    </xf>
    <xf numFmtId="0" fontId="28" fillId="0" borderId="0" xfId="0" applyFont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26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27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10" fillId="2" borderId="28" xfId="0" applyFont="1" applyFill="1" applyBorder="1" applyAlignment="1">
      <alignment horizontal="center" wrapText="1"/>
    </xf>
    <xf numFmtId="0" fontId="10" fillId="2" borderId="29" xfId="0" applyFont="1" applyFill="1" applyBorder="1" applyAlignment="1">
      <alignment horizontal="center" wrapText="1"/>
    </xf>
    <xf numFmtId="0" fontId="20" fillId="2" borderId="5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55" fillId="15" borderId="28" xfId="0" applyFont="1" applyFill="1" applyBorder="1" applyAlignment="1">
      <alignment horizontal="center"/>
    </xf>
    <xf numFmtId="0" fontId="55" fillId="15" borderId="29" xfId="0" applyFont="1" applyFill="1" applyBorder="1" applyAlignment="1">
      <alignment horizontal="center"/>
    </xf>
    <xf numFmtId="0" fontId="55" fillId="15" borderId="30" xfId="0" applyFont="1" applyFill="1" applyBorder="1" applyAlignment="1">
      <alignment horizontal="center"/>
    </xf>
    <xf numFmtId="0" fontId="11" fillId="15" borderId="5" xfId="0" applyFont="1" applyFill="1" applyBorder="1" applyAlignment="1">
      <alignment horizontal="center"/>
    </xf>
    <xf numFmtId="0" fontId="11" fillId="15" borderId="26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56" fillId="0" borderId="28" xfId="0" applyFont="1" applyBorder="1" applyAlignment="1">
      <alignment horizontal="center" wrapText="1"/>
    </xf>
    <xf numFmtId="0" fontId="56" fillId="0" borderId="29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53" fillId="14" borderId="5" xfId="0" applyFont="1" applyFill="1" applyBorder="1" applyAlignment="1">
      <alignment horizontal="center"/>
    </xf>
    <xf numFmtId="0" fontId="53" fillId="14" borderId="26" xfId="0" applyFont="1" applyFill="1" applyBorder="1" applyAlignment="1">
      <alignment horizontal="center"/>
    </xf>
    <xf numFmtId="0" fontId="53" fillId="14" borderId="7" xfId="0" applyFont="1" applyFill="1" applyBorder="1" applyAlignment="1">
      <alignment horizontal="center"/>
    </xf>
    <xf numFmtId="0" fontId="53" fillId="14" borderId="27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10" fillId="2" borderId="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/>
    </xf>
    <xf numFmtId="0" fontId="9" fillId="5" borderId="29" xfId="0" applyFont="1" applyFill="1" applyBorder="1" applyAlignment="1">
      <alignment horizontal="center"/>
    </xf>
    <xf numFmtId="0" fontId="9" fillId="5" borderId="30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26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 wrapText="1"/>
    </xf>
    <xf numFmtId="0" fontId="1" fillId="5" borderId="30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7" fillId="4" borderId="5" xfId="0" applyFont="1" applyFill="1" applyBorder="1" applyAlignment="1">
      <alignment horizontal="center"/>
    </xf>
    <xf numFmtId="0" fontId="57" fillId="4" borderId="26" xfId="0" applyFont="1" applyFill="1" applyBorder="1" applyAlignment="1">
      <alignment horizontal="center"/>
    </xf>
    <xf numFmtId="0" fontId="57" fillId="4" borderId="11" xfId="0" applyFont="1" applyFill="1" applyBorder="1" applyAlignment="1">
      <alignment horizontal="center"/>
    </xf>
    <xf numFmtId="0" fontId="57" fillId="4" borderId="7" xfId="0" applyFont="1" applyFill="1" applyBorder="1" applyAlignment="1">
      <alignment horizontal="center"/>
    </xf>
    <xf numFmtId="0" fontId="57" fillId="4" borderId="27" xfId="0" applyFont="1" applyFill="1" applyBorder="1" applyAlignment="1">
      <alignment horizontal="center"/>
    </xf>
    <xf numFmtId="0" fontId="57" fillId="4" borderId="13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26" fillId="0" borderId="26" xfId="0" applyFont="1" applyBorder="1" applyAlignment="1">
      <alignment horizontal="left"/>
    </xf>
    <xf numFmtId="0" fontId="26" fillId="0" borderId="0" xfId="0" applyFont="1" applyAlignment="1">
      <alignment horizontal="center" vertical="top" wrapText="1"/>
    </xf>
    <xf numFmtId="0" fontId="26" fillId="0" borderId="12" xfId="0" applyFont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20" fillId="2" borderId="5" xfId="0" applyFont="1" applyFill="1" applyBorder="1" applyAlignment="1">
      <alignment horizontal="left"/>
    </xf>
    <xf numFmtId="0" fontId="20" fillId="2" borderId="26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0" fillId="2" borderId="27" xfId="0" applyFont="1" applyFill="1" applyBorder="1" applyAlignment="1">
      <alignment horizontal="left"/>
    </xf>
    <xf numFmtId="0" fontId="20" fillId="2" borderId="13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6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3" borderId="0" xfId="0" applyFont="1" applyFill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3" borderId="30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 wrapText="1"/>
    </xf>
    <xf numFmtId="0" fontId="12" fillId="2" borderId="26" xfId="0" applyFont="1" applyFill="1" applyBorder="1" applyAlignment="1">
      <alignment horizontal="left" wrapText="1"/>
    </xf>
    <xf numFmtId="0" fontId="12" fillId="2" borderId="11" xfId="0" applyFont="1" applyFill="1" applyBorder="1" applyAlignment="1">
      <alignment horizontal="left" wrapText="1"/>
    </xf>
    <xf numFmtId="0" fontId="12" fillId="2" borderId="7" xfId="0" applyFont="1" applyFill="1" applyBorder="1" applyAlignment="1">
      <alignment horizontal="left" wrapText="1"/>
    </xf>
    <xf numFmtId="0" fontId="12" fillId="2" borderId="27" xfId="0" applyFont="1" applyFill="1" applyBorder="1" applyAlignment="1">
      <alignment horizontal="left" wrapText="1"/>
    </xf>
    <xf numFmtId="0" fontId="12" fillId="2" borderId="13" xfId="0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1" fillId="0" borderId="31" xfId="0" applyFont="1" applyBorder="1" applyAlignment="1">
      <alignment horizontal="center" wrapText="1"/>
    </xf>
    <xf numFmtId="0" fontId="11" fillId="0" borderId="32" xfId="0" applyFont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2" borderId="28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0" fillId="0" borderId="31" xfId="0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</cellXfs>
  <cellStyles count="5">
    <cellStyle name="Hipervínculo" xfId="4" builtinId="8"/>
    <cellStyle name="Millares" xfId="2" builtinId="3"/>
    <cellStyle name="Normal" xfId="0" builtinId="0"/>
    <cellStyle name="Normal 4" xfId="1"/>
    <cellStyle name="Porcentaje" xfId="3" builtinId="5"/>
  </cellStyles>
  <dxfs count="8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4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</xdr:rowOff>
    </xdr:from>
    <xdr:to>
      <xdr:col>0</xdr:col>
      <xdr:colOff>1623060</xdr:colOff>
      <xdr:row>4</xdr:row>
      <xdr:rowOff>123266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"/>
          <a:ext cx="1203960" cy="13110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74080</xdr:colOff>
      <xdr:row>31</xdr:row>
      <xdr:rowOff>3261</xdr:rowOff>
    </xdr:from>
    <xdr:to>
      <xdr:col>10</xdr:col>
      <xdr:colOff>128589</xdr:colOff>
      <xdr:row>54</xdr:row>
      <xdr:rowOff>139069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753" y="5794461"/>
          <a:ext cx="4003054" cy="451332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103419</xdr:colOff>
      <xdr:row>3</xdr:row>
      <xdr:rowOff>78273</xdr:rowOff>
    </xdr:from>
    <xdr:to>
      <xdr:col>21</xdr:col>
      <xdr:colOff>315686</xdr:colOff>
      <xdr:row>22</xdr:row>
      <xdr:rowOff>160405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13133" y="655216"/>
          <a:ext cx="5861953" cy="3674418"/>
        </a:xfrm>
        <a:prstGeom prst="rect">
          <a:avLst/>
        </a:prstGeom>
      </xdr:spPr>
    </xdr:pic>
    <xdr:clientData/>
  </xdr:twoCellAnchor>
  <xdr:twoCellAnchor editAs="oneCell">
    <xdr:from>
      <xdr:col>23</xdr:col>
      <xdr:colOff>231568</xdr:colOff>
      <xdr:row>3</xdr:row>
      <xdr:rowOff>60224</xdr:rowOff>
    </xdr:from>
    <xdr:to>
      <xdr:col>30</xdr:col>
      <xdr:colOff>688534</xdr:colOff>
      <xdr:row>22</xdr:row>
      <xdr:rowOff>5861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97204" y="628260"/>
          <a:ext cx="5984930" cy="3464692"/>
        </a:xfrm>
        <a:prstGeom prst="rect">
          <a:avLst/>
        </a:prstGeom>
      </xdr:spPr>
    </xdr:pic>
    <xdr:clientData/>
  </xdr:twoCellAnchor>
  <xdr:twoCellAnchor editAs="oneCell">
    <xdr:from>
      <xdr:col>6</xdr:col>
      <xdr:colOff>258535</xdr:colOff>
      <xdr:row>3</xdr:row>
      <xdr:rowOff>38879</xdr:rowOff>
    </xdr:from>
    <xdr:to>
      <xdr:col>12</xdr:col>
      <xdr:colOff>660477</xdr:colOff>
      <xdr:row>23</xdr:row>
      <xdr:rowOff>68439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39392" y="637593"/>
          <a:ext cx="5627085" cy="3948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4588</xdr:colOff>
      <xdr:row>12</xdr:row>
      <xdr:rowOff>38100</xdr:rowOff>
    </xdr:from>
    <xdr:to>
      <xdr:col>15</xdr:col>
      <xdr:colOff>725392</xdr:colOff>
      <xdr:row>35</xdr:row>
      <xdr:rowOff>119368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4428" y="2522220"/>
          <a:ext cx="6999684" cy="5372813"/>
        </a:xfrm>
        <a:prstGeom prst="rect">
          <a:avLst/>
        </a:prstGeom>
      </xdr:spPr>
    </xdr:pic>
    <xdr:clientData/>
  </xdr:twoCellAnchor>
  <xdr:twoCellAnchor editAs="oneCell">
    <xdr:from>
      <xdr:col>0</xdr:col>
      <xdr:colOff>44334</xdr:colOff>
      <xdr:row>0</xdr:row>
      <xdr:rowOff>90055</xdr:rowOff>
    </xdr:from>
    <xdr:to>
      <xdr:col>1</xdr:col>
      <xdr:colOff>3418</xdr:colOff>
      <xdr:row>5</xdr:row>
      <xdr:rowOff>105295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34" y="90055"/>
          <a:ext cx="1203960" cy="1095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149</xdr:row>
      <xdr:rowOff>0</xdr:rowOff>
    </xdr:from>
    <xdr:to>
      <xdr:col>4</xdr:col>
      <xdr:colOff>855345</xdr:colOff>
      <xdr:row>151</xdr:row>
      <xdr:rowOff>85937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7771" y="21640800"/>
          <a:ext cx="3196589" cy="451698"/>
        </a:xfrm>
        <a:prstGeom prst="rect">
          <a:avLst/>
        </a:prstGeom>
      </xdr:spPr>
    </xdr:pic>
    <xdr:clientData/>
  </xdr:twoCellAnchor>
  <xdr:twoCellAnchor editAs="oneCell">
    <xdr:from>
      <xdr:col>1</xdr:col>
      <xdr:colOff>541020</xdr:colOff>
      <xdr:row>0</xdr:row>
      <xdr:rowOff>0</xdr:rowOff>
    </xdr:from>
    <xdr:to>
      <xdr:col>1</xdr:col>
      <xdr:colOff>1836420</xdr:colOff>
      <xdr:row>4</xdr:row>
      <xdr:rowOff>137160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" y="0"/>
          <a:ext cx="1295400" cy="1272540"/>
        </a:xfrm>
        <a:prstGeom prst="rect">
          <a:avLst/>
        </a:prstGeom>
      </xdr:spPr>
    </xdr:pic>
    <xdr:clientData/>
  </xdr:twoCellAnchor>
  <xdr:twoCellAnchor editAs="oneCell">
    <xdr:from>
      <xdr:col>20</xdr:col>
      <xdr:colOff>748392</xdr:colOff>
      <xdr:row>7</xdr:row>
      <xdr:rowOff>70404</xdr:rowOff>
    </xdr:from>
    <xdr:to>
      <xdr:col>26</xdr:col>
      <xdr:colOff>491844</xdr:colOff>
      <xdr:row>29</xdr:row>
      <xdr:rowOff>115384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32479" y="1909143"/>
          <a:ext cx="4423126" cy="46998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2</xdr:row>
      <xdr:rowOff>120900</xdr:rowOff>
    </xdr:from>
    <xdr:to>
      <xdr:col>11</xdr:col>
      <xdr:colOff>677237</xdr:colOff>
      <xdr:row>24</xdr:row>
      <xdr:rowOff>63944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5840" y="120900"/>
          <a:ext cx="4578677" cy="40121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66350</xdr:colOff>
      <xdr:row>23</xdr:row>
      <xdr:rowOff>190502</xdr:rowOff>
    </xdr:from>
    <xdr:to>
      <xdr:col>29</xdr:col>
      <xdr:colOff>658205</xdr:colOff>
      <xdr:row>31</xdr:row>
      <xdr:rowOff>138546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0941" y="5749638"/>
          <a:ext cx="5943173" cy="1610590"/>
        </a:xfrm>
        <a:prstGeom prst="rect">
          <a:avLst/>
        </a:prstGeom>
      </xdr:spPr>
    </xdr:pic>
    <xdr:clientData/>
  </xdr:twoCellAnchor>
  <xdr:twoCellAnchor editAs="oneCell">
    <xdr:from>
      <xdr:col>23</xdr:col>
      <xdr:colOff>259772</xdr:colOff>
      <xdr:row>33</xdr:row>
      <xdr:rowOff>1</xdr:rowOff>
    </xdr:from>
    <xdr:to>
      <xdr:col>29</xdr:col>
      <xdr:colOff>432263</xdr:colOff>
      <xdr:row>39</xdr:row>
      <xdr:rowOff>75172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363" y="7620001"/>
          <a:ext cx="5523809" cy="1304762"/>
        </a:xfrm>
        <a:prstGeom prst="rect">
          <a:avLst/>
        </a:prstGeom>
      </xdr:spPr>
    </xdr:pic>
    <xdr:clientData/>
  </xdr:twoCellAnchor>
  <xdr:twoCellAnchor editAs="oneCell">
    <xdr:from>
      <xdr:col>23</xdr:col>
      <xdr:colOff>155864</xdr:colOff>
      <xdr:row>41</xdr:row>
      <xdr:rowOff>69273</xdr:rowOff>
    </xdr:from>
    <xdr:to>
      <xdr:col>29</xdr:col>
      <xdr:colOff>502227</xdr:colOff>
      <xdr:row>51</xdr:row>
      <xdr:rowOff>128477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0455" y="9317182"/>
          <a:ext cx="5697681" cy="21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109904</xdr:colOff>
      <xdr:row>24</xdr:row>
      <xdr:rowOff>183638</xdr:rowOff>
    </xdr:from>
    <xdr:to>
      <xdr:col>27</xdr:col>
      <xdr:colOff>729593</xdr:colOff>
      <xdr:row>29</xdr:row>
      <xdr:rowOff>480023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80212" y="4894850"/>
          <a:ext cx="1484266" cy="1886684"/>
        </a:xfrm>
        <a:prstGeom prst="rect">
          <a:avLst/>
        </a:prstGeom>
      </xdr:spPr>
    </xdr:pic>
    <xdr:clientData/>
  </xdr:twoCellAnchor>
  <xdr:twoCellAnchor editAs="oneCell">
    <xdr:from>
      <xdr:col>25</xdr:col>
      <xdr:colOff>118752</xdr:colOff>
      <xdr:row>76</xdr:row>
      <xdr:rowOff>56596</xdr:rowOff>
    </xdr:from>
    <xdr:to>
      <xdr:col>28</xdr:col>
      <xdr:colOff>48242</xdr:colOff>
      <xdr:row>86</xdr:row>
      <xdr:rowOff>119943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52" y="18102141"/>
          <a:ext cx="2319399" cy="3382328"/>
        </a:xfrm>
        <a:prstGeom prst="rect">
          <a:avLst/>
        </a:prstGeom>
      </xdr:spPr>
    </xdr:pic>
    <xdr:clientData/>
  </xdr:twoCellAnchor>
  <xdr:twoCellAnchor editAs="oneCell">
    <xdr:from>
      <xdr:col>24</xdr:col>
      <xdr:colOff>672625</xdr:colOff>
      <xdr:row>110</xdr:row>
      <xdr:rowOff>16392</xdr:rowOff>
    </xdr:from>
    <xdr:to>
      <xdr:col>27</xdr:col>
      <xdr:colOff>691180</xdr:colOff>
      <xdr:row>118</xdr:row>
      <xdr:rowOff>152084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70625" y="25801928"/>
          <a:ext cx="2413412" cy="2949966"/>
        </a:xfrm>
        <a:prstGeom prst="rect">
          <a:avLst/>
        </a:prstGeom>
      </xdr:spPr>
    </xdr:pic>
    <xdr:clientData/>
  </xdr:twoCellAnchor>
  <xdr:twoCellAnchor editAs="oneCell">
    <xdr:from>
      <xdr:col>26</xdr:col>
      <xdr:colOff>40823</xdr:colOff>
      <xdr:row>49</xdr:row>
      <xdr:rowOff>126794</xdr:rowOff>
    </xdr:from>
    <xdr:to>
      <xdr:col>28</xdr:col>
      <xdr:colOff>103909</xdr:colOff>
      <xdr:row>59</xdr:row>
      <xdr:rowOff>132043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99323" y="11556794"/>
          <a:ext cx="1690995" cy="3376182"/>
        </a:xfrm>
        <a:prstGeom prst="rect">
          <a:avLst/>
        </a:prstGeom>
      </xdr:spPr>
    </xdr:pic>
    <xdr:clientData/>
  </xdr:twoCellAnchor>
  <xdr:twoCellAnchor editAs="oneCell">
    <xdr:from>
      <xdr:col>23</xdr:col>
      <xdr:colOff>670961</xdr:colOff>
      <xdr:row>139</xdr:row>
      <xdr:rowOff>103910</xdr:rowOff>
    </xdr:from>
    <xdr:to>
      <xdr:col>28</xdr:col>
      <xdr:colOff>267020</xdr:colOff>
      <xdr:row>149</xdr:row>
      <xdr:rowOff>127343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43461" y="32852592"/>
          <a:ext cx="3509968" cy="3532909"/>
        </a:xfrm>
        <a:prstGeom prst="rect">
          <a:avLst/>
        </a:prstGeom>
      </xdr:spPr>
    </xdr:pic>
    <xdr:clientData/>
  </xdr:twoCellAnchor>
  <xdr:twoCellAnchor editAs="oneCell">
    <xdr:from>
      <xdr:col>22</xdr:col>
      <xdr:colOff>675410</xdr:colOff>
      <xdr:row>167</xdr:row>
      <xdr:rowOff>69271</xdr:rowOff>
    </xdr:from>
    <xdr:to>
      <xdr:col>28</xdr:col>
      <xdr:colOff>484911</xdr:colOff>
      <xdr:row>174</xdr:row>
      <xdr:rowOff>102368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85910" y="39675953"/>
          <a:ext cx="4485410" cy="2884485"/>
        </a:xfrm>
        <a:prstGeom prst="rect">
          <a:avLst/>
        </a:prstGeom>
      </xdr:spPr>
    </xdr:pic>
    <xdr:clientData/>
  </xdr:twoCellAnchor>
  <xdr:twoCellAnchor editAs="oneCell">
    <xdr:from>
      <xdr:col>16</xdr:col>
      <xdr:colOff>289461</xdr:colOff>
      <xdr:row>37</xdr:row>
      <xdr:rowOff>201634</xdr:rowOff>
    </xdr:from>
    <xdr:to>
      <xdr:col>20</xdr:col>
      <xdr:colOff>631628</xdr:colOff>
      <xdr:row>62</xdr:row>
      <xdr:rowOff>125065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1461" y="8719705"/>
          <a:ext cx="5880274" cy="62965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373380</xdr:colOff>
      <xdr:row>11</xdr:row>
      <xdr:rowOff>63373</xdr:rowOff>
    </xdr:from>
    <xdr:to>
      <xdr:col>10</xdr:col>
      <xdr:colOff>107766</xdr:colOff>
      <xdr:row>19</xdr:row>
      <xdr:rowOff>125488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2288413"/>
          <a:ext cx="3049086" cy="1555636"/>
        </a:xfrm>
        <a:prstGeom prst="rect">
          <a:avLst/>
        </a:prstGeom>
      </xdr:spPr>
    </xdr:pic>
    <xdr:clientData/>
  </xdr:twoCellAnchor>
  <xdr:twoCellAnchor editAs="oneCell">
    <xdr:from>
      <xdr:col>6</xdr:col>
      <xdr:colOff>274320</xdr:colOff>
      <xdr:row>21</xdr:row>
      <xdr:rowOff>55697</xdr:rowOff>
    </xdr:from>
    <xdr:to>
      <xdr:col>10</xdr:col>
      <xdr:colOff>354677</xdr:colOff>
      <xdr:row>29</xdr:row>
      <xdr:rowOff>34930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2707457"/>
          <a:ext cx="3398520" cy="1510852"/>
        </a:xfrm>
        <a:prstGeom prst="rect">
          <a:avLst/>
        </a:prstGeom>
      </xdr:spPr>
    </xdr:pic>
    <xdr:clientData/>
  </xdr:twoCellAnchor>
  <xdr:twoCellAnchor editAs="oneCell">
    <xdr:from>
      <xdr:col>6</xdr:col>
      <xdr:colOff>160020</xdr:colOff>
      <xdr:row>33</xdr:row>
      <xdr:rowOff>55582</xdr:rowOff>
    </xdr:from>
    <xdr:to>
      <xdr:col>10</xdr:col>
      <xdr:colOff>533400</xdr:colOff>
      <xdr:row>40</xdr:row>
      <xdr:rowOff>187804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5120" y="6471622"/>
          <a:ext cx="3688080" cy="1447216"/>
        </a:xfrm>
        <a:prstGeom prst="rect">
          <a:avLst/>
        </a:prstGeom>
      </xdr:spPr>
    </xdr:pic>
    <xdr:clientData/>
  </xdr:twoCellAnchor>
  <xdr:twoCellAnchor editAs="oneCell">
    <xdr:from>
      <xdr:col>0</xdr:col>
      <xdr:colOff>716280</xdr:colOff>
      <xdr:row>0</xdr:row>
      <xdr:rowOff>53341</xdr:rowOff>
    </xdr:from>
    <xdr:to>
      <xdr:col>0</xdr:col>
      <xdr:colOff>2026920</xdr:colOff>
      <xdr:row>5</xdr:row>
      <xdr:rowOff>81379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6280" y="53341"/>
          <a:ext cx="1310640" cy="12047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549964</xdr:colOff>
      <xdr:row>5</xdr:row>
      <xdr:rowOff>73446</xdr:rowOff>
    </xdr:from>
    <xdr:to>
      <xdr:col>12</xdr:col>
      <xdr:colOff>180501</xdr:colOff>
      <xdr:row>20</xdr:row>
      <xdr:rowOff>81008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3303" y="848698"/>
          <a:ext cx="5196450" cy="2870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197223</xdr:colOff>
      <xdr:row>22</xdr:row>
      <xdr:rowOff>74627</xdr:rowOff>
    </xdr:from>
    <xdr:to>
      <xdr:col>12</xdr:col>
      <xdr:colOff>515253</xdr:colOff>
      <xdr:row>39</xdr:row>
      <xdr:rowOff>90021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7176" y="4010133"/>
          <a:ext cx="5840289" cy="3108218"/>
        </a:xfrm>
        <a:prstGeom prst="rect">
          <a:avLst/>
        </a:prstGeom>
      </xdr:spPr>
    </xdr:pic>
    <xdr:clientData/>
  </xdr:twoCellAnchor>
  <xdr:twoCellAnchor editAs="oneCell">
    <xdr:from>
      <xdr:col>5</xdr:col>
      <xdr:colOff>166548</xdr:colOff>
      <xdr:row>41</xdr:row>
      <xdr:rowOff>5310</xdr:rowOff>
    </xdr:from>
    <xdr:to>
      <xdr:col>12</xdr:col>
      <xdr:colOff>622404</xdr:colOff>
      <xdr:row>51</xdr:row>
      <xdr:rowOff>128965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6501" y="7410157"/>
          <a:ext cx="5978115" cy="19345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66183</xdr:colOff>
      <xdr:row>10</xdr:row>
      <xdr:rowOff>90787</xdr:rowOff>
    </xdr:from>
    <xdr:to>
      <xdr:col>17</xdr:col>
      <xdr:colOff>592939</xdr:colOff>
      <xdr:row>33</xdr:row>
      <xdr:rowOff>170639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2583" y="2016569"/>
          <a:ext cx="5265011" cy="4286744"/>
        </a:xfrm>
        <a:prstGeom prst="rect">
          <a:avLst/>
        </a:prstGeom>
      </xdr:spPr>
    </xdr:pic>
    <xdr:clientData/>
  </xdr:twoCellAnchor>
  <xdr:twoCellAnchor editAs="oneCell">
    <xdr:from>
      <xdr:col>11</xdr:col>
      <xdr:colOff>157942</xdr:colOff>
      <xdr:row>37</xdr:row>
      <xdr:rowOff>40871</xdr:rowOff>
    </xdr:from>
    <xdr:to>
      <xdr:col>16</xdr:col>
      <xdr:colOff>700304</xdr:colOff>
      <xdr:row>61</xdr:row>
      <xdr:rowOff>168041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9682" y="6929351"/>
          <a:ext cx="4504763" cy="4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13</xdr:row>
      <xdr:rowOff>175260</xdr:rowOff>
    </xdr:from>
    <xdr:to>
      <xdr:col>7</xdr:col>
      <xdr:colOff>897089</xdr:colOff>
      <xdr:row>20</xdr:row>
      <xdr:rowOff>123671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2552700"/>
          <a:ext cx="6952381" cy="1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26</xdr:row>
      <xdr:rowOff>68580</xdr:rowOff>
    </xdr:from>
    <xdr:to>
      <xdr:col>8</xdr:col>
      <xdr:colOff>79501</xdr:colOff>
      <xdr:row>33</xdr:row>
      <xdr:rowOff>74135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460" y="4823460"/>
          <a:ext cx="6979920" cy="1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227480</xdr:colOff>
      <xdr:row>42</xdr:row>
      <xdr:rowOff>163157</xdr:rowOff>
    </xdr:from>
    <xdr:to>
      <xdr:col>8</xdr:col>
      <xdr:colOff>472015</xdr:colOff>
      <xdr:row>49</xdr:row>
      <xdr:rowOff>159186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480" y="7854875"/>
          <a:ext cx="7373106" cy="1251088"/>
        </a:xfrm>
        <a:prstGeom prst="rect">
          <a:avLst/>
        </a:prstGeom>
      </xdr:spPr>
    </xdr:pic>
    <xdr:clientData/>
  </xdr:twoCellAnchor>
  <xdr:twoCellAnchor editAs="oneCell">
    <xdr:from>
      <xdr:col>0</xdr:col>
      <xdr:colOff>172122</xdr:colOff>
      <xdr:row>69</xdr:row>
      <xdr:rowOff>16136</xdr:rowOff>
    </xdr:from>
    <xdr:to>
      <xdr:col>8</xdr:col>
      <xdr:colOff>454752</xdr:colOff>
      <xdr:row>76</xdr:row>
      <xdr:rowOff>2642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2122" y="12575689"/>
          <a:ext cx="7411201" cy="1241565"/>
        </a:xfrm>
        <a:prstGeom prst="rect">
          <a:avLst/>
        </a:prstGeom>
      </xdr:spPr>
    </xdr:pic>
    <xdr:clientData/>
  </xdr:twoCellAnchor>
  <xdr:twoCellAnchor editAs="oneCell">
    <xdr:from>
      <xdr:col>19</xdr:col>
      <xdr:colOff>171709</xdr:colOff>
      <xdr:row>10</xdr:row>
      <xdr:rowOff>85571</xdr:rowOff>
    </xdr:from>
    <xdr:to>
      <xdr:col>26</xdr:col>
      <xdr:colOff>290944</xdr:colOff>
      <xdr:row>34</xdr:row>
      <xdr:rowOff>82751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85782" y="2011353"/>
          <a:ext cx="5647199" cy="4392331"/>
        </a:xfrm>
        <a:prstGeom prst="rect">
          <a:avLst/>
        </a:prstGeom>
      </xdr:spPr>
    </xdr:pic>
    <xdr:clientData/>
  </xdr:twoCellAnchor>
  <xdr:twoCellAnchor editAs="oneCell">
    <xdr:from>
      <xdr:col>11</xdr:col>
      <xdr:colOff>30073</xdr:colOff>
      <xdr:row>1</xdr:row>
      <xdr:rowOff>28445</xdr:rowOff>
    </xdr:from>
    <xdr:to>
      <xdr:col>19</xdr:col>
      <xdr:colOff>110305</xdr:colOff>
      <xdr:row>8</xdr:row>
      <xdr:rowOff>150391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41813" y="218945"/>
          <a:ext cx="6420072" cy="1502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aesmet.com/catalogo_rejillas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68"/>
  <sheetViews>
    <sheetView tabSelected="1" zoomScale="70" zoomScaleNormal="70" workbookViewId="0">
      <selection activeCell="B59" sqref="B59"/>
    </sheetView>
  </sheetViews>
  <sheetFormatPr baseColWidth="10" defaultColWidth="11.42578125" defaultRowHeight="15"/>
  <cols>
    <col min="1" max="1" width="31.5703125" customWidth="1"/>
    <col min="2" max="2" width="14.42578125" customWidth="1"/>
    <col min="3" max="3" width="12.28515625" customWidth="1"/>
    <col min="4" max="4" width="14.28515625" customWidth="1"/>
    <col min="7" max="7" width="5.7109375" customWidth="1"/>
    <col min="8" max="8" width="31.85546875" customWidth="1"/>
    <col min="9" max="9" width="6.85546875" customWidth="1"/>
    <col min="13" max="13" width="26.140625" customWidth="1"/>
  </cols>
  <sheetData>
    <row r="1" spans="1:13" ht="26.25">
      <c r="A1" s="20"/>
      <c r="B1" s="290" t="s">
        <v>0</v>
      </c>
      <c r="C1" s="405" t="s">
        <v>1</v>
      </c>
      <c r="D1" s="292" t="s">
        <v>2</v>
      </c>
      <c r="E1" s="515" t="s">
        <v>3</v>
      </c>
      <c r="F1" s="515"/>
      <c r="G1" s="21"/>
      <c r="H1" s="21"/>
      <c r="I1" s="293" t="s">
        <v>4</v>
      </c>
      <c r="J1" s="294"/>
      <c r="K1" s="295"/>
      <c r="L1" s="21"/>
      <c r="M1" s="7"/>
    </row>
    <row r="2" spans="1:13">
      <c r="A2" s="30"/>
      <c r="B2" s="296" t="s">
        <v>5</v>
      </c>
      <c r="C2" s="297"/>
      <c r="D2" s="137" t="s">
        <v>6</v>
      </c>
      <c r="E2" s="262">
        <v>179</v>
      </c>
      <c r="I2" s="298" t="s">
        <v>7</v>
      </c>
      <c r="J2" s="139">
        <v>0</v>
      </c>
      <c r="K2" s="22"/>
      <c r="M2" s="22"/>
    </row>
    <row r="3" spans="1:13">
      <c r="A3" s="30"/>
      <c r="B3" s="296"/>
      <c r="C3" s="299"/>
      <c r="D3" s="137" t="s">
        <v>8</v>
      </c>
      <c r="E3" s="529" t="s">
        <v>9</v>
      </c>
      <c r="F3" s="529"/>
      <c r="G3" s="300"/>
      <c r="H3" s="300"/>
      <c r="I3" s="300"/>
      <c r="J3" s="300"/>
      <c r="K3" s="301"/>
      <c r="M3" s="22"/>
    </row>
    <row r="4" spans="1:13">
      <c r="A4" s="30"/>
      <c r="B4" s="302" t="s">
        <v>10</v>
      </c>
      <c r="C4" s="516" t="s">
        <v>11</v>
      </c>
      <c r="D4" s="516"/>
      <c r="E4" s="516"/>
      <c r="F4" s="516"/>
      <c r="G4" s="516"/>
      <c r="H4" s="516"/>
      <c r="I4" s="516"/>
      <c r="J4" s="516"/>
      <c r="K4" s="517"/>
      <c r="M4" s="22"/>
    </row>
    <row r="5" spans="1:13">
      <c r="A5" s="30"/>
      <c r="B5" s="30"/>
      <c r="K5" s="22"/>
      <c r="M5" s="22"/>
    </row>
    <row r="6" spans="1:13" ht="15.75" thickBot="1">
      <c r="A6" s="28"/>
      <c r="B6" s="28"/>
      <c r="C6" s="23"/>
      <c r="D6" s="23"/>
      <c r="E6" s="23"/>
      <c r="F6" s="23"/>
      <c r="G6" s="23"/>
      <c r="H6" s="23"/>
      <c r="I6" s="23"/>
      <c r="J6" s="23"/>
      <c r="K6" s="24"/>
      <c r="M6" s="22"/>
    </row>
    <row r="7" spans="1:13" ht="15.75" thickBot="1">
      <c r="A7" s="30"/>
      <c r="M7" s="22"/>
    </row>
    <row r="8" spans="1:13">
      <c r="A8" s="518" t="s">
        <v>12</v>
      </c>
      <c r="B8" s="519"/>
      <c r="C8" s="519"/>
      <c r="D8" s="519"/>
      <c r="E8" s="519"/>
      <c r="F8" s="519"/>
      <c r="G8" s="519"/>
      <c r="H8" s="519"/>
      <c r="I8" s="519"/>
      <c r="J8" s="519"/>
      <c r="K8" s="520"/>
      <c r="M8" s="22"/>
    </row>
    <row r="9" spans="1:13" ht="15.75" thickBot="1">
      <c r="A9" s="521"/>
      <c r="B9" s="522"/>
      <c r="C9" s="522"/>
      <c r="D9" s="522"/>
      <c r="E9" s="522"/>
      <c r="F9" s="522"/>
      <c r="G9" s="522"/>
      <c r="H9" s="522"/>
      <c r="I9" s="522"/>
      <c r="J9" s="522"/>
      <c r="K9" s="523"/>
      <c r="M9" s="22"/>
    </row>
    <row r="10" spans="1:13" ht="15.75" thickBot="1">
      <c r="A10" s="30"/>
      <c r="M10" s="22"/>
    </row>
    <row r="11" spans="1:13" ht="15.75" thickBot="1">
      <c r="A11" s="39" t="s">
        <v>13</v>
      </c>
      <c r="H11" s="285" t="s">
        <v>14</v>
      </c>
      <c r="M11" s="22"/>
    </row>
    <row r="12" spans="1:13">
      <c r="A12" s="55" t="s">
        <v>15</v>
      </c>
      <c r="B12" s="345">
        <f>I13*0.96</f>
        <v>10.559999999999999</v>
      </c>
      <c r="C12" s="5" t="s">
        <v>16</v>
      </c>
      <c r="H12" s="310" t="s">
        <v>17</v>
      </c>
      <c r="I12" s="311">
        <v>12.2</v>
      </c>
      <c r="J12" s="7" t="s">
        <v>16</v>
      </c>
      <c r="M12" s="22"/>
    </row>
    <row r="13" spans="1:13">
      <c r="A13" s="55" t="s">
        <v>18</v>
      </c>
      <c r="B13" s="346">
        <v>2.8</v>
      </c>
      <c r="C13" s="5" t="s">
        <v>16</v>
      </c>
      <c r="H13" s="312" t="s">
        <v>19</v>
      </c>
      <c r="I13" s="307">
        <v>11</v>
      </c>
      <c r="J13" s="22" t="s">
        <v>16</v>
      </c>
      <c r="M13" s="22"/>
    </row>
    <row r="14" spans="1:13">
      <c r="A14" s="55" t="s">
        <v>20</v>
      </c>
      <c r="B14" s="346">
        <v>1.4</v>
      </c>
      <c r="C14" s="5" t="s">
        <v>16</v>
      </c>
      <c r="H14" s="312" t="s">
        <v>21</v>
      </c>
      <c r="I14" s="307">
        <v>2.8</v>
      </c>
      <c r="J14" s="22" t="s">
        <v>16</v>
      </c>
      <c r="M14" s="22"/>
    </row>
    <row r="15" spans="1:13">
      <c r="A15" s="55" t="s">
        <v>22</v>
      </c>
      <c r="B15" s="346">
        <f>I15</f>
        <v>0.53</v>
      </c>
      <c r="C15" s="5" t="s">
        <v>16</v>
      </c>
      <c r="H15" s="312" t="s">
        <v>23</v>
      </c>
      <c r="I15" s="307">
        <v>0.53</v>
      </c>
      <c r="J15" s="22" t="s">
        <v>16</v>
      </c>
      <c r="M15" s="22"/>
    </row>
    <row r="16" spans="1:13">
      <c r="A16" s="55" t="s">
        <v>24</v>
      </c>
      <c r="B16" s="346">
        <f>I16</f>
        <v>8.1</v>
      </c>
      <c r="C16" s="5" t="s">
        <v>25</v>
      </c>
      <c r="H16" s="312" t="s">
        <v>26</v>
      </c>
      <c r="I16" s="307">
        <v>8.1</v>
      </c>
      <c r="J16" s="22" t="s">
        <v>25</v>
      </c>
      <c r="M16" s="22"/>
    </row>
    <row r="17" spans="1:13">
      <c r="A17" s="55" t="s">
        <v>27</v>
      </c>
      <c r="B17" s="346">
        <v>25</v>
      </c>
      <c r="C17" s="5" t="s">
        <v>28</v>
      </c>
      <c r="H17" s="312" t="s">
        <v>29</v>
      </c>
      <c r="I17" s="307">
        <v>2</v>
      </c>
      <c r="J17" s="22" t="s">
        <v>30</v>
      </c>
      <c r="M17" s="22"/>
    </row>
    <row r="18" spans="1:13" ht="15.75" thickBot="1">
      <c r="A18" s="55" t="s">
        <v>31</v>
      </c>
      <c r="B18" s="346">
        <v>13</v>
      </c>
      <c r="C18" s="5" t="s">
        <v>32</v>
      </c>
      <c r="H18" s="313" t="s">
        <v>33</v>
      </c>
      <c r="I18" s="314">
        <v>25</v>
      </c>
      <c r="J18" s="24" t="s">
        <v>34</v>
      </c>
      <c r="M18" s="22"/>
    </row>
    <row r="19" spans="1:13">
      <c r="A19" s="55" t="s">
        <v>35</v>
      </c>
      <c r="B19" s="346">
        <v>19</v>
      </c>
      <c r="C19" s="5" t="s">
        <v>32</v>
      </c>
      <c r="M19" s="22"/>
    </row>
    <row r="20" spans="1:13" ht="15.75" thickBot="1">
      <c r="A20" s="56" t="s">
        <v>36</v>
      </c>
      <c r="B20" s="347">
        <v>5</v>
      </c>
      <c r="C20" s="6" t="s">
        <v>32</v>
      </c>
      <c r="M20" s="22"/>
    </row>
    <row r="21" spans="1:13" ht="15.75" thickBot="1">
      <c r="A21" s="30"/>
      <c r="M21" s="22"/>
    </row>
    <row r="22" spans="1:13" ht="33.6" customHeight="1" thickBot="1">
      <c r="A22" s="511" t="s">
        <v>37</v>
      </c>
      <c r="B22" s="512"/>
      <c r="C22" s="512"/>
      <c r="D22" s="512"/>
      <c r="E22" s="512"/>
      <c r="F22" s="512"/>
      <c r="G22" s="512"/>
      <c r="H22" s="512"/>
      <c r="I22" s="512"/>
      <c r="J22" s="512"/>
      <c r="K22" s="512"/>
      <c r="L22" s="512"/>
      <c r="M22" s="513"/>
    </row>
    <row r="23" spans="1:13" ht="15.75" thickBot="1">
      <c r="A23" s="524" t="s">
        <v>38</v>
      </c>
      <c r="B23" s="525"/>
      <c r="C23" s="525"/>
      <c r="D23" s="525"/>
      <c r="E23" s="525"/>
      <c r="F23" s="526"/>
      <c r="G23" s="21"/>
      <c r="H23" s="527"/>
      <c r="I23" s="527"/>
      <c r="J23" s="527"/>
      <c r="K23" s="527"/>
      <c r="L23" s="527"/>
      <c r="M23" s="528"/>
    </row>
    <row r="24" spans="1:13">
      <c r="A24" s="30"/>
      <c r="M24" s="22"/>
    </row>
    <row r="25" spans="1:13" ht="15.75" thickBot="1">
      <c r="A25" s="30"/>
      <c r="E25" s="448" t="s">
        <v>39</v>
      </c>
      <c r="L25" s="448"/>
      <c r="M25" s="22"/>
    </row>
    <row r="26" spans="1:13" ht="16.5" thickBot="1">
      <c r="A26" s="509" t="s">
        <v>40</v>
      </c>
      <c r="B26" s="510"/>
      <c r="C26" s="306">
        <f>'espesores laminas'!N17</f>
        <v>6.6505715574540147</v>
      </c>
      <c r="D26" s="114" t="s">
        <v>41</v>
      </c>
      <c r="E26" s="406">
        <v>6</v>
      </c>
      <c r="F26" t="s">
        <v>41</v>
      </c>
      <c r="H26" s="514"/>
      <c r="I26" s="514"/>
      <c r="J26" s="32"/>
      <c r="L26" s="407"/>
      <c r="M26" s="22"/>
    </row>
    <row r="27" spans="1:13" ht="15.75" thickBot="1">
      <c r="A27" s="30"/>
      <c r="M27" s="22"/>
    </row>
    <row r="28" spans="1:13" ht="16.5" thickBot="1">
      <c r="A28" s="509" t="s">
        <v>42</v>
      </c>
      <c r="B28" s="510"/>
      <c r="C28" s="306">
        <f>'espesores laminas'!N18</f>
        <v>2.9180561343981273</v>
      </c>
      <c r="D28" s="114" t="s">
        <v>41</v>
      </c>
      <c r="E28" s="407">
        <v>6</v>
      </c>
      <c r="F28" t="s">
        <v>41</v>
      </c>
      <c r="H28" s="514"/>
      <c r="I28" s="514"/>
      <c r="J28" s="32"/>
      <c r="L28" s="407"/>
      <c r="M28" s="22"/>
    </row>
    <row r="29" spans="1:13" ht="15.75" thickBot="1">
      <c r="A29" s="30"/>
      <c r="M29" s="22"/>
    </row>
    <row r="30" spans="1:13" ht="16.5" thickBot="1">
      <c r="A30" s="509" t="s">
        <v>43</v>
      </c>
      <c r="B30" s="510"/>
      <c r="C30" s="306">
        <f>'espesores laminas'!N19</f>
        <v>2.9283999999999999</v>
      </c>
      <c r="D30" s="114" t="s">
        <v>41</v>
      </c>
      <c r="E30" s="407">
        <v>6</v>
      </c>
      <c r="F30" t="s">
        <v>41</v>
      </c>
      <c r="H30" s="514"/>
      <c r="I30" s="514"/>
      <c r="J30" s="32"/>
      <c r="L30" s="407"/>
      <c r="M30" s="22"/>
    </row>
    <row r="31" spans="1:13">
      <c r="A31" s="30"/>
      <c r="M31" s="22"/>
    </row>
    <row r="32" spans="1:13">
      <c r="A32" s="30"/>
      <c r="M32" s="22"/>
    </row>
    <row r="33" spans="1:13" ht="15.75" thickBot="1">
      <c r="A33" s="30"/>
      <c r="M33" s="22"/>
    </row>
    <row r="34" spans="1:13" ht="19.5" customHeight="1" thickBot="1">
      <c r="A34" s="122" t="s">
        <v>44</v>
      </c>
      <c r="B34" s="132">
        <f>Refuerzos!R25</f>
        <v>7.8628147265306119</v>
      </c>
      <c r="C34" s="7" t="s">
        <v>45</v>
      </c>
      <c r="H34" s="464"/>
      <c r="I34" s="32"/>
      <c r="M34" s="22"/>
    </row>
    <row r="35" spans="1:13" ht="15.75" thickBot="1">
      <c r="A35" s="122" t="s">
        <v>46</v>
      </c>
      <c r="B35" s="31">
        <f>MIN(Refuerzos!AR31,Refuerzos!AR56,Refuerzos!AR82,Refuerzos!AR116)</f>
        <v>3.2361287364781091</v>
      </c>
      <c r="C35" s="24"/>
      <c r="H35" s="98"/>
      <c r="I35" s="32"/>
      <c r="M35" s="22"/>
    </row>
    <row r="36" spans="1:13">
      <c r="A36" s="30"/>
      <c r="C36" s="22"/>
      <c r="M36" s="22"/>
    </row>
    <row r="37" spans="1:13" ht="15.75" thickBot="1">
      <c r="A37" s="30"/>
      <c r="C37" s="22"/>
      <c r="M37" s="22"/>
    </row>
    <row r="38" spans="1:13" ht="31.5" customHeight="1" thickBot="1">
      <c r="A38" s="122" t="s">
        <v>47</v>
      </c>
      <c r="B38" s="132">
        <f>Refuerzos!R29</f>
        <v>1.0091509335033364</v>
      </c>
      <c r="C38" s="7" t="s">
        <v>45</v>
      </c>
      <c r="H38" s="464"/>
      <c r="I38" s="32"/>
      <c r="M38" s="22"/>
    </row>
    <row r="39" spans="1:13" ht="15.75" thickBot="1">
      <c r="A39" s="122" t="s">
        <v>46</v>
      </c>
      <c r="B39" s="31">
        <f>MIN(Refuerzos!AR146)</f>
        <v>2.4427123050452391</v>
      </c>
      <c r="C39" s="24"/>
      <c r="H39" s="98"/>
      <c r="I39" s="32"/>
      <c r="M39" s="22"/>
    </row>
    <row r="40" spans="1:13">
      <c r="A40" s="30"/>
      <c r="C40" s="22"/>
      <c r="M40" s="22"/>
    </row>
    <row r="41" spans="1:13" ht="15.75" thickBot="1">
      <c r="A41" s="30"/>
      <c r="C41" s="22"/>
      <c r="M41" s="22"/>
    </row>
    <row r="42" spans="1:13" ht="18.75" customHeight="1" thickBot="1">
      <c r="A42" s="122" t="s">
        <v>48</v>
      </c>
      <c r="B42" s="132">
        <f>Refuerzos!R34</f>
        <v>3.5320282672616781</v>
      </c>
      <c r="C42" s="7" t="s">
        <v>45</v>
      </c>
      <c r="H42" s="464"/>
      <c r="I42" s="32"/>
      <c r="M42" s="22"/>
    </row>
    <row r="43" spans="1:13" ht="15.75" thickBot="1">
      <c r="A43" s="122" t="s">
        <v>46</v>
      </c>
      <c r="B43" s="31">
        <f>MIN(Refuerzos!AR174)</f>
        <v>4.0879388336721174</v>
      </c>
      <c r="C43" s="24"/>
      <c r="H43" s="98"/>
      <c r="I43" s="32"/>
      <c r="M43" s="22"/>
    </row>
    <row r="44" spans="1:13">
      <c r="A44" s="30"/>
      <c r="C44" s="22"/>
      <c r="H44" s="98"/>
      <c r="I44" s="32"/>
      <c r="M44" s="22"/>
    </row>
    <row r="45" spans="1:13" ht="15.75" thickBot="1">
      <c r="A45" s="30"/>
      <c r="C45" s="22"/>
      <c r="H45" s="98"/>
      <c r="I45" s="32"/>
      <c r="M45" s="22"/>
    </row>
    <row r="46" spans="1:13" ht="15.75" thickBot="1">
      <c r="A46" s="122" t="s">
        <v>49</v>
      </c>
      <c r="B46" s="132">
        <f>'espesores laminas'!T66</f>
        <v>1.710813035716257E-2</v>
      </c>
      <c r="C46" s="7" t="s">
        <v>50</v>
      </c>
      <c r="H46" s="98"/>
      <c r="I46" s="32"/>
      <c r="M46" s="22"/>
    </row>
    <row r="47" spans="1:13" ht="15.75" thickBot="1">
      <c r="A47" s="122" t="s">
        <v>46</v>
      </c>
      <c r="B47" s="31">
        <f>'espesores laminas'!X66/RESUMEN!B46</f>
        <v>30.106980476342187</v>
      </c>
      <c r="C47" s="24"/>
      <c r="H47" s="98"/>
      <c r="I47" s="32"/>
      <c r="M47" s="22"/>
    </row>
    <row r="48" spans="1:13">
      <c r="A48" s="465"/>
      <c r="B48" s="32"/>
      <c r="H48" s="98"/>
      <c r="I48" s="32"/>
      <c r="M48" s="22"/>
    </row>
    <row r="49" spans="1:13">
      <c r="A49" s="465"/>
      <c r="B49" s="32"/>
      <c r="H49" s="98"/>
      <c r="I49" s="32"/>
      <c r="M49" s="22"/>
    </row>
    <row r="50" spans="1:13">
      <c r="A50" s="30"/>
      <c r="M50" s="22"/>
    </row>
    <row r="51" spans="1:13">
      <c r="A51" s="329" t="s">
        <v>51</v>
      </c>
      <c r="M51" s="22"/>
    </row>
    <row r="52" spans="1:13">
      <c r="A52" s="507" t="s">
        <v>52</v>
      </c>
      <c r="B52" s="508"/>
      <c r="C52" s="508"/>
      <c r="D52" s="508"/>
      <c r="E52" s="508"/>
      <c r="M52" s="22"/>
    </row>
    <row r="53" spans="1:13">
      <c r="A53" s="507" t="s">
        <v>53</v>
      </c>
      <c r="B53" s="508"/>
      <c r="C53" s="508"/>
      <c r="D53" s="508"/>
      <c r="E53" s="508"/>
      <c r="M53" s="22"/>
    </row>
    <row r="54" spans="1:13">
      <c r="A54" s="30"/>
      <c r="M54" s="22"/>
    </row>
    <row r="55" spans="1:13" ht="15.75" thickBot="1">
      <c r="A55" s="30"/>
      <c r="M55" s="22"/>
    </row>
    <row r="56" spans="1:13" ht="15.75" thickBot="1">
      <c r="A56" s="303" t="s">
        <v>54</v>
      </c>
      <c r="B56" s="7"/>
      <c r="M56" s="22"/>
    </row>
    <row r="57" spans="1:13" ht="15.75" thickBot="1">
      <c r="A57" s="30" t="s">
        <v>55</v>
      </c>
      <c r="B57" s="289"/>
      <c r="M57" s="22"/>
    </row>
    <row r="58" spans="1:13" ht="15.75" thickBot="1">
      <c r="A58" s="30" t="s">
        <v>56</v>
      </c>
      <c r="B58" s="323"/>
      <c r="M58" s="22"/>
    </row>
    <row r="59" spans="1:13" ht="15.75" thickBot="1">
      <c r="A59" s="28" t="s">
        <v>57</v>
      </c>
      <c r="B59" s="324"/>
      <c r="M59" s="22"/>
    </row>
    <row r="60" spans="1:13" ht="15.75" thickBot="1">
      <c r="A60" s="313"/>
      <c r="B60" s="327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4"/>
    </row>
    <row r="61" spans="1:13">
      <c r="A61" s="308"/>
      <c r="B61" s="309"/>
    </row>
    <row r="62" spans="1:13">
      <c r="H62" s="270"/>
    </row>
    <row r="63" spans="1:13">
      <c r="H63" s="308"/>
      <c r="I63" s="309"/>
    </row>
    <row r="64" spans="1:13">
      <c r="H64" s="308"/>
      <c r="I64" s="309"/>
    </row>
    <row r="65" spans="8:9">
      <c r="H65" s="308"/>
      <c r="I65" s="309"/>
    </row>
    <row r="66" spans="8:9">
      <c r="H66" s="308"/>
      <c r="I66" s="309"/>
    </row>
    <row r="67" spans="8:9">
      <c r="H67" s="308"/>
      <c r="I67" s="309"/>
    </row>
    <row r="68" spans="8:9">
      <c r="H68" s="308"/>
      <c r="I68" s="309"/>
    </row>
  </sheetData>
  <mergeCells count="15">
    <mergeCell ref="E1:F1"/>
    <mergeCell ref="C4:K4"/>
    <mergeCell ref="A8:K9"/>
    <mergeCell ref="A23:F23"/>
    <mergeCell ref="H23:M23"/>
    <mergeCell ref="E3:F3"/>
    <mergeCell ref="A53:E53"/>
    <mergeCell ref="A26:B26"/>
    <mergeCell ref="A28:B28"/>
    <mergeCell ref="A22:M22"/>
    <mergeCell ref="A52:E52"/>
    <mergeCell ref="A30:B30"/>
    <mergeCell ref="H26:I26"/>
    <mergeCell ref="H28:I28"/>
    <mergeCell ref="H30:I3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AF111"/>
  <sheetViews>
    <sheetView zoomScale="85" zoomScaleNormal="85" workbookViewId="0">
      <selection activeCell="O27" sqref="O27:O31"/>
    </sheetView>
  </sheetViews>
  <sheetFormatPr baseColWidth="10" defaultColWidth="11.42578125" defaultRowHeight="15"/>
  <cols>
    <col min="2" max="2" width="30.5703125" customWidth="1"/>
    <col min="3" max="3" width="27.28515625" customWidth="1"/>
    <col min="4" max="4" width="25.28515625" customWidth="1"/>
    <col min="5" max="5" width="19.28515625" customWidth="1"/>
    <col min="6" max="6" width="17.7109375" customWidth="1"/>
    <col min="7" max="8" width="13.42578125" customWidth="1"/>
    <col min="9" max="9" width="13.5703125" customWidth="1"/>
    <col min="10" max="10" width="24" customWidth="1"/>
    <col min="11" max="11" width="16.42578125" customWidth="1"/>
    <col min="12" max="12" width="14.85546875" bestFit="1" customWidth="1"/>
    <col min="14" max="14" width="17.28515625" customWidth="1"/>
    <col min="16" max="16" width="14.85546875" customWidth="1"/>
    <col min="22" max="22" width="10.5703125" customWidth="1"/>
    <col min="23" max="23" width="2.85546875" hidden="1" customWidth="1"/>
    <col min="24" max="24" width="16.7109375" hidden="1" customWidth="1"/>
    <col min="25" max="28" width="11.42578125" hidden="1" customWidth="1"/>
    <col min="29" max="29" width="10.42578125" hidden="1" customWidth="1"/>
    <col min="30" max="31" width="11.42578125" hidden="1" customWidth="1"/>
    <col min="32" max="32" width="15.7109375" hidden="1" customWidth="1"/>
  </cols>
  <sheetData>
    <row r="1" spans="2:15">
      <c r="B1" s="650" t="s">
        <v>436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2"/>
    </row>
    <row r="2" spans="2:15" ht="15.75" thickBot="1">
      <c r="B2" s="653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</row>
    <row r="3" spans="2:15" ht="15.75" thickBot="1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7"/>
    </row>
    <row r="4" spans="2:15" ht="33.75" customHeight="1" thickBot="1">
      <c r="B4" s="30"/>
      <c r="G4" s="645" t="s">
        <v>437</v>
      </c>
      <c r="H4" s="646"/>
      <c r="O4" s="22"/>
    </row>
    <row r="5" spans="2:15" ht="28.5" customHeight="1" thickBot="1">
      <c r="B5" s="503" t="s">
        <v>438</v>
      </c>
      <c r="C5" s="504" t="s">
        <v>439</v>
      </c>
      <c r="D5" s="505" t="s">
        <v>440</v>
      </c>
      <c r="E5" s="505" t="s">
        <v>441</v>
      </c>
      <c r="F5" s="505" t="s">
        <v>442</v>
      </c>
      <c r="G5" s="504" t="s">
        <v>443</v>
      </c>
      <c r="H5" s="506" t="s">
        <v>444</v>
      </c>
      <c r="O5" s="22"/>
    </row>
    <row r="6" spans="2:15">
      <c r="B6" s="466">
        <f>'Presiones de diseño'!D7</f>
        <v>103.20357142857142</v>
      </c>
      <c r="C6">
        <v>800</v>
      </c>
      <c r="D6">
        <v>300</v>
      </c>
      <c r="E6">
        <v>5</v>
      </c>
      <c r="F6" s="61">
        <f>5*B6*D6*C6/10000</f>
        <v>12384.428571428571</v>
      </c>
      <c r="G6" s="32">
        <f>83.33*1*B6*D6*C6^2/1000000000</f>
        <v>1651.1910925714285</v>
      </c>
      <c r="H6" s="414">
        <f>G6*1000</f>
        <v>1651191.0925714285</v>
      </c>
      <c r="O6" s="22"/>
    </row>
    <row r="7" spans="2:15">
      <c r="B7" s="466">
        <f>'Presiones de diseño'!D9</f>
        <v>19.868453741496598</v>
      </c>
      <c r="C7">
        <v>800</v>
      </c>
      <c r="D7">
        <v>200</v>
      </c>
      <c r="E7">
        <v>5</v>
      </c>
      <c r="F7" s="61">
        <f>5*B7*D7*C7/10000</f>
        <v>1589.4762993197278</v>
      </c>
      <c r="G7" s="32">
        <f>83.33*1*B7*D7*C7^2/1000000000</f>
        <v>211.92169603570065</v>
      </c>
      <c r="H7" s="414">
        <f>G7*1000</f>
        <v>211921.69603570065</v>
      </c>
      <c r="O7" s="22"/>
    </row>
    <row r="8" spans="2:15" ht="15.75" thickBot="1">
      <c r="B8" s="432">
        <f>'Presiones de diseño'!D13</f>
        <v>3.0645799999999999</v>
      </c>
      <c r="C8" s="23">
        <v>800</v>
      </c>
      <c r="D8" s="23">
        <v>700</v>
      </c>
      <c r="E8" s="23">
        <v>5</v>
      </c>
      <c r="F8" s="29">
        <f>5*B8*D8*C8/10000</f>
        <v>858.08240000000001</v>
      </c>
      <c r="G8" s="31">
        <f>83.33*1*B8*D8*C8^2/1000000000</f>
        <v>114.4064102272</v>
      </c>
      <c r="H8" s="467">
        <f>G8*1000</f>
        <v>114406.4102272</v>
      </c>
      <c r="O8" s="22"/>
    </row>
    <row r="9" spans="2:15" ht="15.75" thickBot="1">
      <c r="B9" s="466"/>
      <c r="F9" s="61"/>
      <c r="G9" s="32"/>
      <c r="H9" s="32"/>
      <c r="O9" s="22"/>
    </row>
    <row r="10" spans="2:15" ht="15.75" thickBot="1">
      <c r="B10" s="30"/>
      <c r="D10" s="468" t="s">
        <v>445</v>
      </c>
      <c r="E10" s="469" t="s">
        <v>446</v>
      </c>
      <c r="F10" s="469" t="s">
        <v>447</v>
      </c>
      <c r="G10" s="469" t="s">
        <v>448</v>
      </c>
      <c r="H10" s="469" t="s">
        <v>449</v>
      </c>
      <c r="I10" s="469" t="s">
        <v>450</v>
      </c>
      <c r="J10" s="470" t="s">
        <v>451</v>
      </c>
      <c r="O10" s="22"/>
    </row>
    <row r="11" spans="2:15">
      <c r="B11" s="30"/>
      <c r="D11" s="30" t="s">
        <v>452</v>
      </c>
      <c r="E11">
        <f>38000*0.3-5000</f>
        <v>6400</v>
      </c>
      <c r="F11">
        <f>800*0.3^2-80*0.3+37</f>
        <v>85</v>
      </c>
      <c r="G11">
        <f>80*0.3+38</f>
        <v>62</v>
      </c>
      <c r="H11">
        <v>0.5</v>
      </c>
      <c r="I11">
        <f>H11*F11</f>
        <v>42.5</v>
      </c>
      <c r="J11" s="22">
        <f>G11*H11</f>
        <v>31</v>
      </c>
      <c r="O11" s="22"/>
    </row>
    <row r="12" spans="2:15">
      <c r="B12" s="30"/>
      <c r="D12" s="30" t="s">
        <v>453</v>
      </c>
      <c r="E12">
        <f>38000*0.47-5000</f>
        <v>12860</v>
      </c>
      <c r="F12">
        <f>800*0.47^2-80*0.47+37</f>
        <v>176.12</v>
      </c>
      <c r="G12">
        <f>80*0.47+38</f>
        <v>75.599999999999994</v>
      </c>
      <c r="H12">
        <v>0.5</v>
      </c>
      <c r="I12">
        <f t="shared" ref="I12:I13" si="0">H12*F12</f>
        <v>88.06</v>
      </c>
      <c r="J12" s="22">
        <f t="shared" ref="J12:J13" si="1">G12*H12</f>
        <v>37.799999999999997</v>
      </c>
      <c r="O12" s="22"/>
    </row>
    <row r="13" spans="2:15">
      <c r="B13" s="30"/>
      <c r="D13" s="30" t="s">
        <v>453</v>
      </c>
      <c r="E13">
        <f>38000*0.47-5000</f>
        <v>12860</v>
      </c>
      <c r="F13">
        <f>800*0.47^2-80*0.47+37</f>
        <v>176.12</v>
      </c>
      <c r="G13">
        <f>80*0.47+38</f>
        <v>75.599999999999994</v>
      </c>
      <c r="H13">
        <v>0.5</v>
      </c>
      <c r="I13">
        <f t="shared" si="0"/>
        <v>88.06</v>
      </c>
      <c r="J13" s="22">
        <f t="shared" si="1"/>
        <v>37.799999999999997</v>
      </c>
      <c r="O13" s="22"/>
    </row>
    <row r="14" spans="2:15" ht="15.75" thickBot="1">
      <c r="B14" s="30"/>
      <c r="D14" s="28"/>
      <c r="E14" s="23"/>
      <c r="F14" s="23"/>
      <c r="G14" s="23"/>
      <c r="H14" s="23"/>
      <c r="I14" s="23"/>
      <c r="J14" s="24"/>
      <c r="O14" s="22"/>
    </row>
    <row r="15" spans="2:15">
      <c r="B15" s="30"/>
      <c r="O15" s="22"/>
    </row>
    <row r="16" spans="2:15">
      <c r="B16" s="30"/>
      <c r="O16" s="22"/>
    </row>
    <row r="17" spans="2:15">
      <c r="B17" s="30"/>
      <c r="O17" s="22"/>
    </row>
    <row r="18" spans="2:15">
      <c r="B18" s="30"/>
      <c r="O18" s="22"/>
    </row>
    <row r="19" spans="2:15" ht="15.75" thickBot="1">
      <c r="B19" s="30"/>
      <c r="O19" s="22"/>
    </row>
    <row r="20" spans="2:15" ht="21.75" thickBot="1">
      <c r="B20" s="647" t="s">
        <v>454</v>
      </c>
      <c r="C20" s="648"/>
      <c r="D20" s="649"/>
      <c r="O20" s="22"/>
    </row>
    <row r="21" spans="2:15" ht="15.75" thickBot="1">
      <c r="B21" s="30"/>
      <c r="O21" s="22"/>
    </row>
    <row r="22" spans="2:15">
      <c r="B22" s="4" t="s">
        <v>455</v>
      </c>
      <c r="C22" s="476">
        <v>3.1</v>
      </c>
      <c r="D22" s="453" t="s">
        <v>41</v>
      </c>
      <c r="O22" s="22"/>
    </row>
    <row r="23" spans="2:15">
      <c r="B23" s="5" t="s">
        <v>456</v>
      </c>
      <c r="C23" s="477">
        <v>3.1</v>
      </c>
      <c r="D23" s="12" t="s">
        <v>41</v>
      </c>
      <c r="O23" s="22"/>
    </row>
    <row r="24" spans="2:15" ht="15.75" thickBot="1">
      <c r="B24" s="6" t="s">
        <v>457</v>
      </c>
      <c r="C24" s="478">
        <f>Refuerzos!AB41</f>
        <v>19.737164852287506</v>
      </c>
      <c r="D24" s="15" t="s">
        <v>41</v>
      </c>
      <c r="O24" s="22"/>
    </row>
    <row r="25" spans="2:15" ht="15.75" thickBot="1">
      <c r="B25" s="30"/>
      <c r="C25" s="32"/>
      <c r="O25" s="22"/>
    </row>
    <row r="26" spans="2:15">
      <c r="B26" s="482"/>
      <c r="C26" s="479" t="s">
        <v>458</v>
      </c>
      <c r="D26" s="472" t="s">
        <v>459</v>
      </c>
      <c r="E26" s="472" t="s">
        <v>460</v>
      </c>
      <c r="F26" s="472" t="s">
        <v>461</v>
      </c>
      <c r="G26" s="472" t="s">
        <v>462</v>
      </c>
      <c r="H26" s="472" t="s">
        <v>463</v>
      </c>
      <c r="I26" s="472" t="s">
        <v>464</v>
      </c>
      <c r="J26" s="472" t="s">
        <v>465</v>
      </c>
      <c r="K26" s="472" t="s">
        <v>466</v>
      </c>
      <c r="L26" s="472" t="s">
        <v>467</v>
      </c>
      <c r="M26" s="472" t="s">
        <v>468</v>
      </c>
      <c r="N26" s="472" t="s">
        <v>469</v>
      </c>
      <c r="O26" s="473" t="s">
        <v>397</v>
      </c>
    </row>
    <row r="27" spans="2:15">
      <c r="B27" s="5" t="s">
        <v>413</v>
      </c>
      <c r="C27" s="480">
        <f>Refuerzos!AJ27</f>
        <v>3.2347882736156355</v>
      </c>
      <c r="D27" s="9">
        <f>C27-$C$24</f>
        <v>-16.502376578671871</v>
      </c>
      <c r="E27" s="436">
        <f>Refuerzos!AH27</f>
        <v>1352.1414983713357</v>
      </c>
      <c r="F27" s="435">
        <f>Refuerzos!AG27</f>
        <v>12387.317073170729</v>
      </c>
      <c r="G27" s="447">
        <f>E27*F27</f>
        <v>16749405.468117898</v>
      </c>
      <c r="H27" s="447">
        <f>G27*D27</f>
        <v>-276404996.5037474</v>
      </c>
      <c r="I27" s="447">
        <f>G27*D27^2</f>
        <v>4561339340.5313206</v>
      </c>
      <c r="J27" s="436">
        <f>(1/12)*(Refuerzos!AE27*Refuerzos!AF27^3)*F27</f>
        <v>58421117.695923053</v>
      </c>
      <c r="K27" s="447">
        <f>J27+I27</f>
        <v>4619760458.2272434</v>
      </c>
      <c r="L27" s="8">
        <f>G27*(ABS('C. inercias'!D27))</f>
        <v>276404996.5037474</v>
      </c>
      <c r="M27" s="9">
        <f>$F$6*L27/$K$32</f>
        <v>177.050941620185</v>
      </c>
      <c r="N27" s="9">
        <f>M27/Refuerzos!AE27</f>
        <v>0.84713369196260768</v>
      </c>
      <c r="O27" s="304">
        <f>$I$11/N27</f>
        <v>50.169176840951266</v>
      </c>
    </row>
    <row r="28" spans="2:15">
      <c r="B28" s="5" t="s">
        <v>470</v>
      </c>
      <c r="C28" s="480">
        <f>Refuerzos!AJ30</f>
        <v>8.0195765472312708</v>
      </c>
      <c r="D28" s="9">
        <f t="shared" ref="D28:D31" si="2">C28-$C$24</f>
        <v>-11.717588305056235</v>
      </c>
      <c r="E28" s="8">
        <f>Refuerzos!AH30</f>
        <v>372</v>
      </c>
      <c r="F28" s="8">
        <f>Refuerzos!AG30</f>
        <v>11720</v>
      </c>
      <c r="G28" s="447">
        <f t="shared" ref="G28:G31" si="3">E28*F28</f>
        <v>4359840</v>
      </c>
      <c r="H28" s="447">
        <f t="shared" ref="H28:H31" si="4">G28*D28</f>
        <v>-51086810.195916377</v>
      </c>
      <c r="I28" s="447">
        <f t="shared" ref="I28:I31" si="5">G28*D28^2</f>
        <v>598614209.69429731</v>
      </c>
      <c r="J28" s="436">
        <f>(1/12)*Refuerzos!AE30*Refuerzos!AF30^3*F28</f>
        <v>1745752.6</v>
      </c>
      <c r="K28" s="447">
        <f t="shared" ref="K28:K31" si="6">J28+I28</f>
        <v>600359962.29429734</v>
      </c>
      <c r="L28" s="8">
        <f>G28*(ABS('C. inercias'!D28))</f>
        <v>51086810.195916377</v>
      </c>
      <c r="M28" s="9">
        <f t="shared" ref="M28:M31" si="7">$F$6*L28/$K$32</f>
        <v>32.723604724837287</v>
      </c>
      <c r="N28" s="9">
        <f>M28/Refuerzos!AE30</f>
        <v>0.54539341208062142</v>
      </c>
      <c r="O28" s="304">
        <f t="shared" ref="O28:O31" si="8">$I$11/N28</f>
        <v>77.925400378172412</v>
      </c>
    </row>
    <row r="29" spans="2:15">
      <c r="B29" s="5" t="s">
        <v>471</v>
      </c>
      <c r="C29" s="480">
        <f>(C24-Refuerzos!AF30-Refuerzos!AF27)/2</f>
        <v>5.0837941525281174</v>
      </c>
      <c r="D29" s="9">
        <f>C29-$C$24</f>
        <v>-14.653370699759389</v>
      </c>
      <c r="E29" s="436">
        <f>(C24-Refuerzos!AF30-Refuerzos!AF27)*3.1*2</f>
        <v>63.039047491348654</v>
      </c>
      <c r="F29" s="8">
        <f>Refuerzos!AG29</f>
        <v>11720</v>
      </c>
      <c r="G29" s="447">
        <f t="shared" si="3"/>
        <v>738817.63659860624</v>
      </c>
      <c r="H29" s="447">
        <f t="shared" si="4"/>
        <v>-10826168.708599497</v>
      </c>
      <c r="I29" s="447">
        <f t="shared" si="5"/>
        <v>158639863.34524381</v>
      </c>
      <c r="J29" s="436">
        <f>(1/12)*(C22)*(C24-Refuerzos!AF30-Refuerzos!AF27)^3*F29</f>
        <v>3182452.4117937246</v>
      </c>
      <c r="K29" s="447">
        <f t="shared" si="6"/>
        <v>161822315.75703755</v>
      </c>
      <c r="L29" s="8">
        <f>G29*(ABS('C. inercias'!D29))</f>
        <v>10826168.708599497</v>
      </c>
      <c r="M29" s="9">
        <f t="shared" si="7"/>
        <v>6.9346914427812667</v>
      </c>
      <c r="N29" s="9">
        <f>M29/C22</f>
        <v>2.2369972396068603</v>
      </c>
      <c r="O29" s="304">
        <f t="shared" si="8"/>
        <v>18.998682362017192</v>
      </c>
    </row>
    <row r="30" spans="2:15">
      <c r="B30" s="5" t="s">
        <v>472</v>
      </c>
      <c r="C30" s="480">
        <f>((Refuerzos!AF27+Refuerzos!AF30+Refuerzos!AF29)-'C. inercias'!C24)/2</f>
        <v>32.416205847471879</v>
      </c>
      <c r="D30" s="9">
        <f t="shared" si="2"/>
        <v>12.679040995184373</v>
      </c>
      <c r="E30" s="436">
        <f>((Refuerzos!AF27+Refuerzos!AF30+Refuerzos!AF29)-'C. inercias'!C24)*3.1*2</f>
        <v>401.9609525086513</v>
      </c>
      <c r="F30" s="8">
        <f>Refuerzos!AG29</f>
        <v>11720</v>
      </c>
      <c r="G30" s="447">
        <f t="shared" si="3"/>
        <v>4710982.3634013934</v>
      </c>
      <c r="H30" s="447">
        <f t="shared" si="4"/>
        <v>59730738.513156831</v>
      </c>
      <c r="I30" s="447">
        <f t="shared" si="5"/>
        <v>757328482.28095353</v>
      </c>
      <c r="J30" s="436">
        <f>(1/12)*C22*((Refuerzos!AF27+Refuerzos!AF30+Refuerzos!AF29)-'C. inercias'!C24)^3*F30</f>
        <v>825058211.49339795</v>
      </c>
      <c r="K30" s="447">
        <f t="shared" si="6"/>
        <v>1582386693.7743516</v>
      </c>
      <c r="L30" s="8">
        <f>G30*(ABS('C. inercias'!D30))</f>
        <v>59730738.513156831</v>
      </c>
      <c r="M30" s="9">
        <f t="shared" si="7"/>
        <v>38.260464286795518</v>
      </c>
      <c r="N30" s="435">
        <f>M30/C22</f>
        <v>12.342085253805005</v>
      </c>
      <c r="O30" s="304">
        <f t="shared" si="8"/>
        <v>3.4435023844044066</v>
      </c>
    </row>
    <row r="31" spans="2:15" ht="15.75" thickBot="1">
      <c r="B31" s="6" t="s">
        <v>473</v>
      </c>
      <c r="C31" s="481">
        <f>Refuerzos!AJ28</f>
        <v>83.019576547231267</v>
      </c>
      <c r="D31" s="19">
        <f t="shared" si="2"/>
        <v>63.282411694943761</v>
      </c>
      <c r="E31" s="455">
        <f>Refuerzos!AH28</f>
        <v>263.5</v>
      </c>
      <c r="F31" s="14">
        <f>Refuerzos!AG28</f>
        <v>11720</v>
      </c>
      <c r="G31" s="474">
        <f t="shared" si="3"/>
        <v>3088220</v>
      </c>
      <c r="H31" s="474">
        <f t="shared" si="4"/>
        <v>195430009.44455922</v>
      </c>
      <c r="I31" s="474">
        <f t="shared" si="5"/>
        <v>12367282315.217344</v>
      </c>
      <c r="J31" s="455">
        <f>(1/12)*Refuerzos!AE28*Refuerzos!AF28^3*F31</f>
        <v>2473149.5166666666</v>
      </c>
      <c r="K31" s="474">
        <f t="shared" si="6"/>
        <v>12369755464.734011</v>
      </c>
      <c r="L31" s="14">
        <f>G31*(ABS('C. inercias'!D31))</f>
        <v>195430009.44455922</v>
      </c>
      <c r="M31" s="19">
        <f t="shared" si="7"/>
        <v>125.18249536249517</v>
      </c>
      <c r="N31" s="475">
        <f>M31/Refuerzos!AE28</f>
        <v>1.4727352395587667</v>
      </c>
      <c r="O31" s="305">
        <f t="shared" si="8"/>
        <v>28.857868582497591</v>
      </c>
    </row>
    <row r="32" spans="2:15">
      <c r="B32" s="30"/>
      <c r="J32" s="471">
        <f>SUM(J27:J31)</f>
        <v>890880683.71778142</v>
      </c>
      <c r="K32" s="471">
        <f>SUM(K27:K31)</f>
        <v>19334084894.786942</v>
      </c>
      <c r="O32" s="22"/>
    </row>
    <row r="33" spans="2:15">
      <c r="B33" s="30"/>
      <c r="O33" s="22"/>
    </row>
    <row r="34" spans="2:15">
      <c r="B34" s="30"/>
      <c r="O34" s="22"/>
    </row>
    <row r="35" spans="2:15" ht="15.75" thickBot="1">
      <c r="B35" s="30"/>
      <c r="O35" s="22"/>
    </row>
    <row r="36" spans="2:15">
      <c r="B36" s="451" t="s">
        <v>455</v>
      </c>
      <c r="C36" s="452">
        <v>3.1</v>
      </c>
      <c r="D36" s="453" t="s">
        <v>41</v>
      </c>
      <c r="O36" s="22"/>
    </row>
    <row r="37" spans="2:15">
      <c r="B37" s="11" t="s">
        <v>456</v>
      </c>
      <c r="C37" s="8">
        <v>3.1</v>
      </c>
      <c r="D37" s="12" t="s">
        <v>41</v>
      </c>
      <c r="O37" s="22"/>
    </row>
    <row r="38" spans="2:15" ht="15.75" thickBot="1">
      <c r="B38" s="13" t="s">
        <v>457</v>
      </c>
      <c r="C38" s="19">
        <f>Refuerzos!AB69</f>
        <v>185.4144159767217</v>
      </c>
      <c r="D38" s="15" t="s">
        <v>41</v>
      </c>
      <c r="O38" s="22"/>
    </row>
    <row r="39" spans="2:15" ht="15.75" thickBot="1">
      <c r="B39" s="30"/>
      <c r="C39" s="32"/>
      <c r="O39" s="22"/>
    </row>
    <row r="40" spans="2:15">
      <c r="B40" s="482"/>
      <c r="C40" s="479" t="s">
        <v>458</v>
      </c>
      <c r="D40" s="472" t="s">
        <v>459</v>
      </c>
      <c r="E40" s="472" t="s">
        <v>460</v>
      </c>
      <c r="F40" s="472" t="s">
        <v>461</v>
      </c>
      <c r="G40" s="472" t="s">
        <v>462</v>
      </c>
      <c r="H40" s="472" t="s">
        <v>463</v>
      </c>
      <c r="I40" s="472" t="s">
        <v>464</v>
      </c>
      <c r="J40" s="472" t="s">
        <v>465</v>
      </c>
      <c r="K40" s="472" t="s">
        <v>466</v>
      </c>
      <c r="L40" s="472" t="s">
        <v>467</v>
      </c>
      <c r="M40" s="472" t="s">
        <v>468</v>
      </c>
      <c r="N40" s="472" t="s">
        <v>469</v>
      </c>
      <c r="O40" s="473" t="s">
        <v>397</v>
      </c>
    </row>
    <row r="41" spans="2:15">
      <c r="B41" s="5" t="s">
        <v>413</v>
      </c>
      <c r="C41" s="480">
        <f>Refuerzos!AF52/2</f>
        <v>3.2349999999999999</v>
      </c>
      <c r="D41" s="9">
        <f>C41-C38</f>
        <v>-182.17941597672169</v>
      </c>
      <c r="E41" s="436">
        <f>Refuerzos!AH52</f>
        <v>2646.23</v>
      </c>
      <c r="F41" s="435">
        <v>12387.317073170729</v>
      </c>
      <c r="G41" s="447">
        <f>E41*F41</f>
        <v>32779690.058536578</v>
      </c>
      <c r="H41" s="447">
        <f>G41*D41</f>
        <v>-5971784790.7621441</v>
      </c>
      <c r="I41" s="447">
        <f>G41*D41^2</f>
        <v>1087936265519.7164</v>
      </c>
      <c r="J41" s="436">
        <f>(1/12)*Refuerzos!AE52*Refuerzos!AF52^3*F41</f>
        <v>114348943.96428278</v>
      </c>
      <c r="K41" s="447">
        <f>J41+I41</f>
        <v>1088050614463.6807</v>
      </c>
      <c r="L41" s="8">
        <f>G41*(ABS('C. inercias'!D41))</f>
        <v>5971784790.7621441</v>
      </c>
      <c r="M41" s="9">
        <f>$F$6*L41/$K$46</f>
        <v>19.153218540282399</v>
      </c>
      <c r="N41" s="9">
        <f>M41/Refuerzos!AE52</f>
        <v>4.6829385184064543E-2</v>
      </c>
      <c r="O41" s="304">
        <f>$I$11/N41</f>
        <v>907.54981798185599</v>
      </c>
    </row>
    <row r="42" spans="2:15">
      <c r="B42" s="5" t="s">
        <v>470</v>
      </c>
      <c r="C42" s="480">
        <f>Refuerzos!AF52+Refuerzos!AF55/2</f>
        <v>8.02</v>
      </c>
      <c r="D42" s="9">
        <f>C42-C38</f>
        <v>-177.39441597672169</v>
      </c>
      <c r="E42" s="8">
        <f>Refuerzos!AH55</f>
        <v>496</v>
      </c>
      <c r="F42" s="8">
        <v>11720</v>
      </c>
      <c r="G42" s="447">
        <f>E42*F42</f>
        <v>5813120</v>
      </c>
      <c r="H42" s="447">
        <f>G42*D42</f>
        <v>-1031215027.4026004</v>
      </c>
      <c r="I42" s="447">
        <f>G42*D42^2</f>
        <v>182931787532.50336</v>
      </c>
      <c r="J42" s="436">
        <f>(2/12)*Refuerzos!AE55*Refuerzos!AF55^3*F42</f>
        <v>4655340.2666666666</v>
      </c>
      <c r="K42" s="447">
        <f>J42+I42</f>
        <v>182936442872.77002</v>
      </c>
      <c r="L42" s="8">
        <f>G42*(ABS('C. inercias'!D42))</f>
        <v>1031215027.4026004</v>
      </c>
      <c r="M42" s="9">
        <f>$F$6*L42/$K$46</f>
        <v>3.3074009653560528</v>
      </c>
      <c r="N42" s="9">
        <f>M42/Refuerzos!AE55</f>
        <v>4.1342512066950658E-2</v>
      </c>
      <c r="O42" s="304">
        <f t="shared" ref="O42:O45" si="9">$I$11/N42</f>
        <v>1027.9975230139594</v>
      </c>
    </row>
    <row r="43" spans="2:15">
      <c r="B43" s="5" t="s">
        <v>472</v>
      </c>
      <c r="C43" s="480">
        <f>((C38-Refuerzos!AF52-Refuerzos!AF55)/2)+Refuerzos!AF52+Refuerzos!AF55</f>
        <v>97.492207988360846</v>
      </c>
      <c r="D43" s="9">
        <f>C43-C38</f>
        <v>-87.922207988360853</v>
      </c>
      <c r="E43" s="436">
        <f>((C38-Refuerzos!AF52-Refuerzos!AF55)/2)*C36*2</f>
        <v>545.11768952783734</v>
      </c>
      <c r="F43" s="8">
        <v>11720</v>
      </c>
      <c r="G43" s="447">
        <f>E43*F43</f>
        <v>6388779.3212662535</v>
      </c>
      <c r="H43" s="447">
        <f>G43*D43</f>
        <v>-561715584.27611041</v>
      </c>
      <c r="I43" s="447">
        <f t="shared" ref="I43:I45" si="10">G43*D43^2</f>
        <v>49387274431.027824</v>
      </c>
      <c r="J43" s="436">
        <f>(2/12)*C36*(C38-Refuerzos!AF78-Refuerzos!AF81)^3*F43</f>
        <v>32924849620.685204</v>
      </c>
      <c r="K43" s="447">
        <f t="shared" ref="K43:K45" si="11">J43+I43</f>
        <v>82312124051.713028</v>
      </c>
      <c r="L43" s="8">
        <f>G43*(ABS('C. inercias'!D43))</f>
        <v>561715584.27611041</v>
      </c>
      <c r="M43" s="9">
        <f t="shared" ref="M43:M45" si="12">$F$6*L43/$K$46</f>
        <v>1.80158222710328</v>
      </c>
      <c r="N43" s="9">
        <f>M43/Refuerzos!AE54</f>
        <v>0.58115555713009026</v>
      </c>
      <c r="O43" s="304">
        <f t="shared" si="9"/>
        <v>73.130161930958664</v>
      </c>
    </row>
    <row r="44" spans="2:15">
      <c r="B44" s="5" t="s">
        <v>471</v>
      </c>
      <c r="C44" s="480">
        <f>(Refuerzos!AF52+Refuerzos!AF55+Refuerzos!AF54-'C. inercias'!C38)/2+C38</f>
        <v>382.49220798836086</v>
      </c>
      <c r="D44" s="9">
        <f>C44-C38</f>
        <v>197.07779201163916</v>
      </c>
      <c r="E44" s="436">
        <f>(Refuerzos!AF52+Refuerzos!AF55+Refuerzos!AF54-'C. inercias'!C38)*C36*2</f>
        <v>2443.764620944326</v>
      </c>
      <c r="F44" s="8">
        <v>11720</v>
      </c>
      <c r="G44" s="447">
        <f>E44*F44</f>
        <v>28640921.357467502</v>
      </c>
      <c r="H44" s="447">
        <f t="shared" ref="H44:H45" si="13">G44*D44</f>
        <v>5644489542.3086948</v>
      </c>
      <c r="I44" s="447">
        <f t="shared" si="10"/>
        <v>1112403536030.9851</v>
      </c>
      <c r="J44" s="436">
        <f>(2/12)*C36*(Refuerzos!AF52+Refuerzos!AF55+Refuerzos!AF54-'C. inercias'!C38)^3*F44</f>
        <v>370801178676.99512</v>
      </c>
      <c r="K44" s="447">
        <f>J44+I44</f>
        <v>1483204714707.9802</v>
      </c>
      <c r="L44" s="8">
        <f>G44*(ABS('C. inercias'!D44))</f>
        <v>5644489542.3086948</v>
      </c>
      <c r="M44" s="9">
        <f t="shared" si="12"/>
        <v>18.103489248208415</v>
      </c>
      <c r="N44" s="9">
        <f>M44/Refuerzos!AE55</f>
        <v>0.22629361560260519</v>
      </c>
      <c r="O44" s="304">
        <f t="shared" si="9"/>
        <v>187.80909875351659</v>
      </c>
    </row>
    <row r="45" spans="2:15" ht="15.75" thickBot="1">
      <c r="B45" s="6" t="s">
        <v>473</v>
      </c>
      <c r="C45" s="481">
        <f>Refuerzos!AJ53</f>
        <v>578.02</v>
      </c>
      <c r="D45" s="19">
        <f>C45-C38</f>
        <v>392.60558402327831</v>
      </c>
      <c r="E45" s="455">
        <f>Refuerzos!AE53*Refuerzos!AF53</f>
        <v>567.30000000000007</v>
      </c>
      <c r="F45" s="14">
        <v>11720</v>
      </c>
      <c r="G45" s="474">
        <f>E45*F45</f>
        <v>6648756.0000000009</v>
      </c>
      <c r="H45" s="474">
        <f t="shared" si="13"/>
        <v>2610338732.4082761</v>
      </c>
      <c r="I45" s="474">
        <f t="shared" si="10"/>
        <v>1024833562535.7352</v>
      </c>
      <c r="J45" s="455">
        <f>(1/12)*Refuerzos!AE53*Refuerzos!AF53^3*'C. inercias'!F45</f>
        <v>5324545.4300000006</v>
      </c>
      <c r="K45" s="474">
        <f t="shared" si="11"/>
        <v>1024838887081.1653</v>
      </c>
      <c r="L45" s="14">
        <f>G45*(ABS('C. inercias'!D45))</f>
        <v>2610338732.4082761</v>
      </c>
      <c r="M45" s="19">
        <f t="shared" si="12"/>
        <v>8.3721014667708253</v>
      </c>
      <c r="N45" s="19">
        <f>M45/Refuerzos!AE53</f>
        <v>4.5749188343009978E-2</v>
      </c>
      <c r="O45" s="305">
        <f t="shared" si="9"/>
        <v>928.97822976336101</v>
      </c>
    </row>
    <row r="46" spans="2:15">
      <c r="B46" s="30"/>
      <c r="J46" s="471">
        <f>SUM(J41:J45)</f>
        <v>403850357127.34125</v>
      </c>
      <c r="K46" s="471">
        <f>SUM(K41:K45)</f>
        <v>3861342783177.3096</v>
      </c>
      <c r="O46" s="22"/>
    </row>
    <row r="47" spans="2:15">
      <c r="B47" s="30"/>
      <c r="O47" s="22"/>
    </row>
    <row r="48" spans="2:15">
      <c r="B48" s="30"/>
      <c r="O48" s="22"/>
    </row>
    <row r="49" spans="2:15" ht="15.75" thickBot="1">
      <c r="B49" s="30"/>
      <c r="O49" s="22"/>
    </row>
    <row r="50" spans="2:15">
      <c r="B50" s="451" t="s">
        <v>455</v>
      </c>
      <c r="C50" s="452">
        <v>3.1</v>
      </c>
      <c r="D50" s="453" t="s">
        <v>41</v>
      </c>
      <c r="O50" s="22"/>
    </row>
    <row r="51" spans="2:15">
      <c r="B51" s="11" t="s">
        <v>456</v>
      </c>
      <c r="C51" s="8">
        <v>3.1</v>
      </c>
      <c r="D51" s="12" t="s">
        <v>41</v>
      </c>
      <c r="O51" s="22"/>
    </row>
    <row r="52" spans="2:15" ht="15.75" thickBot="1">
      <c r="B52" s="13" t="s">
        <v>457</v>
      </c>
      <c r="C52" s="19">
        <f>Refuerzos!AB100</f>
        <v>97.645812952830511</v>
      </c>
      <c r="D52" s="15" t="s">
        <v>41</v>
      </c>
      <c r="O52" s="22"/>
    </row>
    <row r="53" spans="2:15" ht="15.75" thickBot="1">
      <c r="B53" s="30"/>
      <c r="C53" s="32"/>
      <c r="O53" s="22"/>
    </row>
    <row r="54" spans="2:15">
      <c r="B54" s="482"/>
      <c r="C54" s="479" t="s">
        <v>458</v>
      </c>
      <c r="D54" s="472" t="s">
        <v>459</v>
      </c>
      <c r="E54" s="472" t="s">
        <v>460</v>
      </c>
      <c r="F54" s="472" t="s">
        <v>461</v>
      </c>
      <c r="G54" s="472" t="s">
        <v>462</v>
      </c>
      <c r="H54" s="472" t="s">
        <v>463</v>
      </c>
      <c r="I54" s="472" t="s">
        <v>464</v>
      </c>
      <c r="J54" s="472" t="s">
        <v>465</v>
      </c>
      <c r="K54" s="472" t="s">
        <v>466</v>
      </c>
      <c r="L54" s="472" t="s">
        <v>467</v>
      </c>
      <c r="M54" s="472" t="s">
        <v>468</v>
      </c>
      <c r="N54" s="472" t="s">
        <v>469</v>
      </c>
      <c r="O54" s="473" t="s">
        <v>397</v>
      </c>
    </row>
    <row r="55" spans="2:15">
      <c r="B55" s="5" t="s">
        <v>413</v>
      </c>
      <c r="C55" s="480">
        <f>Refuerzos!AJ78</f>
        <v>3.2349999999999999</v>
      </c>
      <c r="D55" s="9">
        <f>C55-C52</f>
        <v>-94.410812952830511</v>
      </c>
      <c r="E55" s="436">
        <f>Refuerzos!AH78</f>
        <v>1475.1599999999999</v>
      </c>
      <c r="F55" s="435">
        <v>12387.317073170729</v>
      </c>
      <c r="G55" s="447">
        <f>E55*F55</f>
        <v>18273274.653658532</v>
      </c>
      <c r="H55" s="447">
        <f>G55*D55</f>
        <v>-1725194715.3622544</v>
      </c>
      <c r="I55" s="447">
        <f>G55*D55^2</f>
        <v>162877035579.27747</v>
      </c>
      <c r="J55" s="436">
        <f>(1/12)*Refuerzos!AE78*Refuerzos!AF78^3*F55</f>
        <v>63744643.579111204</v>
      </c>
      <c r="K55" s="447">
        <f>J55+I55</f>
        <v>162940780222.85657</v>
      </c>
      <c r="L55" s="8">
        <f>G55*(ABS('C. inercias'!D55))</f>
        <v>1725194715.3622544</v>
      </c>
      <c r="M55" s="9">
        <f>$F$6*L55/$K$60</f>
        <v>38.07130414011219</v>
      </c>
      <c r="N55" s="9">
        <f>M55/Refuerzos!AE78</f>
        <v>0.16697940412329909</v>
      </c>
      <c r="O55" s="304">
        <f>$I$11/N55</f>
        <v>254.52240785706493</v>
      </c>
    </row>
    <row r="56" spans="2:15">
      <c r="B56" s="5" t="s">
        <v>470</v>
      </c>
      <c r="C56" s="480">
        <f>Refuerzos!AJ81</f>
        <v>8.02</v>
      </c>
      <c r="D56" s="9">
        <f>C56-C52</f>
        <v>-89.625812952830515</v>
      </c>
      <c r="E56" s="8">
        <f>Refuerzos!AH81</f>
        <v>310</v>
      </c>
      <c r="F56" s="8">
        <v>11720</v>
      </c>
      <c r="G56" s="447">
        <f>E56*F56</f>
        <v>3633200</v>
      </c>
      <c r="H56" s="447">
        <f>G56*D56</f>
        <v>-325628503.62022382</v>
      </c>
      <c r="I56" s="447">
        <f>G56*D56^2</f>
        <v>29184719357.576275</v>
      </c>
      <c r="J56" s="436">
        <f>(1/12)*Refuerzos!AE81*Refuerzos!AF81^3*F56</f>
        <v>1454793.8333333333</v>
      </c>
      <c r="K56" s="447">
        <f>J56+I56</f>
        <v>29186174151.409607</v>
      </c>
      <c r="L56" s="8">
        <f>G56*(ABS('C. inercias'!D56))</f>
        <v>325628503.62022382</v>
      </c>
      <c r="M56" s="9">
        <f>$F$6*L56/$K$60</f>
        <v>7.1859145449631372</v>
      </c>
      <c r="N56" s="9">
        <f>M56/Refuerzos!AE81</f>
        <v>0.14371829089926275</v>
      </c>
      <c r="O56" s="304">
        <f t="shared" ref="O56:O59" si="14">$I$11/N56</f>
        <v>295.71740475114444</v>
      </c>
    </row>
    <row r="57" spans="2:15">
      <c r="B57" s="5" t="s">
        <v>472</v>
      </c>
      <c r="C57" s="480">
        <f>((C52-Refuerzos!AF78-Refuerzos!AF81)/2)+Refuerzos!AF81+Refuerzos!AF78</f>
        <v>53.607906476415259</v>
      </c>
      <c r="D57" s="9">
        <f>C57-C52</f>
        <v>-44.037906476415252</v>
      </c>
      <c r="E57" s="436">
        <f>((C52-Refuerzos!AF78-Refuerzos!AF81))*C51*2</f>
        <v>546.07004030754922</v>
      </c>
      <c r="F57" s="8">
        <v>11720</v>
      </c>
      <c r="G57" s="447">
        <f>E57*F57</f>
        <v>6399940.8724044766</v>
      </c>
      <c r="H57" s="447">
        <f>G57*D57</f>
        <v>-281839997.59353578</v>
      </c>
      <c r="I57" s="447">
        <f t="shared" ref="I57:I59" si="15">G57*D57^2</f>
        <v>12411643455.337229</v>
      </c>
      <c r="J57" s="436">
        <f>(2/12)*C50*((C52-Refuerzos!AF78-Refuerzos!AF81))^3*F57</f>
        <v>4137214485.1124105</v>
      </c>
      <c r="K57" s="447">
        <f>J57+I57</f>
        <v>16548857940.449638</v>
      </c>
      <c r="L57" s="8">
        <f>G57*(ABS('C. inercias'!D57))</f>
        <v>281839997.59353578</v>
      </c>
      <c r="M57" s="9">
        <f>$F$6*L57/$K$60</f>
        <v>6.2195972267274842</v>
      </c>
      <c r="N57" s="9">
        <f>M57/C51</f>
        <v>2.0063216860411237</v>
      </c>
      <c r="O57" s="304">
        <f t="shared" si="14"/>
        <v>21.183043724090453</v>
      </c>
    </row>
    <row r="58" spans="2:15">
      <c r="B58" s="5" t="s">
        <v>471</v>
      </c>
      <c r="C58" s="480">
        <f>(Refuerzos!AF78+Refuerzos!AF81+Refuerzos!AF80-'C. inercias'!C52)/2+C52</f>
        <v>201.10790647641525</v>
      </c>
      <c r="D58" s="9">
        <f>C58-C52</f>
        <v>103.46209352358474</v>
      </c>
      <c r="E58" s="436">
        <f>(Refuerzos!AF78+Refuerzos!AF81+Refuerzos!AF80-'C. inercias'!C52)*C50*2</f>
        <v>1282.9299596924509</v>
      </c>
      <c r="F58" s="8">
        <v>11720</v>
      </c>
      <c r="G58" s="447">
        <f>E58*F58</f>
        <v>15035939.127595525</v>
      </c>
      <c r="H58" s="447">
        <f t="shared" ref="H58:H59" si="16">G58*D58</f>
        <v>1555649740.2342155</v>
      </c>
      <c r="I58" s="447">
        <f t="shared" si="15"/>
        <v>160950778914.0527</v>
      </c>
      <c r="J58" s="436">
        <f>(2/12)*C50*(Refuerzos!AF78+Refuerzos!AF81+Refuerzos!AF80-'C. inercias'!C52)^3*F58</f>
        <v>53650259638.017548</v>
      </c>
      <c r="K58" s="447">
        <f>J58+I58</f>
        <v>214601038552.07025</v>
      </c>
      <c r="L58" s="8">
        <f>G58*(ABS('C. inercias'!D58))</f>
        <v>1555649740.2342155</v>
      </c>
      <c r="M58" s="9">
        <f>$F$6*L58/$K$60</f>
        <v>34.329814407938997</v>
      </c>
      <c r="N58" s="9">
        <f>M58/C51</f>
        <v>11.074133679980321</v>
      </c>
      <c r="O58" s="304">
        <f t="shared" si="14"/>
        <v>3.8377719854358419</v>
      </c>
    </row>
    <row r="59" spans="2:15" ht="15.75" thickBot="1">
      <c r="B59" s="6" t="s">
        <v>473</v>
      </c>
      <c r="C59" s="481">
        <f>Refuerzos!AJ79</f>
        <v>303.02000000000004</v>
      </c>
      <c r="D59" s="19">
        <f>C59-C52</f>
        <v>205.37418704716953</v>
      </c>
      <c r="E59" s="455">
        <f>Refuerzos!AH79</f>
        <v>279</v>
      </c>
      <c r="F59" s="14">
        <v>11720</v>
      </c>
      <c r="G59" s="474">
        <f>E59*F59</f>
        <v>3269880</v>
      </c>
      <c r="H59" s="474">
        <f t="shared" si="16"/>
        <v>671548946.74179864</v>
      </c>
      <c r="I59" s="474">
        <f t="shared" si="15"/>
        <v>137918818999.47986</v>
      </c>
      <c r="J59" s="455">
        <f>(1/12)*Refuerzos!AE79*Refuerzos!AF79^3*F59</f>
        <v>2618628.9000000004</v>
      </c>
      <c r="K59" s="474">
        <f t="shared" ref="K59" si="17">J59+I59</f>
        <v>137921437628.37985</v>
      </c>
      <c r="L59" s="14">
        <f>G59*(ABS('C. inercias'!D59))</f>
        <v>671548946.74179864</v>
      </c>
      <c r="M59" s="19">
        <f>$F$6*L59/$K$60</f>
        <v>14.819628166441806</v>
      </c>
      <c r="N59" s="19">
        <f>M59/Refuerzos!AE79</f>
        <v>0.16466253518268673</v>
      </c>
      <c r="O59" s="305">
        <f t="shared" si="14"/>
        <v>258.10364180806454</v>
      </c>
    </row>
    <row r="60" spans="2:15">
      <c r="B60" s="30"/>
      <c r="J60" s="471">
        <f>SUM(J55:J59)</f>
        <v>57855292189.442406</v>
      </c>
      <c r="K60" s="471">
        <f>SUM(K55:K59)</f>
        <v>561198288495.16589</v>
      </c>
      <c r="O60" s="22"/>
    </row>
    <row r="61" spans="2:15">
      <c r="B61" s="30"/>
      <c r="K61" s="434"/>
      <c r="O61" s="22"/>
    </row>
    <row r="62" spans="2:15">
      <c r="B62" s="30"/>
      <c r="O62" s="22"/>
    </row>
    <row r="63" spans="2:15">
      <c r="B63" s="30"/>
      <c r="O63" s="22"/>
    </row>
    <row r="64" spans="2:15" ht="15.75" thickBot="1">
      <c r="B64" s="30"/>
      <c r="O64" s="22"/>
    </row>
    <row r="65" spans="2:32">
      <c r="B65" s="451" t="s">
        <v>455</v>
      </c>
      <c r="C65" s="452">
        <v>3.1</v>
      </c>
      <c r="D65" s="453" t="s">
        <v>41</v>
      </c>
      <c r="O65" s="22"/>
    </row>
    <row r="66" spans="2:32">
      <c r="B66" s="11" t="s">
        <v>456</v>
      </c>
      <c r="C66" s="8">
        <v>3.1</v>
      </c>
      <c r="D66" s="12" t="s">
        <v>41</v>
      </c>
      <c r="O66" s="22"/>
    </row>
    <row r="67" spans="2:32" ht="15.75" thickBot="1">
      <c r="B67" s="13" t="s">
        <v>457</v>
      </c>
      <c r="C67" s="19">
        <f>Refuerzos!AB133</f>
        <v>106.78478886231896</v>
      </c>
      <c r="D67" s="15" t="s">
        <v>41</v>
      </c>
      <c r="O67" s="22"/>
    </row>
    <row r="68" spans="2:32" ht="15.75" thickBot="1">
      <c r="B68" s="30"/>
      <c r="C68" s="32"/>
      <c r="O68" s="22"/>
    </row>
    <row r="69" spans="2:32">
      <c r="B69" s="482"/>
      <c r="C69" s="479" t="s">
        <v>458</v>
      </c>
      <c r="D69" s="472" t="s">
        <v>459</v>
      </c>
      <c r="E69" s="472" t="s">
        <v>460</v>
      </c>
      <c r="F69" s="472" t="s">
        <v>461</v>
      </c>
      <c r="G69" s="472" t="s">
        <v>462</v>
      </c>
      <c r="H69" s="472" t="s">
        <v>463</v>
      </c>
      <c r="I69" s="472" t="s">
        <v>464</v>
      </c>
      <c r="J69" s="472" t="s">
        <v>465</v>
      </c>
      <c r="K69" s="472" t="s">
        <v>466</v>
      </c>
      <c r="L69" s="472" t="s">
        <v>467</v>
      </c>
      <c r="M69" s="472" t="s">
        <v>468</v>
      </c>
      <c r="N69" s="472" t="s">
        <v>469</v>
      </c>
      <c r="O69" s="473" t="s">
        <v>397</v>
      </c>
    </row>
    <row r="70" spans="2:32">
      <c r="B70" s="5" t="s">
        <v>413</v>
      </c>
      <c r="C70" s="480">
        <f>Refuerzos!AJ112</f>
        <v>3.2349999999999999</v>
      </c>
      <c r="D70" s="9">
        <f>C70-C67</f>
        <v>-103.54978886231896</v>
      </c>
      <c r="E70" s="436">
        <f>Refuerzos!AH112</f>
        <v>2167.4499999999998</v>
      </c>
      <c r="F70" s="435">
        <v>12387.317073170729</v>
      </c>
      <c r="G70" s="447">
        <f>E70*F70</f>
        <v>26848890.390243895</v>
      </c>
      <c r="H70" s="447">
        <f>G70*D70</f>
        <v>-2780196931.0973001</v>
      </c>
      <c r="I70" s="447">
        <f>G70*D70^2</f>
        <v>287888805210.79254</v>
      </c>
      <c r="J70" s="436">
        <f>1/12*Refuerzos!AE112*Refuerzos!AF112^3*F70</f>
        <v>93659892.978080049</v>
      </c>
      <c r="K70" s="447">
        <f>J70+I70</f>
        <v>287982465103.77063</v>
      </c>
      <c r="L70" s="8">
        <f>G70*(ABS('C. inercias'!D70))</f>
        <v>2780196931.0973001</v>
      </c>
      <c r="M70" s="9">
        <f>$F$6*L70/$K$75</f>
        <v>39.124308433475626</v>
      </c>
      <c r="N70" s="9">
        <f>M70/Refuerzos!AE112</f>
        <v>0.1167889803984347</v>
      </c>
      <c r="O70" s="304">
        <f>$I$11/N70</f>
        <v>363.90419588396048</v>
      </c>
    </row>
    <row r="71" spans="2:32">
      <c r="B71" s="5" t="s">
        <v>470</v>
      </c>
      <c r="C71" s="480">
        <f>Refuerzos!AJ115</f>
        <v>8.02</v>
      </c>
      <c r="D71" s="9">
        <f>C71-C67</f>
        <v>-98.764788862318966</v>
      </c>
      <c r="E71" s="8">
        <f>Refuerzos!AH115</f>
        <v>372</v>
      </c>
      <c r="F71" s="8">
        <v>11720</v>
      </c>
      <c r="G71" s="447">
        <f>E71*F71</f>
        <v>4359840</v>
      </c>
      <c r="H71" s="447">
        <f>G71*D71</f>
        <v>-430598677.07349271</v>
      </c>
      <c r="I71" s="447">
        <f>G71*D71^2</f>
        <v>42527987425.557373</v>
      </c>
      <c r="J71" s="436">
        <f>(2/12)*Refuerzos!AE115*Refuerzos!AF115^3*F71</f>
        <v>3491505.2</v>
      </c>
      <c r="K71" s="447">
        <f>J71+I71</f>
        <v>42531478930.75737</v>
      </c>
      <c r="L71" s="8">
        <f>G71*(ABS('C. inercias'!D71))</f>
        <v>430598677.07349271</v>
      </c>
      <c r="M71" s="9">
        <f>$F$6*L71/$K$75</f>
        <v>6.0595978883483985</v>
      </c>
      <c r="N71" s="9">
        <f>M71/Refuerzos!AE115</f>
        <v>0.10099329813913997</v>
      </c>
      <c r="O71" s="304">
        <f t="shared" ref="O71:O74" si="18">$I$11/N71</f>
        <v>420.82000274361883</v>
      </c>
    </row>
    <row r="72" spans="2:32">
      <c r="B72" s="5" t="s">
        <v>472</v>
      </c>
      <c r="C72" s="480">
        <f>((C67-Refuerzos!AF112-Refuerzos!AF115)/2)+Refuerzos!AF112+Refuerzos!AF115</f>
        <v>58.177394431159485</v>
      </c>
      <c r="D72" s="9">
        <f>C72-C67</f>
        <v>-48.607394431159477</v>
      </c>
      <c r="E72" s="436">
        <f>(C67-Refuerzos!AF112-Refuerzos!AF115)*C65*2</f>
        <v>602.73169094637763</v>
      </c>
      <c r="F72" s="8">
        <v>11720</v>
      </c>
      <c r="G72" s="447">
        <f>E72*F72</f>
        <v>7064015.4178915462</v>
      </c>
      <c r="H72" s="447">
        <f>G72*D72</f>
        <v>-343363383.68524623</v>
      </c>
      <c r="I72" s="447">
        <f t="shared" ref="I72:I74" si="19">G72*D72^2</f>
        <v>16689999424.006313</v>
      </c>
      <c r="J72" s="436">
        <f>(2/12)*C65*(C67-Refuerzos!AF112-Refuerzos!AF115)^3*F72</f>
        <v>5563333141.3354368</v>
      </c>
      <c r="K72" s="447">
        <f>J72+I72</f>
        <v>22253332565.341751</v>
      </c>
      <c r="L72" s="8">
        <f>G72*(ABS('C. inercias'!D72))</f>
        <v>343363383.68524623</v>
      </c>
      <c r="M72" s="9">
        <f>$F$6*L72/$K$75</f>
        <v>4.8319796262638395</v>
      </c>
      <c r="N72" s="9">
        <f>M72/Refuerzos!AE114</f>
        <v>1.5587031052463998</v>
      </c>
      <c r="O72" s="304">
        <f t="shared" si="18"/>
        <v>27.266257350068987</v>
      </c>
    </row>
    <row r="73" spans="2:32" ht="15.75" thickBot="1">
      <c r="B73" s="5" t="s">
        <v>471</v>
      </c>
      <c r="C73" s="480">
        <f>((Refuerzos!AF112+Refuerzos!AF115+Refuerzos!AF114-'C. inercias'!C67)/2)+C67</f>
        <v>229.17739443115948</v>
      </c>
      <c r="D73" s="9">
        <f>C73-C67</f>
        <v>122.39260556884052</v>
      </c>
      <c r="E73" s="436">
        <f>(Refuerzos!AF112+Refuerzos!AF115+Refuerzos!AF114-'C. inercias'!C67)*C65</f>
        <v>758.83415452681118</v>
      </c>
      <c r="F73" s="8">
        <v>11720</v>
      </c>
      <c r="G73" s="447">
        <f>E73*F73</f>
        <v>8893536.2910542265</v>
      </c>
      <c r="H73" s="447">
        <f>G73*D73</f>
        <v>1088503079.3831687</v>
      </c>
      <c r="I73" s="447">
        <f t="shared" si="19"/>
        <v>133224728055.41248</v>
      </c>
      <c r="J73" s="436">
        <f>(2/12)*C66*(Refuerzos!AF112+Refuerzos!AF115+Refuerzos!AF114-'C. inercias'!C67)^3*F73</f>
        <v>88816485370.274963</v>
      </c>
      <c r="K73" s="447">
        <f>J73+I73</f>
        <v>222041213425.68744</v>
      </c>
      <c r="L73" s="8">
        <f>G73*(ABS('C. inercias'!D73))</f>
        <v>1088503079.3831687</v>
      </c>
      <c r="M73" s="9">
        <f>$F$6*L73/$K$75</f>
        <v>15.317954542078681</v>
      </c>
      <c r="N73" s="9">
        <f>M73/C66</f>
        <v>4.9412756587350586</v>
      </c>
      <c r="O73" s="304">
        <f>$I$11/N73</f>
        <v>8.6010178211510233</v>
      </c>
    </row>
    <row r="74" spans="2:32" ht="15.75" thickBot="1">
      <c r="B74" s="6" t="s">
        <v>473</v>
      </c>
      <c r="C74" s="481">
        <f>Refuerzos!AJ113</f>
        <v>350.02000000000004</v>
      </c>
      <c r="D74" s="19">
        <f>C74-C67</f>
        <v>243.23521113768106</v>
      </c>
      <c r="E74" s="455">
        <f>Refuerzos!AH113</f>
        <v>440.2</v>
      </c>
      <c r="F74" s="14">
        <v>11720</v>
      </c>
      <c r="G74" s="474">
        <f>E74*F74</f>
        <v>5159144</v>
      </c>
      <c r="H74" s="474">
        <f>G74*D74</f>
        <v>1254885480.1297004</v>
      </c>
      <c r="I74" s="474">
        <f t="shared" si="19"/>
        <v>305232334712.95795</v>
      </c>
      <c r="J74" s="455">
        <f>(1/12)*Refuerzos!AE113*Refuerzos!AF113^3*F74</f>
        <v>4131614.4866666668</v>
      </c>
      <c r="K74" s="474">
        <f t="shared" ref="K74" si="20">J74+I74</f>
        <v>305236466327.44464</v>
      </c>
      <c r="L74" s="14">
        <f>G74*(ABS('C. inercias'!D74))</f>
        <v>1254885480.1297004</v>
      </c>
      <c r="M74" s="19">
        <f>$F$6*L74/$K$75</f>
        <v>17.659370105810066</v>
      </c>
      <c r="N74" s="19">
        <f>M74/Refuerzos!AE113</f>
        <v>0.12436176130852158</v>
      </c>
      <c r="O74" s="305">
        <f t="shared" si="18"/>
        <v>341.7449186375249</v>
      </c>
      <c r="X74" s="482"/>
      <c r="Y74" s="479" t="s">
        <v>474</v>
      </c>
      <c r="Z74" s="472" t="s">
        <v>424</v>
      </c>
      <c r="AA74" s="472" t="s">
        <v>460</v>
      </c>
      <c r="AB74" s="472" t="s">
        <v>461</v>
      </c>
      <c r="AC74" s="472" t="s">
        <v>462</v>
      </c>
      <c r="AD74" s="472" t="s">
        <v>463</v>
      </c>
      <c r="AE74" s="472" t="s">
        <v>464</v>
      </c>
      <c r="AF74" s="472" t="s">
        <v>465</v>
      </c>
    </row>
    <row r="75" spans="2:32">
      <c r="B75" s="30"/>
      <c r="J75" s="471">
        <f>SUM(J70:J74)</f>
        <v>94481101524.275146</v>
      </c>
      <c r="K75" s="471">
        <f>SUM(K70:K74)</f>
        <v>880044956353.00171</v>
      </c>
      <c r="O75" s="22"/>
      <c r="X75" s="5" t="s">
        <v>413</v>
      </c>
      <c r="Y75" s="480">
        <f>Refuerzos!BF147</f>
        <v>0</v>
      </c>
      <c r="Z75" s="9">
        <f>Y75-Y72</f>
        <v>0</v>
      </c>
      <c r="AA75" s="436">
        <f>Refuerzos!BD147</f>
        <v>0</v>
      </c>
      <c r="AB75" s="435">
        <v>12387.317073170729</v>
      </c>
      <c r="AC75" s="447">
        <f>AA75*AB75</f>
        <v>0</v>
      </c>
      <c r="AD75" s="447">
        <f>AC75*Z75</f>
        <v>0</v>
      </c>
      <c r="AE75" s="447">
        <f>AC75*Z75^2</f>
        <v>0</v>
      </c>
      <c r="AF75" s="436">
        <f>1/12*Refuerzos!BA147*Refuerzos!BB147^3*AB75</f>
        <v>0</v>
      </c>
    </row>
    <row r="76" spans="2:32">
      <c r="B76" s="30"/>
      <c r="K76" s="434"/>
      <c r="O76" s="22"/>
      <c r="W76">
        <f>3.1/2</f>
        <v>1.55</v>
      </c>
      <c r="X76" s="5" t="s">
        <v>470</v>
      </c>
      <c r="Y76" s="480">
        <v>60</v>
      </c>
      <c r="Z76" s="9">
        <v>3.1</v>
      </c>
      <c r="AA76" s="8">
        <f>Y76*Z76*2</f>
        <v>372</v>
      </c>
      <c r="AB76" s="8">
        <v>11720</v>
      </c>
      <c r="AC76" s="447">
        <f>AB76*AA76</f>
        <v>4359840</v>
      </c>
      <c r="AD76" s="447">
        <f>AC76*W76</f>
        <v>6757752</v>
      </c>
      <c r="AE76" s="447">
        <f>AC76*W76^2</f>
        <v>10474515.600000001</v>
      </c>
      <c r="AF76" s="436">
        <f>(2/12)*Y76*Z76^3*AB76</f>
        <v>3491505.2</v>
      </c>
    </row>
    <row r="77" spans="2:32">
      <c r="B77" s="30"/>
      <c r="O77" s="22"/>
      <c r="W77">
        <f>Z76+Z77/2</f>
        <v>203.1</v>
      </c>
      <c r="X77" s="5" t="s">
        <v>475</v>
      </c>
      <c r="Y77" s="480">
        <v>3.1</v>
      </c>
      <c r="Z77" s="9">
        <v>400</v>
      </c>
      <c r="AA77" s="8">
        <f>Y77*Z77*2</f>
        <v>2480</v>
      </c>
      <c r="AB77" s="8">
        <v>11720</v>
      </c>
      <c r="AC77" s="447">
        <f t="shared" ref="AC77:AC78" si="21">AB77*AA77</f>
        <v>29065600</v>
      </c>
      <c r="AD77" s="447">
        <f t="shared" ref="AD77:AD78" si="22">AC77*W77</f>
        <v>5903223360</v>
      </c>
      <c r="AE77" s="447">
        <f t="shared" ref="AE77:AE78" si="23">AC77*W77^2</f>
        <v>1198944664416</v>
      </c>
      <c r="AF77" s="436">
        <f>(2/12)*Y77*Z77^3*AB77</f>
        <v>387541333333.33331</v>
      </c>
    </row>
    <row r="78" spans="2:32" ht="15.75" thickBot="1">
      <c r="B78" s="30"/>
      <c r="O78" s="22"/>
      <c r="W78">
        <f>Z76+Z77+Z78/2</f>
        <v>404.65000000000003</v>
      </c>
      <c r="X78" s="5" t="s">
        <v>473</v>
      </c>
      <c r="Y78" s="480">
        <v>230</v>
      </c>
      <c r="Z78" s="9">
        <v>3.1</v>
      </c>
      <c r="AA78" s="8">
        <f>Y78*Z78*2</f>
        <v>1426</v>
      </c>
      <c r="AB78" s="8">
        <v>11720</v>
      </c>
      <c r="AC78" s="447">
        <f t="shared" si="21"/>
        <v>16712720</v>
      </c>
      <c r="AD78" s="447">
        <f t="shared" si="22"/>
        <v>6762802148.000001</v>
      </c>
      <c r="AE78" s="447">
        <f t="shared" si="23"/>
        <v>2736567889188.2007</v>
      </c>
      <c r="AF78" s="436">
        <f>(1/12)*Y78*Z78^3*AB78</f>
        <v>6692051.6333333328</v>
      </c>
    </row>
    <row r="79" spans="2:32" ht="15.75" thickBot="1">
      <c r="B79" s="451" t="s">
        <v>455</v>
      </c>
      <c r="C79" s="452">
        <v>3.1</v>
      </c>
      <c r="D79" s="453" t="s">
        <v>41</v>
      </c>
      <c r="O79" s="22"/>
      <c r="X79" s="6"/>
      <c r="Y79" s="481"/>
      <c r="Z79" s="19"/>
      <c r="AA79" s="455"/>
      <c r="AB79" s="14"/>
      <c r="AC79" s="474"/>
      <c r="AD79" s="474"/>
      <c r="AE79" s="474"/>
      <c r="AF79" s="455"/>
    </row>
    <row r="80" spans="2:32">
      <c r="B80" s="11" t="s">
        <v>456</v>
      </c>
      <c r="C80" s="8">
        <v>3.1</v>
      </c>
      <c r="D80" s="12" t="s">
        <v>41</v>
      </c>
      <c r="O80" s="22"/>
    </row>
    <row r="81" spans="2:32" ht="15.75" thickBot="1">
      <c r="B81" s="13" t="s">
        <v>457</v>
      </c>
      <c r="C81" s="19">
        <f>Refuerzos!AB191</f>
        <v>14.959869800563286</v>
      </c>
      <c r="D81" s="15" t="s">
        <v>41</v>
      </c>
      <c r="O81" s="22"/>
      <c r="AE81" t="s">
        <v>88</v>
      </c>
      <c r="AF81">
        <f>SUM(AF76:AF78)/AB76</f>
        <v>33067535.570833337</v>
      </c>
    </row>
    <row r="82" spans="2:32" ht="15.75" thickBot="1">
      <c r="B82" s="30"/>
      <c r="C82" s="32"/>
      <c r="O82" s="22"/>
    </row>
    <row r="83" spans="2:32">
      <c r="B83" s="482"/>
      <c r="C83" s="479" t="s">
        <v>458</v>
      </c>
      <c r="D83" s="472" t="s">
        <v>459</v>
      </c>
      <c r="E83" s="472" t="s">
        <v>460</v>
      </c>
      <c r="F83" s="472" t="s">
        <v>461</v>
      </c>
      <c r="G83" s="472" t="s">
        <v>462</v>
      </c>
      <c r="H83" s="472" t="s">
        <v>463</v>
      </c>
      <c r="I83" s="472" t="s">
        <v>464</v>
      </c>
      <c r="J83" s="472" t="s">
        <v>465</v>
      </c>
      <c r="K83" s="472" t="s">
        <v>466</v>
      </c>
      <c r="L83" s="472" t="s">
        <v>467</v>
      </c>
      <c r="M83" s="472" t="s">
        <v>468</v>
      </c>
      <c r="N83" s="472" t="s">
        <v>469</v>
      </c>
      <c r="O83" s="473" t="s">
        <v>397</v>
      </c>
    </row>
    <row r="84" spans="2:32">
      <c r="B84" s="5" t="s">
        <v>413</v>
      </c>
      <c r="C84" s="480">
        <f>Refuerzos!AJ170</f>
        <v>3.2349999999999999</v>
      </c>
      <c r="D84" s="9">
        <f>C84-C81</f>
        <v>-11.724869800563287</v>
      </c>
      <c r="E84" s="436">
        <f>Refuerzos!AH170</f>
        <v>1190.48</v>
      </c>
      <c r="F84" s="435">
        <v>12387.317073170729</v>
      </c>
      <c r="G84" s="447">
        <f>E84*F84</f>
        <v>14746853.22926829</v>
      </c>
      <c r="H84" s="447">
        <f>G84*D84</f>
        <v>-172904934.08118695</v>
      </c>
      <c r="I84" s="447">
        <f>G84*D84^2</f>
        <v>2027287839.9768949</v>
      </c>
      <c r="J84" s="436">
        <f>1/12*Refuerzos!AE142*Refuerzos!AF142^3*F84</f>
        <v>51443045.695423067</v>
      </c>
      <c r="K84" s="447">
        <f>J84+I84</f>
        <v>2078730885.672318</v>
      </c>
      <c r="L84" s="8">
        <f>G84*(ABS('C. inercias'!D84))</f>
        <v>172904934.08118695</v>
      </c>
      <c r="M84" s="9">
        <f>$F$7*L84/$K$89</f>
        <v>32.846691850472872</v>
      </c>
      <c r="N84" s="9">
        <f>M84/Refuerzos!AE142</f>
        <v>0.17851462962213518</v>
      </c>
      <c r="O84" s="304">
        <f>$I$11/N84</f>
        <v>238.0757257260116</v>
      </c>
    </row>
    <row r="85" spans="2:32">
      <c r="B85" s="5" t="s">
        <v>470</v>
      </c>
      <c r="C85" s="480">
        <f>Refuerzos!AJ173</f>
        <v>8.02</v>
      </c>
      <c r="D85" s="9">
        <f>C85-C81</f>
        <v>-6.9398698005632866</v>
      </c>
      <c r="E85" s="8">
        <f>Refuerzos!AH173</f>
        <v>124</v>
      </c>
      <c r="F85" s="8">
        <v>11720</v>
      </c>
      <c r="G85" s="447">
        <f>E85*F85</f>
        <v>1453280</v>
      </c>
      <c r="H85" s="447">
        <f>G85*D85</f>
        <v>-10085573.983762613</v>
      </c>
      <c r="I85" s="447">
        <f>G85*D85^2</f>
        <v>69992570.311260924</v>
      </c>
      <c r="J85" s="436">
        <f>(2/12)*Refuerzos!AE173*Refuerzos!AF173^3*'C. inercias'!F85</f>
        <v>1163835.0666666667</v>
      </c>
      <c r="K85" s="447">
        <f>J85+I85</f>
        <v>71156405.377927586</v>
      </c>
      <c r="L85" s="8">
        <f>G85*(ABS('C. inercias'!D85))</f>
        <v>10085573.983762613</v>
      </c>
      <c r="M85" s="9">
        <f t="shared" ref="M85:M88" si="24">$F$7*L85/$K$89</f>
        <v>1.915953078726176</v>
      </c>
      <c r="N85" s="9">
        <f>M85/Refuerzos!AE145</f>
        <v>9.5797653936308805E-2</v>
      </c>
      <c r="O85" s="304">
        <f t="shared" ref="O85:O86" si="25">$I$11/N85</f>
        <v>443.64343231470139</v>
      </c>
    </row>
    <row r="86" spans="2:32">
      <c r="B86" s="5" t="s">
        <v>472</v>
      </c>
      <c r="C86" s="480">
        <f>((C81-Refuerzos!AF170-Refuerzos!AF173)/2)+Refuerzos!AF170+Refuerzos!AF173</f>
        <v>12.264934900281643</v>
      </c>
      <c r="D86" s="9">
        <f>C86-C81</f>
        <v>-2.694934900281643</v>
      </c>
      <c r="E86" s="436">
        <f>(C81-Refuerzos!AF170-Refuerzos!AF173)*C80*2</f>
        <v>33.417192763492388</v>
      </c>
      <c r="F86" s="8">
        <v>11720</v>
      </c>
      <c r="G86" s="447">
        <f>E86*F86</f>
        <v>391649.49918813078</v>
      </c>
      <c r="H86" s="447">
        <f>G86*D86</f>
        <v>-1055469.9040399205</v>
      </c>
      <c r="I86" s="447">
        <f t="shared" ref="I86:I88" si="26">G86*D86^2</f>
        <v>2844422.6805940988</v>
      </c>
      <c r="J86" s="436">
        <f>(2/12)*C79*(C81-Refuerzos!AF126-Refuerzos!AF129)^3*F86</f>
        <v>20273162.264857139</v>
      </c>
      <c r="K86" s="447">
        <f>J86+I86</f>
        <v>23117584.945451237</v>
      </c>
      <c r="L86" s="8">
        <f>G86*(ABS('C. inercias'!D86))</f>
        <v>1055469.9040399205</v>
      </c>
      <c r="M86" s="9">
        <f t="shared" si="24"/>
        <v>0.20050726070760289</v>
      </c>
      <c r="N86" s="9">
        <f>M86/C80</f>
        <v>6.4679761518581569E-2</v>
      </c>
      <c r="O86" s="304">
        <f t="shared" si="25"/>
        <v>657.0834369540828</v>
      </c>
    </row>
    <row r="87" spans="2:32">
      <c r="B87" s="5" t="s">
        <v>471</v>
      </c>
      <c r="C87" s="480">
        <f>((Refuerzos!AF170+Refuerzos!AF173+Refuerzos!AF172-'C. inercias'!C81)/2)+'C. inercias'!C81</f>
        <v>37.264934900281645</v>
      </c>
      <c r="D87" s="9">
        <f>C87-C81</f>
        <v>22.305065099718359</v>
      </c>
      <c r="E87" s="436">
        <f>(Refuerzos!AF170+Refuerzos!AF173+Refuerzos!AF172-'C. inercias'!C81)*C79*2</f>
        <v>276.58280723650762</v>
      </c>
      <c r="F87" s="8">
        <v>11720</v>
      </c>
      <c r="G87" s="447">
        <f>E87*F87</f>
        <v>3241550.5008118693</v>
      </c>
      <c r="H87" s="447">
        <f>G87*D87</f>
        <v>72302994.944633394</v>
      </c>
      <c r="I87" s="447">
        <f t="shared" si="26"/>
        <v>1612723009.1446552</v>
      </c>
      <c r="J87" s="436">
        <f>(2/12)*C80*(Refuerzos!AF170+Refuerzos!AF173+Refuerzos!AF172-'C. inercias'!C81)^3*F87</f>
        <v>537574336.3815515</v>
      </c>
      <c r="K87" s="447">
        <f>J87+I87</f>
        <v>2150297345.526207</v>
      </c>
      <c r="L87" s="8">
        <f>G87*(ABS('C. inercias'!D87))</f>
        <v>72302994.944633394</v>
      </c>
      <c r="M87" s="9">
        <f t="shared" si="24"/>
        <v>13.735375496557767</v>
      </c>
      <c r="N87" s="9">
        <f>M87/C80</f>
        <v>4.4307662892121824</v>
      </c>
      <c r="O87" s="304">
        <f>$I$11/N87</f>
        <v>9.5920202569647977</v>
      </c>
    </row>
    <row r="88" spans="2:32" ht="15.75" thickBot="1">
      <c r="B88" s="6" t="s">
        <v>473</v>
      </c>
      <c r="C88" s="481">
        <f>Refuerzos!AJ171</f>
        <v>58.019999999999996</v>
      </c>
      <c r="D88" s="19">
        <f>C88-C81</f>
        <v>43.060130199436713</v>
      </c>
      <c r="E88" s="455">
        <f>Refuerzos!AH171</f>
        <v>186</v>
      </c>
      <c r="F88" s="14">
        <v>11720</v>
      </c>
      <c r="G88" s="474">
        <f>E88*F88</f>
        <v>2179920</v>
      </c>
      <c r="H88" s="474">
        <f>G88*D88</f>
        <v>93867639.024356082</v>
      </c>
      <c r="I88" s="474">
        <f t="shared" si="26"/>
        <v>4041952757.9024992</v>
      </c>
      <c r="J88" s="455">
        <f>(1/12)*Refuerzos!AE171*Refuerzos!AF171^3*F88</f>
        <v>1745752.6</v>
      </c>
      <c r="K88" s="474">
        <f t="shared" ref="K88" si="27">J88+I88</f>
        <v>4043698510.5024991</v>
      </c>
      <c r="L88" s="14">
        <f>G88*(ABS('C. inercias'!D88))</f>
        <v>93867639.024356082</v>
      </c>
      <c r="M88" s="19">
        <f t="shared" si="24"/>
        <v>17.832003639160003</v>
      </c>
      <c r="N88" s="19">
        <f>M88/Refuerzos!AE143</f>
        <v>0.29720006065266674</v>
      </c>
      <c r="O88" s="305">
        <f t="shared" ref="O88" si="28">$I$11/N88</f>
        <v>143.0013167112678</v>
      </c>
    </row>
    <row r="89" spans="2:32">
      <c r="B89" s="30"/>
      <c r="J89" s="471">
        <f>SUM(J84:J88)</f>
        <v>612200132.00849843</v>
      </c>
      <c r="K89" s="471">
        <f>SUM(K84:K88)</f>
        <v>8367000732.0244026</v>
      </c>
      <c r="O89" s="22"/>
    </row>
    <row r="90" spans="2:32">
      <c r="B90" s="30"/>
      <c r="O90" s="22"/>
    </row>
    <row r="91" spans="2:32">
      <c r="B91" s="30"/>
      <c r="O91" s="22"/>
    </row>
    <row r="92" spans="2:32" ht="15.75" thickBot="1">
      <c r="B92" s="30"/>
      <c r="O92" s="22"/>
    </row>
    <row r="93" spans="2:32">
      <c r="B93" s="451" t="s">
        <v>455</v>
      </c>
      <c r="C93" s="452">
        <v>3.1</v>
      </c>
      <c r="D93" s="453" t="s">
        <v>41</v>
      </c>
      <c r="O93" s="22"/>
    </row>
    <row r="94" spans="2:32">
      <c r="B94" s="11" t="s">
        <v>456</v>
      </c>
      <c r="C94" s="8">
        <v>3.1</v>
      </c>
      <c r="D94" s="12" t="s">
        <v>41</v>
      </c>
      <c r="O94" s="22"/>
    </row>
    <row r="95" spans="2:32" ht="15.75" thickBot="1">
      <c r="B95" s="13" t="s">
        <v>457</v>
      </c>
      <c r="C95" s="19">
        <f>Refuerzos!AB191</f>
        <v>14.959869800563286</v>
      </c>
      <c r="D95" s="15" t="s">
        <v>41</v>
      </c>
      <c r="O95" s="22"/>
    </row>
    <row r="96" spans="2:32" ht="15.75" thickBot="1">
      <c r="B96" s="30"/>
      <c r="C96" s="32"/>
      <c r="O96" s="22"/>
    </row>
    <row r="97" spans="2:15">
      <c r="B97" s="482"/>
      <c r="C97" s="479" t="s">
        <v>458</v>
      </c>
      <c r="D97" s="472" t="s">
        <v>459</v>
      </c>
      <c r="E97" s="472" t="s">
        <v>460</v>
      </c>
      <c r="F97" s="472" t="s">
        <v>461</v>
      </c>
      <c r="G97" s="472" t="s">
        <v>462</v>
      </c>
      <c r="H97" s="472" t="s">
        <v>463</v>
      </c>
      <c r="I97" s="472" t="s">
        <v>464</v>
      </c>
      <c r="J97" s="472" t="s">
        <v>465</v>
      </c>
      <c r="K97" s="472" t="s">
        <v>466</v>
      </c>
      <c r="L97" s="472" t="s">
        <v>467</v>
      </c>
      <c r="M97" s="472" t="s">
        <v>468</v>
      </c>
      <c r="N97" s="472" t="s">
        <v>469</v>
      </c>
      <c r="O97" s="473" t="s">
        <v>397</v>
      </c>
    </row>
    <row r="98" spans="2:15">
      <c r="B98" s="5" t="s">
        <v>413</v>
      </c>
      <c r="C98" s="480">
        <f>Refuerzos!AJ170</f>
        <v>3.2349999999999999</v>
      </c>
      <c r="D98" s="9">
        <f>C98-C95</f>
        <v>-11.724869800563287</v>
      </c>
      <c r="E98" s="436">
        <f>Refuerzos!AH170</f>
        <v>1190.48</v>
      </c>
      <c r="F98" s="435">
        <v>12387.317073170729</v>
      </c>
      <c r="G98" s="447">
        <f>E98*F98</f>
        <v>14746853.22926829</v>
      </c>
      <c r="H98" s="447">
        <f>G98*D98</f>
        <v>-172904934.08118695</v>
      </c>
      <c r="I98" s="447">
        <f>G98*D98^2</f>
        <v>2027287839.9768949</v>
      </c>
      <c r="J98" s="436">
        <f>1/12*Refuerzos!AE170*Refuerzos!AF170^3*F98</f>
        <v>51443045.695423067</v>
      </c>
      <c r="K98" s="447">
        <f>J98+I98</f>
        <v>2078730885.672318</v>
      </c>
      <c r="L98" s="8">
        <f>G98*(ABS('C. inercias'!D98))</f>
        <v>172904934.08118695</v>
      </c>
      <c r="M98" s="9">
        <f>$F$8*L98/$K$89</f>
        <v>17.732361399271593</v>
      </c>
      <c r="N98" s="9">
        <f>M98/Refuerzos!AE170</f>
        <v>9.6371529343867349E-2</v>
      </c>
      <c r="O98" s="304">
        <f>$I$11/N98</f>
        <v>441.00161416297487</v>
      </c>
    </row>
    <row r="99" spans="2:15">
      <c r="B99" s="5" t="s">
        <v>470</v>
      </c>
      <c r="C99" s="480">
        <f>Refuerzos!AJ173</f>
        <v>8.02</v>
      </c>
      <c r="D99" s="9">
        <f>C99-C95</f>
        <v>-6.9398698005632866</v>
      </c>
      <c r="E99" s="8">
        <f>Refuerzos!AH173</f>
        <v>124</v>
      </c>
      <c r="F99" s="8">
        <v>11720</v>
      </c>
      <c r="G99" s="447">
        <f>E99*F99</f>
        <v>1453280</v>
      </c>
      <c r="H99" s="447">
        <f>G99*D99</f>
        <v>-10085573.983762613</v>
      </c>
      <c r="I99" s="447">
        <f>G99*D99^2</f>
        <v>69992570.311260924</v>
      </c>
      <c r="J99" s="436">
        <f>(2/12)*Refuerzos!AE173*Refuerzos!AF173^3*'C. inercias'!F99</f>
        <v>1163835.0666666667</v>
      </c>
      <c r="K99" s="447">
        <f>J99+I99</f>
        <v>71156405.377927586</v>
      </c>
      <c r="L99" s="8">
        <f>G99*(ABS('C. inercias'!D99))</f>
        <v>10085573.983762613</v>
      </c>
      <c r="M99" s="9">
        <f>$F$8*L99/$K$89</f>
        <v>1.0343316328682428</v>
      </c>
      <c r="N99" s="9">
        <f>M99/Refuerzos!AE173</f>
        <v>5.1716581643412141E-2</v>
      </c>
      <c r="O99" s="304">
        <f t="shared" ref="O99:O100" si="29">$I$11/N99</f>
        <v>821.78672003186841</v>
      </c>
    </row>
    <row r="100" spans="2:15">
      <c r="B100" s="5" t="s">
        <v>472</v>
      </c>
      <c r="C100" s="480">
        <f>(C95-Refuerzos!AF170-Refuerzos!AF173)/2+Refuerzos!AF170+Refuerzos!AF173</f>
        <v>12.264934900281643</v>
      </c>
      <c r="D100" s="9">
        <f>C100-C95</f>
        <v>-2.694934900281643</v>
      </c>
      <c r="E100" s="436">
        <f>(C95-Refuerzos!AF170-Refuerzos!AF173)*C93</f>
        <v>16.708596381746194</v>
      </c>
      <c r="F100" s="8">
        <v>11720</v>
      </c>
      <c r="G100" s="447">
        <f>E100*F100</f>
        <v>195824.74959406539</v>
      </c>
      <c r="H100" s="447">
        <f>G100*D100</f>
        <v>-527734.95201996027</v>
      </c>
      <c r="I100" s="447">
        <f t="shared" ref="I100:I102" si="30">G100*D100^2</f>
        <v>1422211.3402970494</v>
      </c>
      <c r="J100" s="436">
        <f>(2/12)*C93*(C95-Refuerzos!AF126-Refuerzos!AF129)^3*F100</f>
        <v>20273162.264857139</v>
      </c>
      <c r="K100" s="447">
        <f>J100+I100</f>
        <v>21695373.60515419</v>
      </c>
      <c r="L100" s="8">
        <f>G100*(ABS('C. inercias'!D100))</f>
        <v>527734.95201996027</v>
      </c>
      <c r="M100" s="9">
        <f>$F$8*L100/$K$89</f>
        <v>5.412215066026501E-2</v>
      </c>
      <c r="N100" s="449">
        <f>M100/C93</f>
        <v>1.745875827750484E-2</v>
      </c>
      <c r="O100" s="304">
        <f t="shared" si="29"/>
        <v>2434.3082895397065</v>
      </c>
    </row>
    <row r="101" spans="2:15">
      <c r="B101" s="5" t="s">
        <v>471</v>
      </c>
      <c r="C101" s="480">
        <f>(Refuerzos!AF170+Refuerzos!AF173+Refuerzos!AF172-'C. inercias'!C95)/2+'C. inercias'!C95</f>
        <v>37.264934900281645</v>
      </c>
      <c r="D101" s="9">
        <f>C101-C95</f>
        <v>22.305065099718359</v>
      </c>
      <c r="E101" s="436">
        <f>(Refuerzos!AF170+Refuerzos!AF173+Refuerzos!AF172-'C. inercias'!C95)*C93</f>
        <v>138.29140361825381</v>
      </c>
      <c r="F101" s="8">
        <v>11720</v>
      </c>
      <c r="G101" s="447">
        <f>E101*F101</f>
        <v>1620775.2504059346</v>
      </c>
      <c r="H101" s="447">
        <f>G101*D101</f>
        <v>36151497.472316697</v>
      </c>
      <c r="I101" s="447">
        <f t="shared" si="30"/>
        <v>806361504.57232761</v>
      </c>
      <c r="J101" s="436">
        <f>(2/12)*C94*(Refuerzos!AF170+Refuerzos!AF173+Refuerzos!AF172-'C. inercias'!C95)^3*F101</f>
        <v>537574336.3815515</v>
      </c>
      <c r="K101" s="447">
        <f>J101+I101</f>
        <v>1343935840.9538791</v>
      </c>
      <c r="L101" s="8">
        <f>G101*(ABS('C. inercias'!D101))</f>
        <v>36151497.472316697</v>
      </c>
      <c r="M101" s="9">
        <f>$F$8*L101/$K$89</f>
        <v>3.7075368711165271</v>
      </c>
      <c r="N101" s="9">
        <f>M101/C94</f>
        <v>1.1959796358440409</v>
      </c>
      <c r="O101" s="304">
        <f>$I$11/N101</f>
        <v>35.535722119554649</v>
      </c>
    </row>
    <row r="102" spans="2:15" ht="15.75" thickBot="1">
      <c r="B102" s="6" t="s">
        <v>473</v>
      </c>
      <c r="C102" s="481">
        <f>Refuerzos!AJ171</f>
        <v>58.019999999999996</v>
      </c>
      <c r="D102" s="19">
        <f>C102-C95</f>
        <v>43.060130199436713</v>
      </c>
      <c r="E102" s="455">
        <f>Refuerzos!AH171</f>
        <v>186</v>
      </c>
      <c r="F102" s="14">
        <v>11720</v>
      </c>
      <c r="G102" s="474">
        <f>E102*F102</f>
        <v>2179920</v>
      </c>
      <c r="H102" s="474">
        <f>G102*D102</f>
        <v>93867639.024356082</v>
      </c>
      <c r="I102" s="474">
        <f t="shared" si="30"/>
        <v>4041952757.9024992</v>
      </c>
      <c r="J102" s="455">
        <f>(1/12)*Refuerzos!AE171*Refuerzos!AF171^3*F102</f>
        <v>1745752.6</v>
      </c>
      <c r="K102" s="474">
        <f t="shared" ref="K102" si="31">J102+I102</f>
        <v>4043698510.5024991</v>
      </c>
      <c r="L102" s="14">
        <f>G102*(ABS('C. inercias'!D102))</f>
        <v>93867639.024356082</v>
      </c>
      <c r="M102" s="19">
        <f>$F$8*L102/$K$89</f>
        <v>9.6266477745203822</v>
      </c>
      <c r="N102" s="19">
        <f>M102/Refuerzos!AE171</f>
        <v>0.16044412957533971</v>
      </c>
      <c r="O102" s="305">
        <f t="shared" ref="O102" si="32">$I$11/N102</f>
        <v>264.88971651682203</v>
      </c>
    </row>
    <row r="103" spans="2:15">
      <c r="B103" s="30"/>
      <c r="J103" s="471">
        <f>SUM(J98:J102)</f>
        <v>612200132.00849843</v>
      </c>
      <c r="K103" s="471">
        <f>SUM(K98:K102)</f>
        <v>7559217016.1117783</v>
      </c>
      <c r="O103" s="22"/>
    </row>
    <row r="104" spans="2:15">
      <c r="B104" s="30"/>
      <c r="O104" s="22"/>
    </row>
    <row r="105" spans="2:15" ht="15.75" thickBot="1">
      <c r="B105" s="28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4"/>
    </row>
    <row r="106" spans="2:15">
      <c r="B106" s="270"/>
      <c r="C106" s="270"/>
      <c r="D106" s="270"/>
      <c r="E106" s="270"/>
      <c r="F106" s="270"/>
      <c r="G106" s="270"/>
      <c r="H106" s="270"/>
      <c r="I106" s="270"/>
      <c r="J106" s="270"/>
    </row>
    <row r="107" spans="2:15">
      <c r="C107" s="32"/>
      <c r="D107" s="32"/>
      <c r="E107" s="333"/>
      <c r="F107" s="61"/>
      <c r="G107" s="434"/>
      <c r="H107" s="434"/>
      <c r="I107" s="434"/>
      <c r="J107" s="333"/>
    </row>
    <row r="108" spans="2:15">
      <c r="C108" s="32"/>
      <c r="D108" s="32"/>
      <c r="G108" s="434"/>
      <c r="H108" s="434"/>
      <c r="I108" s="434"/>
      <c r="J108" s="333"/>
    </row>
    <row r="109" spans="2:15">
      <c r="C109" s="32"/>
      <c r="D109" s="32"/>
      <c r="E109" s="333"/>
      <c r="G109" s="434"/>
      <c r="H109" s="434"/>
      <c r="I109" s="434"/>
      <c r="J109" s="333"/>
    </row>
    <row r="110" spans="2:15">
      <c r="C110" s="32"/>
      <c r="D110" s="32"/>
      <c r="E110" s="333"/>
      <c r="G110" s="434"/>
      <c r="H110" s="434"/>
      <c r="I110" s="434"/>
      <c r="J110" s="333"/>
    </row>
    <row r="111" spans="2:15">
      <c r="C111" s="333"/>
      <c r="D111" s="32"/>
      <c r="E111" s="333"/>
      <c r="G111" s="434"/>
      <c r="H111" s="434"/>
      <c r="I111" s="434"/>
      <c r="J111" s="333"/>
    </row>
  </sheetData>
  <mergeCells count="3">
    <mergeCell ref="G4:H4"/>
    <mergeCell ref="B20:D20"/>
    <mergeCell ref="B1:O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46"/>
  <sheetViews>
    <sheetView topLeftCell="A7" zoomScaleNormal="100" workbookViewId="0">
      <selection activeCell="B14" sqref="B14"/>
    </sheetView>
  </sheetViews>
  <sheetFormatPr baseColWidth="10" defaultColWidth="11.42578125" defaultRowHeight="15"/>
  <cols>
    <col min="1" max="1" width="40.85546875" customWidth="1"/>
    <col min="2" max="2" width="15" customWidth="1"/>
    <col min="3" max="3" width="13.28515625" customWidth="1"/>
    <col min="4" max="4" width="15.7109375" bestFit="1" customWidth="1"/>
    <col min="5" max="5" width="6.85546875" customWidth="1"/>
    <col min="6" max="6" width="10.42578125" customWidth="1"/>
    <col min="9" max="9" width="10.85546875" customWidth="1"/>
    <col min="10" max="10" width="14.28515625" customWidth="1"/>
    <col min="11" max="11" width="8.7109375" customWidth="1"/>
  </cols>
  <sheetData>
    <row r="1" spans="1:11" ht="29.25">
      <c r="A1" s="20"/>
      <c r="B1" s="290" t="s">
        <v>0</v>
      </c>
      <c r="C1" s="291" t="s">
        <v>1</v>
      </c>
      <c r="D1" s="292" t="s">
        <v>2</v>
      </c>
      <c r="E1" s="659" t="s">
        <v>476</v>
      </c>
      <c r="F1" s="659"/>
      <c r="G1" s="21"/>
      <c r="H1" s="21"/>
      <c r="I1" s="293" t="s">
        <v>4</v>
      </c>
      <c r="J1" s="294"/>
      <c r="K1" s="295"/>
    </row>
    <row r="2" spans="1:11">
      <c r="A2" s="30"/>
      <c r="B2" s="296" t="s">
        <v>5</v>
      </c>
      <c r="C2" s="297"/>
      <c r="D2" s="137" t="s">
        <v>6</v>
      </c>
      <c r="E2" s="262"/>
      <c r="F2">
        <v>4020</v>
      </c>
      <c r="I2" s="298" t="s">
        <v>7</v>
      </c>
      <c r="J2" s="139">
        <v>0</v>
      </c>
      <c r="K2" s="22"/>
    </row>
    <row r="3" spans="1:11">
      <c r="A3" s="30"/>
      <c r="B3" s="296"/>
      <c r="C3" s="299"/>
      <c r="D3" s="137" t="s">
        <v>8</v>
      </c>
      <c r="F3" s="262" t="s">
        <v>77</v>
      </c>
      <c r="G3" s="300"/>
      <c r="H3" s="300"/>
      <c r="I3" s="300"/>
      <c r="J3" s="300"/>
      <c r="K3" s="301"/>
    </row>
    <row r="4" spans="1:11" ht="21" customHeight="1">
      <c r="A4" s="30"/>
      <c r="B4" s="302" t="s">
        <v>10</v>
      </c>
      <c r="C4" s="660" t="s">
        <v>11</v>
      </c>
      <c r="D4" s="660"/>
      <c r="E4" s="660"/>
      <c r="F4" s="660"/>
      <c r="G4" s="660"/>
      <c r="H4" s="660"/>
      <c r="I4" s="660"/>
      <c r="J4" s="660"/>
      <c r="K4" s="661"/>
    </row>
    <row r="5" spans="1:11">
      <c r="A5" s="30"/>
      <c r="B5" s="30"/>
      <c r="K5" s="22"/>
    </row>
    <row r="6" spans="1:11" ht="15.75" thickBot="1">
      <c r="A6" s="28"/>
      <c r="B6" s="28"/>
      <c r="C6" s="23"/>
      <c r="D6" s="23"/>
      <c r="E6" s="23"/>
      <c r="F6" s="23"/>
      <c r="G6" s="23"/>
      <c r="H6" s="23"/>
      <c r="I6" s="23"/>
      <c r="J6" s="23"/>
      <c r="K6" s="24"/>
    </row>
    <row r="7" spans="1:11">
      <c r="A7" s="518" t="s">
        <v>477</v>
      </c>
      <c r="B7" s="519"/>
      <c r="C7" s="519"/>
      <c r="D7" s="519"/>
      <c r="E7" s="519"/>
      <c r="F7" s="519"/>
      <c r="G7" s="519"/>
      <c r="H7" s="519"/>
      <c r="I7" s="519"/>
      <c r="J7" s="519"/>
      <c r="K7" s="520"/>
    </row>
    <row r="8" spans="1:11" ht="15.75" thickBot="1">
      <c r="A8" s="521"/>
      <c r="B8" s="522"/>
      <c r="C8" s="522"/>
      <c r="D8" s="522"/>
      <c r="E8" s="522"/>
      <c r="F8" s="522"/>
      <c r="G8" s="522"/>
      <c r="H8" s="522"/>
      <c r="I8" s="522"/>
      <c r="J8" s="522"/>
      <c r="K8" s="523"/>
    </row>
    <row r="9" spans="1:11" ht="15.75" thickBot="1">
      <c r="A9" s="656" t="s">
        <v>478</v>
      </c>
      <c r="B9" s="657"/>
      <c r="C9" s="657"/>
      <c r="D9" s="657"/>
      <c r="E9" s="657"/>
      <c r="F9" s="657"/>
      <c r="G9" s="657"/>
      <c r="H9" s="657"/>
      <c r="I9" s="657"/>
      <c r="J9" s="657"/>
      <c r="K9" s="658"/>
    </row>
    <row r="10" spans="1:11" ht="15.75" thickBot="1">
      <c r="A10" s="30"/>
      <c r="K10" s="22"/>
    </row>
    <row r="11" spans="1:11" ht="15.75" thickBot="1">
      <c r="A11" s="285" t="s">
        <v>479</v>
      </c>
      <c r="J11" s="98"/>
      <c r="K11" s="328"/>
    </row>
    <row r="12" spans="1:11">
      <c r="A12" s="54" t="s">
        <v>60</v>
      </c>
      <c r="B12" s="93">
        <f>RESUMEN!B12</f>
        <v>10.559999999999999</v>
      </c>
      <c r="C12" s="4" t="s">
        <v>16</v>
      </c>
      <c r="G12" s="25"/>
      <c r="H12" s="21"/>
      <c r="I12" s="21"/>
      <c r="J12" s="21"/>
      <c r="K12" s="7"/>
    </row>
    <row r="13" spans="1:11">
      <c r="A13" s="55" t="s">
        <v>18</v>
      </c>
      <c r="B13" s="94">
        <f>RESUMEN!B13</f>
        <v>2.8</v>
      </c>
      <c r="C13" s="5" t="s">
        <v>16</v>
      </c>
      <c r="G13" s="26"/>
      <c r="K13" s="22"/>
    </row>
    <row r="14" spans="1:11">
      <c r="A14" s="55" t="s">
        <v>20</v>
      </c>
      <c r="B14" s="94">
        <f>RESUMEN!B14</f>
        <v>1.4</v>
      </c>
      <c r="C14" s="5" t="s">
        <v>16</v>
      </c>
      <c r="G14" s="26"/>
      <c r="K14" s="22"/>
    </row>
    <row r="15" spans="1:11">
      <c r="A15" s="55" t="s">
        <v>480</v>
      </c>
      <c r="B15" s="94">
        <f>RESUMEN!B15</f>
        <v>0.53</v>
      </c>
      <c r="C15" s="5" t="s">
        <v>16</v>
      </c>
      <c r="E15" s="32"/>
      <c r="G15" s="26"/>
      <c r="K15" s="22"/>
    </row>
    <row r="16" spans="1:11">
      <c r="A16" s="55" t="s">
        <v>24</v>
      </c>
      <c r="B16" s="94">
        <f>RESUMEN!B16</f>
        <v>8.1</v>
      </c>
      <c r="C16" s="5" t="s">
        <v>25</v>
      </c>
      <c r="G16" s="26"/>
      <c r="K16" s="22"/>
    </row>
    <row r="17" spans="1:11">
      <c r="A17" s="55" t="s">
        <v>27</v>
      </c>
      <c r="B17" s="94">
        <f>RESUMEN!B17</f>
        <v>25</v>
      </c>
      <c r="C17" s="5" t="s">
        <v>28</v>
      </c>
      <c r="G17" s="26"/>
      <c r="K17" s="22"/>
    </row>
    <row r="18" spans="1:11">
      <c r="A18" s="55" t="s">
        <v>31</v>
      </c>
      <c r="B18" s="94">
        <v>5</v>
      </c>
      <c r="C18" s="5" t="s">
        <v>32</v>
      </c>
      <c r="G18" s="26"/>
      <c r="K18" s="22"/>
    </row>
    <row r="19" spans="1:11">
      <c r="A19" s="55" t="s">
        <v>35</v>
      </c>
      <c r="B19" s="94">
        <v>5</v>
      </c>
      <c r="C19" s="5" t="s">
        <v>32</v>
      </c>
      <c r="G19" s="26"/>
      <c r="K19" s="22"/>
    </row>
    <row r="20" spans="1:11" ht="15.75" thickBot="1">
      <c r="A20" s="55" t="s">
        <v>36</v>
      </c>
      <c r="B20" s="94">
        <v>5</v>
      </c>
      <c r="C20" s="5" t="s">
        <v>32</v>
      </c>
      <c r="G20" s="27"/>
      <c r="H20" s="23"/>
      <c r="I20" s="23"/>
      <c r="J20" s="23"/>
      <c r="K20" s="24"/>
    </row>
    <row r="21" spans="1:11" ht="15.75" thickBot="1">
      <c r="A21" s="56" t="s">
        <v>61</v>
      </c>
      <c r="B21" s="95">
        <v>55</v>
      </c>
      <c r="C21" s="6" t="s">
        <v>32</v>
      </c>
      <c r="G21" s="656" t="s">
        <v>481</v>
      </c>
      <c r="H21" s="657"/>
      <c r="I21" s="657"/>
      <c r="J21" s="657"/>
      <c r="K21" s="658"/>
    </row>
    <row r="22" spans="1:11">
      <c r="A22" s="30"/>
      <c r="G22" s="30"/>
      <c r="K22" s="22"/>
    </row>
    <row r="23" spans="1:11">
      <c r="A23" s="30"/>
      <c r="G23" s="30"/>
      <c r="K23" s="22"/>
    </row>
    <row r="24" spans="1:11" ht="15.75" thickBot="1">
      <c r="A24" s="30"/>
      <c r="G24" s="30"/>
      <c r="K24" s="22"/>
    </row>
    <row r="25" spans="1:11" ht="15.75" thickBot="1">
      <c r="A25" s="40" t="s">
        <v>482</v>
      </c>
      <c r="B25" s="114"/>
      <c r="G25" s="30"/>
      <c r="K25" s="22"/>
    </row>
    <row r="26" spans="1:11" ht="18">
      <c r="A26" s="1" t="s">
        <v>483</v>
      </c>
      <c r="B26" s="408">
        <f>IF(0.0078*(((12*B29)/B13)+1)*B28*(50-B18)*(B17^2*B13^2/(B16*1000))&gt;3.37,3.37,0.0078*(((12*B29)/B13)+1)*B28*(50-B18)*(B17^2*B13^2/(B16*1000)))</f>
        <v>3.37</v>
      </c>
      <c r="C26" s="136"/>
      <c r="D26" s="284"/>
      <c r="G26" s="30"/>
      <c r="K26" s="22"/>
    </row>
    <row r="27" spans="1:11" ht="18">
      <c r="A27" s="2" t="s">
        <v>484</v>
      </c>
      <c r="B27" s="408">
        <f>B26*0.8</f>
        <v>2.6960000000000002</v>
      </c>
      <c r="G27" s="30"/>
      <c r="K27" s="22"/>
    </row>
    <row r="28" spans="1:11">
      <c r="A28" s="2" t="s">
        <v>485</v>
      </c>
      <c r="B28" s="96">
        <v>6</v>
      </c>
      <c r="G28" s="30"/>
      <c r="K28" s="22"/>
    </row>
    <row r="29" spans="1:11" ht="18.75" thickBot="1">
      <c r="A29" s="3" t="s">
        <v>486</v>
      </c>
      <c r="B29" s="97">
        <v>0.5</v>
      </c>
      <c r="G29" s="30"/>
      <c r="K29" s="22"/>
    </row>
    <row r="30" spans="1:11" ht="15.75" thickBot="1">
      <c r="A30" s="30"/>
      <c r="G30" s="30"/>
      <c r="K30" s="22"/>
    </row>
    <row r="31" spans="1:11" ht="15.75" thickBot="1">
      <c r="A31" s="30"/>
      <c r="G31" s="656" t="s">
        <v>487</v>
      </c>
      <c r="H31" s="657"/>
      <c r="I31" s="657"/>
      <c r="J31" s="657"/>
      <c r="K31" s="658"/>
    </row>
    <row r="32" spans="1:11">
      <c r="A32" s="30"/>
      <c r="K32" s="22"/>
    </row>
    <row r="33" spans="1:11" ht="15.75" thickBot="1">
      <c r="A33" s="30"/>
      <c r="K33" s="22"/>
    </row>
    <row r="34" spans="1:11">
      <c r="A34" s="30"/>
      <c r="G34" s="20"/>
      <c r="H34" s="21"/>
      <c r="I34" s="21"/>
      <c r="J34" s="21"/>
      <c r="K34" s="7"/>
    </row>
    <row r="35" spans="1:11">
      <c r="A35" s="30"/>
      <c r="G35" s="30"/>
      <c r="K35" s="22"/>
    </row>
    <row r="36" spans="1:11">
      <c r="A36" s="30"/>
      <c r="G36" s="30"/>
      <c r="K36" s="22"/>
    </row>
    <row r="37" spans="1:11" ht="15.75" thickBot="1">
      <c r="A37" s="30"/>
      <c r="G37" s="30"/>
      <c r="K37" s="22"/>
    </row>
    <row r="38" spans="1:11" ht="15.75" thickBot="1">
      <c r="A38" s="303" t="s">
        <v>54</v>
      </c>
      <c r="B38" s="7"/>
      <c r="G38" s="30"/>
      <c r="K38" s="22"/>
    </row>
    <row r="39" spans="1:11" ht="15.75" thickBot="1">
      <c r="A39" s="30" t="s">
        <v>55</v>
      </c>
      <c r="B39" s="289"/>
      <c r="G39" s="30"/>
      <c r="K39" s="22"/>
    </row>
    <row r="40" spans="1:11" ht="15.75" thickBot="1">
      <c r="A40" s="30" t="s">
        <v>56</v>
      </c>
      <c r="B40" s="323"/>
      <c r="G40" s="30"/>
      <c r="K40" s="22"/>
    </row>
    <row r="41" spans="1:11" ht="15.75" thickBot="1">
      <c r="A41" s="28" t="s">
        <v>57</v>
      </c>
      <c r="B41" s="324"/>
      <c r="G41" s="30"/>
      <c r="K41" s="22"/>
    </row>
    <row r="42" spans="1:11" ht="15.75" thickBot="1">
      <c r="A42" s="30"/>
      <c r="G42" s="28"/>
      <c r="H42" s="23"/>
      <c r="I42" s="23"/>
      <c r="J42" s="23"/>
      <c r="K42" s="24"/>
    </row>
    <row r="43" spans="1:11" ht="15.75" thickBot="1">
      <c r="A43" s="30"/>
      <c r="F43" s="270"/>
      <c r="G43" s="656" t="s">
        <v>488</v>
      </c>
      <c r="H43" s="657"/>
      <c r="I43" s="657"/>
      <c r="J43" s="657"/>
      <c r="K43" s="658"/>
    </row>
    <row r="44" spans="1:11" ht="15.75" thickBot="1">
      <c r="A44" s="28"/>
      <c r="B44" s="23"/>
      <c r="C44" s="23"/>
      <c r="D44" s="23"/>
      <c r="E44" s="23"/>
      <c r="F44" s="23"/>
      <c r="G44" s="23"/>
      <c r="H44" s="23"/>
      <c r="I44" s="23"/>
      <c r="J44" s="23"/>
      <c r="K44" s="24"/>
    </row>
    <row r="45" spans="1:11">
      <c r="A45" s="286" t="s">
        <v>51</v>
      </c>
      <c r="B45" s="21"/>
      <c r="C45" s="21"/>
      <c r="D45" s="21"/>
      <c r="E45" s="21"/>
      <c r="F45" s="21"/>
      <c r="G45" s="21"/>
      <c r="H45" s="21"/>
      <c r="I45" s="21"/>
      <c r="J45" s="21"/>
      <c r="K45" s="7"/>
    </row>
    <row r="46" spans="1:11" ht="16.5" thickBot="1">
      <c r="A46" s="287" t="s">
        <v>489</v>
      </c>
      <c r="B46" s="350">
        <f>B12*0.04</f>
        <v>0.42239999999999994</v>
      </c>
      <c r="C46" s="288" t="s">
        <v>16</v>
      </c>
      <c r="D46" s="23"/>
      <c r="E46" s="23"/>
      <c r="F46" s="23"/>
      <c r="G46" s="23"/>
      <c r="H46" s="23"/>
      <c r="I46" s="23"/>
      <c r="J46" s="23"/>
      <c r="K46" s="24"/>
    </row>
  </sheetData>
  <mergeCells count="7">
    <mergeCell ref="G43:K43"/>
    <mergeCell ref="E1:F1"/>
    <mergeCell ref="C4:K4"/>
    <mergeCell ref="G21:K21"/>
    <mergeCell ref="G31:K31"/>
    <mergeCell ref="A7:K8"/>
    <mergeCell ref="A9:K9"/>
  </mergeCells>
  <dataValidations count="2">
    <dataValidation allowBlank="1" showInputMessage="1" showErrorMessage="1" sqref="B27"/>
    <dataValidation operator="lessThan" allowBlank="1" showInputMessage="1" showErrorMessage="1" errorTitle="Se ha sobrepasado el máximo" error="Se ha sobrepasado el valor maximo de aceleración vertical permitido por ABS HSC - 2012" sqref="B26"/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81"/>
  <sheetViews>
    <sheetView topLeftCell="A4" zoomScale="85" zoomScaleNormal="85" workbookViewId="0">
      <selection activeCell="B28" sqref="B28"/>
    </sheetView>
  </sheetViews>
  <sheetFormatPr baseColWidth="10" defaultColWidth="11.42578125" defaultRowHeight="15"/>
  <cols>
    <col min="2" max="2" width="14.7109375" customWidth="1"/>
    <col min="3" max="3" width="13.85546875" customWidth="1"/>
  </cols>
  <sheetData>
    <row r="1" spans="1:14">
      <c r="A1" s="669" t="s">
        <v>490</v>
      </c>
      <c r="B1" s="670"/>
      <c r="C1" s="670"/>
      <c r="D1" s="671"/>
      <c r="E1" s="21"/>
      <c r="F1" s="21"/>
      <c r="G1" s="21"/>
      <c r="H1" s="21"/>
      <c r="I1" s="21"/>
      <c r="J1" s="21"/>
      <c r="K1" s="21"/>
      <c r="L1" s="21"/>
      <c r="M1" s="21"/>
      <c r="N1" s="7"/>
    </row>
    <row r="2" spans="1:14" ht="15.75" thickBot="1">
      <c r="A2" s="672"/>
      <c r="B2" s="673"/>
      <c r="C2" s="673"/>
      <c r="D2" s="674"/>
      <c r="N2" s="22"/>
    </row>
    <row r="3" spans="1:14" ht="24" thickBot="1">
      <c r="A3" s="100"/>
      <c r="B3" s="101"/>
      <c r="C3" s="101"/>
      <c r="D3" s="101"/>
      <c r="N3" s="22"/>
    </row>
    <row r="4" spans="1:14" ht="15.75" thickBot="1">
      <c r="A4" s="30"/>
      <c r="B4" s="662" t="s">
        <v>491</v>
      </c>
      <c r="C4" s="663"/>
      <c r="N4" s="22"/>
    </row>
    <row r="5" spans="1:14" ht="18.75" thickBot="1">
      <c r="A5" s="30"/>
      <c r="B5" s="33" t="s">
        <v>492</v>
      </c>
      <c r="C5" s="86">
        <v>0.1</v>
      </c>
      <c r="N5" s="22"/>
    </row>
    <row r="6" spans="1:14" ht="18">
      <c r="A6" s="30"/>
      <c r="B6" s="34" t="s">
        <v>493</v>
      </c>
      <c r="C6" s="87">
        <v>7.7999999999999996E-3</v>
      </c>
      <c r="F6" s="20"/>
      <c r="G6" s="21"/>
      <c r="H6" s="21"/>
      <c r="I6" s="21"/>
      <c r="J6" s="21"/>
      <c r="K6" s="21"/>
      <c r="L6" s="21"/>
      <c r="M6" s="7"/>
      <c r="N6" s="22"/>
    </row>
    <row r="7" spans="1:14" ht="18">
      <c r="A7" s="30"/>
      <c r="B7" s="34" t="s">
        <v>494</v>
      </c>
      <c r="C7" s="87">
        <v>9.8000000000000007</v>
      </c>
      <c r="F7" s="30"/>
      <c r="M7" s="22"/>
      <c r="N7" s="22"/>
    </row>
    <row r="8" spans="1:14">
      <c r="A8" s="30"/>
      <c r="B8" s="34" t="s">
        <v>495</v>
      </c>
      <c r="C8" s="88">
        <f>0.0172*'ABS Datos de entrada'!B12+3.65</f>
        <v>3.8316319999999999</v>
      </c>
      <c r="F8" s="30"/>
      <c r="M8" s="22"/>
      <c r="N8" s="22"/>
    </row>
    <row r="9" spans="1:14" ht="18">
      <c r="A9" s="30"/>
      <c r="B9" s="34" t="s">
        <v>496</v>
      </c>
      <c r="C9" s="87">
        <v>1</v>
      </c>
      <c r="F9" s="30"/>
      <c r="M9" s="22"/>
      <c r="N9" s="22"/>
    </row>
    <row r="10" spans="1:14">
      <c r="A10" s="30"/>
      <c r="B10" s="34" t="s">
        <v>497</v>
      </c>
      <c r="C10" s="87">
        <f>IF(paneles!C4=250,0.85,0.79)</f>
        <v>0.79</v>
      </c>
      <c r="F10" s="30"/>
      <c r="M10" s="22"/>
      <c r="N10" s="22"/>
    </row>
    <row r="11" spans="1:14" ht="18">
      <c r="A11" s="30"/>
      <c r="B11" s="34" t="s">
        <v>498</v>
      </c>
      <c r="C11" s="87">
        <v>0.8</v>
      </c>
      <c r="F11" s="30"/>
      <c r="M11" s="22"/>
      <c r="N11" s="22"/>
    </row>
    <row r="12" spans="1:14">
      <c r="A12" s="30"/>
      <c r="B12" s="34" t="s">
        <v>91</v>
      </c>
      <c r="C12" s="87">
        <f>'ABS Datos de entrada'!B12/12</f>
        <v>0.87999999999999989</v>
      </c>
      <c r="F12" s="30"/>
      <c r="M12" s="22"/>
      <c r="N12" s="22"/>
    </row>
    <row r="13" spans="1:14">
      <c r="A13" s="30"/>
      <c r="B13" s="34" t="s">
        <v>499</v>
      </c>
      <c r="C13" s="89">
        <f>(100*9.7/1.92)/1000</f>
        <v>0.50520833333333326</v>
      </c>
      <c r="F13" s="30"/>
      <c r="M13" s="22"/>
      <c r="N13" s="22"/>
    </row>
    <row r="14" spans="1:14">
      <c r="A14" s="30"/>
      <c r="B14" s="34" t="s">
        <v>500</v>
      </c>
      <c r="C14" s="90">
        <f>0.083*'ABS Datos de entrada'!B12+'ABS Datos de entrada'!B15</f>
        <v>1.40648</v>
      </c>
      <c r="F14" s="30"/>
      <c r="M14" s="22"/>
      <c r="N14" s="22"/>
    </row>
    <row r="15" spans="1:14" ht="15.75" thickBot="1">
      <c r="A15" s="30"/>
      <c r="B15" s="35" t="s">
        <v>501</v>
      </c>
      <c r="C15" s="91">
        <f>((80*9.8)/(1.92))/1000</f>
        <v>0.40833333333333338</v>
      </c>
      <c r="F15" s="30"/>
      <c r="M15" s="22"/>
      <c r="N15" s="22"/>
    </row>
    <row r="16" spans="1:14" ht="15.75" thickBot="1">
      <c r="A16" s="30"/>
      <c r="F16" s="30"/>
      <c r="M16" s="22"/>
      <c r="N16" s="22"/>
    </row>
    <row r="17" spans="1:14">
      <c r="A17" s="36" t="s">
        <v>502</v>
      </c>
      <c r="B17" s="37"/>
      <c r="C17" s="38"/>
      <c r="F17" s="30"/>
      <c r="M17" s="22"/>
      <c r="N17" s="22"/>
    </row>
    <row r="18" spans="1:14" ht="15.75" thickBot="1">
      <c r="A18" s="28"/>
      <c r="B18" s="29">
        <f>(C5*'ABS Datos de entrada'!B16*1000*(1+'ABS Datos de entrada'!B27)*((70-'ABS Datos de entrada'!B19)/(70-'ABS Datos de entrada'!B18))*'ABS Presiones de diseño'!C10)/('ABS Datos de entrada'!B12*'ABS Datos de entrada'!B13)</f>
        <v>79.987500000000011</v>
      </c>
      <c r="C18" s="24" t="s">
        <v>248</v>
      </c>
      <c r="F18" s="30"/>
      <c r="M18" s="22"/>
      <c r="N18" s="22"/>
    </row>
    <row r="19" spans="1:14" ht="15.75" thickBot="1">
      <c r="A19" s="30"/>
      <c r="F19" s="30"/>
      <c r="M19" s="22"/>
      <c r="N19" s="22"/>
    </row>
    <row r="20" spans="1:14">
      <c r="A20" s="36" t="s">
        <v>503</v>
      </c>
      <c r="B20" s="37"/>
      <c r="C20" s="38"/>
      <c r="F20" s="30"/>
      <c r="M20" s="22"/>
      <c r="N20" s="22"/>
    </row>
    <row r="21" spans="1:14" ht="15.75" thickBot="1">
      <c r="A21" s="30"/>
      <c r="C21" s="22"/>
      <c r="F21" s="28"/>
      <c r="G21" s="23"/>
      <c r="H21" s="23"/>
      <c r="I21" s="23"/>
      <c r="J21" s="23"/>
      <c r="K21" s="23"/>
      <c r="L21" s="23"/>
      <c r="M21" s="24"/>
      <c r="N21" s="22"/>
    </row>
    <row r="22" spans="1:14" ht="19.5" thickBot="1">
      <c r="A22" s="28"/>
      <c r="B22" s="29">
        <f>C7*(0.64*C8+0.4)</f>
        <v>27.951995904</v>
      </c>
      <c r="C22" s="24" t="s">
        <v>248</v>
      </c>
      <c r="F22" s="535" t="s">
        <v>504</v>
      </c>
      <c r="G22" s="535"/>
      <c r="H22" s="535"/>
      <c r="I22" s="535"/>
      <c r="J22" s="535"/>
      <c r="K22" s="535"/>
      <c r="L22" s="535"/>
      <c r="M22" s="535"/>
      <c r="N22" s="22"/>
    </row>
    <row r="23" spans="1:14">
      <c r="A23" s="30"/>
      <c r="F23" s="20"/>
      <c r="G23" s="21"/>
      <c r="H23" s="21"/>
      <c r="I23" s="21"/>
      <c r="J23" s="21"/>
      <c r="K23" s="21"/>
      <c r="L23" s="21"/>
      <c r="M23" s="7"/>
      <c r="N23" s="22"/>
    </row>
    <row r="24" spans="1:14" ht="15.75" thickBot="1">
      <c r="A24" s="30"/>
      <c r="F24" s="30"/>
      <c r="M24" s="22"/>
      <c r="N24" s="22"/>
    </row>
    <row r="25" spans="1:14">
      <c r="A25" s="36" t="s">
        <v>505</v>
      </c>
      <c r="B25" s="37"/>
      <c r="C25" s="38"/>
      <c r="F25" s="30"/>
      <c r="M25" s="22"/>
      <c r="N25" s="22"/>
    </row>
    <row r="26" spans="1:14">
      <c r="A26" s="30"/>
      <c r="C26" s="22"/>
      <c r="F26" s="30"/>
      <c r="M26" s="22"/>
      <c r="N26" s="22"/>
    </row>
    <row r="27" spans="1:14" ht="15.75" thickBot="1">
      <c r="A27" s="28"/>
      <c r="B27" s="31">
        <f>((C5*'ABS Datos de entrada'!B16*1000)/('ABS Datos de entrada'!B12*'ABS Datos de entrada'!B13))*(1+'ABS Datos de entrada'!B27)*((70-'ABS Datos de entrada'!B21)/(70-'ABS Datos de entrada'!B20))*'ABS Presiones de diseño'!C10</f>
        <v>18.458653846153855</v>
      </c>
      <c r="C27" s="24" t="s">
        <v>248</v>
      </c>
      <c r="F27" s="30"/>
      <c r="M27" s="22"/>
      <c r="N27" s="22"/>
    </row>
    <row r="28" spans="1:14">
      <c r="A28" s="30"/>
      <c r="F28" s="30"/>
      <c r="M28" s="22"/>
      <c r="N28" s="22"/>
    </row>
    <row r="29" spans="1:14" ht="15.75" thickBot="1">
      <c r="A29" s="30"/>
      <c r="F29" s="30"/>
      <c r="M29" s="22"/>
      <c r="N29" s="22"/>
    </row>
    <row r="30" spans="1:14">
      <c r="A30" s="36" t="s">
        <v>506</v>
      </c>
      <c r="B30" s="37"/>
      <c r="C30" s="38"/>
      <c r="F30" s="30"/>
      <c r="M30" s="22"/>
      <c r="N30" s="22"/>
    </row>
    <row r="31" spans="1:14">
      <c r="A31" s="30"/>
      <c r="C31" s="22"/>
      <c r="F31" s="30"/>
      <c r="M31" s="22"/>
      <c r="N31" s="22"/>
    </row>
    <row r="32" spans="1:14" ht="15.75" thickBot="1">
      <c r="A32" s="28"/>
      <c r="B32" s="31">
        <f>C7*(C14-C12)</f>
        <v>5.159504000000001</v>
      </c>
      <c r="C32" s="24" t="s">
        <v>248</v>
      </c>
      <c r="F32" s="30"/>
      <c r="M32" s="22"/>
      <c r="N32" s="22"/>
    </row>
    <row r="33" spans="1:14">
      <c r="A33" s="30"/>
      <c r="F33" s="30"/>
      <c r="M33" s="22"/>
      <c r="N33" s="22"/>
    </row>
    <row r="34" spans="1:14">
      <c r="A34" s="30"/>
      <c r="F34" s="30"/>
      <c r="M34" s="22"/>
      <c r="N34" s="22"/>
    </row>
    <row r="35" spans="1:14">
      <c r="A35" s="664" t="s">
        <v>507</v>
      </c>
      <c r="B35" s="665"/>
      <c r="C35" s="665"/>
      <c r="F35" s="30"/>
      <c r="M35" s="22"/>
      <c r="N35" s="22"/>
    </row>
    <row r="36" spans="1:14">
      <c r="A36" s="664"/>
      <c r="B36" s="665"/>
      <c r="C36" s="665"/>
      <c r="F36" s="30"/>
      <c r="M36" s="22"/>
      <c r="N36" s="22"/>
    </row>
    <row r="37" spans="1:14" ht="15.75" thickBot="1">
      <c r="A37" s="30"/>
      <c r="F37" s="30"/>
      <c r="M37" s="22"/>
      <c r="N37" s="22"/>
    </row>
    <row r="38" spans="1:14">
      <c r="A38" s="666" t="s">
        <v>508</v>
      </c>
      <c r="B38" s="667"/>
      <c r="C38" s="668"/>
      <c r="F38" s="30"/>
      <c r="M38" s="22"/>
      <c r="N38" s="22"/>
    </row>
    <row r="39" spans="1:14">
      <c r="A39" s="30"/>
      <c r="C39" s="22"/>
      <c r="F39" s="30"/>
      <c r="M39" s="22"/>
      <c r="N39" s="22"/>
    </row>
    <row r="40" spans="1:14" ht="15.75" thickBot="1">
      <c r="A40" s="28"/>
      <c r="B40" s="23">
        <v>5</v>
      </c>
      <c r="C40" s="24" t="s">
        <v>248</v>
      </c>
      <c r="F40" s="28"/>
      <c r="G40" s="23"/>
      <c r="H40" s="23"/>
      <c r="I40" s="23"/>
      <c r="J40" s="23"/>
      <c r="K40" s="23"/>
      <c r="L40" s="23"/>
      <c r="M40" s="24"/>
      <c r="N40" s="22"/>
    </row>
    <row r="41" spans="1:14" ht="15.75" thickBot="1">
      <c r="A41" s="30"/>
      <c r="N41" s="22"/>
    </row>
    <row r="42" spans="1:14">
      <c r="A42" s="666" t="s">
        <v>509</v>
      </c>
      <c r="B42" s="667"/>
      <c r="C42" s="667"/>
      <c r="D42" s="667"/>
      <c r="E42" s="667"/>
      <c r="F42" s="20"/>
      <c r="G42" s="21"/>
      <c r="H42" s="21"/>
      <c r="I42" s="21"/>
      <c r="J42" s="21"/>
      <c r="K42" s="21"/>
      <c r="L42" s="21"/>
      <c r="M42" s="7"/>
      <c r="N42" s="22"/>
    </row>
    <row r="43" spans="1:14">
      <c r="A43" s="664" t="s">
        <v>510</v>
      </c>
      <c r="B43" s="665"/>
      <c r="C43" s="665"/>
      <c r="F43" s="30"/>
      <c r="M43" s="22"/>
      <c r="N43" s="22"/>
    </row>
    <row r="44" spans="1:14">
      <c r="A44" s="30"/>
      <c r="B44" s="32">
        <f>C13*(1+0.5*'ABS Presiones de diseño'!B21)</f>
        <v>0.50520833333333326</v>
      </c>
      <c r="C44" t="s">
        <v>248</v>
      </c>
      <c r="F44" s="30"/>
      <c r="M44" s="22"/>
      <c r="N44" s="22"/>
    </row>
    <row r="45" spans="1:14">
      <c r="A45" s="30"/>
      <c r="F45" s="30"/>
      <c r="M45" s="22"/>
      <c r="N45" s="22"/>
    </row>
    <row r="46" spans="1:14">
      <c r="A46" s="664" t="s">
        <v>511</v>
      </c>
      <c r="B46" s="665"/>
      <c r="C46" s="665"/>
      <c r="D46" s="665"/>
      <c r="E46" s="665"/>
      <c r="F46" s="30"/>
      <c r="M46" s="22"/>
      <c r="N46" s="22"/>
    </row>
    <row r="47" spans="1:14" ht="15.75" thickBot="1">
      <c r="A47" s="28"/>
      <c r="B47" s="31">
        <f>(C13+C15)*(1+0.5*'ABS Presiones de diseño'!B21)</f>
        <v>0.9135416666666667</v>
      </c>
      <c r="C47" s="23" t="s">
        <v>248</v>
      </c>
      <c r="D47" s="23"/>
      <c r="E47" s="23"/>
      <c r="F47" s="30"/>
      <c r="M47" s="22"/>
      <c r="N47" s="22"/>
    </row>
    <row r="48" spans="1:14" ht="15.75" thickBot="1">
      <c r="A48" s="30"/>
      <c r="F48" s="30"/>
      <c r="M48" s="22"/>
      <c r="N48" s="22"/>
    </row>
    <row r="49" spans="1:14">
      <c r="A49" s="666" t="s">
        <v>512</v>
      </c>
      <c r="B49" s="667"/>
      <c r="C49" s="667"/>
      <c r="D49" s="667"/>
      <c r="E49" s="667"/>
      <c r="F49" s="30"/>
      <c r="M49" s="22"/>
      <c r="N49" s="22"/>
    </row>
    <row r="50" spans="1:14">
      <c r="A50" s="30" t="s">
        <v>513</v>
      </c>
      <c r="C50">
        <v>8.6</v>
      </c>
      <c r="D50" t="s">
        <v>514</v>
      </c>
      <c r="F50" s="30"/>
      <c r="M50" s="22"/>
      <c r="N50" s="22"/>
    </row>
    <row r="51" spans="1:14">
      <c r="A51" s="30" t="s">
        <v>515</v>
      </c>
      <c r="C51">
        <v>0.4</v>
      </c>
      <c r="D51" t="s">
        <v>16</v>
      </c>
      <c r="F51" s="30"/>
      <c r="M51" s="22"/>
      <c r="N51" s="22"/>
    </row>
    <row r="52" spans="1:14" ht="15.75" thickBot="1">
      <c r="A52" s="28" t="s">
        <v>357</v>
      </c>
      <c r="B52" s="23">
        <f>C50*C51*(1+0.5*'ABS Presiones de diseño'!B21)</f>
        <v>3.44</v>
      </c>
      <c r="C52" s="23" t="s">
        <v>248</v>
      </c>
      <c r="D52" s="23"/>
      <c r="E52" s="23"/>
      <c r="F52" s="28"/>
      <c r="G52" s="23"/>
      <c r="H52" s="23"/>
      <c r="I52" s="23"/>
      <c r="J52" s="23"/>
      <c r="K52" s="23"/>
      <c r="L52" s="23"/>
      <c r="M52" s="24"/>
      <c r="N52" s="22"/>
    </row>
    <row r="53" spans="1:14" ht="15.75" thickBot="1">
      <c r="A53" s="30"/>
      <c r="N53" s="22"/>
    </row>
    <row r="54" spans="1:14">
      <c r="A54" s="666" t="s">
        <v>516</v>
      </c>
      <c r="B54" s="667"/>
      <c r="C54" s="667"/>
      <c r="D54" s="667"/>
      <c r="E54" s="668"/>
      <c r="N54" s="22"/>
    </row>
    <row r="55" spans="1:14">
      <c r="A55" s="30" t="s">
        <v>517</v>
      </c>
      <c r="C55">
        <v>9.8000000000000007</v>
      </c>
      <c r="D55" t="s">
        <v>514</v>
      </c>
      <c r="E55" s="22"/>
      <c r="N55" s="22"/>
    </row>
    <row r="56" spans="1:14">
      <c r="A56" s="30" t="s">
        <v>515</v>
      </c>
      <c r="C56">
        <v>0.46</v>
      </c>
      <c r="D56" t="s">
        <v>16</v>
      </c>
      <c r="E56" s="22"/>
      <c r="N56" s="22"/>
    </row>
    <row r="57" spans="1:14" ht="15.75" thickBot="1">
      <c r="A57" s="28" t="s">
        <v>357</v>
      </c>
      <c r="B57" s="23">
        <f>C55*C56*(1+0.5*'ABS Presiones de diseño'!B26)</f>
        <v>4.5080000000000009</v>
      </c>
      <c r="C57" s="23" t="s">
        <v>248</v>
      </c>
      <c r="D57" s="23"/>
      <c r="E57" s="24"/>
      <c r="N57" s="22"/>
    </row>
    <row r="58" spans="1:14">
      <c r="A58" s="30"/>
      <c r="N58" s="22"/>
    </row>
    <row r="59" spans="1:14" ht="15.75" thickBot="1">
      <c r="A59" s="30"/>
      <c r="N59" s="22"/>
    </row>
    <row r="60" spans="1:14">
      <c r="A60" s="666" t="s">
        <v>518</v>
      </c>
      <c r="B60" s="667"/>
      <c r="C60" s="667"/>
      <c r="D60" s="21"/>
      <c r="E60" s="7"/>
      <c r="N60" s="22"/>
    </row>
    <row r="61" spans="1:14">
      <c r="A61" s="30" t="s">
        <v>513</v>
      </c>
      <c r="C61">
        <v>7.04</v>
      </c>
      <c r="D61" t="s">
        <v>514</v>
      </c>
      <c r="E61" s="22"/>
      <c r="N61" s="22"/>
    </row>
    <row r="62" spans="1:14" ht="15.75" thickBot="1">
      <c r="A62" s="28" t="s">
        <v>519</v>
      </c>
      <c r="B62" s="31">
        <f>C61*0.86*(1+0.5*'ABS Datos de entrada'!B27)</f>
        <v>14.2157312</v>
      </c>
      <c r="C62" s="23" t="s">
        <v>248</v>
      </c>
      <c r="D62" s="23"/>
      <c r="E62" s="24"/>
      <c r="N62" s="22"/>
    </row>
    <row r="63" spans="1:14">
      <c r="A63" s="30"/>
      <c r="N63" s="22"/>
    </row>
    <row r="64" spans="1:14" ht="15.75" thickBot="1">
      <c r="A64" s="30"/>
      <c r="N64" s="22"/>
    </row>
    <row r="65" spans="1:14">
      <c r="A65" s="666" t="s">
        <v>520</v>
      </c>
      <c r="B65" s="667"/>
      <c r="C65" s="667"/>
      <c r="D65" s="37"/>
      <c r="E65" s="38"/>
      <c r="N65" s="22"/>
    </row>
    <row r="66" spans="1:14" ht="15.75" thickBot="1">
      <c r="A66" s="28"/>
      <c r="B66" s="31">
        <f>0.2*'ABS Datos de entrada'!B12+7.6</f>
        <v>9.7119999999999997</v>
      </c>
      <c r="C66" s="23" t="s">
        <v>248</v>
      </c>
      <c r="D66" s="23"/>
      <c r="E66" s="24"/>
      <c r="N66" s="22"/>
    </row>
    <row r="67" spans="1:14" ht="15.75" thickBot="1">
      <c r="A67" s="30"/>
      <c r="N67" s="22"/>
    </row>
    <row r="68" spans="1:14">
      <c r="A68" s="666" t="s">
        <v>521</v>
      </c>
      <c r="B68" s="667"/>
      <c r="C68" s="667"/>
      <c r="D68" s="667"/>
      <c r="E68" s="38"/>
      <c r="N68" s="22"/>
    </row>
    <row r="69" spans="1:14" ht="15.75" thickBot="1">
      <c r="A69" s="28"/>
      <c r="B69" s="29">
        <f>0.1*'ABS Datos de entrada'!B12+6.1</f>
        <v>7.1559999999999997</v>
      </c>
      <c r="C69" s="23" t="s">
        <v>248</v>
      </c>
      <c r="D69" s="23"/>
      <c r="E69" s="24"/>
      <c r="N69" s="22"/>
    </row>
    <row r="70" spans="1:14">
      <c r="A70" s="30"/>
      <c r="N70" s="22"/>
    </row>
    <row r="71" spans="1:14">
      <c r="A71" s="30"/>
      <c r="N71" s="22"/>
    </row>
    <row r="72" spans="1:14" ht="15.75" thickBot="1">
      <c r="A72" s="682" t="s">
        <v>522</v>
      </c>
      <c r="B72" s="683"/>
      <c r="C72" s="683"/>
      <c r="D72" s="683"/>
      <c r="E72" s="683"/>
      <c r="N72" s="22"/>
    </row>
    <row r="73" spans="1:14">
      <c r="A73" s="20"/>
      <c r="B73" s="7"/>
      <c r="C73" s="21"/>
      <c r="D73" s="25"/>
      <c r="N73" s="22"/>
    </row>
    <row r="74" spans="1:14">
      <c r="A74" s="684" t="s">
        <v>523</v>
      </c>
      <c r="B74" s="685"/>
      <c r="C74">
        <v>24.1</v>
      </c>
      <c r="D74" s="26" t="s">
        <v>248</v>
      </c>
      <c r="N74" s="22"/>
    </row>
    <row r="75" spans="1:14">
      <c r="A75" s="664" t="s">
        <v>524</v>
      </c>
      <c r="B75" s="677"/>
      <c r="C75">
        <v>24.1</v>
      </c>
      <c r="D75" s="26" t="s">
        <v>248</v>
      </c>
      <c r="N75" s="22"/>
    </row>
    <row r="76" spans="1:14">
      <c r="A76" s="664" t="s">
        <v>525</v>
      </c>
      <c r="B76" s="677"/>
      <c r="C76">
        <v>10.3</v>
      </c>
      <c r="D76" s="26" t="s">
        <v>248</v>
      </c>
      <c r="N76" s="22"/>
    </row>
    <row r="77" spans="1:14">
      <c r="A77" s="664" t="s">
        <v>526</v>
      </c>
      <c r="B77" s="677"/>
      <c r="C77">
        <v>10.3</v>
      </c>
      <c r="D77" s="26" t="s">
        <v>514</v>
      </c>
      <c r="N77" s="22"/>
    </row>
    <row r="78" spans="1:14" ht="31.15" customHeight="1">
      <c r="A78" s="678" t="s">
        <v>527</v>
      </c>
      <c r="B78" s="679"/>
      <c r="C78">
        <v>6.9</v>
      </c>
      <c r="D78" s="26" t="s">
        <v>514</v>
      </c>
      <c r="N78" s="22"/>
    </row>
    <row r="79" spans="1:14" ht="33" customHeight="1" thickBot="1">
      <c r="A79" s="680" t="s">
        <v>528</v>
      </c>
      <c r="B79" s="681"/>
      <c r="C79" s="23">
        <v>3.4</v>
      </c>
      <c r="D79" s="27" t="s">
        <v>514</v>
      </c>
      <c r="N79" s="22"/>
    </row>
    <row r="80" spans="1:14">
      <c r="A80" s="675"/>
      <c r="B80" s="676"/>
      <c r="N80" s="22"/>
    </row>
    <row r="81" spans="1:14" ht="15.75" thickBot="1">
      <c r="A81" s="28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4"/>
    </row>
  </sheetData>
  <mergeCells count="21">
    <mergeCell ref="A1:D2"/>
    <mergeCell ref="A80:B80"/>
    <mergeCell ref="A42:E42"/>
    <mergeCell ref="A49:E49"/>
    <mergeCell ref="A75:B75"/>
    <mergeCell ref="A76:B76"/>
    <mergeCell ref="A77:B77"/>
    <mergeCell ref="A78:B78"/>
    <mergeCell ref="A79:B79"/>
    <mergeCell ref="A60:C60"/>
    <mergeCell ref="A65:C65"/>
    <mergeCell ref="A68:D68"/>
    <mergeCell ref="A72:E72"/>
    <mergeCell ref="A74:B74"/>
    <mergeCell ref="A43:C43"/>
    <mergeCell ref="A46:E46"/>
    <mergeCell ref="F22:M22"/>
    <mergeCell ref="B4:C4"/>
    <mergeCell ref="A35:C36"/>
    <mergeCell ref="A38:C38"/>
    <mergeCell ref="A54:E54"/>
  </mergeCells>
  <phoneticPr fontId="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85"/>
  <sheetViews>
    <sheetView topLeftCell="A28" zoomScale="85" zoomScaleNormal="85" workbookViewId="0">
      <selection activeCell="C36" sqref="C36"/>
    </sheetView>
  </sheetViews>
  <sheetFormatPr baseColWidth="10" defaultColWidth="11.42578125" defaultRowHeight="15"/>
  <cols>
    <col min="2" max="2" width="14.140625" customWidth="1"/>
    <col min="3" max="3" width="11.7109375" customWidth="1"/>
    <col min="5" max="5" width="17.7109375" customWidth="1"/>
    <col min="8" max="8" width="14.5703125" customWidth="1"/>
  </cols>
  <sheetData>
    <row r="1" spans="1:28" ht="15.75" thickBot="1">
      <c r="A1" s="690" t="s">
        <v>529</v>
      </c>
      <c r="B1" s="691"/>
      <c r="C1" s="691"/>
      <c r="D1" s="691"/>
      <c r="E1" s="691"/>
      <c r="F1" s="691"/>
      <c r="G1" s="691"/>
      <c r="H1" s="692"/>
      <c r="I1" s="21"/>
      <c r="J1" s="21"/>
      <c r="K1" s="21"/>
      <c r="L1" s="656" t="s">
        <v>530</v>
      </c>
      <c r="M1" s="657"/>
      <c r="N1" s="657"/>
      <c r="O1" s="657"/>
      <c r="P1" s="657"/>
      <c r="Q1" s="657"/>
      <c r="R1" s="657"/>
      <c r="S1" s="657"/>
      <c r="T1" s="658"/>
      <c r="U1" s="21"/>
      <c r="V1" s="21"/>
      <c r="W1" s="21"/>
      <c r="X1" s="21"/>
      <c r="Y1" s="21"/>
      <c r="Z1" s="21"/>
      <c r="AA1" s="21"/>
      <c r="AB1" s="7"/>
    </row>
    <row r="2" spans="1:28" ht="15.75" thickBot="1">
      <c r="A2" s="693"/>
      <c r="B2" s="694"/>
      <c r="C2" s="694"/>
      <c r="D2" s="694"/>
      <c r="E2" s="694"/>
      <c r="F2" s="694"/>
      <c r="G2" s="694"/>
      <c r="H2" s="695"/>
      <c r="L2" s="20"/>
      <c r="M2" s="21"/>
      <c r="N2" s="21"/>
      <c r="O2" s="21"/>
      <c r="P2" s="21"/>
      <c r="Q2" s="21"/>
      <c r="R2" s="21"/>
      <c r="S2" s="21"/>
      <c r="T2" s="7"/>
      <c r="AB2" s="22"/>
    </row>
    <row r="3" spans="1:28" ht="21.75" thickBot="1">
      <c r="A3" s="30"/>
      <c r="B3" s="696" t="s">
        <v>531</v>
      </c>
      <c r="C3" s="697"/>
      <c r="D3" s="697"/>
      <c r="E3" s="46"/>
      <c r="L3" s="30"/>
      <c r="T3" s="22"/>
      <c r="AB3" s="22"/>
    </row>
    <row r="4" spans="1:28">
      <c r="A4" s="30"/>
      <c r="B4" s="30" t="s">
        <v>380</v>
      </c>
      <c r="C4" s="85">
        <v>225</v>
      </c>
      <c r="D4" t="s">
        <v>41</v>
      </c>
      <c r="E4" s="22"/>
      <c r="L4" s="30"/>
      <c r="T4" s="22"/>
      <c r="AB4" s="22"/>
    </row>
    <row r="5" spans="1:28">
      <c r="A5" s="30"/>
      <c r="B5" s="30" t="s">
        <v>532</v>
      </c>
      <c r="C5" s="85">
        <v>750</v>
      </c>
      <c r="D5" t="s">
        <v>41</v>
      </c>
      <c r="E5" s="22"/>
      <c r="L5" s="30"/>
      <c r="T5" s="22"/>
      <c r="AB5" s="22"/>
    </row>
    <row r="6" spans="1:28">
      <c r="A6" s="30"/>
      <c r="B6" s="30" t="s">
        <v>533</v>
      </c>
      <c r="C6" s="85">
        <v>0.5</v>
      </c>
      <c r="E6" s="22"/>
      <c r="L6" s="30"/>
      <c r="T6" s="22"/>
      <c r="AB6" s="22"/>
    </row>
    <row r="7" spans="1:28">
      <c r="A7" s="30"/>
      <c r="B7" s="30" t="s">
        <v>534</v>
      </c>
      <c r="C7" s="85">
        <v>125</v>
      </c>
      <c r="D7" t="s">
        <v>535</v>
      </c>
      <c r="E7" s="22" t="s">
        <v>536</v>
      </c>
      <c r="L7" s="30"/>
      <c r="T7" s="22"/>
      <c r="AB7" s="22"/>
    </row>
    <row r="8" spans="1:28">
      <c r="A8" s="30"/>
      <c r="B8" s="30" t="s">
        <v>537</v>
      </c>
      <c r="C8" s="85">
        <f>C7*0.9</f>
        <v>112.5</v>
      </c>
      <c r="D8" t="s">
        <v>535</v>
      </c>
      <c r="E8" s="22"/>
      <c r="L8" s="30"/>
      <c r="T8" s="22"/>
      <c r="AB8" s="22"/>
    </row>
    <row r="9" spans="1:28" ht="15.75" thickBot="1">
      <c r="A9" s="30"/>
      <c r="B9" s="30" t="s">
        <v>538</v>
      </c>
      <c r="C9" s="85">
        <f>C7*0.55</f>
        <v>68.75</v>
      </c>
      <c r="D9" t="s">
        <v>535</v>
      </c>
      <c r="E9" s="22"/>
      <c r="L9" s="28"/>
      <c r="M9" s="23"/>
      <c r="N9" s="23"/>
      <c r="O9" s="23"/>
      <c r="P9" s="23"/>
      <c r="Q9" s="23"/>
      <c r="R9" s="23"/>
      <c r="S9" s="23"/>
      <c r="T9" s="24"/>
      <c r="AB9" s="22"/>
    </row>
    <row r="10" spans="1:28" ht="15.75" thickBot="1">
      <c r="A10" s="30"/>
      <c r="B10" s="28" t="s">
        <v>539</v>
      </c>
      <c r="C10" s="99">
        <f>115/C7</f>
        <v>0.92</v>
      </c>
      <c r="D10" s="23"/>
      <c r="E10" s="24"/>
      <c r="AB10" s="22"/>
    </row>
    <row r="11" spans="1:28">
      <c r="A11" s="30"/>
      <c r="L11" s="20"/>
      <c r="M11" s="21"/>
      <c r="N11" s="21"/>
      <c r="O11" s="21"/>
      <c r="P11" s="21"/>
      <c r="Q11" s="21"/>
      <c r="R11" s="7"/>
      <c r="T11" s="20"/>
      <c r="U11" s="21"/>
      <c r="V11" s="21"/>
      <c r="W11" s="21"/>
      <c r="X11" s="21"/>
      <c r="Y11" s="21"/>
      <c r="Z11" s="21"/>
      <c r="AA11" s="7"/>
      <c r="AB11" s="22"/>
    </row>
    <row r="12" spans="1:28" ht="15.75" thickBot="1">
      <c r="A12" s="30"/>
      <c r="L12" s="30"/>
      <c r="R12" s="22"/>
      <c r="T12" s="30"/>
      <c r="AA12" s="22"/>
      <c r="AB12" s="22"/>
    </row>
    <row r="13" spans="1:28">
      <c r="A13" s="277" t="s">
        <v>540</v>
      </c>
      <c r="B13" s="21"/>
      <c r="C13" s="21"/>
      <c r="D13" s="21"/>
      <c r="E13" s="21"/>
      <c r="F13" s="21"/>
      <c r="G13" s="21"/>
      <c r="H13" s="21"/>
      <c r="I13" s="7"/>
      <c r="L13" s="30"/>
      <c r="R13" s="22"/>
      <c r="T13" s="30"/>
      <c r="AA13" s="22"/>
      <c r="AB13" s="22"/>
    </row>
    <row r="14" spans="1:28">
      <c r="A14" s="30"/>
      <c r="I14" s="22"/>
      <c r="L14" s="30"/>
      <c r="R14" s="22"/>
      <c r="T14" s="30"/>
      <c r="AA14" s="22"/>
      <c r="AB14" s="22"/>
    </row>
    <row r="15" spans="1:28">
      <c r="A15" s="30"/>
      <c r="I15" s="22"/>
      <c r="L15" s="30"/>
      <c r="R15" s="22"/>
      <c r="T15" s="30"/>
      <c r="AA15" s="22"/>
      <c r="AB15" s="22"/>
    </row>
    <row r="16" spans="1:28">
      <c r="A16" s="30"/>
      <c r="I16" s="22"/>
      <c r="L16" s="30"/>
      <c r="R16" s="22"/>
      <c r="T16" s="30"/>
      <c r="AA16" s="22"/>
      <c r="AB16" s="22"/>
    </row>
    <row r="17" spans="1:28">
      <c r="A17" s="30"/>
      <c r="I17" s="22"/>
      <c r="L17" s="30"/>
      <c r="R17" s="22"/>
      <c r="T17" s="30"/>
      <c r="AA17" s="22"/>
      <c r="AB17" s="22"/>
    </row>
    <row r="18" spans="1:28">
      <c r="A18" s="30"/>
      <c r="I18" s="22"/>
      <c r="L18" s="30"/>
      <c r="R18" s="22"/>
      <c r="T18" s="30"/>
      <c r="AA18" s="22"/>
      <c r="AB18" s="22"/>
    </row>
    <row r="19" spans="1:28">
      <c r="A19" s="30"/>
      <c r="I19" s="22"/>
      <c r="L19" s="30"/>
      <c r="R19" s="22"/>
      <c r="T19" s="30"/>
      <c r="AA19" s="22"/>
      <c r="AB19" s="22"/>
    </row>
    <row r="20" spans="1:28">
      <c r="A20" s="30"/>
      <c r="I20" s="22"/>
      <c r="L20" s="30"/>
      <c r="R20" s="22"/>
      <c r="T20" s="30"/>
      <c r="AA20" s="22"/>
      <c r="AB20" s="22"/>
    </row>
    <row r="21" spans="1:28" ht="15.75" thickBot="1">
      <c r="A21" s="30"/>
      <c r="I21" s="22"/>
      <c r="L21" s="30"/>
      <c r="R21" s="22"/>
      <c r="T21" s="30"/>
      <c r="AA21" s="22"/>
      <c r="AB21" s="22"/>
    </row>
    <row r="22" spans="1:28" ht="15.75" thickBot="1">
      <c r="A22" s="30"/>
      <c r="B22" s="343" t="s">
        <v>541</v>
      </c>
      <c r="C22" s="79">
        <f>0.7*('ABS Datos de entrada'!B12*paneles!C10)^0.5+1</f>
        <v>3.1818450907431535</v>
      </c>
      <c r="D22" s="42" t="s">
        <v>41</v>
      </c>
      <c r="I22" s="22"/>
      <c r="L22" s="30"/>
      <c r="R22" s="22"/>
      <c r="T22" s="30"/>
      <c r="AA22" s="22"/>
      <c r="AB22" s="22"/>
    </row>
    <row r="23" spans="1:28" ht="15.75" thickBot="1">
      <c r="A23" s="30"/>
      <c r="E23" t="s">
        <v>542</v>
      </c>
      <c r="F23" s="32">
        <f>IF(IF(C24&lt;C22,C22,C24)&lt;3.5,3.5,IF(C24&lt;C22,C22,C24))</f>
        <v>4.2423092178670814</v>
      </c>
      <c r="G23" t="s">
        <v>41</v>
      </c>
      <c r="H23" s="60" t="s">
        <v>290</v>
      </c>
      <c r="I23" s="22"/>
      <c r="L23" s="30"/>
      <c r="R23" s="22"/>
      <c r="T23" s="30"/>
      <c r="AA23" s="22"/>
      <c r="AB23" s="22"/>
    </row>
    <row r="24" spans="1:28" ht="15.75" thickBot="1">
      <c r="A24" s="30"/>
      <c r="B24" s="343" t="s">
        <v>543</v>
      </c>
      <c r="C24" s="133">
        <f>C4*('ABS Presiones de diseño'!B18*paneles!C6/(1000*paneles!C8))^0.5</f>
        <v>4.2423092178670814</v>
      </c>
      <c r="D24" s="42" t="s">
        <v>41</v>
      </c>
      <c r="H24" s="276" t="s">
        <v>544</v>
      </c>
      <c r="I24" s="22"/>
      <c r="L24" s="30"/>
      <c r="R24" s="22"/>
      <c r="T24" s="30"/>
      <c r="AA24" s="22"/>
      <c r="AB24" s="22"/>
    </row>
    <row r="25" spans="1:28" ht="15.75" thickBot="1">
      <c r="A25" s="28"/>
      <c r="B25" s="23"/>
      <c r="C25" s="23"/>
      <c r="D25" s="23"/>
      <c r="E25" s="23"/>
      <c r="F25" s="23"/>
      <c r="G25" s="23"/>
      <c r="H25" s="23"/>
      <c r="I25" s="24"/>
      <c r="L25" s="30"/>
      <c r="R25" s="22"/>
      <c r="T25" s="30"/>
      <c r="AA25" s="22"/>
      <c r="AB25" s="22"/>
    </row>
    <row r="26" spans="1:28">
      <c r="A26" s="20"/>
      <c r="B26" s="21"/>
      <c r="C26" s="21"/>
      <c r="D26" s="21"/>
      <c r="E26" s="21"/>
      <c r="F26" s="21"/>
      <c r="G26" s="21"/>
      <c r="H26" s="21"/>
      <c r="I26" s="7"/>
      <c r="L26" s="30"/>
      <c r="R26" s="22"/>
      <c r="T26" s="30"/>
      <c r="AA26" s="22"/>
      <c r="AB26" s="22"/>
    </row>
    <row r="27" spans="1:28">
      <c r="A27" s="30"/>
      <c r="I27" s="22"/>
      <c r="L27" s="30"/>
      <c r="R27" s="22"/>
      <c r="T27" s="30"/>
      <c r="AA27" s="22"/>
      <c r="AB27" s="22"/>
    </row>
    <row r="28" spans="1:28">
      <c r="A28" s="30"/>
      <c r="I28" s="22"/>
      <c r="L28" s="30"/>
      <c r="R28" s="22"/>
      <c r="T28" s="30"/>
      <c r="AA28" s="22"/>
      <c r="AB28" s="22"/>
    </row>
    <row r="29" spans="1:28">
      <c r="A29" s="30"/>
      <c r="I29" s="22"/>
      <c r="L29" s="30"/>
      <c r="R29" s="22"/>
      <c r="T29" s="30"/>
      <c r="AA29" s="22"/>
      <c r="AB29" s="22"/>
    </row>
    <row r="30" spans="1:28">
      <c r="A30" s="30"/>
      <c r="I30" s="22"/>
      <c r="L30" s="30"/>
      <c r="R30" s="22"/>
      <c r="T30" s="30"/>
      <c r="AA30" s="22"/>
      <c r="AB30" s="22"/>
    </row>
    <row r="31" spans="1:28">
      <c r="A31" s="30"/>
      <c r="I31" s="22"/>
      <c r="L31" s="30"/>
      <c r="R31" s="22"/>
      <c r="T31" s="30"/>
      <c r="AA31" s="22"/>
      <c r="AB31" s="22"/>
    </row>
    <row r="32" spans="1:28">
      <c r="A32" s="30"/>
      <c r="I32" s="22"/>
      <c r="L32" s="30"/>
      <c r="R32" s="22"/>
      <c r="T32" s="30"/>
      <c r="AA32" s="22"/>
      <c r="AB32" s="22"/>
    </row>
    <row r="33" spans="1:28">
      <c r="A33" s="30"/>
      <c r="I33" s="22"/>
      <c r="L33" s="30"/>
      <c r="R33" s="22"/>
      <c r="T33" s="30"/>
      <c r="AA33" s="22"/>
      <c r="AB33" s="22"/>
    </row>
    <row r="34" spans="1:28" ht="15.75" thickBot="1">
      <c r="A34" s="30"/>
      <c r="I34" s="22"/>
      <c r="L34" s="30"/>
      <c r="R34" s="22"/>
      <c r="T34" s="30"/>
      <c r="AA34" s="22"/>
      <c r="AB34" s="22"/>
    </row>
    <row r="35" spans="1:28" ht="15.75" thickBot="1">
      <c r="A35" s="30"/>
      <c r="B35" s="58" t="s">
        <v>380</v>
      </c>
      <c r="C35" s="112">
        <v>250</v>
      </c>
      <c r="D35" s="42" t="s">
        <v>41</v>
      </c>
      <c r="I35" s="22"/>
      <c r="L35" s="28"/>
      <c r="M35" s="23"/>
      <c r="N35" s="23"/>
      <c r="O35" s="23"/>
      <c r="P35" s="23"/>
      <c r="Q35" s="23"/>
      <c r="R35" s="24"/>
      <c r="T35" s="28"/>
      <c r="U35" s="23"/>
      <c r="V35" s="23"/>
      <c r="W35" s="23"/>
      <c r="X35" s="23"/>
      <c r="Y35" s="23"/>
      <c r="Z35" s="23"/>
      <c r="AA35" s="24"/>
      <c r="AB35" s="22"/>
    </row>
    <row r="36" spans="1:28" ht="15.75" thickBot="1">
      <c r="A36" s="30"/>
      <c r="I36" s="22"/>
      <c r="L36" s="656" t="s">
        <v>545</v>
      </c>
      <c r="M36" s="657"/>
      <c r="N36" s="657"/>
      <c r="O36" s="657"/>
      <c r="P36" s="657"/>
      <c r="Q36" s="657"/>
      <c r="R36" s="658"/>
      <c r="AB36" s="22"/>
    </row>
    <row r="37" spans="1:28" ht="15.75" thickBot="1">
      <c r="A37" s="30"/>
      <c r="B37" s="343" t="s">
        <v>541</v>
      </c>
      <c r="C37" s="79">
        <f>0.62*('ABS Datos de entrada'!B12*paneles!C10)^0.5+1</f>
        <v>2.9324913660867931</v>
      </c>
      <c r="D37" s="42" t="s">
        <v>41</v>
      </c>
      <c r="I37" s="22"/>
      <c r="AB37" s="22"/>
    </row>
    <row r="38" spans="1:28" ht="15.75" thickBot="1">
      <c r="A38" s="30"/>
      <c r="E38" t="s">
        <v>542</v>
      </c>
      <c r="F38" s="32">
        <f>IF(IF(C37&lt;C39,C39,C37)&lt;3.5,3.5,IF(C37&lt;C39,C39,C37))</f>
        <v>3.5</v>
      </c>
      <c r="G38" t="s">
        <v>41</v>
      </c>
      <c r="H38" s="60" t="s">
        <v>325</v>
      </c>
      <c r="I38" s="276"/>
      <c r="L38" s="20"/>
      <c r="M38" s="21"/>
      <c r="N38" s="21"/>
      <c r="O38" s="21"/>
      <c r="P38" s="21"/>
      <c r="Q38" s="21"/>
      <c r="R38" s="7"/>
      <c r="AB38" s="22"/>
    </row>
    <row r="39" spans="1:28" ht="15.75" thickBot="1">
      <c r="A39" s="30"/>
      <c r="B39" s="343" t="s">
        <v>543</v>
      </c>
      <c r="C39" s="79">
        <f>C35*('ABS Presiones de diseño'!B27*paneles!C6/(1000*paneles!C8))^0.5</f>
        <v>2.2643771430911963</v>
      </c>
      <c r="D39" s="42" t="s">
        <v>41</v>
      </c>
      <c r="H39" s="276" t="s">
        <v>544</v>
      </c>
      <c r="I39" s="22"/>
      <c r="L39" s="30"/>
      <c r="R39" s="22"/>
      <c r="AB39" s="22"/>
    </row>
    <row r="40" spans="1:28" ht="15.75" thickBot="1">
      <c r="A40" s="28"/>
      <c r="B40" s="23"/>
      <c r="C40" s="23"/>
      <c r="D40" s="23"/>
      <c r="E40" s="23"/>
      <c r="F40" s="23"/>
      <c r="G40" s="23"/>
      <c r="H40" s="23"/>
      <c r="I40" s="24"/>
      <c r="L40" s="30"/>
      <c r="R40" s="22"/>
      <c r="AB40" s="22"/>
    </row>
    <row r="41" spans="1:28">
      <c r="A41" s="30"/>
      <c r="L41" s="30"/>
      <c r="R41" s="22"/>
      <c r="AB41" s="22"/>
    </row>
    <row r="42" spans="1:28" ht="15.75" thickBot="1">
      <c r="A42" s="30"/>
      <c r="L42" s="30"/>
      <c r="R42" s="22"/>
      <c r="AB42" s="22"/>
    </row>
    <row r="43" spans="1:28">
      <c r="A43" s="20"/>
      <c r="B43" s="21"/>
      <c r="C43" s="21"/>
      <c r="D43" s="21"/>
      <c r="E43" s="21"/>
      <c r="F43" s="21"/>
      <c r="G43" s="21"/>
      <c r="H43" s="21"/>
      <c r="I43" s="7"/>
      <c r="L43" s="30"/>
      <c r="R43" s="22"/>
      <c r="AB43" s="22"/>
    </row>
    <row r="44" spans="1:28">
      <c r="A44" s="30"/>
      <c r="I44" s="22"/>
      <c r="L44" s="30"/>
      <c r="R44" s="22"/>
      <c r="AB44" s="22"/>
    </row>
    <row r="45" spans="1:28">
      <c r="A45" s="30"/>
      <c r="I45" s="22"/>
      <c r="L45" s="30"/>
      <c r="R45" s="22"/>
      <c r="AB45" s="22"/>
    </row>
    <row r="46" spans="1:28">
      <c r="A46" s="30"/>
      <c r="I46" s="22"/>
      <c r="L46" s="30"/>
      <c r="R46" s="22"/>
      <c r="AB46" s="22"/>
    </row>
    <row r="47" spans="1:28">
      <c r="A47" s="30"/>
      <c r="I47" s="22"/>
      <c r="L47" s="30"/>
      <c r="R47" s="22"/>
      <c r="AB47" s="22"/>
    </row>
    <row r="48" spans="1:28">
      <c r="A48" s="30"/>
      <c r="I48" s="22"/>
      <c r="L48" s="30"/>
      <c r="R48" s="22"/>
      <c r="AB48" s="22"/>
    </row>
    <row r="49" spans="1:28">
      <c r="A49" s="30"/>
      <c r="I49" s="22"/>
      <c r="L49" s="30"/>
      <c r="R49" s="22"/>
      <c r="AB49" s="22"/>
    </row>
    <row r="50" spans="1:28">
      <c r="A50" s="30"/>
      <c r="I50" s="22"/>
      <c r="L50" s="30"/>
      <c r="R50" s="22"/>
      <c r="AB50" s="22"/>
    </row>
    <row r="51" spans="1:28" ht="15.75" thickBot="1">
      <c r="A51" s="30"/>
      <c r="I51" s="22"/>
      <c r="L51" s="30"/>
      <c r="R51" s="22"/>
      <c r="AB51" s="22"/>
    </row>
    <row r="52" spans="1:28" ht="15.75" thickBot="1">
      <c r="A52" s="30"/>
      <c r="B52" s="20" t="s">
        <v>546</v>
      </c>
      <c r="C52" s="21">
        <v>250</v>
      </c>
      <c r="D52" s="7"/>
      <c r="I52" s="22"/>
      <c r="L52" s="30"/>
      <c r="R52" s="22"/>
      <c r="AB52" s="22"/>
    </row>
    <row r="53" spans="1:28" ht="15.75" thickBot="1">
      <c r="A53" s="30"/>
      <c r="B53" s="687" t="s">
        <v>547</v>
      </c>
      <c r="C53" s="688"/>
      <c r="D53" s="689"/>
      <c r="I53" s="22"/>
      <c r="L53" s="30"/>
      <c r="R53" s="22"/>
      <c r="AB53" s="22"/>
    </row>
    <row r="54" spans="1:28">
      <c r="A54" s="30"/>
      <c r="B54" s="344" t="s">
        <v>541</v>
      </c>
      <c r="C54" s="32">
        <f>0.52*('ABS Datos de entrada'!B12*paneles!C10)^0.5+1</f>
        <v>2.6207992102663429</v>
      </c>
      <c r="D54" s="22" t="s">
        <v>41</v>
      </c>
      <c r="I54" s="22"/>
      <c r="L54" s="30"/>
      <c r="R54" s="22"/>
      <c r="AB54" s="22"/>
    </row>
    <row r="55" spans="1:28">
      <c r="A55" s="30"/>
      <c r="B55" s="30"/>
      <c r="D55" s="22"/>
      <c r="E55" t="s">
        <v>548</v>
      </c>
      <c r="F55">
        <f>IF(IF(C54&lt;C56,C56,C54)&lt;3.5,3.5,IF(C54&lt;C56,C56,C54))</f>
        <v>3.5</v>
      </c>
      <c r="G55" t="s">
        <v>41</v>
      </c>
      <c r="H55" s="60" t="s">
        <v>325</v>
      </c>
      <c r="I55" s="276"/>
      <c r="L55" s="30"/>
      <c r="R55" s="22"/>
      <c r="AB55" s="22"/>
    </row>
    <row r="56" spans="1:28" ht="15.75" thickBot="1">
      <c r="A56" s="30"/>
      <c r="B56" s="76" t="s">
        <v>543</v>
      </c>
      <c r="C56" s="31">
        <f>C52*('ABS Presiones de diseño'!B52*paneles!C6/(1000*0.6*paneles!C7))^0.5</f>
        <v>1.1972189997378646</v>
      </c>
      <c r="D56" s="24" t="s">
        <v>41</v>
      </c>
      <c r="H56" s="276" t="s">
        <v>544</v>
      </c>
      <c r="I56" s="22"/>
      <c r="L56" s="30"/>
      <c r="R56" s="22"/>
      <c r="AB56" s="22"/>
    </row>
    <row r="57" spans="1:28">
      <c r="A57" s="30"/>
      <c r="I57" s="22"/>
      <c r="L57" s="30"/>
      <c r="R57" s="22"/>
      <c r="AB57" s="22"/>
    </row>
    <row r="58" spans="1:28" ht="15.75" thickBot="1">
      <c r="A58" s="30"/>
      <c r="I58" s="22"/>
      <c r="L58" s="30"/>
      <c r="R58" s="22"/>
      <c r="AB58" s="22"/>
    </row>
    <row r="59" spans="1:28" ht="15.75" thickBot="1">
      <c r="A59" s="30"/>
      <c r="B59" s="687" t="s">
        <v>549</v>
      </c>
      <c r="C59" s="688"/>
      <c r="D59" s="689"/>
      <c r="I59" s="22"/>
      <c r="L59" s="30"/>
      <c r="R59" s="22"/>
      <c r="AB59" s="22"/>
    </row>
    <row r="60" spans="1:28">
      <c r="A60" s="30"/>
      <c r="B60" s="344" t="s">
        <v>541</v>
      </c>
      <c r="C60" s="32">
        <f>0.52*('ABS Datos de entrada'!B12*paneles!C10)^0.5+1</f>
        <v>2.6207992102663429</v>
      </c>
      <c r="D60" s="22" t="s">
        <v>41</v>
      </c>
      <c r="I60" s="22"/>
      <c r="L60" s="30"/>
      <c r="R60" s="22"/>
      <c r="AB60" s="22"/>
    </row>
    <row r="61" spans="1:28">
      <c r="A61" s="30"/>
      <c r="B61" s="30"/>
      <c r="D61" s="22"/>
      <c r="E61" t="s">
        <v>548</v>
      </c>
      <c r="F61">
        <f>IF(C62&lt;3.5,3.5,C62)</f>
        <v>3.5</v>
      </c>
      <c r="G61" t="s">
        <v>41</v>
      </c>
      <c r="H61" s="60" t="s">
        <v>325</v>
      </c>
      <c r="I61" s="276"/>
      <c r="L61" s="30"/>
      <c r="R61" s="22"/>
      <c r="AB61" s="22"/>
    </row>
    <row r="62" spans="1:28" ht="15.75" thickBot="1">
      <c r="A62" s="30"/>
      <c r="B62" s="76" t="s">
        <v>543</v>
      </c>
      <c r="C62" s="31">
        <f>C35*(C6*'ABS Presiones de diseño'!B62/(1000*0.6*paneles!C7))^0.5</f>
        <v>2.4337669020128723</v>
      </c>
      <c r="D62" s="24" t="s">
        <v>41</v>
      </c>
      <c r="H62" s="276" t="s">
        <v>544</v>
      </c>
      <c r="I62" s="22"/>
      <c r="L62" s="30"/>
      <c r="R62" s="22"/>
      <c r="AB62" s="22"/>
    </row>
    <row r="63" spans="1:28" ht="15.75" thickBot="1">
      <c r="A63" s="30"/>
      <c r="I63" s="22"/>
      <c r="L63" s="28"/>
      <c r="M63" s="23"/>
      <c r="N63" s="23"/>
      <c r="O63" s="23"/>
      <c r="P63" s="23"/>
      <c r="Q63" s="23"/>
      <c r="R63" s="24"/>
      <c r="AB63" s="22"/>
    </row>
    <row r="64" spans="1:28" ht="15.75" thickBot="1">
      <c r="A64" s="30"/>
      <c r="I64" s="22"/>
      <c r="L64" s="656" t="s">
        <v>550</v>
      </c>
      <c r="M64" s="657"/>
      <c r="N64" s="657"/>
      <c r="O64" s="657"/>
      <c r="P64" s="657"/>
      <c r="Q64" s="657"/>
      <c r="R64" s="658"/>
      <c r="AB64" s="22"/>
    </row>
    <row r="65" spans="1:28" ht="15.75" thickBot="1">
      <c r="A65" s="30"/>
      <c r="B65" s="687" t="s">
        <v>551</v>
      </c>
      <c r="C65" s="688"/>
      <c r="D65" s="689"/>
      <c r="I65" s="22"/>
      <c r="AB65" s="22"/>
    </row>
    <row r="66" spans="1:28" ht="15.75" thickBot="1">
      <c r="A66" s="30"/>
      <c r="B66" s="76" t="s">
        <v>541</v>
      </c>
      <c r="C66" s="31">
        <f>0.52*('ABS Datos de entrada'!B12*paneles!C10)^0.5+1</f>
        <v>2.6207992102663429</v>
      </c>
      <c r="D66" s="24" t="s">
        <v>41</v>
      </c>
      <c r="I66" s="22"/>
      <c r="AB66" s="22"/>
    </row>
    <row r="67" spans="1:28">
      <c r="A67" s="30"/>
      <c r="E67" t="s">
        <v>548</v>
      </c>
      <c r="F67">
        <f>IF(C68&lt;3.5,3.5,C68)</f>
        <v>3.5</v>
      </c>
      <c r="G67" t="s">
        <v>41</v>
      </c>
      <c r="H67" s="60" t="s">
        <v>325</v>
      </c>
      <c r="I67" s="276"/>
      <c r="AB67" s="22"/>
    </row>
    <row r="68" spans="1:28" ht="15.75" thickBot="1">
      <c r="A68" s="28"/>
      <c r="B68" s="23"/>
      <c r="C68" s="31"/>
      <c r="D68" s="23"/>
      <c r="E68" s="23"/>
      <c r="F68" s="23"/>
      <c r="G68" s="23"/>
      <c r="H68" s="276" t="s">
        <v>544</v>
      </c>
      <c r="I68" s="24"/>
      <c r="AB68" s="22"/>
    </row>
    <row r="69" spans="1:28">
      <c r="A69" s="20"/>
      <c r="B69" s="21"/>
      <c r="C69" s="21"/>
      <c r="D69" s="21"/>
      <c r="E69" s="21"/>
      <c r="F69" s="21"/>
      <c r="G69" s="21"/>
      <c r="H69" s="21"/>
      <c r="I69" s="7"/>
      <c r="AB69" s="22"/>
    </row>
    <row r="70" spans="1:28">
      <c r="A70" s="30"/>
      <c r="I70" s="22"/>
      <c r="AB70" s="22"/>
    </row>
    <row r="71" spans="1:28">
      <c r="A71" s="30"/>
      <c r="I71" s="22"/>
      <c r="AB71" s="22"/>
    </row>
    <row r="72" spans="1:28">
      <c r="A72" s="30"/>
      <c r="I72" s="22"/>
      <c r="AB72" s="22"/>
    </row>
    <row r="73" spans="1:28">
      <c r="A73" s="30"/>
      <c r="I73" s="22"/>
      <c r="AB73" s="22"/>
    </row>
    <row r="74" spans="1:28">
      <c r="A74" s="30"/>
      <c r="I74" s="22"/>
      <c r="AB74" s="22"/>
    </row>
    <row r="75" spans="1:28">
      <c r="A75" s="30"/>
      <c r="I75" s="22"/>
      <c r="AB75" s="22"/>
    </row>
    <row r="76" spans="1:28">
      <c r="A76" s="30"/>
      <c r="I76" s="22"/>
      <c r="AB76" s="22"/>
    </row>
    <row r="77" spans="1:28">
      <c r="A77" s="30"/>
      <c r="I77" s="22"/>
      <c r="AB77" s="22"/>
    </row>
    <row r="78" spans="1:28">
      <c r="A78" s="30"/>
      <c r="B78" s="686" t="s">
        <v>552</v>
      </c>
      <c r="C78" s="686"/>
      <c r="D78" s="686"/>
      <c r="I78" s="22"/>
      <c r="AB78" s="22"/>
    </row>
    <row r="79" spans="1:28">
      <c r="A79" s="30"/>
      <c r="B79" s="59" t="s">
        <v>541</v>
      </c>
      <c r="C79" s="32">
        <f>0.62*('ABS Datos de entrada'!B12*paneles!C6)^0.5+1</f>
        <v>2.4246515363414307</v>
      </c>
      <c r="D79" t="s">
        <v>41</v>
      </c>
      <c r="I79" s="22"/>
      <c r="AB79" s="22"/>
    </row>
    <row r="80" spans="1:28">
      <c r="A80" s="30"/>
      <c r="E80" t="s">
        <v>542</v>
      </c>
      <c r="F80">
        <f>IF(C79&lt;3.5,3.5,C79)</f>
        <v>3.5</v>
      </c>
      <c r="G80" t="s">
        <v>41</v>
      </c>
      <c r="H80" s="60" t="s">
        <v>325</v>
      </c>
      <c r="I80" s="276"/>
      <c r="AB80" s="22"/>
    </row>
    <row r="81" spans="1:28">
      <c r="A81" s="30"/>
      <c r="B81" s="59" t="s">
        <v>543</v>
      </c>
      <c r="C81" s="32">
        <f>C52*(C6*'ABS Presiones de diseño'!B47/(1000*paneles!C7*0.6))^0.5</f>
        <v>0.61696220395670198</v>
      </c>
      <c r="D81" t="s">
        <v>41</v>
      </c>
      <c r="H81" s="276" t="s">
        <v>544</v>
      </c>
      <c r="I81" s="22"/>
      <c r="AB81" s="22"/>
    </row>
    <row r="82" spans="1:28" ht="15.75" thickBot="1">
      <c r="A82" s="28"/>
      <c r="B82" s="23"/>
      <c r="C82" s="23"/>
      <c r="D82" s="23"/>
      <c r="E82" s="23"/>
      <c r="F82" s="23"/>
      <c r="G82" s="23"/>
      <c r="H82" s="23"/>
      <c r="I82" s="24"/>
      <c r="AB82" s="22"/>
    </row>
    <row r="83" spans="1:28">
      <c r="A83" s="30"/>
      <c r="AB83" s="22"/>
    </row>
    <row r="84" spans="1:28">
      <c r="A84" s="30"/>
      <c r="AB84" s="22"/>
    </row>
    <row r="85" spans="1:28" ht="15.75" thickBot="1">
      <c r="A85" s="28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4"/>
    </row>
  </sheetData>
  <mergeCells count="9">
    <mergeCell ref="B78:D78"/>
    <mergeCell ref="B65:D65"/>
    <mergeCell ref="L1:T1"/>
    <mergeCell ref="L36:R36"/>
    <mergeCell ref="L64:R64"/>
    <mergeCell ref="A1:H2"/>
    <mergeCell ref="B3:D3"/>
    <mergeCell ref="B53:D53"/>
    <mergeCell ref="B59:D5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101"/>
  <sheetViews>
    <sheetView topLeftCell="B19" zoomScale="70" zoomScaleNormal="70" workbookViewId="0">
      <selection activeCell="U43" sqref="U43"/>
    </sheetView>
  </sheetViews>
  <sheetFormatPr baseColWidth="10" defaultColWidth="11.42578125" defaultRowHeight="15"/>
  <cols>
    <col min="1" max="1" width="5.28515625" customWidth="1"/>
    <col min="2" max="2" width="12.7109375" customWidth="1"/>
    <col min="3" max="3" width="11.7109375" customWidth="1"/>
    <col min="4" max="4" width="17.7109375" customWidth="1"/>
    <col min="12" max="12" width="21.28515625" customWidth="1"/>
    <col min="13" max="13" width="12.85546875" customWidth="1"/>
    <col min="14" max="14" width="6.42578125" customWidth="1"/>
    <col min="16" max="16" width="14.42578125" customWidth="1"/>
    <col min="18" max="18" width="12.7109375" customWidth="1"/>
    <col min="20" max="20" width="15.5703125" customWidth="1"/>
    <col min="21" max="21" width="16.42578125" customWidth="1"/>
    <col min="22" max="22" width="11.28515625" customWidth="1"/>
    <col min="23" max="23" width="5.28515625" customWidth="1"/>
    <col min="32" max="32" width="9.85546875" customWidth="1"/>
    <col min="33" max="33" width="19.42578125" hidden="1" customWidth="1"/>
    <col min="34" max="34" width="0.7109375" hidden="1" customWidth="1"/>
    <col min="35" max="35" width="21.5703125" hidden="1" customWidth="1"/>
    <col min="36" max="36" width="14" hidden="1" customWidth="1"/>
    <col min="37" max="37" width="14.140625" hidden="1" customWidth="1"/>
    <col min="38" max="38" width="13.5703125" hidden="1" customWidth="1"/>
    <col min="39" max="39" width="0.140625" hidden="1" customWidth="1"/>
    <col min="40" max="40" width="18.7109375" hidden="1" customWidth="1"/>
    <col min="41" max="41" width="7.7109375" hidden="1" customWidth="1"/>
    <col min="42" max="42" width="0.140625" hidden="1" customWidth="1"/>
    <col min="43" max="43" width="7" customWidth="1"/>
    <col min="44" max="44" width="9.5703125" customWidth="1"/>
  </cols>
  <sheetData>
    <row r="1" spans="1:32">
      <c r="A1" s="20"/>
      <c r="B1" s="530" t="s">
        <v>553</v>
      </c>
      <c r="C1" s="531"/>
      <c r="D1" s="531"/>
      <c r="E1" s="698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7"/>
    </row>
    <row r="2" spans="1:32" ht="15.75" thickBot="1">
      <c r="A2" s="30"/>
      <c r="B2" s="532"/>
      <c r="C2" s="533"/>
      <c r="D2" s="533"/>
      <c r="E2" s="699"/>
      <c r="AF2" s="22"/>
    </row>
    <row r="3" spans="1:32" ht="15.75" thickBot="1">
      <c r="A3" s="30"/>
      <c r="AF3" s="22"/>
    </row>
    <row r="4" spans="1:32" ht="15.75" thickBot="1">
      <c r="A4" s="30"/>
      <c r="B4" s="708" t="s">
        <v>554</v>
      </c>
      <c r="C4" s="709"/>
      <c r="F4" s="20"/>
      <c r="G4" s="21"/>
      <c r="H4" s="21"/>
      <c r="I4" s="21"/>
      <c r="J4" s="21"/>
      <c r="K4" s="21"/>
      <c r="L4" s="21"/>
      <c r="M4" s="21"/>
      <c r="N4" s="7"/>
      <c r="P4" s="20"/>
      <c r="Q4" s="21"/>
      <c r="R4" s="21"/>
      <c r="S4" s="21"/>
      <c r="T4" s="21"/>
      <c r="U4" s="21"/>
      <c r="V4" s="7"/>
      <c r="X4" s="20"/>
      <c r="Y4" s="21"/>
      <c r="Z4" s="21"/>
      <c r="AA4" s="21"/>
      <c r="AB4" s="21"/>
      <c r="AC4" s="21"/>
      <c r="AD4" s="7"/>
      <c r="AE4" s="7"/>
      <c r="AF4" s="22"/>
    </row>
    <row r="5" spans="1:32" ht="15.75" thickBot="1">
      <c r="A5" s="30"/>
      <c r="B5" s="47" t="s">
        <v>555</v>
      </c>
      <c r="C5" s="48"/>
      <c r="D5" s="49"/>
      <c r="F5" s="30"/>
      <c r="N5" s="22"/>
      <c r="P5" s="30"/>
      <c r="V5" s="22"/>
      <c r="X5" s="30"/>
      <c r="AD5" s="22"/>
      <c r="AE5" s="22"/>
      <c r="AF5" s="22"/>
    </row>
    <row r="6" spans="1:32">
      <c r="A6" s="30"/>
      <c r="F6" s="30"/>
      <c r="N6" s="22"/>
      <c r="P6" s="30"/>
      <c r="V6" s="22"/>
      <c r="X6" s="30"/>
      <c r="AD6" s="22"/>
      <c r="AE6" s="22"/>
      <c r="AF6" s="22"/>
    </row>
    <row r="7" spans="1:32" ht="15.75" thickBot="1">
      <c r="A7" s="30"/>
      <c r="F7" s="30"/>
      <c r="N7" s="22"/>
      <c r="P7" s="30"/>
      <c r="V7" s="22"/>
      <c r="X7" s="30"/>
      <c r="AD7" s="22"/>
      <c r="AE7" s="22"/>
      <c r="AF7" s="22"/>
    </row>
    <row r="8" spans="1:32">
      <c r="A8" s="30"/>
      <c r="B8" s="50" t="s">
        <v>556</v>
      </c>
      <c r="C8" s="21">
        <f>0.65*125</f>
        <v>81.25</v>
      </c>
      <c r="D8" s="7" t="s">
        <v>224</v>
      </c>
      <c r="F8" s="30"/>
      <c r="N8" s="22"/>
      <c r="P8" s="30"/>
      <c r="V8" s="22"/>
      <c r="X8" s="30"/>
      <c r="AD8" s="22"/>
      <c r="AE8" s="22"/>
      <c r="AF8" s="22"/>
    </row>
    <row r="9" spans="1:32">
      <c r="A9" s="30"/>
      <c r="B9" s="51"/>
      <c r="D9" s="22"/>
      <c r="F9" s="30"/>
      <c r="N9" s="22"/>
      <c r="P9" s="30"/>
      <c r="V9" s="22"/>
      <c r="X9" s="30"/>
      <c r="AD9" s="22"/>
      <c r="AE9" s="22"/>
      <c r="AF9" s="22"/>
    </row>
    <row r="10" spans="1:32">
      <c r="A10" s="30"/>
      <c r="B10" s="52" t="s">
        <v>230</v>
      </c>
      <c r="C10" s="43">
        <f>83.3*'ABS Presiones de diseño'!B18*(paneles!C4/1000)*(paneles!C5/1000)^2/internos!C8</f>
        <v>10.378839591346155</v>
      </c>
      <c r="D10" s="44" t="s">
        <v>396</v>
      </c>
      <c r="F10" s="30"/>
      <c r="N10" s="22"/>
      <c r="P10" s="30"/>
      <c r="V10" s="22"/>
      <c r="X10" s="30"/>
      <c r="AD10" s="22"/>
      <c r="AE10" s="22"/>
      <c r="AF10" s="22"/>
    </row>
    <row r="11" spans="1:32">
      <c r="A11" s="30"/>
      <c r="B11" s="51" t="s">
        <v>370</v>
      </c>
      <c r="C11">
        <v>69000</v>
      </c>
      <c r="D11" s="22" t="s">
        <v>377</v>
      </c>
      <c r="F11" s="30"/>
      <c r="N11" s="22"/>
      <c r="P11" s="30"/>
      <c r="V11" s="22"/>
      <c r="X11" s="30"/>
      <c r="AD11" s="22"/>
      <c r="AE11" s="22"/>
      <c r="AF11" s="22"/>
    </row>
    <row r="12" spans="1:32">
      <c r="A12" s="30"/>
      <c r="B12" s="51" t="s">
        <v>557</v>
      </c>
      <c r="C12">
        <v>2.0999999999999999E-3</v>
      </c>
      <c r="D12" s="22"/>
      <c r="F12" s="30"/>
      <c r="N12" s="22"/>
      <c r="P12" s="30"/>
      <c r="V12" s="22"/>
      <c r="X12" s="30"/>
      <c r="AD12" s="22"/>
      <c r="AE12" s="22"/>
      <c r="AF12" s="22"/>
    </row>
    <row r="13" spans="1:32" ht="15.75" thickBot="1">
      <c r="A13" s="30"/>
      <c r="B13" s="53" t="s">
        <v>88</v>
      </c>
      <c r="C13" s="45">
        <f>260*'ABS Presiones de diseño'!B18*(paneles!C4/1000)*(paneles!C5/1000)^3/(C12*C11)</f>
        <v>13.623647369953423</v>
      </c>
      <c r="D13" s="46" t="s">
        <v>431</v>
      </c>
      <c r="F13" s="30"/>
      <c r="N13" s="22"/>
      <c r="P13" s="30"/>
      <c r="V13" s="22"/>
      <c r="X13" s="30"/>
      <c r="AD13" s="22"/>
      <c r="AE13" s="22"/>
      <c r="AF13" s="22"/>
    </row>
    <row r="14" spans="1:32">
      <c r="A14" s="30"/>
      <c r="B14" s="62" t="s">
        <v>326</v>
      </c>
      <c r="C14" s="32">
        <f>M37/C10</f>
        <v>1.3022337290263593</v>
      </c>
      <c r="F14" s="30"/>
      <c r="N14" s="22"/>
      <c r="P14" s="30"/>
      <c r="V14" s="22"/>
      <c r="X14" s="30"/>
      <c r="AD14" s="22"/>
      <c r="AE14" s="22"/>
      <c r="AF14" s="22"/>
    </row>
    <row r="15" spans="1:32">
      <c r="A15" s="30"/>
      <c r="F15" s="30"/>
      <c r="N15" s="22"/>
      <c r="P15" s="30"/>
      <c r="V15" s="22"/>
      <c r="X15" s="30"/>
      <c r="AD15" s="22"/>
      <c r="AE15" s="22"/>
      <c r="AF15" s="22"/>
    </row>
    <row r="16" spans="1:32" ht="15.75" thickBot="1">
      <c r="A16" s="30"/>
      <c r="F16" s="30"/>
      <c r="N16" s="22"/>
      <c r="P16" s="30"/>
      <c r="V16" s="22"/>
      <c r="X16" s="30"/>
      <c r="AD16" s="22"/>
      <c r="AE16" s="22"/>
      <c r="AF16" s="22"/>
    </row>
    <row r="17" spans="1:42" ht="15.75" thickBot="1">
      <c r="A17" s="30"/>
      <c r="B17" s="47" t="s">
        <v>558</v>
      </c>
      <c r="C17" s="48"/>
      <c r="D17" s="49"/>
      <c r="F17" s="30"/>
      <c r="N17" s="22"/>
      <c r="P17" s="30"/>
      <c r="V17" s="22"/>
      <c r="X17" s="30"/>
      <c r="AD17" s="22"/>
      <c r="AE17" s="22"/>
      <c r="AF17" s="22"/>
    </row>
    <row r="18" spans="1:42">
      <c r="A18" s="30"/>
      <c r="F18" s="30"/>
      <c r="N18" s="22"/>
      <c r="P18" s="30"/>
      <c r="V18" s="22"/>
      <c r="X18" s="30"/>
      <c r="AD18" s="22"/>
      <c r="AE18" s="22"/>
      <c r="AF18" s="22"/>
    </row>
    <row r="19" spans="1:42" ht="15.75" thickBot="1">
      <c r="A19" s="30"/>
      <c r="F19" s="30"/>
      <c r="N19" s="22"/>
      <c r="P19" s="30"/>
      <c r="V19" s="22"/>
      <c r="X19" s="30"/>
      <c r="AD19" s="22"/>
      <c r="AE19" s="22"/>
      <c r="AF19" s="22"/>
    </row>
    <row r="20" spans="1:42">
      <c r="A20" s="30"/>
      <c r="B20" s="50" t="s">
        <v>556</v>
      </c>
      <c r="C20" s="21">
        <f>0.6*125</f>
        <v>75</v>
      </c>
      <c r="D20" s="7" t="s">
        <v>224</v>
      </c>
      <c r="F20" s="30"/>
      <c r="N20" s="22"/>
      <c r="P20" s="30"/>
      <c r="V20" s="22"/>
      <c r="X20" s="30"/>
      <c r="AD20" s="22"/>
      <c r="AE20" s="22"/>
      <c r="AF20" s="22"/>
      <c r="AO20" s="32">
        <f>AO30</f>
        <v>10.7</v>
      </c>
    </row>
    <row r="21" spans="1:42">
      <c r="A21" s="30"/>
      <c r="B21" s="51"/>
      <c r="D21" s="22"/>
      <c r="F21" s="30"/>
      <c r="N21" s="22"/>
      <c r="P21" s="30"/>
      <c r="V21" s="22"/>
      <c r="X21" s="30"/>
      <c r="AD21" s="22"/>
      <c r="AE21" s="22"/>
      <c r="AF21" s="22"/>
    </row>
    <row r="22" spans="1:42">
      <c r="A22" s="30"/>
      <c r="B22" s="52" t="s">
        <v>230</v>
      </c>
      <c r="C22" s="43">
        <f>83.3*'ABS Presiones de diseño'!B27*(paneles!C35/1000)*(paneles!C5/1000)^2/internos!C20</f>
        <v>2.8830109975961551</v>
      </c>
      <c r="D22" s="44" t="s">
        <v>396</v>
      </c>
      <c r="F22" s="30"/>
      <c r="N22" s="22"/>
      <c r="P22" s="30"/>
      <c r="V22" s="22"/>
      <c r="X22" s="30"/>
      <c r="AD22" s="22"/>
      <c r="AE22" s="22"/>
      <c r="AF22" s="22"/>
    </row>
    <row r="23" spans="1:42" ht="15.75" thickBot="1">
      <c r="A23" s="30"/>
      <c r="B23" s="51" t="s">
        <v>370</v>
      </c>
      <c r="C23">
        <f>C11</f>
        <v>69000</v>
      </c>
      <c r="D23" s="22" t="s">
        <v>377</v>
      </c>
      <c r="F23" s="30"/>
      <c r="N23" s="22"/>
      <c r="P23" s="28"/>
      <c r="Q23" s="23"/>
      <c r="R23" s="23"/>
      <c r="S23" s="23"/>
      <c r="T23" s="23"/>
      <c r="U23" s="23"/>
      <c r="V23" s="24"/>
      <c r="X23" s="28"/>
      <c r="Y23" s="23"/>
      <c r="Z23" s="23"/>
      <c r="AA23" s="23"/>
      <c r="AB23" s="23"/>
      <c r="AC23" s="23"/>
      <c r="AD23" s="24"/>
      <c r="AE23" s="24"/>
      <c r="AF23" s="22"/>
    </row>
    <row r="24" spans="1:42" ht="15.75" thickBot="1">
      <c r="A24" s="30"/>
      <c r="B24" s="51" t="s">
        <v>557</v>
      </c>
      <c r="C24">
        <f>C12</f>
        <v>2.0999999999999999E-3</v>
      </c>
      <c r="D24" s="22"/>
      <c r="F24" s="28"/>
      <c r="G24" s="23"/>
      <c r="H24" s="23"/>
      <c r="I24" s="23"/>
      <c r="J24" s="23"/>
      <c r="K24" s="23"/>
      <c r="L24" s="23"/>
      <c r="M24" s="23"/>
      <c r="N24" s="24"/>
      <c r="AF24" s="22"/>
    </row>
    <row r="25" spans="1:42" ht="15.75" thickBot="1">
      <c r="A25" s="30"/>
      <c r="B25" s="53" t="s">
        <v>88</v>
      </c>
      <c r="C25" s="45">
        <f>(260*'ABS Presiones de diseño'!B27*(paneles!C4/1000)*(paneles!C5/1000)^3/(internos!C23*internos!C24))</f>
        <v>3.1439186238354053</v>
      </c>
      <c r="D25" s="46" t="s">
        <v>431</v>
      </c>
      <c r="F25" s="656" t="s">
        <v>559</v>
      </c>
      <c r="G25" s="657"/>
      <c r="H25" s="657"/>
      <c r="I25" s="657"/>
      <c r="J25" s="657"/>
      <c r="K25" s="657"/>
      <c r="L25" s="657"/>
      <c r="M25" s="657"/>
      <c r="N25" s="658"/>
      <c r="AF25" s="22"/>
    </row>
    <row r="26" spans="1:42">
      <c r="A26" s="30"/>
      <c r="B26" s="51" t="s">
        <v>397</v>
      </c>
      <c r="C26" s="61">
        <f>M69/C22</f>
        <v>1.1069180219090224</v>
      </c>
      <c r="AF26" s="22"/>
      <c r="AG26" t="s">
        <v>560</v>
      </c>
      <c r="AH26" t="s">
        <v>561</v>
      </c>
      <c r="AI26">
        <v>60</v>
      </c>
    </row>
    <row r="27" spans="1:42">
      <c r="A27" s="30"/>
      <c r="AF27" s="22"/>
      <c r="AH27" t="s">
        <v>562</v>
      </c>
      <c r="AI27">
        <v>20</v>
      </c>
    </row>
    <row r="28" spans="1:42" ht="15.75" thickBot="1">
      <c r="A28" s="30"/>
      <c r="M28" s="98"/>
      <c r="AF28" s="22"/>
      <c r="AH28" t="s">
        <v>563</v>
      </c>
      <c r="AI28">
        <v>5</v>
      </c>
    </row>
    <row r="29" spans="1:42" ht="15.75" thickBot="1">
      <c r="A29" s="30"/>
      <c r="B29" s="47" t="s">
        <v>564</v>
      </c>
      <c r="C29" s="41"/>
      <c r="D29" s="42"/>
      <c r="AF29" s="22"/>
      <c r="AH29" t="s">
        <v>474</v>
      </c>
      <c r="AI29" t="s">
        <v>424</v>
      </c>
      <c r="AJ29" t="s">
        <v>565</v>
      </c>
      <c r="AK29" t="s">
        <v>127</v>
      </c>
      <c r="AL29" t="s">
        <v>566</v>
      </c>
      <c r="AM29" t="s">
        <v>88</v>
      </c>
    </row>
    <row r="30" spans="1:42" ht="15.75" thickBot="1">
      <c r="A30" s="30"/>
      <c r="AF30" s="22"/>
      <c r="AG30" t="s">
        <v>567</v>
      </c>
      <c r="AH30">
        <v>250</v>
      </c>
      <c r="AI30">
        <v>6</v>
      </c>
      <c r="AJ30">
        <f>AI30*AH30</f>
        <v>1500</v>
      </c>
      <c r="AK30">
        <f>AI30/2</f>
        <v>3</v>
      </c>
      <c r="AL30">
        <f>AJ30*AK30</f>
        <v>4500</v>
      </c>
      <c r="AM30">
        <f>(1/12)*AH30*AI30^3+AJ30*(AO20-AK30)^2</f>
        <v>93434.999999999985</v>
      </c>
      <c r="AO30" s="32">
        <f>SUM(AL30:AL32)/SUM(AJ30:AJ32)</f>
        <v>10.7</v>
      </c>
    </row>
    <row r="31" spans="1:42" ht="15.75" thickBot="1">
      <c r="A31" s="30"/>
      <c r="L31" s="75"/>
      <c r="M31" s="37"/>
      <c r="N31" s="38"/>
      <c r="P31" s="656" t="s">
        <v>568</v>
      </c>
      <c r="Q31" s="657"/>
      <c r="R31" s="657"/>
      <c r="S31" s="657"/>
      <c r="T31" s="657"/>
      <c r="U31" s="657"/>
      <c r="V31" s="658"/>
      <c r="AF31" s="22"/>
      <c r="AG31" t="s">
        <v>569</v>
      </c>
      <c r="AH31">
        <f>AI28</f>
        <v>5</v>
      </c>
      <c r="AI31">
        <f>AI26-AI28</f>
        <v>55</v>
      </c>
      <c r="AJ31">
        <f>AI31*AH31</f>
        <v>275</v>
      </c>
      <c r="AK31">
        <f>AI30+(AI31/2)</f>
        <v>33.5</v>
      </c>
      <c r="AL31">
        <f>AJ31*AK31</f>
        <v>9212.5</v>
      </c>
      <c r="AM31">
        <f>(1/12)*AH31*AI31^3+AJ31*(AK31-AO20)^2</f>
        <v>212278.91666666666</v>
      </c>
    </row>
    <row r="32" spans="1:42" ht="15.75" thickBot="1">
      <c r="A32" s="30"/>
      <c r="B32" s="50" t="s">
        <v>556</v>
      </c>
      <c r="C32" s="21">
        <f>133*0.75</f>
        <v>99.75</v>
      </c>
      <c r="D32" s="7" t="s">
        <v>224</v>
      </c>
      <c r="L32" s="711" t="s">
        <v>570</v>
      </c>
      <c r="M32" s="712"/>
      <c r="N32" s="713"/>
      <c r="P32" s="411"/>
      <c r="Q32" s="349" t="s">
        <v>474</v>
      </c>
      <c r="R32" s="349" t="s">
        <v>424</v>
      </c>
      <c r="S32" s="349" t="s">
        <v>565</v>
      </c>
      <c r="T32" s="349" t="s">
        <v>127</v>
      </c>
      <c r="U32" s="349" t="s">
        <v>566</v>
      </c>
      <c r="V32" s="412" t="s">
        <v>88</v>
      </c>
      <c r="AF32" s="22"/>
      <c r="AG32" t="s">
        <v>473</v>
      </c>
      <c r="AH32">
        <f>AI27</f>
        <v>20</v>
      </c>
      <c r="AI32">
        <v>5</v>
      </c>
      <c r="AJ32">
        <f>AI32*AH32</f>
        <v>100</v>
      </c>
      <c r="AK32">
        <f>AI30+AI31+(AI32/2)</f>
        <v>63.5</v>
      </c>
      <c r="AL32">
        <f>AJ32*AK32</f>
        <v>6350</v>
      </c>
      <c r="AM32">
        <f>(1/12)*AH32*AI32^3+AJ32*(AK32-AO20)^2</f>
        <v>278992.33333333326</v>
      </c>
      <c r="AO32" t="s">
        <v>571</v>
      </c>
      <c r="AP32" s="32">
        <f>AI26-AO30</f>
        <v>49.3</v>
      </c>
    </row>
    <row r="33" spans="1:39" ht="15.75" thickBot="1">
      <c r="A33" s="30"/>
      <c r="B33" s="51" t="s">
        <v>572</v>
      </c>
      <c r="C33" s="85">
        <v>1000</v>
      </c>
      <c r="D33" s="22" t="s">
        <v>41</v>
      </c>
      <c r="L33" s="30"/>
      <c r="N33" s="22"/>
      <c r="P33" s="68" t="s">
        <v>567</v>
      </c>
      <c r="Q33" s="84">
        <v>250</v>
      </c>
      <c r="R33" s="84">
        <v>6</v>
      </c>
      <c r="S33" s="8">
        <f>R33*Q33</f>
        <v>1500</v>
      </c>
      <c r="T33" s="8">
        <f>R33/2</f>
        <v>3</v>
      </c>
      <c r="U33" s="8">
        <f>S33*T33</f>
        <v>4500</v>
      </c>
      <c r="V33" s="64">
        <f>((1/12)*Q33*R33^3+S33*(U36-T33)^2)/10000</f>
        <v>13.391880114783719</v>
      </c>
      <c r="AF33" s="22"/>
    </row>
    <row r="34" spans="1:39">
      <c r="A34" s="30"/>
      <c r="B34" s="52" t="s">
        <v>230</v>
      </c>
      <c r="C34" s="43">
        <f>83.3*'ABS Presiones de diseño'!B40*(paneles!C5/1000)*(C33/1000)^2/internos!C32</f>
        <v>3.1315789473684212</v>
      </c>
      <c r="D34" s="44" t="s">
        <v>573</v>
      </c>
      <c r="L34" s="700" t="s">
        <v>574</v>
      </c>
      <c r="M34" s="74" t="s">
        <v>575</v>
      </c>
      <c r="N34" s="80">
        <v>5</v>
      </c>
      <c r="P34" s="68" t="s">
        <v>569</v>
      </c>
      <c r="Q34" s="84">
        <f>N34</f>
        <v>5</v>
      </c>
      <c r="R34" s="84">
        <v>50</v>
      </c>
      <c r="S34" s="8">
        <f>R34*Q34</f>
        <v>250</v>
      </c>
      <c r="T34" s="8">
        <f>R33+(R34/2)</f>
        <v>31</v>
      </c>
      <c r="U34" s="8">
        <f>S34*T34</f>
        <v>7750</v>
      </c>
      <c r="V34" s="64">
        <f>((1/12)*Q34*R34^3+S34*(T34-U36)^2)/10000</f>
        <v>13.961189641123749</v>
      </c>
      <c r="AF34" s="22"/>
      <c r="AM34">
        <f>SUM(AM30:AM32)/10000</f>
        <v>58.470624999999991</v>
      </c>
    </row>
    <row r="35" spans="1:39" ht="15.75" thickBot="1">
      <c r="A35" s="30"/>
      <c r="B35" s="51" t="s">
        <v>370</v>
      </c>
      <c r="C35">
        <f>C11</f>
        <v>69000</v>
      </c>
      <c r="D35" s="22" t="str">
        <f>D11</f>
        <v>N/mm^2</v>
      </c>
      <c r="L35" s="701"/>
      <c r="M35" s="71" t="s">
        <v>576</v>
      </c>
      <c r="N35" s="81">
        <v>60</v>
      </c>
      <c r="P35" s="68" t="s">
        <v>577</v>
      </c>
      <c r="Q35" s="8">
        <v>19</v>
      </c>
      <c r="R35" s="8">
        <v>10</v>
      </c>
      <c r="S35" s="8">
        <f>R35*Q35</f>
        <v>190</v>
      </c>
      <c r="T35" s="8">
        <f>R33+R34+(R35/2)</f>
        <v>61</v>
      </c>
      <c r="U35" s="8">
        <f>S35*T35</f>
        <v>11590</v>
      </c>
      <c r="V35" s="64">
        <f>((1/12)*Q35*R35^3+S35*(T35-U36)^2)/10000</f>
        <v>45.241431962305597</v>
      </c>
      <c r="AF35" s="22"/>
      <c r="AM35">
        <f>AM34/(AP32/10)</f>
        <v>11.860167342799187</v>
      </c>
    </row>
    <row r="36" spans="1:39">
      <c r="A36" s="30"/>
      <c r="B36" s="51" t="s">
        <v>557</v>
      </c>
      <c r="C36">
        <v>2.0999999999999999E-3</v>
      </c>
      <c r="D36" s="22"/>
      <c r="L36" s="30" t="s">
        <v>350</v>
      </c>
      <c r="M36" s="61">
        <f>SUM(V33:V35)</f>
        <v>72.594501718213067</v>
      </c>
      <c r="N36" s="22" t="s">
        <v>431</v>
      </c>
      <c r="P36" s="413"/>
      <c r="T36" s="332" t="s">
        <v>578</v>
      </c>
      <c r="U36" s="61">
        <f>SUM(U33:U35)/(SUM(S33:S35))</f>
        <v>12.288659793814434</v>
      </c>
      <c r="V36" s="22"/>
      <c r="AF36" s="22"/>
    </row>
    <row r="37" spans="1:39" ht="15.75" thickBot="1">
      <c r="A37" s="30"/>
      <c r="B37" s="53" t="s">
        <v>88</v>
      </c>
      <c r="C37" s="45">
        <f>(260*'ABS Presiones de diseño'!B40*(paneles!C5/1000)*(C33/1000)^3/(internos!C36*internos!C35))</f>
        <v>6.7287784679089038</v>
      </c>
      <c r="D37" s="46" t="s">
        <v>431</v>
      </c>
      <c r="L37" s="28" t="s">
        <v>230</v>
      </c>
      <c r="M37" s="29">
        <f>M36/((SUM(R33:R35)-U36)/10)</f>
        <v>13.515674984005118</v>
      </c>
      <c r="N37" s="24" t="s">
        <v>396</v>
      </c>
      <c r="P37" s="30"/>
      <c r="V37" s="22"/>
      <c r="AF37" s="22"/>
    </row>
    <row r="38" spans="1:39" ht="15.75" thickBot="1">
      <c r="A38" s="30"/>
      <c r="B38" s="51" t="s">
        <v>397</v>
      </c>
      <c r="C38" s="32">
        <f>M63/C34</f>
        <v>1.3633391757311442</v>
      </c>
      <c r="L38" s="30"/>
      <c r="N38" s="22"/>
      <c r="P38" s="30"/>
      <c r="V38" s="22"/>
      <c r="AF38" s="22"/>
    </row>
    <row r="39" spans="1:39" ht="15.75" thickBot="1">
      <c r="A39" s="30"/>
      <c r="L39" s="702" t="s">
        <v>579</v>
      </c>
      <c r="M39" s="74" t="s">
        <v>575</v>
      </c>
      <c r="N39" s="80">
        <v>4</v>
      </c>
      <c r="P39" s="656" t="s">
        <v>580</v>
      </c>
      <c r="Q39" s="657"/>
      <c r="R39" s="657"/>
      <c r="S39" s="657"/>
      <c r="T39" s="657"/>
      <c r="U39" s="658"/>
      <c r="V39" s="22"/>
      <c r="AF39" s="22"/>
    </row>
    <row r="40" spans="1:39" ht="15.6" customHeight="1" thickBot="1">
      <c r="A40" s="30"/>
      <c r="L40" s="703"/>
      <c r="M40" s="71" t="s">
        <v>576</v>
      </c>
      <c r="N40" s="81">
        <v>100</v>
      </c>
      <c r="P40" s="65"/>
      <c r="Q40" s="67" t="s">
        <v>581</v>
      </c>
      <c r="R40" s="67" t="s">
        <v>582</v>
      </c>
      <c r="S40" s="37"/>
      <c r="T40" s="66" t="s">
        <v>230</v>
      </c>
      <c r="U40" s="331">
        <f>(U42+U43)/((Q42-U41)/10)</f>
        <v>3.1912568306010933</v>
      </c>
      <c r="V40" s="22"/>
      <c r="AF40" s="22"/>
    </row>
    <row r="41" spans="1:39" ht="15.75" thickBot="1">
      <c r="A41" s="30"/>
      <c r="B41" s="47" t="s">
        <v>583</v>
      </c>
      <c r="C41" s="41"/>
      <c r="D41" s="42"/>
      <c r="L41" s="30" t="s">
        <v>350</v>
      </c>
      <c r="M41" s="61">
        <f>AI86</f>
        <v>122.48859649122809</v>
      </c>
      <c r="N41" s="22" t="s">
        <v>431</v>
      </c>
      <c r="P41" s="68" t="s">
        <v>584</v>
      </c>
      <c r="Q41" s="84">
        <v>5</v>
      </c>
      <c r="R41" s="84">
        <f>IF(60*Q41&lt;500,60*Q41,250)</f>
        <v>300</v>
      </c>
      <c r="T41" s="70" t="s">
        <v>578</v>
      </c>
      <c r="U41" s="64">
        <f>((R42+Q42/2)*Q43+(R42/2)*R43)/(Q43+R43)</f>
        <v>5.1428571428571432</v>
      </c>
      <c r="V41" s="414"/>
      <c r="AF41" s="22"/>
      <c r="AG41" t="s">
        <v>585</v>
      </c>
      <c r="AH41" t="s">
        <v>561</v>
      </c>
      <c r="AI41">
        <v>60</v>
      </c>
    </row>
    <row r="42" spans="1:39" ht="15.75" thickBot="1">
      <c r="A42" s="30"/>
      <c r="L42" s="28" t="s">
        <v>230</v>
      </c>
      <c r="M42" s="31">
        <f>AI87</f>
        <v>13.336867239732571</v>
      </c>
      <c r="N42" s="24" t="s">
        <v>396</v>
      </c>
      <c r="P42" s="68" t="s">
        <v>576</v>
      </c>
      <c r="Q42" s="84">
        <v>40</v>
      </c>
      <c r="R42" s="84">
        <v>4</v>
      </c>
      <c r="T42" s="70" t="s">
        <v>586</v>
      </c>
      <c r="U42" s="304">
        <f>((1/12)*Q41*Q42^3+Q43*((R42+Q42/2)-U41)^2)/10000</f>
        <v>9.7785034013605436</v>
      </c>
      <c r="V42" s="22"/>
      <c r="AF42" s="22"/>
      <c r="AH42" t="s">
        <v>562</v>
      </c>
      <c r="AI42">
        <v>19</v>
      </c>
    </row>
    <row r="43" spans="1:39" ht="15.75" thickBot="1">
      <c r="A43" s="30"/>
      <c r="L43" s="30"/>
      <c r="N43" s="22"/>
      <c r="P43" s="69" t="s">
        <v>587</v>
      </c>
      <c r="Q43" s="14">
        <f>Q42*Q41</f>
        <v>200</v>
      </c>
      <c r="R43" s="14">
        <f>R41*R42</f>
        <v>1200</v>
      </c>
      <c r="S43" s="23"/>
      <c r="T43" s="71" t="s">
        <v>588</v>
      </c>
      <c r="U43" s="305">
        <f>((1/12)*R41*R42^3+R43*((R42/2)-U41)^2)/10000</f>
        <v>1.34530612244898</v>
      </c>
      <c r="V43" s="22"/>
      <c r="AF43" s="22"/>
      <c r="AH43" t="s">
        <v>563</v>
      </c>
      <c r="AI43">
        <v>5</v>
      </c>
    </row>
    <row r="44" spans="1:39">
      <c r="A44" s="30"/>
      <c r="B44" s="50" t="s">
        <v>556</v>
      </c>
      <c r="C44" s="21">
        <f>0.65*125</f>
        <v>81.25</v>
      </c>
      <c r="D44" s="7" t="s">
        <v>224</v>
      </c>
      <c r="L44" s="704" t="s">
        <v>589</v>
      </c>
      <c r="M44" s="74" t="s">
        <v>575</v>
      </c>
      <c r="N44" s="80">
        <v>12</v>
      </c>
      <c r="P44" s="30"/>
      <c r="V44" s="22"/>
      <c r="AF44" s="22"/>
      <c r="AH44" t="s">
        <v>474</v>
      </c>
      <c r="AI44" t="s">
        <v>424</v>
      </c>
      <c r="AJ44" t="s">
        <v>565</v>
      </c>
      <c r="AK44" t="s">
        <v>127</v>
      </c>
      <c r="AL44" t="s">
        <v>566</v>
      </c>
      <c r="AM44" t="s">
        <v>88</v>
      </c>
    </row>
    <row r="45" spans="1:39" ht="15.75" thickBot="1">
      <c r="A45" s="30"/>
      <c r="B45" s="51"/>
      <c r="D45" s="22"/>
      <c r="L45" s="705"/>
      <c r="M45" s="71" t="s">
        <v>576</v>
      </c>
      <c r="N45" s="81">
        <v>80</v>
      </c>
      <c r="P45" s="30"/>
      <c r="V45" s="22"/>
      <c r="AF45" s="22"/>
      <c r="AG45" t="s">
        <v>567</v>
      </c>
      <c r="AH45">
        <v>250</v>
      </c>
      <c r="AI45">
        <v>6</v>
      </c>
      <c r="AJ45">
        <f>AI45*AH45</f>
        <v>1500</v>
      </c>
      <c r="AK45">
        <f>AI45/2</f>
        <v>3</v>
      </c>
      <c r="AL45">
        <f>AJ45*AK45</f>
        <v>4500</v>
      </c>
      <c r="AM45">
        <f>(1/12)*AH45*AI45^3+AJ45*(AL49-AK45)^2</f>
        <v>133918.80114783719</v>
      </c>
    </row>
    <row r="46" spans="1:39">
      <c r="A46" s="30"/>
      <c r="B46" s="52" t="s">
        <v>230</v>
      </c>
      <c r="C46" s="135">
        <f>83.3*'ABS Presiones de diseño'!B18*(paneles!C4/1000)*(paneles!C5/1000)^2/internos!C44</f>
        <v>10.378839591346155</v>
      </c>
      <c r="D46" s="44" t="s">
        <v>573</v>
      </c>
      <c r="L46" s="30" t="s">
        <v>350</v>
      </c>
      <c r="M46" s="61">
        <f>AI100</f>
        <v>347.98170731707319</v>
      </c>
      <c r="N46" s="22" t="s">
        <v>431</v>
      </c>
      <c r="P46" s="30"/>
      <c r="V46" s="22"/>
      <c r="AF46" s="22"/>
      <c r="AG46" t="s">
        <v>569</v>
      </c>
      <c r="AH46">
        <f>AI43</f>
        <v>5</v>
      </c>
      <c r="AI46">
        <f>AI41-AI47</f>
        <v>50</v>
      </c>
      <c r="AJ46">
        <f>AI46*AH46</f>
        <v>250</v>
      </c>
      <c r="AK46">
        <f>AI45+(AI46/2)</f>
        <v>31</v>
      </c>
      <c r="AL46">
        <f>AJ46*AK46</f>
        <v>7750</v>
      </c>
      <c r="AM46">
        <f>(1/12)*AH46*AI46^3+AJ46*(AK46-AL49)^2</f>
        <v>139611.89641123748</v>
      </c>
    </row>
    <row r="47" spans="1:39" ht="15.75" thickBot="1">
      <c r="A47" s="30"/>
      <c r="B47" s="51" t="s">
        <v>370</v>
      </c>
      <c r="C47">
        <f>C35</f>
        <v>69000</v>
      </c>
      <c r="D47" s="22" t="str">
        <f>D23</f>
        <v>N/mm^2</v>
      </c>
      <c r="L47" s="28" t="s">
        <v>230</v>
      </c>
      <c r="M47" s="29">
        <f>AI101</f>
        <v>35.358736059479561</v>
      </c>
      <c r="N47" s="24" t="s">
        <v>396</v>
      </c>
      <c r="P47" s="30"/>
      <c r="V47" s="22"/>
      <c r="AF47" s="22"/>
      <c r="AG47" t="s">
        <v>473</v>
      </c>
      <c r="AH47">
        <f>AI42</f>
        <v>19</v>
      </c>
      <c r="AI47">
        <v>10</v>
      </c>
      <c r="AJ47">
        <f>AI47*AH47</f>
        <v>190</v>
      </c>
      <c r="AK47">
        <f>AI45+AI46+(AI47/2)</f>
        <v>61</v>
      </c>
      <c r="AL47">
        <f>AJ47*AK47</f>
        <v>11590</v>
      </c>
      <c r="AM47">
        <f>(1/12)*AH47*AI47^3+AJ47*(AK47-AL49)^2</f>
        <v>452414.31962305598</v>
      </c>
    </row>
    <row r="48" spans="1:39" ht="15.75" thickBot="1">
      <c r="A48" s="30"/>
      <c r="B48" s="51" t="s">
        <v>557</v>
      </c>
      <c r="C48">
        <v>1.8E-3</v>
      </c>
      <c r="D48" s="22"/>
      <c r="F48" s="710" t="s">
        <v>590</v>
      </c>
      <c r="G48" s="710"/>
      <c r="H48" s="710"/>
      <c r="I48" s="710"/>
      <c r="J48" s="710"/>
      <c r="L48" s="30"/>
      <c r="N48" s="22"/>
      <c r="P48" s="30"/>
      <c r="V48" s="22"/>
      <c r="AF48" s="22"/>
    </row>
    <row r="49" spans="1:39" ht="15.75" thickBot="1">
      <c r="A49" s="30"/>
      <c r="B49" s="53" t="s">
        <v>88</v>
      </c>
      <c r="C49" s="45">
        <f>260*'ABS Presiones de diseño'!B18*(paneles!C4/1000)*(paneles!C5/1000)^3/(C48*C47)</f>
        <v>15.894255264945656</v>
      </c>
      <c r="D49" s="46" t="s">
        <v>431</v>
      </c>
      <c r="L49" s="30"/>
      <c r="N49" s="22"/>
      <c r="P49" s="656" t="s">
        <v>591</v>
      </c>
      <c r="Q49" s="657"/>
      <c r="R49" s="657"/>
      <c r="S49" s="657"/>
      <c r="T49" s="657"/>
      <c r="U49" s="658"/>
      <c r="V49" s="22"/>
      <c r="AF49" s="22"/>
      <c r="AL49">
        <f>SUM(AL45:AL47)/SUM(AJ45:AJ47)</f>
        <v>12.288659793814434</v>
      </c>
    </row>
    <row r="50" spans="1:39">
      <c r="A50" s="30"/>
      <c r="B50" s="51" t="s">
        <v>397</v>
      </c>
      <c r="C50" s="32">
        <f>M42/C46</f>
        <v>1.2850056234468457</v>
      </c>
      <c r="L50" s="706" t="s">
        <v>423</v>
      </c>
      <c r="M50" s="21"/>
      <c r="N50" s="7"/>
      <c r="P50" s="65"/>
      <c r="Q50" s="67" t="s">
        <v>569</v>
      </c>
      <c r="R50" s="67" t="s">
        <v>473</v>
      </c>
      <c r="S50" s="37" t="s">
        <v>567</v>
      </c>
      <c r="T50" s="66"/>
      <c r="U50" s="10"/>
      <c r="V50" s="22"/>
      <c r="AF50" s="22"/>
      <c r="AL50">
        <f>AM47+AM46+AM45</f>
        <v>725945.0171821306</v>
      </c>
      <c r="AM50" s="32">
        <f>AL50/10000</f>
        <v>72.594501718213067</v>
      </c>
    </row>
    <row r="51" spans="1:39" ht="15.75" thickBot="1">
      <c r="A51" s="30"/>
      <c r="L51" s="707"/>
      <c r="M51" s="23"/>
      <c r="N51" s="24"/>
      <c r="P51" s="68" t="s">
        <v>584</v>
      </c>
      <c r="Q51" s="84">
        <v>4</v>
      </c>
      <c r="R51" s="84">
        <v>38</v>
      </c>
      <c r="S51" s="84">
        <f>Q51*60</f>
        <v>240</v>
      </c>
      <c r="T51" s="70" t="s">
        <v>578</v>
      </c>
      <c r="U51" s="64">
        <f>SUM(AH52:AH54)/SUM(Q53:S53)</f>
        <v>21.654618473895582</v>
      </c>
      <c r="V51" s="22"/>
      <c r="AF51" s="22"/>
      <c r="AG51" t="s">
        <v>91</v>
      </c>
      <c r="AH51" t="s">
        <v>592</v>
      </c>
      <c r="AI51" t="s">
        <v>88</v>
      </c>
      <c r="AL51">
        <f>AI41-AL49</f>
        <v>47.711340206185568</v>
      </c>
    </row>
    <row r="52" spans="1:39" ht="15.75" thickBot="1">
      <c r="A52" s="30"/>
      <c r="L52" s="30" t="s">
        <v>350</v>
      </c>
      <c r="M52" s="61">
        <f>U52+U53</f>
        <v>244.40503775100404</v>
      </c>
      <c r="N52" s="22" t="s">
        <v>431</v>
      </c>
      <c r="P52" s="68" t="s">
        <v>576</v>
      </c>
      <c r="Q52" s="84">
        <v>100</v>
      </c>
      <c r="R52" s="84">
        <v>4</v>
      </c>
      <c r="S52" s="84">
        <v>6</v>
      </c>
      <c r="T52" s="70" t="s">
        <v>586</v>
      </c>
      <c r="U52" s="304">
        <f>(AI53+AI54)/10000</f>
        <v>193.86178793245273</v>
      </c>
      <c r="V52" s="22"/>
      <c r="AF52" s="22"/>
      <c r="AG52">
        <f>S52/2</f>
        <v>3</v>
      </c>
      <c r="AH52">
        <f>AG52*S53</f>
        <v>4320</v>
      </c>
      <c r="AI52" s="333">
        <f>(1/12)*S51*S52^3+S53*((S52/2)-U51)^2</f>
        <v>505432.49818551313</v>
      </c>
      <c r="AL52">
        <f>AL50/(AL51/10)/10000</f>
        <v>15.215355805243448</v>
      </c>
    </row>
    <row r="53" spans="1:39" ht="15.75" thickBot="1">
      <c r="A53" s="30"/>
      <c r="B53" s="47" t="s">
        <v>593</v>
      </c>
      <c r="C53" s="41"/>
      <c r="D53" s="42"/>
      <c r="L53" s="28" t="s">
        <v>230</v>
      </c>
      <c r="M53" s="63">
        <f>M52/((Q52+R52+S52-U51)/10)</f>
        <v>27.664721520138198</v>
      </c>
      <c r="N53" s="24" t="s">
        <v>396</v>
      </c>
      <c r="P53" s="69" t="s">
        <v>587</v>
      </c>
      <c r="Q53" s="14">
        <f>Q52*Q51</f>
        <v>400</v>
      </c>
      <c r="R53" s="14">
        <f>R51*R52</f>
        <v>152</v>
      </c>
      <c r="S53" s="23">
        <f>S52*S51</f>
        <v>1440</v>
      </c>
      <c r="T53" s="71" t="s">
        <v>588</v>
      </c>
      <c r="U53" s="305">
        <f>AI52/10000</f>
        <v>50.543249818551317</v>
      </c>
      <c r="V53" s="22"/>
      <c r="AF53" s="22"/>
      <c r="AG53">
        <f>S52+Q52/2</f>
        <v>56</v>
      </c>
      <c r="AH53">
        <f>AG53*Q53</f>
        <v>22400</v>
      </c>
      <c r="AI53" s="333">
        <f>(1/12)*Q51*Q52^3+Q53*(AG53-U51)^2</f>
        <v>805175.42620280315</v>
      </c>
    </row>
    <row r="54" spans="1:39" ht="15.75" thickBot="1">
      <c r="A54" s="30"/>
      <c r="L54" s="30"/>
      <c r="N54" s="22"/>
      <c r="P54" s="30"/>
      <c r="V54" s="22"/>
      <c r="AF54" s="22"/>
      <c r="AG54">
        <f>S52+Q52+R52/2</f>
        <v>108</v>
      </c>
      <c r="AH54">
        <f>AG54*R53</f>
        <v>16416</v>
      </c>
      <c r="AI54">
        <f>(1/12)*R51*R52^3+R53*(AG54-U51)^2</f>
        <v>1133442.4531217241</v>
      </c>
    </row>
    <row r="55" spans="1:39" ht="15.75" thickBot="1">
      <c r="A55" s="30"/>
      <c r="L55" s="716" t="s">
        <v>594</v>
      </c>
      <c r="M55" s="21"/>
      <c r="N55" s="7"/>
      <c r="P55" s="65"/>
      <c r="Q55" s="67" t="s">
        <v>569</v>
      </c>
      <c r="R55" s="67" t="s">
        <v>473</v>
      </c>
      <c r="S55" s="37" t="s">
        <v>567</v>
      </c>
      <c r="T55" s="66"/>
      <c r="U55" s="10"/>
      <c r="V55" s="22"/>
      <c r="AF55" s="22"/>
    </row>
    <row r="56" spans="1:39" ht="15.75" thickBot="1">
      <c r="A56" s="30"/>
      <c r="B56" s="50" t="s">
        <v>556</v>
      </c>
      <c r="C56" s="21">
        <f>125*0.8</f>
        <v>100</v>
      </c>
      <c r="D56" s="7" t="s">
        <v>224</v>
      </c>
      <c r="L56" s="717"/>
      <c r="M56" s="23"/>
      <c r="N56" s="24"/>
      <c r="P56" s="68" t="s">
        <v>584</v>
      </c>
      <c r="Q56" s="84">
        <v>4</v>
      </c>
      <c r="R56" s="84">
        <v>38</v>
      </c>
      <c r="S56" s="84">
        <f>Q56*60</f>
        <v>240</v>
      </c>
      <c r="T56" s="70" t="s">
        <v>578</v>
      </c>
      <c r="U56" s="64">
        <f>SUM(AH65:AH67)/SUM(Q58:S58)</f>
        <v>20.30167597765363</v>
      </c>
      <c r="V56" s="22"/>
      <c r="AF56" s="22"/>
      <c r="AI56">
        <f>(AI54+AI53+AI52)/10000</f>
        <v>244.40503775100404</v>
      </c>
    </row>
    <row r="57" spans="1:39">
      <c r="A57" s="30"/>
      <c r="B57" s="51"/>
      <c r="D57" s="22"/>
      <c r="L57" s="30" t="s">
        <v>350</v>
      </c>
      <c r="M57" s="61">
        <f>U57+U58</f>
        <v>132.94910093109871</v>
      </c>
      <c r="N57" s="22" t="s">
        <v>431</v>
      </c>
      <c r="P57" s="68" t="s">
        <v>576</v>
      </c>
      <c r="Q57" s="84">
        <v>80</v>
      </c>
      <c r="R57" s="84">
        <v>4</v>
      </c>
      <c r="S57" s="84">
        <v>4</v>
      </c>
      <c r="T57" s="70" t="s">
        <v>586</v>
      </c>
      <c r="U57" s="64">
        <f>(AI66+AI67)/10000</f>
        <v>100.66577194636041</v>
      </c>
      <c r="V57" s="22"/>
      <c r="AF57" s="22"/>
      <c r="AI57">
        <f>Q52+R52+S52</f>
        <v>110</v>
      </c>
    </row>
    <row r="58" spans="1:39" ht="15.75" thickBot="1">
      <c r="A58" s="30"/>
      <c r="B58" s="52" t="s">
        <v>230</v>
      </c>
      <c r="C58" s="43">
        <f>(83.3*'ABS Presiones de diseño'!B18*(paneles!C5/1000)*(0.5)^2/internos!C56)</f>
        <v>12.493047656250001</v>
      </c>
      <c r="D58" s="44" t="s">
        <v>573</v>
      </c>
      <c r="L58" s="28" t="s">
        <v>230</v>
      </c>
      <c r="M58" s="63">
        <f>M57/((SUM(Q57:S57)-U56)/10)</f>
        <v>19.638462672608245</v>
      </c>
      <c r="N58" s="24" t="s">
        <v>396</v>
      </c>
      <c r="P58" s="69" t="s">
        <v>587</v>
      </c>
      <c r="Q58" s="14">
        <f>Q57*Q56</f>
        <v>320</v>
      </c>
      <c r="R58" s="14">
        <f>R56*R57</f>
        <v>152</v>
      </c>
      <c r="S58" s="23">
        <f>S57*S56</f>
        <v>960</v>
      </c>
      <c r="T58" s="71" t="s">
        <v>588</v>
      </c>
      <c r="U58" s="275">
        <f>AI65/10000</f>
        <v>32.283328984738297</v>
      </c>
      <c r="V58" s="22"/>
      <c r="AF58" s="22"/>
      <c r="AI58" s="32">
        <f>(AI57-U51)/10</f>
        <v>8.8345381526104418</v>
      </c>
    </row>
    <row r="59" spans="1:39" ht="15.75" thickBot="1">
      <c r="A59" s="30"/>
      <c r="B59" s="51" t="s">
        <v>370</v>
      </c>
      <c r="C59">
        <f>C35</f>
        <v>69000</v>
      </c>
      <c r="D59" s="22" t="str">
        <f>D35</f>
        <v>N/mm^2</v>
      </c>
      <c r="L59" s="30"/>
      <c r="N59" s="22"/>
      <c r="P59" s="30"/>
      <c r="V59" s="22"/>
      <c r="AF59" s="22"/>
      <c r="AI59">
        <f>AI56/AI58</f>
        <v>27.664721520138198</v>
      </c>
    </row>
    <row r="60" spans="1:39" ht="15.75" thickBot="1">
      <c r="A60" s="30"/>
      <c r="B60" s="51" t="s">
        <v>557</v>
      </c>
      <c r="C60">
        <v>2.0999999999999999E-3</v>
      </c>
      <c r="D60" s="22"/>
      <c r="L60" s="716" t="s">
        <v>595</v>
      </c>
      <c r="M60" s="72" t="s">
        <v>584</v>
      </c>
      <c r="N60" s="82">
        <v>30</v>
      </c>
      <c r="P60" s="656" t="s">
        <v>596</v>
      </c>
      <c r="Q60" s="657"/>
      <c r="R60" s="657"/>
      <c r="S60" s="657"/>
      <c r="T60" s="657"/>
      <c r="U60" s="657"/>
      <c r="V60" s="658"/>
      <c r="AF60" s="22"/>
    </row>
    <row r="61" spans="1:39" ht="15.75" thickBot="1">
      <c r="A61" s="30"/>
      <c r="B61" s="53" t="s">
        <v>88</v>
      </c>
      <c r="C61" s="45">
        <f>(260*'ABS Presiones de diseño'!B27*(paneles!C5/1000)*(0.5)^3)/(internos!C60*internos!C59)</f>
        <v>3.1051048136645978</v>
      </c>
      <c r="D61" s="46" t="s">
        <v>431</v>
      </c>
      <c r="L61" s="717"/>
      <c r="M61" s="73" t="s">
        <v>575</v>
      </c>
      <c r="N61" s="83">
        <v>4</v>
      </c>
      <c r="P61" s="273"/>
      <c r="Q61" s="66" t="s">
        <v>474</v>
      </c>
      <c r="R61" s="66" t="s">
        <v>424</v>
      </c>
      <c r="S61" s="66" t="s">
        <v>565</v>
      </c>
      <c r="T61" s="67" t="s">
        <v>597</v>
      </c>
      <c r="U61" s="274" t="s">
        <v>598</v>
      </c>
      <c r="V61" s="10" t="s">
        <v>88</v>
      </c>
      <c r="AF61" s="22"/>
    </row>
    <row r="62" spans="1:39">
      <c r="A62" s="30"/>
      <c r="B62" s="51" t="s">
        <v>397</v>
      </c>
      <c r="C62" s="32">
        <f>M53/C58</f>
        <v>2.2144093484105247</v>
      </c>
      <c r="L62" s="30" t="s">
        <v>350</v>
      </c>
      <c r="M62" s="32">
        <f>V65</f>
        <v>11.510714143880207</v>
      </c>
      <c r="N62" s="22" t="s">
        <v>431</v>
      </c>
      <c r="P62" s="68" t="s">
        <v>599</v>
      </c>
      <c r="Q62" s="84">
        <v>30</v>
      </c>
      <c r="R62" s="84">
        <v>4</v>
      </c>
      <c r="S62" s="84">
        <f>Q62*R62</f>
        <v>120</v>
      </c>
      <c r="T62" s="70">
        <f>R64+R63+R62/2</f>
        <v>32</v>
      </c>
      <c r="U62" s="9">
        <f>S62*T62</f>
        <v>3840</v>
      </c>
      <c r="V62" s="64">
        <f>((1/12)*(Q62)*R62^3+S62*(T62-Q66)^2)/10000</f>
        <v>7.4925808105468752</v>
      </c>
      <c r="AF62" s="22"/>
    </row>
    <row r="63" spans="1:39" ht="15.75" thickBot="1">
      <c r="A63" s="30"/>
      <c r="L63" s="28" t="s">
        <v>230</v>
      </c>
      <c r="M63" s="31">
        <f>((M62/(((R64+R63+R62)-Q66)/10)))</f>
        <v>4.2694042608422675</v>
      </c>
      <c r="N63" s="24" t="s">
        <v>396</v>
      </c>
      <c r="P63" s="68" t="s">
        <v>600</v>
      </c>
      <c r="Q63" s="84">
        <f>R62</f>
        <v>4</v>
      </c>
      <c r="R63" s="84">
        <f>Q62-R62</f>
        <v>26</v>
      </c>
      <c r="S63" s="84">
        <f>Q63*R63</f>
        <v>104</v>
      </c>
      <c r="T63" s="70">
        <f>R64+R63/2</f>
        <v>17</v>
      </c>
      <c r="U63" s="9">
        <f>S63*T63</f>
        <v>1768</v>
      </c>
      <c r="V63" s="64">
        <f>((1/12)*(Q63)*R63^3+S63*(T63-Q67)^2)/10000</f>
        <v>3.5914666666666664</v>
      </c>
      <c r="AF63" s="22"/>
    </row>
    <row r="64" spans="1:39" ht="15.75" thickBot="1">
      <c r="A64" s="30"/>
      <c r="L64" s="76"/>
      <c r="M64" s="77"/>
      <c r="N64" s="78"/>
      <c r="P64" s="13" t="s">
        <v>567</v>
      </c>
      <c r="Q64" s="14">
        <v>200</v>
      </c>
      <c r="R64" s="14">
        <v>4</v>
      </c>
      <c r="S64" s="14">
        <f>Q64*R64</f>
        <v>800</v>
      </c>
      <c r="T64" s="71">
        <f>R64/2</f>
        <v>2</v>
      </c>
      <c r="U64" s="19">
        <f>S64*T64</f>
        <v>1600</v>
      </c>
      <c r="V64" s="275">
        <f>((1/12)*(Q64)*R64^3+S64*(T64-Q68)^2)/10000</f>
        <v>0.42666666666666658</v>
      </c>
      <c r="AF64" s="22"/>
      <c r="AG64" t="s">
        <v>91</v>
      </c>
      <c r="AH64" t="s">
        <v>592</v>
      </c>
      <c r="AI64" t="s">
        <v>88</v>
      </c>
    </row>
    <row r="65" spans="1:39" ht="15.75" thickBot="1">
      <c r="A65" s="30"/>
      <c r="B65" s="47" t="s">
        <v>601</v>
      </c>
      <c r="C65" s="41"/>
      <c r="D65" s="42"/>
      <c r="P65" s="30"/>
      <c r="T65" s="271" t="s">
        <v>418</v>
      </c>
      <c r="U65" s="272">
        <f>U62+U63+U64</f>
        <v>7208</v>
      </c>
      <c r="V65" s="415">
        <f>SUM(V62:V64)</f>
        <v>11.510714143880207</v>
      </c>
      <c r="AF65" s="22"/>
      <c r="AG65">
        <f>S57/2</f>
        <v>2</v>
      </c>
      <c r="AH65">
        <f>AG65*S58</f>
        <v>1920</v>
      </c>
      <c r="AI65" s="333">
        <f>(1/12)*S56*S57^3+S58*(U56-AG65)^2</f>
        <v>322833.28984738298</v>
      </c>
    </row>
    <row r="66" spans="1:39">
      <c r="A66" s="30"/>
      <c r="L66" s="714" t="s">
        <v>602</v>
      </c>
      <c r="M66" s="74" t="s">
        <v>575</v>
      </c>
      <c r="N66" s="80">
        <v>5</v>
      </c>
      <c r="P66" s="413" t="s">
        <v>603</v>
      </c>
      <c r="Q66" s="32">
        <f>U65/(S62+S63+S64)</f>
        <v>7.0390625</v>
      </c>
      <c r="V66" s="22"/>
      <c r="AF66" s="22"/>
      <c r="AG66">
        <f>S57+Q57/2</f>
        <v>44</v>
      </c>
      <c r="AH66">
        <f>AG66*Q58</f>
        <v>14080</v>
      </c>
      <c r="AI66" s="333">
        <f>(1/12)*Q56*Q57^3+Q58*(U56-AG66)^2</f>
        <v>350382.04633646476</v>
      </c>
    </row>
    <row r="67" spans="1:39" ht="15.75" thickBot="1">
      <c r="A67" s="30"/>
      <c r="L67" s="715"/>
      <c r="M67" s="71" t="s">
        <v>576</v>
      </c>
      <c r="N67" s="81">
        <v>40</v>
      </c>
      <c r="P67" s="30"/>
      <c r="V67" s="22"/>
      <c r="AF67" s="22"/>
      <c r="AG67">
        <f>S57+Q57+R57/2</f>
        <v>86</v>
      </c>
      <c r="AH67">
        <f>AG67*R58</f>
        <v>13072</v>
      </c>
      <c r="AI67">
        <f>(1/12)*R56*R57^3+R58*(AG67-U56)^2</f>
        <v>656275.67312713922</v>
      </c>
    </row>
    <row r="68" spans="1:39">
      <c r="A68" s="30"/>
      <c r="B68" s="50" t="s">
        <v>556</v>
      </c>
      <c r="C68" s="21">
        <f>125*0.8</f>
        <v>100</v>
      </c>
      <c r="D68" s="7" t="s">
        <v>224</v>
      </c>
      <c r="L68" s="30" t="s">
        <v>350</v>
      </c>
      <c r="M68" s="61">
        <f>U42+U43</f>
        <v>11.123809523809523</v>
      </c>
      <c r="N68" s="22" t="s">
        <v>431</v>
      </c>
      <c r="P68" s="30"/>
      <c r="V68" s="22"/>
      <c r="AF68" s="22"/>
    </row>
    <row r="69" spans="1:39" ht="15.75" thickBot="1">
      <c r="A69" s="30"/>
      <c r="B69" s="51" t="s">
        <v>560</v>
      </c>
      <c r="C69">
        <v>0.75</v>
      </c>
      <c r="D69" s="22" t="s">
        <v>16</v>
      </c>
      <c r="L69" s="28" t="s">
        <v>230</v>
      </c>
      <c r="M69" s="29">
        <f>U40</f>
        <v>3.1912568306010933</v>
      </c>
      <c r="N69" s="24" t="s">
        <v>396</v>
      </c>
      <c r="P69" s="30"/>
      <c r="V69" s="22"/>
      <c r="AF69" s="22"/>
      <c r="AI69">
        <f>(AI67+AI66+AI65)/10000</f>
        <v>132.94910093109871</v>
      </c>
    </row>
    <row r="70" spans="1:39">
      <c r="A70" s="30"/>
      <c r="B70" s="52" t="s">
        <v>230</v>
      </c>
      <c r="C70" s="43">
        <f>(83.3*'ABS Presiones de diseño'!B27*(paneles!C5/1000)*(C69)^2)/(internos!C68)</f>
        <v>6.4867747445913491</v>
      </c>
      <c r="D70" s="44" t="s">
        <v>573</v>
      </c>
      <c r="P70" s="30"/>
      <c r="V70" s="22"/>
      <c r="AF70" s="22"/>
      <c r="AI70">
        <f>Q65+R65+S65</f>
        <v>0</v>
      </c>
    </row>
    <row r="71" spans="1:39">
      <c r="A71" s="30"/>
      <c r="B71" s="51" t="s">
        <v>370</v>
      </c>
      <c r="C71">
        <f>C47</f>
        <v>69000</v>
      </c>
      <c r="D71" s="22" t="str">
        <f>D47</f>
        <v>N/mm^2</v>
      </c>
      <c r="P71" s="30"/>
      <c r="V71" s="22"/>
      <c r="AF71" s="22"/>
      <c r="AI71" s="32">
        <f>(AI70-U64)/10</f>
        <v>-160</v>
      </c>
    </row>
    <row r="72" spans="1:39">
      <c r="A72" s="30"/>
      <c r="B72" s="51" t="s">
        <v>557</v>
      </c>
      <c r="C72">
        <v>2.0999999999999999E-3</v>
      </c>
      <c r="D72" s="22"/>
      <c r="P72" s="30"/>
      <c r="V72" s="22"/>
      <c r="AF72" s="22"/>
      <c r="AI72">
        <f>AI69/AI71</f>
        <v>-0.83093188081936697</v>
      </c>
    </row>
    <row r="73" spans="1:39" ht="15.75" thickBot="1">
      <c r="A73" s="30"/>
      <c r="B73" s="53" t="s">
        <v>88</v>
      </c>
      <c r="C73" s="45">
        <f>(260*'ABS Presiones de diseño'!B27*(paneles!C5/1000)*(0.75)^3)/(internos!C60*internos!C59)</f>
        <v>10.479728746118019</v>
      </c>
      <c r="D73" s="46" t="s">
        <v>431</v>
      </c>
      <c r="P73" s="30"/>
      <c r="V73" s="22"/>
      <c r="AF73" s="22"/>
    </row>
    <row r="74" spans="1:39">
      <c r="A74" s="30"/>
      <c r="B74" s="51" t="s">
        <v>397</v>
      </c>
      <c r="C74" s="32">
        <f>M58/C70</f>
        <v>3.0274617889241076</v>
      </c>
      <c r="P74" s="30"/>
      <c r="V74" s="22"/>
      <c r="AF74" s="22"/>
    </row>
    <row r="75" spans="1:39">
      <c r="A75" s="30"/>
      <c r="P75" s="30"/>
      <c r="V75" s="22"/>
      <c r="AF75" s="22"/>
    </row>
    <row r="76" spans="1:39" ht="15.75" thickBot="1">
      <c r="A76" s="30"/>
      <c r="P76" s="30"/>
      <c r="V76" s="22"/>
      <c r="AF76" s="22"/>
    </row>
    <row r="77" spans="1:39" ht="15.75" thickBot="1">
      <c r="A77" s="30"/>
      <c r="B77" s="403" t="s">
        <v>604</v>
      </c>
      <c r="C77" s="23"/>
      <c r="D77" s="24"/>
      <c r="L77" s="714" t="s">
        <v>605</v>
      </c>
      <c r="M77" s="74" t="s">
        <v>575</v>
      </c>
      <c r="N77" s="80">
        <v>5</v>
      </c>
      <c r="P77" s="656" t="s">
        <v>606</v>
      </c>
      <c r="Q77" s="657"/>
      <c r="R77" s="657"/>
      <c r="S77" s="657"/>
      <c r="T77" s="657"/>
      <c r="U77" s="658"/>
      <c r="V77" s="22"/>
      <c r="AF77" s="22"/>
    </row>
    <row r="78" spans="1:39" ht="15.75" thickBot="1">
      <c r="A78" s="30"/>
      <c r="B78" s="50" t="s">
        <v>556</v>
      </c>
      <c r="C78" s="21">
        <f>125*0.85</f>
        <v>106.25</v>
      </c>
      <c r="D78" s="7" t="s">
        <v>224</v>
      </c>
      <c r="L78" s="715"/>
      <c r="M78" s="71" t="s">
        <v>576</v>
      </c>
      <c r="N78" s="81">
        <v>40</v>
      </c>
      <c r="P78" s="65"/>
      <c r="Q78" s="67" t="s">
        <v>581</v>
      </c>
      <c r="R78" s="67" t="s">
        <v>582</v>
      </c>
      <c r="S78" s="37"/>
      <c r="T78" s="66" t="s">
        <v>230</v>
      </c>
      <c r="U78" s="331">
        <f>(U80+U81)/((Q80-U79)/10)</f>
        <v>3.1650485436893199</v>
      </c>
      <c r="V78" s="22"/>
      <c r="AF78" s="22"/>
      <c r="AG78" t="s">
        <v>607</v>
      </c>
    </row>
    <row r="79" spans="1:39">
      <c r="A79" s="30"/>
      <c r="B79" s="51" t="s">
        <v>560</v>
      </c>
      <c r="C79">
        <v>1</v>
      </c>
      <c r="D79" s="22" t="s">
        <v>16</v>
      </c>
      <c r="L79" s="30" t="s">
        <v>350</v>
      </c>
      <c r="M79" s="61">
        <f>U80+U81</f>
        <v>10.866666666666665</v>
      </c>
      <c r="N79" s="22" t="s">
        <v>431</v>
      </c>
      <c r="P79" s="68" t="s">
        <v>584</v>
      </c>
      <c r="Q79" s="84">
        <f>N77</f>
        <v>5</v>
      </c>
      <c r="R79" s="84">
        <f>IF(60*Q79&lt;250,60*Q79,250)</f>
        <v>250</v>
      </c>
      <c r="T79" s="70" t="s">
        <v>578</v>
      </c>
      <c r="U79" s="64">
        <f>((R80+Q80/2)*Q81+(R80/2)*R81)/(Q81+R81)</f>
        <v>5.666666666666667</v>
      </c>
      <c r="V79" s="22"/>
      <c r="AF79" s="22"/>
    </row>
    <row r="80" spans="1:39" ht="15.75" thickBot="1">
      <c r="A80" s="30"/>
      <c r="B80" s="52" t="s">
        <v>230</v>
      </c>
      <c r="C80" s="43">
        <f>(83.3*'ABS Presiones de diseño'!B57*(paneles!C5/1000)*(C79)^2)/(internos!C78)</f>
        <v>2.6507040000000011</v>
      </c>
      <c r="D80" s="44" t="s">
        <v>573</v>
      </c>
      <c r="L80" s="28" t="s">
        <v>230</v>
      </c>
      <c r="M80" s="29">
        <f>U78</f>
        <v>3.1650485436893199</v>
      </c>
      <c r="N80" s="24" t="s">
        <v>396</v>
      </c>
      <c r="P80" s="68" t="s">
        <v>576</v>
      </c>
      <c r="Q80" s="84">
        <f>N78</f>
        <v>40</v>
      </c>
      <c r="R80" s="84">
        <v>4</v>
      </c>
      <c r="T80" s="70" t="s">
        <v>586</v>
      </c>
      <c r="U80" s="304">
        <f>((1/12)*Q79*Q80^3+Q81*((R80+Q80/2)-U79)^2)/10000</f>
        <v>9.3888888888888875</v>
      </c>
      <c r="V80" s="22"/>
      <c r="AF80" s="22"/>
      <c r="AH80" t="s">
        <v>474</v>
      </c>
      <c r="AI80" t="s">
        <v>424</v>
      </c>
      <c r="AJ80" t="s">
        <v>565</v>
      </c>
      <c r="AK80" t="s">
        <v>597</v>
      </c>
      <c r="AL80" t="s">
        <v>566</v>
      </c>
      <c r="AM80" t="s">
        <v>88</v>
      </c>
    </row>
    <row r="81" spans="1:39" ht="15.75" thickBot="1">
      <c r="A81" s="30"/>
      <c r="B81" s="51" t="s">
        <v>370</v>
      </c>
      <c r="C81">
        <f>C47</f>
        <v>69000</v>
      </c>
      <c r="D81" s="22" t="str">
        <f>D71</f>
        <v>N/mm^2</v>
      </c>
      <c r="P81" s="69" t="s">
        <v>587</v>
      </c>
      <c r="Q81" s="14">
        <f>Q80*Q79</f>
        <v>200</v>
      </c>
      <c r="R81" s="14">
        <f>R79*R80</f>
        <v>1000</v>
      </c>
      <c r="S81" s="23"/>
      <c r="T81" s="71" t="s">
        <v>588</v>
      </c>
      <c r="U81" s="305">
        <f>((1/12)*R79*R80^3+R81*((R80/2)-U79)^2)/10000</f>
        <v>1.4777777777777781</v>
      </c>
      <c r="V81" s="22"/>
      <c r="AF81" s="22"/>
      <c r="AG81" t="s">
        <v>567</v>
      </c>
      <c r="AH81">
        <v>250</v>
      </c>
      <c r="AI81">
        <v>6</v>
      </c>
      <c r="AJ81">
        <f>AH81*AI81</f>
        <v>1500</v>
      </c>
      <c r="AK81">
        <f>AI81/2</f>
        <v>3</v>
      </c>
      <c r="AL81">
        <f>AK81*AJ81</f>
        <v>4500</v>
      </c>
      <c r="AM81" s="61">
        <f>((1/12)*((AH81)*(AI81)^3)+(AJ81)*(AK81-AI85)^2)/10000</f>
        <v>19.12479224376731</v>
      </c>
    </row>
    <row r="82" spans="1:39">
      <c r="A82" s="30"/>
      <c r="B82" s="51" t="s">
        <v>557</v>
      </c>
      <c r="C82">
        <v>2.0999999999999999E-3</v>
      </c>
      <c r="D82" s="22"/>
      <c r="P82" s="30"/>
      <c r="V82" s="22"/>
      <c r="AF82" s="22"/>
      <c r="AG82" t="s">
        <v>569</v>
      </c>
      <c r="AH82">
        <f>N39</f>
        <v>4</v>
      </c>
      <c r="AI82">
        <f>N40</f>
        <v>100</v>
      </c>
      <c r="AJ82">
        <f>AH82*AI82</f>
        <v>400</v>
      </c>
      <c r="AK82">
        <f>(AI82/2)+AI81</f>
        <v>56</v>
      </c>
      <c r="AL82">
        <f>AK82*AJ82</f>
        <v>22400</v>
      </c>
      <c r="AM82" s="61">
        <f>((1/12)*((AH82)*(AI82)^3)+(AJ82)*(AK82-AI85)^2)/10000</f>
        <v>103.36380424746078</v>
      </c>
    </row>
    <row r="83" spans="1:39" ht="15.75" thickBot="1">
      <c r="A83" s="30"/>
      <c r="B83" s="53" t="s">
        <v>88</v>
      </c>
      <c r="C83" s="45">
        <f>(260*'ABS Presiones de diseño'!B57*(paneles!C5/1000)*(C79)^3)/(internos!C60*internos!C59)</f>
        <v>6.0666666666666691</v>
      </c>
      <c r="D83" s="46" t="s">
        <v>431</v>
      </c>
      <c r="P83" s="30"/>
      <c r="V83" s="22"/>
      <c r="AF83" s="22"/>
      <c r="AG83" t="s">
        <v>473</v>
      </c>
      <c r="AH83">
        <v>0</v>
      </c>
      <c r="AI83">
        <v>0</v>
      </c>
      <c r="AJ83">
        <f>AH83*AI83</f>
        <v>0</v>
      </c>
      <c r="AK83">
        <f>AI82+AI81+AI83/2</f>
        <v>106</v>
      </c>
      <c r="AL83">
        <f>AK83*AJ83</f>
        <v>0</v>
      </c>
      <c r="AM83" s="61">
        <f>((1/12)*((AH83)*(AI83)^3)+(AJ83)*(AK83-AI85)^2)/10000</f>
        <v>0</v>
      </c>
    </row>
    <row r="84" spans="1:39">
      <c r="A84" s="30"/>
      <c r="B84" s="51" t="s">
        <v>397</v>
      </c>
      <c r="C84" s="32">
        <f>M69/C80</f>
        <v>1.2039280246308497</v>
      </c>
      <c r="P84" s="30"/>
      <c r="V84" s="22"/>
      <c r="AF84" s="22"/>
    </row>
    <row r="85" spans="1:39">
      <c r="A85" s="30"/>
      <c r="P85" s="30"/>
      <c r="V85" s="22"/>
      <c r="AF85" s="22"/>
      <c r="AH85" t="s">
        <v>597</v>
      </c>
      <c r="AI85">
        <f>(AL81+AL82+AL83)/(AJ81+AJ82+AJ83)</f>
        <v>14.157894736842104</v>
      </c>
      <c r="AJ85" t="s">
        <v>41</v>
      </c>
    </row>
    <row r="86" spans="1:39">
      <c r="A86" s="30"/>
      <c r="P86" s="30"/>
      <c r="V86" s="22"/>
      <c r="AF86" s="22"/>
      <c r="AH86" t="s">
        <v>88</v>
      </c>
      <c r="AI86" s="61">
        <f>AM81+AM82+AM83</f>
        <v>122.48859649122809</v>
      </c>
    </row>
    <row r="87" spans="1:39" ht="15.75" thickBot="1">
      <c r="A87" s="30"/>
      <c r="P87" s="30"/>
      <c r="V87" s="22"/>
      <c r="AF87" s="22"/>
      <c r="AH87" t="s">
        <v>230</v>
      </c>
      <c r="AI87" s="32">
        <f>AI86/((SUM(AI81:AI83)-AI85)/10)</f>
        <v>13.336867239732571</v>
      </c>
    </row>
    <row r="88" spans="1:39" ht="15.75" thickBot="1">
      <c r="A88" s="30"/>
      <c r="B88" s="47" t="s">
        <v>608</v>
      </c>
      <c r="C88" s="41"/>
      <c r="D88" s="42"/>
      <c r="L88" s="714" t="s">
        <v>609</v>
      </c>
      <c r="M88" s="74" t="s">
        <v>575</v>
      </c>
      <c r="N88" s="80">
        <v>5</v>
      </c>
      <c r="P88" s="656" t="s">
        <v>610</v>
      </c>
      <c r="Q88" s="657"/>
      <c r="R88" s="657"/>
      <c r="S88" s="657"/>
      <c r="T88" s="657"/>
      <c r="U88" s="658"/>
      <c r="V88" s="22"/>
      <c r="AF88" s="22"/>
    </row>
    <row r="89" spans="1:39" ht="15.75" thickBot="1">
      <c r="A89" s="30"/>
      <c r="B89" s="50" t="s">
        <v>556</v>
      </c>
      <c r="C89" s="21">
        <f>125*0.7</f>
        <v>87.5</v>
      </c>
      <c r="D89" s="7" t="s">
        <v>224</v>
      </c>
      <c r="L89" s="715"/>
      <c r="M89" s="71" t="s">
        <v>576</v>
      </c>
      <c r="N89" s="81">
        <v>40</v>
      </c>
      <c r="P89" s="65"/>
      <c r="Q89" s="67" t="s">
        <v>581</v>
      </c>
      <c r="R89" s="67" t="s">
        <v>582</v>
      </c>
      <c r="S89" s="37"/>
      <c r="T89" s="66" t="s">
        <v>230</v>
      </c>
      <c r="U89" s="331">
        <f>(U91+U92)/((Q91-U90)/10)</f>
        <v>3.1650485436893199</v>
      </c>
      <c r="V89" s="22"/>
      <c r="AF89" s="22"/>
    </row>
    <row r="90" spans="1:39">
      <c r="A90" s="30"/>
      <c r="B90" s="51"/>
      <c r="D90" s="22"/>
      <c r="L90" s="30" t="s">
        <v>350</v>
      </c>
      <c r="M90" s="61">
        <f>U91+U92</f>
        <v>10.866666666666665</v>
      </c>
      <c r="N90" s="22" t="s">
        <v>431</v>
      </c>
      <c r="P90" s="68" t="s">
        <v>584</v>
      </c>
      <c r="Q90" s="84">
        <f>N88</f>
        <v>5</v>
      </c>
      <c r="R90" s="84">
        <f>IF(60*Q90&lt;250,60*Q90,250)</f>
        <v>250</v>
      </c>
      <c r="T90" s="70" t="s">
        <v>578</v>
      </c>
      <c r="U90" s="64">
        <f>((R91+Q91/2)*Q92+(R91/2)*R92)/(Q92+R92)</f>
        <v>5.666666666666667</v>
      </c>
      <c r="V90" s="22"/>
      <c r="AF90" s="22"/>
    </row>
    <row r="91" spans="1:39" ht="15.75" thickBot="1">
      <c r="A91" s="30"/>
      <c r="B91" s="52" t="s">
        <v>230</v>
      </c>
      <c r="C91" s="43">
        <f>(83.3*'ABS Presiones de diseño'!B57*(paneles!C5/1000)*(paneles!C5/1000)^2)/(internos!C89)</f>
        <v>1.8105255000000007</v>
      </c>
      <c r="D91" s="44" t="s">
        <v>573</v>
      </c>
      <c r="L91" s="28" t="s">
        <v>230</v>
      </c>
      <c r="M91" s="29">
        <f>U89</f>
        <v>3.1650485436893199</v>
      </c>
      <c r="N91" s="24" t="s">
        <v>396</v>
      </c>
      <c r="P91" s="68" t="s">
        <v>576</v>
      </c>
      <c r="Q91" s="84">
        <f>N89</f>
        <v>40</v>
      </c>
      <c r="R91" s="84">
        <v>4</v>
      </c>
      <c r="T91" s="70" t="s">
        <v>586</v>
      </c>
      <c r="U91" s="304">
        <f>((1/12)*Q90*Q91^3+Q92*((R91+Q91/2)-U90)^2)/10000</f>
        <v>9.3888888888888875</v>
      </c>
      <c r="V91" s="22"/>
      <c r="AF91" s="22"/>
    </row>
    <row r="92" spans="1:39" ht="15.75" thickBot="1">
      <c r="A92" s="30"/>
      <c r="B92" s="51" t="s">
        <v>370</v>
      </c>
      <c r="C92">
        <f>C81</f>
        <v>69000</v>
      </c>
      <c r="D92" s="22" t="s">
        <v>377</v>
      </c>
      <c r="P92" s="69" t="s">
        <v>587</v>
      </c>
      <c r="Q92" s="14">
        <f>Q91*Q90</f>
        <v>200</v>
      </c>
      <c r="R92" s="14">
        <f>R90*R91</f>
        <v>1000</v>
      </c>
      <c r="S92" s="23"/>
      <c r="T92" s="71" t="s">
        <v>588</v>
      </c>
      <c r="U92" s="305">
        <f>((1/12)*R90*R91^3+R92*((R91/2)-U90)^2)/10000</f>
        <v>1.4777777777777781</v>
      </c>
      <c r="V92" s="22"/>
      <c r="AF92" s="22"/>
      <c r="AG92" t="s">
        <v>607</v>
      </c>
    </row>
    <row r="93" spans="1:39" ht="15.75" thickBot="1">
      <c r="A93" s="30"/>
      <c r="B93" s="51" t="s">
        <v>557</v>
      </c>
      <c r="C93">
        <v>2.0999999999999999E-3</v>
      </c>
      <c r="D93" s="22"/>
      <c r="P93" s="28"/>
      <c r="Q93" s="23"/>
      <c r="R93" s="23"/>
      <c r="S93" s="23"/>
      <c r="T93" s="23"/>
      <c r="U93" s="23"/>
      <c r="V93" s="24"/>
      <c r="AF93" s="22"/>
    </row>
    <row r="94" spans="1:39" ht="15.75" thickBot="1">
      <c r="A94" s="28"/>
      <c r="B94" s="53" t="s">
        <v>88</v>
      </c>
      <c r="C94" s="45">
        <f>(260*'ABS Presiones de diseño'!B57*(paneles!C5/1000)*(paneles!C5/1000)^3)/(internos!C93*internos!C92)</f>
        <v>2.5593750000000011</v>
      </c>
      <c r="D94" s="404" t="s">
        <v>431</v>
      </c>
      <c r="AF94" s="22"/>
      <c r="AH94" t="s">
        <v>474</v>
      </c>
      <c r="AI94" t="s">
        <v>424</v>
      </c>
      <c r="AJ94" t="s">
        <v>565</v>
      </c>
      <c r="AK94" t="s">
        <v>597</v>
      </c>
      <c r="AL94" t="s">
        <v>566</v>
      </c>
      <c r="AM94" t="s">
        <v>88</v>
      </c>
    </row>
    <row r="95" spans="1:39">
      <c r="A95" s="30"/>
      <c r="B95" s="51" t="s">
        <v>397</v>
      </c>
      <c r="C95" s="32">
        <f>M80/C91</f>
        <v>1.7481380647161935</v>
      </c>
      <c r="AF95" s="22"/>
      <c r="AG95" t="s">
        <v>567</v>
      </c>
      <c r="AH95">
        <v>250</v>
      </c>
      <c r="AI95">
        <v>6</v>
      </c>
      <c r="AJ95">
        <f>AH95*AI95</f>
        <v>1500</v>
      </c>
      <c r="AK95">
        <f>AI95/2</f>
        <v>3</v>
      </c>
      <c r="AL95">
        <f>AK95*AJ95</f>
        <v>4500</v>
      </c>
      <c r="AM95" s="61">
        <f>((1/12)*((AH95)*(AI95)^3)+(AJ95)*(AK95-AI99)^2)/10000</f>
        <v>91.116032123735891</v>
      </c>
    </row>
    <row r="96" spans="1:39" ht="15.75" thickBot="1">
      <c r="A96" s="28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4"/>
      <c r="AG96" t="s">
        <v>569</v>
      </c>
      <c r="AH96">
        <v>8</v>
      </c>
      <c r="AI96">
        <v>120</v>
      </c>
      <c r="AJ96">
        <f>AH96*AI96</f>
        <v>960</v>
      </c>
      <c r="AK96">
        <f>(AI96/2)+AI95</f>
        <v>66</v>
      </c>
      <c r="AL96">
        <f>AK96*AJ96</f>
        <v>63360</v>
      </c>
      <c r="AM96" s="61">
        <f>((1/12)*((AH96)*(AI96)^3)+(AJ96)*(AK96-AI99)^2)/10000</f>
        <v>256.86567519333732</v>
      </c>
    </row>
    <row r="97" spans="33:39">
      <c r="AG97" t="s">
        <v>473</v>
      </c>
      <c r="AH97">
        <v>0</v>
      </c>
      <c r="AI97">
        <v>0</v>
      </c>
      <c r="AJ97">
        <f>AH97*AI97</f>
        <v>0</v>
      </c>
      <c r="AK97">
        <f>AI96+AI95+AI97/2</f>
        <v>126</v>
      </c>
      <c r="AL97">
        <f>AK97*AJ97</f>
        <v>0</v>
      </c>
      <c r="AM97" s="61">
        <f>((1/12)*((AH97)*(AI97)^3)+(AJ97)*(AK97-AI99)^2)/10000</f>
        <v>0</v>
      </c>
    </row>
    <row r="99" spans="33:39">
      <c r="AH99" t="s">
        <v>597</v>
      </c>
      <c r="AI99">
        <f>(AL95+AL96+AL97)/(AJ95+AJ96+AJ97)</f>
        <v>27.585365853658537</v>
      </c>
      <c r="AJ99" t="s">
        <v>41</v>
      </c>
    </row>
    <row r="100" spans="33:39">
      <c r="AH100" t="s">
        <v>88</v>
      </c>
      <c r="AI100" s="61">
        <f>AM95+AM96+AM97</f>
        <v>347.98170731707319</v>
      </c>
    </row>
    <row r="101" spans="33:39">
      <c r="AH101" t="s">
        <v>230</v>
      </c>
      <c r="AI101" s="32">
        <f>AI100/((SUM(AI95:AI97)-AI99)/10)</f>
        <v>35.358736059479561</v>
      </c>
    </row>
  </sheetData>
  <mergeCells count="20">
    <mergeCell ref="P39:U39"/>
    <mergeCell ref="P60:V60"/>
    <mergeCell ref="P31:V31"/>
    <mergeCell ref="L77:L78"/>
    <mergeCell ref="L88:L89"/>
    <mergeCell ref="P77:U77"/>
    <mergeCell ref="P88:U88"/>
    <mergeCell ref="L66:L67"/>
    <mergeCell ref="L55:L56"/>
    <mergeCell ref="L60:L61"/>
    <mergeCell ref="P49:U49"/>
    <mergeCell ref="B1:E2"/>
    <mergeCell ref="L34:L35"/>
    <mergeCell ref="L39:L40"/>
    <mergeCell ref="L44:L45"/>
    <mergeCell ref="L50:L51"/>
    <mergeCell ref="B4:C4"/>
    <mergeCell ref="F48:J48"/>
    <mergeCell ref="L32:N32"/>
    <mergeCell ref="F25:N25"/>
  </mergeCells>
  <conditionalFormatting sqref="M36">
    <cfRule type="cellIs" dxfId="24" priority="19" operator="lessThan">
      <formula>$C$13</formula>
    </cfRule>
    <cfRule type="cellIs" dxfId="23" priority="20" operator="lessThan">
      <formula>$C$10</formula>
    </cfRule>
    <cfRule type="cellIs" dxfId="22" priority="35" operator="greaterThan">
      <formula>$C$13</formula>
    </cfRule>
  </conditionalFormatting>
  <conditionalFormatting sqref="M37">
    <cfRule type="cellIs" dxfId="21" priority="26" operator="lessThan">
      <formula>$C$10</formula>
    </cfRule>
    <cfRule type="cellIs" dxfId="20" priority="34" operator="greaterThan">
      <formula>$C$10</formula>
    </cfRule>
  </conditionalFormatting>
  <conditionalFormatting sqref="M41">
    <cfRule type="cellIs" dxfId="19" priority="1" operator="greaterThan">
      <formula>$C$49</formula>
    </cfRule>
    <cfRule type="cellIs" dxfId="18" priority="33" operator="greaterThan">
      <formula>484.2</formula>
    </cfRule>
  </conditionalFormatting>
  <conditionalFormatting sqref="M42">
    <cfRule type="cellIs" dxfId="17" priority="32" operator="greaterThan">
      <formula>$C$46</formula>
    </cfRule>
  </conditionalFormatting>
  <conditionalFormatting sqref="M46">
    <cfRule type="cellIs" dxfId="16" priority="31" operator="greaterThan">
      <formula>$C$13</formula>
    </cfRule>
  </conditionalFormatting>
  <conditionalFormatting sqref="M47">
    <cfRule type="cellIs" dxfId="15" priority="30" operator="greaterThan">
      <formula>$C$10</formula>
    </cfRule>
  </conditionalFormatting>
  <conditionalFormatting sqref="M52">
    <cfRule type="cellIs" dxfId="14" priority="29" operator="greaterThan">
      <formula>$C$61</formula>
    </cfRule>
  </conditionalFormatting>
  <conditionalFormatting sqref="M57">
    <cfRule type="cellIs" dxfId="13" priority="27" operator="greaterThan">
      <formula>$C$73</formula>
    </cfRule>
  </conditionalFormatting>
  <conditionalFormatting sqref="M58">
    <cfRule type="cellIs" dxfId="12" priority="25" operator="greaterThan">
      <formula>$C$70</formula>
    </cfRule>
  </conditionalFormatting>
  <conditionalFormatting sqref="M63">
    <cfRule type="cellIs" dxfId="11" priority="21" operator="lessThan">
      <formula>$C$34</formula>
    </cfRule>
    <cfRule type="cellIs" dxfId="10" priority="24" operator="greaterThan">
      <formula>$C$34</formula>
    </cfRule>
  </conditionalFormatting>
  <conditionalFormatting sqref="M62">
    <cfRule type="cellIs" dxfId="9" priority="22" operator="lessThan">
      <formula>$C$37</formula>
    </cfRule>
    <cfRule type="cellIs" dxfId="8" priority="23" operator="greaterThan">
      <formula>$C$37</formula>
    </cfRule>
  </conditionalFormatting>
  <conditionalFormatting sqref="M69">
    <cfRule type="cellIs" dxfId="7" priority="11" operator="greaterThan">
      <formula>$C$22</formula>
    </cfRule>
  </conditionalFormatting>
  <conditionalFormatting sqref="M53">
    <cfRule type="cellIs" dxfId="6" priority="9" operator="lessThan">
      <formula>$C$58</formula>
    </cfRule>
    <cfRule type="cellIs" dxfId="5" priority="10" operator="greaterThan">
      <formula>$C$58</formula>
    </cfRule>
  </conditionalFormatting>
  <conditionalFormatting sqref="M68">
    <cfRule type="cellIs" dxfId="4" priority="6" operator="greaterThan">
      <formula>$C$37</formula>
    </cfRule>
  </conditionalFormatting>
  <conditionalFormatting sqref="M80">
    <cfRule type="cellIs" dxfId="3" priority="5" operator="greaterThan">
      <formula>$C$22</formula>
    </cfRule>
  </conditionalFormatting>
  <conditionalFormatting sqref="M79">
    <cfRule type="cellIs" dxfId="2" priority="4" operator="greaterThan">
      <formula>$C$37</formula>
    </cfRule>
  </conditionalFormatting>
  <conditionalFormatting sqref="M91">
    <cfRule type="cellIs" dxfId="1" priority="3" operator="greaterThan">
      <formula>$C$22</formula>
    </cfRule>
  </conditionalFormatting>
  <conditionalFormatting sqref="M90">
    <cfRule type="cellIs" dxfId="0" priority="2" operator="greaterThan">
      <formula>$C$37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50"/>
  <sheetViews>
    <sheetView topLeftCell="A7" zoomScale="70" zoomScaleNormal="70" workbookViewId="0">
      <selection activeCell="C26" sqref="C26"/>
    </sheetView>
  </sheetViews>
  <sheetFormatPr baseColWidth="10" defaultColWidth="11.42578125" defaultRowHeight="15"/>
  <cols>
    <col min="1" max="1" width="18.42578125" customWidth="1"/>
    <col min="2" max="2" width="39.42578125" customWidth="1"/>
    <col min="3" max="3" width="18.85546875" customWidth="1"/>
    <col min="4" max="4" width="17.28515625" customWidth="1"/>
    <col min="5" max="5" width="17.85546875" customWidth="1"/>
    <col min="6" max="6" width="13.42578125" customWidth="1"/>
    <col min="7" max="7" width="23.5703125" customWidth="1"/>
  </cols>
  <sheetData>
    <row r="1" spans="1:19" ht="29.25">
      <c r="A1" s="20"/>
      <c r="B1" s="290" t="s">
        <v>0</v>
      </c>
      <c r="C1" s="291" t="s">
        <v>1</v>
      </c>
      <c r="D1" s="292" t="s">
        <v>2</v>
      </c>
      <c r="E1" s="515" t="s">
        <v>3</v>
      </c>
      <c r="F1" s="515"/>
      <c r="G1" s="21"/>
      <c r="H1" s="21"/>
      <c r="I1" s="293" t="s">
        <v>4</v>
      </c>
      <c r="J1" s="294"/>
      <c r="K1" s="295"/>
    </row>
    <row r="2" spans="1:19">
      <c r="A2" s="30"/>
      <c r="B2" s="296" t="s">
        <v>5</v>
      </c>
      <c r="C2" s="297"/>
      <c r="D2" s="137" t="s">
        <v>6</v>
      </c>
      <c r="E2" s="262">
        <v>179</v>
      </c>
      <c r="I2" s="298" t="s">
        <v>7</v>
      </c>
      <c r="J2" s="139">
        <v>0</v>
      </c>
      <c r="K2" s="22"/>
    </row>
    <row r="3" spans="1:19">
      <c r="A3" s="30"/>
      <c r="B3" s="296"/>
      <c r="C3" s="299"/>
      <c r="D3" s="137" t="s">
        <v>8</v>
      </c>
      <c r="E3" s="529" t="s">
        <v>9</v>
      </c>
      <c r="F3" s="529"/>
      <c r="G3" s="300"/>
      <c r="H3" s="300"/>
      <c r="I3" s="300"/>
      <c r="J3" s="300"/>
      <c r="K3" s="301"/>
    </row>
    <row r="4" spans="1:19">
      <c r="A4" s="30"/>
      <c r="B4" s="302" t="s">
        <v>10</v>
      </c>
      <c r="C4" s="516" t="s">
        <v>11</v>
      </c>
      <c r="D4" s="516"/>
      <c r="E4" s="516"/>
      <c r="F4" s="516"/>
      <c r="G4" s="516"/>
      <c r="H4" s="516"/>
      <c r="I4" s="516"/>
      <c r="J4" s="516"/>
      <c r="K4" s="517"/>
    </row>
    <row r="5" spans="1:19">
      <c r="A5" s="30"/>
      <c r="B5" s="30"/>
      <c r="K5" s="22"/>
    </row>
    <row r="6" spans="1:19" ht="15.75" thickBot="1">
      <c r="A6" s="30"/>
      <c r="B6" s="30"/>
      <c r="K6" s="22"/>
    </row>
    <row r="7" spans="1:19">
      <c r="A7" s="530" t="s">
        <v>58</v>
      </c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  <c r="P7" s="37"/>
      <c r="Q7" s="38"/>
    </row>
    <row r="8" spans="1:19" ht="15.75" thickBot="1">
      <c r="A8" s="532"/>
      <c r="B8" s="533"/>
      <c r="C8" s="533"/>
      <c r="D8" s="533"/>
      <c r="E8" s="533"/>
      <c r="F8" s="533"/>
      <c r="G8" s="533"/>
      <c r="H8" s="533"/>
      <c r="I8" s="533"/>
      <c r="J8" s="533"/>
      <c r="K8" s="533"/>
      <c r="L8" s="533"/>
      <c r="M8" s="533"/>
      <c r="N8" s="533"/>
      <c r="O8" s="533"/>
      <c r="P8" s="77"/>
      <c r="Q8" s="78"/>
    </row>
    <row r="9" spans="1:19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7"/>
    </row>
    <row r="10" spans="1:19">
      <c r="A10" s="30"/>
      <c r="Q10" s="22"/>
    </row>
    <row r="11" spans="1:19" ht="15.75" thickBot="1">
      <c r="A11" s="30"/>
      <c r="Q11" s="22"/>
    </row>
    <row r="12" spans="1:19" ht="21.75" thickBot="1">
      <c r="A12" s="30"/>
      <c r="B12" s="340" t="s">
        <v>13</v>
      </c>
      <c r="G12" s="278"/>
      <c r="H12" s="334" t="s">
        <v>59</v>
      </c>
      <c r="I12" s="59"/>
      <c r="J12" s="59"/>
      <c r="K12" s="334" t="s">
        <v>59</v>
      </c>
      <c r="L12" s="334"/>
      <c r="M12" s="334"/>
      <c r="N12" s="334"/>
      <c r="O12" s="334"/>
      <c r="P12" s="334"/>
      <c r="Q12" s="335"/>
      <c r="R12" s="315"/>
      <c r="S12" s="315"/>
    </row>
    <row r="13" spans="1:19" ht="15.75">
      <c r="A13" s="30"/>
      <c r="B13" s="341" t="s">
        <v>60</v>
      </c>
      <c r="C13" s="342">
        <f>RESUMEN!B12</f>
        <v>10.559999999999999</v>
      </c>
      <c r="D13" s="4" t="s">
        <v>16</v>
      </c>
      <c r="G13" s="279"/>
      <c r="H13" s="280"/>
      <c r="Q13" s="22"/>
    </row>
    <row r="14" spans="1:19" ht="15.75">
      <c r="A14" s="30"/>
      <c r="B14" s="102" t="s">
        <v>18</v>
      </c>
      <c r="C14" s="281">
        <f>RESUMEN!B13</f>
        <v>2.8</v>
      </c>
      <c r="D14" s="5" t="s">
        <v>16</v>
      </c>
      <c r="G14" s="279"/>
      <c r="H14" s="280"/>
      <c r="Q14" s="22"/>
    </row>
    <row r="15" spans="1:19" ht="15.75">
      <c r="A15" s="30"/>
      <c r="B15" s="102" t="s">
        <v>20</v>
      </c>
      <c r="C15" s="281">
        <f>RESUMEN!B14</f>
        <v>1.4</v>
      </c>
      <c r="D15" s="5" t="s">
        <v>16</v>
      </c>
      <c r="Q15" s="22"/>
    </row>
    <row r="16" spans="1:19" ht="15.75">
      <c r="A16" s="30"/>
      <c r="B16" s="102" t="s">
        <v>22</v>
      </c>
      <c r="C16" s="281">
        <f>RESUMEN!B15</f>
        <v>0.53</v>
      </c>
      <c r="D16" s="5" t="s">
        <v>16</v>
      </c>
      <c r="Q16" s="22"/>
    </row>
    <row r="17" spans="1:17" ht="15.75">
      <c r="A17" s="30"/>
      <c r="B17" s="102" t="s">
        <v>24</v>
      </c>
      <c r="C17" s="281">
        <f>RESUMEN!B16</f>
        <v>8.1</v>
      </c>
      <c r="D17" s="5" t="s">
        <v>25</v>
      </c>
      <c r="Q17" s="22"/>
    </row>
    <row r="18" spans="1:17" ht="15.75">
      <c r="A18" s="30"/>
      <c r="B18" s="102" t="s">
        <v>27</v>
      </c>
      <c r="C18" s="281">
        <f>RESUMEN!B17</f>
        <v>25</v>
      </c>
      <c r="D18" s="5" t="s">
        <v>28</v>
      </c>
      <c r="Q18" s="22"/>
    </row>
    <row r="19" spans="1:17" ht="15.75">
      <c r="A19" s="30"/>
      <c r="B19" s="102" t="s">
        <v>31</v>
      </c>
      <c r="C19" s="281">
        <f>RESUMEN!B18</f>
        <v>13</v>
      </c>
      <c r="D19" s="5" t="s">
        <v>32</v>
      </c>
      <c r="Q19" s="22"/>
    </row>
    <row r="20" spans="1:17" ht="15.75">
      <c r="A20" s="30"/>
      <c r="B20" s="102" t="s">
        <v>35</v>
      </c>
      <c r="C20" s="282">
        <f>19</f>
        <v>19</v>
      </c>
      <c r="D20" s="5" t="s">
        <v>32</v>
      </c>
      <c r="Q20" s="22"/>
    </row>
    <row r="21" spans="1:17" ht="15.75">
      <c r="A21" s="30"/>
      <c r="B21" s="102" t="s">
        <v>36</v>
      </c>
      <c r="C21" s="282">
        <v>55</v>
      </c>
      <c r="D21" s="5" t="s">
        <v>32</v>
      </c>
      <c r="Q21" s="22"/>
    </row>
    <row r="22" spans="1:17" ht="16.5" thickBot="1">
      <c r="A22" s="30"/>
      <c r="B22" s="103" t="s">
        <v>61</v>
      </c>
      <c r="C22" s="283">
        <v>55</v>
      </c>
      <c r="D22" s="6" t="s">
        <v>32</v>
      </c>
      <c r="Q22" s="22"/>
    </row>
    <row r="23" spans="1:17" ht="30.75" thickBot="1">
      <c r="A23" s="30"/>
      <c r="B23" s="104" t="s">
        <v>62</v>
      </c>
      <c r="C23" s="105">
        <f>C18/(C13^0.5)</f>
        <v>7.6932181862082958</v>
      </c>
      <c r="D23" s="106" t="str">
        <f>IF(C23&gt;5,"embarcación de planeo","embrcación de desplazamiento")</f>
        <v>embarcación de planeo</v>
      </c>
      <c r="Q23" s="22"/>
    </row>
    <row r="24" spans="1:17" ht="15.75" thickBot="1">
      <c r="A24" s="30"/>
      <c r="Q24" s="22"/>
    </row>
    <row r="25" spans="1:17" ht="42.75" customHeight="1">
      <c r="A25" s="30"/>
      <c r="B25" s="25"/>
      <c r="C25" s="21" t="s">
        <v>63</v>
      </c>
      <c r="D25" s="72" t="s">
        <v>64</v>
      </c>
      <c r="E25" s="107" t="s">
        <v>65</v>
      </c>
      <c r="F25" s="108" t="s">
        <v>66</v>
      </c>
      <c r="Q25" s="22"/>
    </row>
    <row r="26" spans="1:17" ht="19.5" thickBot="1">
      <c r="A26" s="30"/>
      <c r="B26" s="109" t="s">
        <v>67</v>
      </c>
      <c r="C26" s="110" t="s">
        <v>239</v>
      </c>
      <c r="D26" s="330" t="str">
        <f>VLOOKUP(C26,categorias!C4:D7,2,FALSE)</f>
        <v>A</v>
      </c>
      <c r="E26" s="111">
        <f>VLOOKUP(C26,categorias!C4:E7,3,)</f>
        <v>1</v>
      </c>
      <c r="F26" s="24">
        <f>VLOOKUP(C26,categorias!C4:F7,4,FALSE)</f>
        <v>4</v>
      </c>
      <c r="Q26" s="22"/>
    </row>
    <row r="27" spans="1:17">
      <c r="A27" s="30"/>
      <c r="Q27" s="22"/>
    </row>
    <row r="28" spans="1:17" ht="15.75">
      <c r="A28" s="30"/>
      <c r="B28" s="336" t="s">
        <v>69</v>
      </c>
      <c r="C28" s="337">
        <f>IF(0.32*(C13/(10*C14)+0.084)*(50-C20)*(C18^2*C14^2/(C17*1000))&lt;3,0.32*(C13/(10*C14)+0.084)*(50-C20)*(C18^2*C14^2/(C17*1000)),(0.5*C18/((C17*1000)^0.17)))</f>
        <v>2.7673125925925919</v>
      </c>
      <c r="Q28" s="22"/>
    </row>
    <row r="29" spans="1:17" ht="16.5" thickBot="1">
      <c r="A29" s="30"/>
      <c r="B29" s="338"/>
      <c r="C29" s="32"/>
      <c r="Q29" s="22"/>
    </row>
    <row r="30" spans="1:17">
      <c r="A30" s="30"/>
      <c r="B30" s="36" t="s">
        <v>70</v>
      </c>
      <c r="C30" s="409">
        <v>0.6</v>
      </c>
      <c r="Q30" s="22"/>
    </row>
    <row r="31" spans="1:17" ht="32.25" thickBot="1">
      <c r="A31" s="30"/>
      <c r="B31" s="316" t="s">
        <v>71</v>
      </c>
      <c r="C31" s="416">
        <f>IF(C30&gt;0.6,1,((1-0.167*C28)/0.6)*C30+0.167*C28)</f>
        <v>1</v>
      </c>
      <c r="Q31" s="22"/>
    </row>
    <row r="32" spans="1:17" ht="15.75">
      <c r="A32" s="30"/>
      <c r="B32" s="339"/>
      <c r="Q32" s="22"/>
    </row>
    <row r="33" spans="1:17" ht="15.75" thickBot="1">
      <c r="A33" s="30"/>
      <c r="B33" s="270"/>
      <c r="Q33" s="22"/>
    </row>
    <row r="34" spans="1:17" ht="15.75" thickBot="1">
      <c r="A34" s="30"/>
      <c r="B34" s="321" t="s">
        <v>72</v>
      </c>
      <c r="C34" s="113">
        <v>0.25</v>
      </c>
      <c r="Q34" s="22"/>
    </row>
    <row r="35" spans="1:17" ht="15.75" thickBot="1">
      <c r="A35" s="30"/>
      <c r="Q35" s="22"/>
    </row>
    <row r="36" spans="1:17" ht="30">
      <c r="A36" s="30"/>
      <c r="B36" s="317" t="s">
        <v>73</v>
      </c>
      <c r="C36" s="322">
        <v>1050</v>
      </c>
      <c r="D36" s="7" t="s">
        <v>41</v>
      </c>
      <c r="Q36" s="22"/>
    </row>
    <row r="37" spans="1:17" ht="30">
      <c r="A37" s="30"/>
      <c r="B37" s="318" t="s">
        <v>74</v>
      </c>
      <c r="C37" s="85">
        <v>170</v>
      </c>
      <c r="D37" s="22" t="s">
        <v>41</v>
      </c>
      <c r="Q37" s="22"/>
    </row>
    <row r="38" spans="1:17" ht="15.75" thickBot="1">
      <c r="A38" s="30"/>
      <c r="B38" s="319" t="s">
        <v>75</v>
      </c>
      <c r="C38" s="320">
        <f>(C36-C37)/C36</f>
        <v>0.83809523809523812</v>
      </c>
      <c r="D38" s="24"/>
      <c r="Q38" s="22"/>
    </row>
    <row r="39" spans="1:17">
      <c r="A39" s="30"/>
      <c r="Q39" s="22"/>
    </row>
    <row r="40" spans="1:17">
      <c r="A40" s="30"/>
      <c r="Q40" s="22"/>
    </row>
    <row r="41" spans="1:17">
      <c r="A41" s="30"/>
      <c r="Q41" s="22"/>
    </row>
    <row r="42" spans="1:17">
      <c r="A42" s="30"/>
      <c r="Q42" s="22"/>
    </row>
    <row r="43" spans="1:17" ht="15.75" thickBot="1">
      <c r="A43" s="30"/>
      <c r="Q43" s="22"/>
    </row>
    <row r="44" spans="1:17" ht="15.75" thickBot="1">
      <c r="A44" s="30"/>
      <c r="B44" s="326" t="s">
        <v>54</v>
      </c>
      <c r="C44" s="42"/>
      <c r="Q44" s="22"/>
    </row>
    <row r="45" spans="1:17" ht="15.75" thickBot="1">
      <c r="A45" s="30"/>
      <c r="B45" s="30" t="s">
        <v>55</v>
      </c>
      <c r="C45" s="325"/>
      <c r="Q45" s="22"/>
    </row>
    <row r="46" spans="1:17" ht="15.75" thickBot="1">
      <c r="A46" s="30"/>
      <c r="B46" s="30" t="s">
        <v>56</v>
      </c>
      <c r="C46" s="323"/>
      <c r="Q46" s="22"/>
    </row>
    <row r="47" spans="1:17" ht="15.75" thickBot="1">
      <c r="A47" s="30"/>
      <c r="B47" s="28" t="s">
        <v>57</v>
      </c>
      <c r="C47" s="324"/>
      <c r="Q47" s="22"/>
    </row>
    <row r="48" spans="1:17" ht="15.75">
      <c r="A48" s="30"/>
      <c r="B48" s="279"/>
      <c r="C48" s="280"/>
      <c r="Q48" s="22"/>
    </row>
    <row r="49" spans="1:17">
      <c r="A49" s="30"/>
      <c r="Q49" s="22"/>
    </row>
    <row r="50" spans="1:17" ht="15.75" thickBot="1">
      <c r="A50" s="28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4"/>
    </row>
  </sheetData>
  <mergeCells count="4">
    <mergeCell ref="A7:O8"/>
    <mergeCell ref="E1:F1"/>
    <mergeCell ref="C4:K4"/>
    <mergeCell ref="E3:F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categorias!$C$4:$C$7</xm:f>
          </x14:formula1>
          <xm:sqref>C26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C153"/>
  <sheetViews>
    <sheetView topLeftCell="A4" zoomScale="85" zoomScaleNormal="85" workbookViewId="0">
      <selection activeCell="I12" sqref="I12"/>
    </sheetView>
  </sheetViews>
  <sheetFormatPr baseColWidth="10" defaultColWidth="11.42578125" defaultRowHeight="15"/>
  <cols>
    <col min="1" max="1" width="7" customWidth="1"/>
    <col min="2" max="2" width="41.85546875" customWidth="1"/>
    <col min="3" max="3" width="21" customWidth="1"/>
    <col min="4" max="4" width="14.85546875" customWidth="1"/>
    <col min="5" max="5" width="16.28515625" customWidth="1"/>
    <col min="6" max="6" width="12.7109375" customWidth="1"/>
    <col min="7" max="7" width="14" customWidth="1"/>
    <col min="8" max="8" width="10.7109375" customWidth="1"/>
    <col min="9" max="9" width="14.7109375" customWidth="1"/>
    <col min="10" max="10" width="12.28515625" customWidth="1"/>
    <col min="11" max="11" width="13.42578125" customWidth="1"/>
    <col min="12" max="12" width="7.42578125" hidden="1" customWidth="1"/>
    <col min="13" max="13" width="18" hidden="1" customWidth="1"/>
    <col min="14" max="14" width="0" hidden="1" customWidth="1"/>
    <col min="15" max="15" width="15.5703125" hidden="1" customWidth="1"/>
    <col min="16" max="18" width="0" hidden="1" customWidth="1"/>
    <col min="19" max="19" width="12" customWidth="1"/>
    <col min="21" max="21" width="13" bestFit="1" customWidth="1"/>
  </cols>
  <sheetData>
    <row r="1" spans="1:29" ht="29.25">
      <c r="A1" s="20"/>
      <c r="B1" s="20"/>
      <c r="C1" s="290" t="s">
        <v>0</v>
      </c>
      <c r="D1" s="291" t="s">
        <v>1</v>
      </c>
      <c r="E1" s="292" t="s">
        <v>2</v>
      </c>
      <c r="F1" s="515" t="s">
        <v>76</v>
      </c>
      <c r="G1" s="515"/>
      <c r="H1" s="21"/>
      <c r="I1" s="21"/>
      <c r="J1" s="293" t="s">
        <v>4</v>
      </c>
      <c r="K1" s="294"/>
      <c r="L1" s="295"/>
    </row>
    <row r="2" spans="1:29">
      <c r="A2" s="30"/>
      <c r="B2" s="30"/>
      <c r="C2" s="296" t="s">
        <v>5</v>
      </c>
      <c r="D2" s="297"/>
      <c r="E2" s="137" t="s">
        <v>6</v>
      </c>
      <c r="F2" s="262">
        <v>4020</v>
      </c>
      <c r="J2" s="298" t="s">
        <v>7</v>
      </c>
      <c r="K2" s="139">
        <v>0</v>
      </c>
      <c r="L2" s="22"/>
    </row>
    <row r="3" spans="1:29" ht="16.5" customHeight="1">
      <c r="A3" s="296"/>
      <c r="B3" s="30"/>
      <c r="C3" s="296"/>
      <c r="D3" s="299"/>
      <c r="E3" s="137" t="s">
        <v>8</v>
      </c>
      <c r="F3" t="s">
        <v>77</v>
      </c>
      <c r="G3" s="262"/>
      <c r="H3" s="300"/>
      <c r="I3" s="300"/>
      <c r="J3" s="300"/>
      <c r="K3" s="300"/>
      <c r="L3" s="301"/>
      <c r="M3" s="205"/>
      <c r="U3" s="137"/>
    </row>
    <row r="4" spans="1:29" ht="30.6" customHeight="1">
      <c r="A4" s="296"/>
      <c r="B4" s="30"/>
      <c r="C4" s="302" t="s">
        <v>10</v>
      </c>
      <c r="D4" s="516" t="s">
        <v>78</v>
      </c>
      <c r="E4" s="516"/>
      <c r="F4" s="516"/>
      <c r="G4" s="516"/>
      <c r="H4" s="516"/>
      <c r="I4" s="516"/>
      <c r="J4" s="516"/>
      <c r="K4" s="516"/>
      <c r="L4" s="517"/>
      <c r="M4" s="205"/>
      <c r="U4" s="137"/>
    </row>
    <row r="5" spans="1:29" ht="16.5" customHeight="1">
      <c r="A5" s="296"/>
      <c r="B5" s="30"/>
      <c r="C5" s="30"/>
      <c r="L5" s="22"/>
      <c r="M5" s="205"/>
    </row>
    <row r="6" spans="1:29" ht="16.5" customHeight="1" thickBot="1">
      <c r="A6" s="351"/>
      <c r="B6" s="28"/>
      <c r="C6" s="28"/>
      <c r="D6" s="23"/>
      <c r="E6" s="23"/>
      <c r="F6" s="23"/>
      <c r="G6" s="23"/>
      <c r="H6" s="23"/>
      <c r="I6" s="23"/>
      <c r="J6" s="23"/>
      <c r="K6" s="23"/>
      <c r="L6" s="24"/>
      <c r="M6" s="138"/>
      <c r="N6" s="138"/>
      <c r="O6" s="138"/>
      <c r="P6" s="138"/>
      <c r="Q6" s="138"/>
      <c r="R6" s="138"/>
      <c r="S6" s="138"/>
    </row>
    <row r="7" spans="1:29" ht="16.5" customHeight="1" thickBot="1">
      <c r="A7" s="30"/>
      <c r="B7" s="352"/>
      <c r="C7" s="138"/>
      <c r="D7" s="138"/>
      <c r="E7" s="138"/>
      <c r="F7" s="138"/>
      <c r="G7" s="138"/>
      <c r="H7" s="138"/>
      <c r="I7" s="138"/>
      <c r="J7" s="138"/>
      <c r="K7" s="138"/>
      <c r="L7" s="353"/>
      <c r="M7" s="138"/>
      <c r="N7" s="138"/>
      <c r="O7" s="138"/>
      <c r="P7" s="138"/>
      <c r="Q7" s="138"/>
      <c r="R7" s="138"/>
      <c r="S7" s="138"/>
    </row>
    <row r="8" spans="1:29" ht="18.75" thickBot="1">
      <c r="A8" s="556" t="s">
        <v>79</v>
      </c>
      <c r="B8" s="557"/>
      <c r="C8" s="557"/>
      <c r="D8" s="557"/>
      <c r="E8" s="557"/>
      <c r="F8" s="557"/>
      <c r="G8" s="557"/>
      <c r="H8" s="557"/>
      <c r="I8" s="557"/>
      <c r="J8" s="557"/>
      <c r="K8" s="557"/>
      <c r="L8" s="22"/>
      <c r="T8" s="20"/>
      <c r="U8" s="21"/>
      <c r="V8" s="21"/>
      <c r="W8" s="21"/>
      <c r="X8" s="21"/>
      <c r="Y8" s="21"/>
      <c r="Z8" s="21"/>
      <c r="AA8" s="21"/>
      <c r="AB8" s="21"/>
      <c r="AC8" s="7"/>
    </row>
    <row r="9" spans="1:29" ht="30" customHeight="1" thickBot="1">
      <c r="A9" s="558" t="s">
        <v>80</v>
      </c>
      <c r="B9" s="558" t="s">
        <v>81</v>
      </c>
      <c r="C9" s="560" t="s">
        <v>82</v>
      </c>
      <c r="D9" s="562" t="s">
        <v>83</v>
      </c>
      <c r="E9" s="563"/>
      <c r="F9" s="225" t="s">
        <v>84</v>
      </c>
      <c r="G9" s="225" t="s">
        <v>85</v>
      </c>
      <c r="H9" s="225" t="s">
        <v>86</v>
      </c>
      <c r="I9" s="226" t="s">
        <v>87</v>
      </c>
      <c r="J9" s="225" t="s">
        <v>88</v>
      </c>
      <c r="K9" s="226" t="s">
        <v>89</v>
      </c>
      <c r="L9" s="22"/>
      <c r="M9" s="206" t="s">
        <v>90</v>
      </c>
      <c r="N9" s="206" t="s">
        <v>91</v>
      </c>
      <c r="O9" s="206" t="s">
        <v>92</v>
      </c>
      <c r="P9" s="206" t="s">
        <v>93</v>
      </c>
      <c r="Q9" s="206" t="s">
        <v>94</v>
      </c>
      <c r="R9" s="206" t="s">
        <v>95</v>
      </c>
      <c r="T9" s="30"/>
      <c r="AC9" s="22"/>
    </row>
    <row r="10" spans="1:29" ht="15.75" thickBot="1">
      <c r="A10" s="559"/>
      <c r="B10" s="559"/>
      <c r="C10" s="561"/>
      <c r="D10" s="227" t="s">
        <v>96</v>
      </c>
      <c r="E10" s="227" t="s">
        <v>97</v>
      </c>
      <c r="F10" s="228" t="s">
        <v>98</v>
      </c>
      <c r="G10" s="228" t="s">
        <v>99</v>
      </c>
      <c r="H10" s="229" t="s">
        <v>100</v>
      </c>
      <c r="I10" s="230" t="s">
        <v>101</v>
      </c>
      <c r="J10" s="228" t="s">
        <v>102</v>
      </c>
      <c r="K10" s="231" t="s">
        <v>102</v>
      </c>
      <c r="L10" s="22"/>
      <c r="M10" s="207" t="s">
        <v>103</v>
      </c>
      <c r="N10" s="207" t="s">
        <v>103</v>
      </c>
      <c r="O10" s="207" t="s">
        <v>103</v>
      </c>
      <c r="P10" s="207" t="s">
        <v>104</v>
      </c>
      <c r="Q10" s="207" t="s">
        <v>105</v>
      </c>
      <c r="R10" s="207" t="s">
        <v>105</v>
      </c>
      <c r="T10" s="30"/>
      <c r="AC10" s="22"/>
    </row>
    <row r="11" spans="1:29" ht="15.75" thickBot="1">
      <c r="A11" s="140">
        <v>110</v>
      </c>
      <c r="B11" s="141" t="s">
        <v>106</v>
      </c>
      <c r="C11" s="142"/>
      <c r="D11" s="143"/>
      <c r="E11" s="142"/>
      <c r="F11" s="144"/>
      <c r="G11" s="145"/>
      <c r="H11" s="144"/>
      <c r="I11" s="144"/>
      <c r="J11" s="144"/>
      <c r="K11" s="146"/>
      <c r="L11" s="22"/>
      <c r="N11" s="181"/>
      <c r="T11" s="30"/>
      <c r="AC11" s="22"/>
    </row>
    <row r="12" spans="1:29" ht="15.75" thickBot="1">
      <c r="A12" s="147">
        <v>111</v>
      </c>
      <c r="B12" s="148" t="s">
        <v>107</v>
      </c>
      <c r="C12" s="149"/>
      <c r="D12" s="150"/>
      <c r="E12" s="149"/>
      <c r="F12" s="151"/>
      <c r="G12" s="152"/>
      <c r="H12" s="151"/>
      <c r="I12" s="151"/>
      <c r="J12" s="151"/>
      <c r="K12" s="153"/>
      <c r="L12" s="22"/>
      <c r="T12" s="30"/>
      <c r="AC12" s="22"/>
    </row>
    <row r="13" spans="1:29">
      <c r="A13" s="354"/>
      <c r="B13" s="155" t="s">
        <v>108</v>
      </c>
      <c r="C13" s="355" t="s">
        <v>109</v>
      </c>
      <c r="D13" s="356">
        <v>1263</v>
      </c>
      <c r="E13" s="356">
        <v>6</v>
      </c>
      <c r="F13" s="355">
        <v>2</v>
      </c>
      <c r="G13" s="157">
        <f t="shared" ref="G13:G18" si="0">+D13*E13*F13</f>
        <v>15156</v>
      </c>
      <c r="H13" s="357">
        <v>160</v>
      </c>
      <c r="I13" s="158">
        <f>+H13*G13</f>
        <v>2424960</v>
      </c>
      <c r="J13" s="159">
        <f>(1/12)*D13*E13^3*F13</f>
        <v>45468</v>
      </c>
      <c r="K13" s="160">
        <f>+J13+(G13*(H13-$E$76)^2)</f>
        <v>4556640352.8138523</v>
      </c>
      <c r="L13" s="358"/>
      <c r="N13">
        <v>0</v>
      </c>
      <c r="O13" s="208"/>
      <c r="P13" s="181">
        <f>+M13*G13</f>
        <v>0</v>
      </c>
      <c r="Q13">
        <f>+N13*G13</f>
        <v>0</v>
      </c>
      <c r="R13" s="209">
        <f>+G13*O13</f>
        <v>0</v>
      </c>
      <c r="T13" s="30"/>
      <c r="AC13" s="22"/>
    </row>
    <row r="14" spans="1:29">
      <c r="A14" s="354"/>
      <c r="B14" s="155" t="s">
        <v>110</v>
      </c>
      <c r="C14" s="355" t="s">
        <v>109</v>
      </c>
      <c r="D14" s="356">
        <v>1100</v>
      </c>
      <c r="E14" s="356">
        <v>6</v>
      </c>
      <c r="F14" s="355">
        <v>2</v>
      </c>
      <c r="G14" s="157">
        <f t="shared" si="0"/>
        <v>13200</v>
      </c>
      <c r="H14" s="357">
        <v>1040</v>
      </c>
      <c r="I14" s="158">
        <f t="shared" ref="I14:I18" si="1">+G14*H14</f>
        <v>13728000</v>
      </c>
      <c r="J14" s="159">
        <f>+((1/12)*(E14*(D14^3)))*F14</f>
        <v>1331000000</v>
      </c>
      <c r="K14" s="160">
        <f t="shared" ref="K14:K20" si="2">+J14+(G14*(H14-$E$76)^2)</f>
        <v>2783221696.604125</v>
      </c>
      <c r="L14" s="359"/>
      <c r="O14" s="208"/>
      <c r="P14" s="181"/>
      <c r="R14" s="209"/>
      <c r="T14" s="30"/>
      <c r="AC14" s="22"/>
    </row>
    <row r="15" spans="1:29">
      <c r="A15" s="354"/>
      <c r="B15" s="155" t="s">
        <v>111</v>
      </c>
      <c r="C15" s="355" t="s">
        <v>109</v>
      </c>
      <c r="D15" s="356">
        <v>80</v>
      </c>
      <c r="E15" s="356">
        <v>6</v>
      </c>
      <c r="F15" s="355">
        <v>2</v>
      </c>
      <c r="G15" s="157">
        <f t="shared" si="0"/>
        <v>960</v>
      </c>
      <c r="H15" s="357">
        <v>260</v>
      </c>
      <c r="I15" s="158">
        <f t="shared" si="1"/>
        <v>249600</v>
      </c>
      <c r="J15" s="159">
        <f>+((1/12)*(E15*(D15^3)))*F15</f>
        <v>512000</v>
      </c>
      <c r="K15" s="160">
        <f t="shared" si="2"/>
        <v>193456477.43149832</v>
      </c>
      <c r="L15" s="359"/>
      <c r="O15" s="208"/>
      <c r="P15" s="181"/>
      <c r="R15" s="209"/>
      <c r="T15" s="30"/>
      <c r="AC15" s="22"/>
    </row>
    <row r="16" spans="1:29">
      <c r="A16" s="354"/>
      <c r="B16" s="155" t="s">
        <v>112</v>
      </c>
      <c r="C16" s="355" t="s">
        <v>109</v>
      </c>
      <c r="D16" s="356">
        <v>350</v>
      </c>
      <c r="E16" s="356">
        <v>6</v>
      </c>
      <c r="F16" s="355">
        <v>2</v>
      </c>
      <c r="G16" s="157">
        <f t="shared" si="0"/>
        <v>4200</v>
      </c>
      <c r="H16" s="357">
        <v>1215</v>
      </c>
      <c r="I16" s="158">
        <f t="shared" si="1"/>
        <v>5103000</v>
      </c>
      <c r="J16" s="159">
        <f>+((1/12)*(E16*(D16^3)))*F16</f>
        <v>42875000</v>
      </c>
      <c r="K16" s="160">
        <f t="shared" si="2"/>
        <v>1121151602.5677025</v>
      </c>
      <c r="L16" s="359"/>
      <c r="O16" s="208"/>
      <c r="P16" s="181"/>
      <c r="R16" s="209"/>
      <c r="T16" s="30"/>
      <c r="AC16" s="22"/>
    </row>
    <row r="17" spans="1:29">
      <c r="A17" s="354"/>
      <c r="B17" s="155" t="s">
        <v>113</v>
      </c>
      <c r="C17" s="355" t="s">
        <v>109</v>
      </c>
      <c r="D17" s="356">
        <v>350</v>
      </c>
      <c r="E17" s="356">
        <v>6</v>
      </c>
      <c r="F17" s="355">
        <v>2</v>
      </c>
      <c r="G17" s="157">
        <f t="shared" si="0"/>
        <v>4200</v>
      </c>
      <c r="H17" s="357">
        <v>3000</v>
      </c>
      <c r="I17" s="158">
        <f t="shared" ref="I17" si="3">+G17*H17</f>
        <v>12600000</v>
      </c>
      <c r="J17" s="159">
        <f>'espesores laminas'!X67*200*10000</f>
        <v>1358078.833333334</v>
      </c>
      <c r="K17" s="160">
        <f t="shared" si="2"/>
        <v>22059056521.340034</v>
      </c>
      <c r="L17" s="359"/>
      <c r="O17" s="208"/>
      <c r="P17" s="181"/>
      <c r="R17" s="209"/>
      <c r="T17" s="30"/>
      <c r="AC17" s="22"/>
    </row>
    <row r="18" spans="1:29">
      <c r="A18" s="354"/>
      <c r="B18" s="155" t="s">
        <v>114</v>
      </c>
      <c r="C18" s="355" t="s">
        <v>109</v>
      </c>
      <c r="D18" s="356">
        <v>2080</v>
      </c>
      <c r="E18" s="356">
        <v>6</v>
      </c>
      <c r="F18" s="355">
        <v>1</v>
      </c>
      <c r="G18" s="157">
        <f t="shared" si="0"/>
        <v>12480</v>
      </c>
      <c r="H18" s="357">
        <v>600</v>
      </c>
      <c r="I18" s="158">
        <f t="shared" si="1"/>
        <v>7488000</v>
      </c>
      <c r="J18" s="159">
        <f>'espesores laminas'!X84*260*10000</f>
        <v>1014904.8</v>
      </c>
      <c r="K18" s="160">
        <f t="shared" si="2"/>
        <v>147424438.50420269</v>
      </c>
      <c r="L18" s="359"/>
      <c r="O18" s="208"/>
      <c r="P18" s="181"/>
      <c r="R18" s="209"/>
      <c r="T18" s="30"/>
      <c r="AC18" s="22"/>
    </row>
    <row r="19" spans="1:29">
      <c r="A19" s="354"/>
      <c r="B19" s="155" t="s">
        <v>115</v>
      </c>
      <c r="C19" s="355" t="s">
        <v>109</v>
      </c>
      <c r="D19" s="356">
        <v>500</v>
      </c>
      <c r="E19" s="356">
        <v>6</v>
      </c>
      <c r="F19" s="355">
        <v>2</v>
      </c>
      <c r="G19" s="157">
        <f>Refuerzos!AH56*F19</f>
        <v>14487.060000000001</v>
      </c>
      <c r="H19" s="357">
        <v>140</v>
      </c>
      <c r="I19" s="158">
        <f>+G19*H19</f>
        <v>2028188.4000000001</v>
      </c>
      <c r="J19" s="159">
        <f>((Refuerzos!AM53+Refuerzos!AM54+Refuerzos!AM55)/Refuerzos!AG53)*10000</f>
        <v>40820970.921003975</v>
      </c>
      <c r="K19" s="160">
        <f t="shared" si="2"/>
        <v>4719833634.0349808</v>
      </c>
      <c r="L19" s="359"/>
      <c r="O19" s="208"/>
      <c r="P19" s="181"/>
      <c r="R19" s="209"/>
      <c r="T19" s="30"/>
      <c r="AC19" s="22"/>
    </row>
    <row r="20" spans="1:29">
      <c r="A20" s="354"/>
      <c r="B20" s="155" t="s">
        <v>116</v>
      </c>
      <c r="C20" s="355" t="s">
        <v>109</v>
      </c>
      <c r="D20" s="356">
        <v>400</v>
      </c>
      <c r="E20" s="356">
        <v>5</v>
      </c>
      <c r="F20" s="355">
        <v>2</v>
      </c>
      <c r="G20" s="157">
        <f>('C. inercias'!AA76+'C. inercias'!AA77+'C. inercias'!AA78)*F20</f>
        <v>8556</v>
      </c>
      <c r="H20" s="357">
        <v>200</v>
      </c>
      <c r="I20" s="158">
        <f>+G20*H20</f>
        <v>1711200</v>
      </c>
      <c r="J20" s="159">
        <f>'C. inercias'!AF81</f>
        <v>33067535.570833337</v>
      </c>
      <c r="K20" s="160">
        <f t="shared" si="2"/>
        <v>2243777894.9406223</v>
      </c>
      <c r="L20" s="359"/>
      <c r="O20" s="208"/>
      <c r="P20" s="181"/>
      <c r="R20" s="209"/>
      <c r="T20" s="30"/>
      <c r="AC20" s="22"/>
    </row>
    <row r="21" spans="1:29" ht="15.75" thickBot="1">
      <c r="A21" s="354"/>
      <c r="B21" s="155"/>
      <c r="C21" s="156"/>
      <c r="D21" s="357"/>
      <c r="E21" s="357"/>
      <c r="F21" s="156"/>
      <c r="G21" s="157"/>
      <c r="H21" s="357"/>
      <c r="I21" s="158"/>
      <c r="J21" s="159"/>
      <c r="K21" s="160"/>
      <c r="L21" s="359"/>
      <c r="O21" s="208"/>
      <c r="P21" s="181"/>
      <c r="R21" s="209"/>
      <c r="T21" s="30"/>
      <c r="AC21" s="22"/>
    </row>
    <row r="22" spans="1:29" ht="15.75" thickBot="1">
      <c r="A22" s="161">
        <v>116</v>
      </c>
      <c r="B22" s="162" t="s">
        <v>117</v>
      </c>
      <c r="C22" s="163"/>
      <c r="D22" s="164"/>
      <c r="E22" s="163"/>
      <c r="F22" s="165"/>
      <c r="G22" s="166"/>
      <c r="H22" s="167"/>
      <c r="I22" s="168"/>
      <c r="J22" s="165"/>
      <c r="K22" s="169"/>
      <c r="L22" s="359"/>
      <c r="T22" s="30"/>
      <c r="AC22" s="22"/>
    </row>
    <row r="23" spans="1:29">
      <c r="A23" s="360"/>
      <c r="B23" s="155" t="s">
        <v>118</v>
      </c>
      <c r="C23" s="355" t="s">
        <v>109</v>
      </c>
      <c r="D23" s="356">
        <v>60</v>
      </c>
      <c r="E23" s="355">
        <v>5</v>
      </c>
      <c r="F23" s="355">
        <v>2</v>
      </c>
      <c r="G23" s="170">
        <f>(Refuerzos!AH143+Refuerzos!AH144+Refuerzos!AH145)*F23</f>
        <v>1240</v>
      </c>
      <c r="H23" s="357">
        <v>980</v>
      </c>
      <c r="I23" s="158">
        <f>+G23*H23</f>
        <v>1215200</v>
      </c>
      <c r="J23" s="159">
        <f>Refuerzos!AS174*10000</f>
        <v>1130005.7035182298</v>
      </c>
      <c r="K23" s="160">
        <f t="shared" ref="K23:K26" si="4">+J23+(G23*(H23-$E$76)^2)</f>
        <v>92659687.438229293</v>
      </c>
      <c r="L23" s="359"/>
      <c r="T23" s="30"/>
      <c r="AC23" s="22"/>
    </row>
    <row r="24" spans="1:29">
      <c r="A24" s="360"/>
      <c r="B24" s="155" t="s">
        <v>119</v>
      </c>
      <c r="C24" s="355" t="s">
        <v>109</v>
      </c>
      <c r="D24" s="356">
        <v>60</v>
      </c>
      <c r="E24" s="355">
        <v>5</v>
      </c>
      <c r="F24" s="355">
        <v>2</v>
      </c>
      <c r="G24" s="170">
        <f>(Refuerzos!AH143+Refuerzos!AH144+Refuerzos!AH145)*F24</f>
        <v>1240</v>
      </c>
      <c r="H24" s="357">
        <v>1180</v>
      </c>
      <c r="I24" s="158">
        <f t="shared" ref="I24:I26" si="5">+G24*H24</f>
        <v>1463200</v>
      </c>
      <c r="J24" s="159">
        <f>Refuerzos!AS174*10000</f>
        <v>1130005.7035182298</v>
      </c>
      <c r="K24" s="160">
        <f t="shared" si="4"/>
        <v>277016835.13795865</v>
      </c>
      <c r="L24" s="359"/>
      <c r="T24" s="30"/>
      <c r="AC24" s="22"/>
    </row>
    <row r="25" spans="1:29">
      <c r="A25" s="360"/>
      <c r="B25" s="155" t="s">
        <v>120</v>
      </c>
      <c r="C25" s="355" t="s">
        <v>109</v>
      </c>
      <c r="D25" s="356">
        <v>60</v>
      </c>
      <c r="E25" s="355">
        <v>5</v>
      </c>
      <c r="F25" s="355">
        <v>2</v>
      </c>
      <c r="G25" s="170">
        <f>(Refuerzos!AH171+Refuerzos!AH172+Refuerzos!AH173)*F25</f>
        <v>1240</v>
      </c>
      <c r="H25" s="357">
        <v>2975</v>
      </c>
      <c r="I25" s="158">
        <f t="shared" si="5"/>
        <v>3689000</v>
      </c>
      <c r="J25" s="159">
        <f>(Refuerzos!AS171+Refuerzos!AS172+Refuerzos!AS173)*10000</f>
        <v>1117546.727207622</v>
      </c>
      <c r="K25" s="160">
        <f t="shared" si="4"/>
        <v>6372080776.7667198</v>
      </c>
      <c r="L25" s="359"/>
      <c r="T25" s="30"/>
      <c r="AC25" s="22"/>
    </row>
    <row r="26" spans="1:29">
      <c r="A26" s="360"/>
      <c r="B26" s="155" t="s">
        <v>120</v>
      </c>
      <c r="C26" s="355" t="s">
        <v>109</v>
      </c>
      <c r="D26" s="356">
        <v>60</v>
      </c>
      <c r="E26" s="355">
        <v>5</v>
      </c>
      <c r="F26" s="355">
        <v>2</v>
      </c>
      <c r="G26" s="170">
        <f>(Refuerzos!AH171+Refuerzos!AH172+Refuerzos!AH173)*F25</f>
        <v>1240</v>
      </c>
      <c r="H26" s="357">
        <v>2975</v>
      </c>
      <c r="I26" s="158">
        <f t="shared" si="5"/>
        <v>3689000</v>
      </c>
      <c r="J26" s="159">
        <f>+((1/12)*(E26*(D26^3)))*F26</f>
        <v>180000</v>
      </c>
      <c r="K26" s="160">
        <f t="shared" si="4"/>
        <v>6371143230.0395126</v>
      </c>
      <c r="L26" s="359"/>
      <c r="T26" s="30"/>
      <c r="AC26" s="22"/>
    </row>
    <row r="27" spans="1:29">
      <c r="A27" s="360"/>
      <c r="B27" s="155"/>
      <c r="C27" s="156"/>
      <c r="D27" s="357"/>
      <c r="E27" s="156"/>
      <c r="F27" s="156"/>
      <c r="G27" s="170"/>
      <c r="H27" s="357"/>
      <c r="I27" s="158"/>
      <c r="J27" s="159"/>
      <c r="K27" s="160"/>
      <c r="L27" s="359"/>
      <c r="T27" s="30"/>
      <c r="AC27" s="22"/>
    </row>
    <row r="28" spans="1:29">
      <c r="A28" s="360"/>
      <c r="B28" s="155"/>
      <c r="C28" s="156"/>
      <c r="D28" s="357"/>
      <c r="E28" s="156"/>
      <c r="F28" s="156"/>
      <c r="G28" s="170"/>
      <c r="H28" s="357"/>
      <c r="I28" s="158"/>
      <c r="J28" s="159"/>
      <c r="K28" s="160"/>
      <c r="L28" s="359"/>
      <c r="T28" s="30"/>
      <c r="AC28" s="22"/>
    </row>
    <row r="29" spans="1:29">
      <c r="A29" s="360"/>
      <c r="B29" s="155"/>
      <c r="C29" s="156"/>
      <c r="D29" s="357"/>
      <c r="E29" s="156"/>
      <c r="F29" s="156"/>
      <c r="G29" s="170"/>
      <c r="H29" s="357"/>
      <c r="I29" s="158"/>
      <c r="J29" s="159"/>
      <c r="K29" s="160"/>
      <c r="L29" s="359"/>
      <c r="T29" s="30"/>
      <c r="AC29" s="22"/>
    </row>
    <row r="30" spans="1:29" ht="15.75" thickBot="1">
      <c r="A30" s="360"/>
      <c r="B30" s="155"/>
      <c r="C30" s="156"/>
      <c r="D30" s="357"/>
      <c r="E30" s="156"/>
      <c r="F30" s="156"/>
      <c r="G30" s="170"/>
      <c r="H30" s="357"/>
      <c r="I30" s="158"/>
      <c r="J30" s="159"/>
      <c r="K30" s="160"/>
      <c r="L30" s="359"/>
      <c r="T30" s="30"/>
      <c r="AC30" s="22"/>
    </row>
    <row r="31" spans="1:29" ht="15.75" thickBot="1">
      <c r="A31" s="232"/>
      <c r="B31" s="564" t="s">
        <v>121</v>
      </c>
      <c r="C31" s="233"/>
      <c r="D31" s="361"/>
      <c r="E31" s="566" t="s">
        <v>122</v>
      </c>
      <c r="F31" s="566"/>
      <c r="G31" s="362" t="s">
        <v>123</v>
      </c>
      <c r="H31" s="363"/>
      <c r="I31" s="362" t="s">
        <v>124</v>
      </c>
      <c r="J31" s="364"/>
      <c r="K31" s="234" t="s">
        <v>125</v>
      </c>
      <c r="L31" s="359"/>
      <c r="M31" s="210" t="s">
        <v>126</v>
      </c>
      <c r="N31" s="210" t="s">
        <v>127</v>
      </c>
      <c r="O31" s="210" t="s">
        <v>128</v>
      </c>
      <c r="P31" s="210" t="s">
        <v>129</v>
      </c>
      <c r="Q31" s="210" t="s">
        <v>130</v>
      </c>
      <c r="R31" s="211" t="s">
        <v>131</v>
      </c>
      <c r="T31" s="28"/>
      <c r="U31" s="410"/>
      <c r="V31" s="23"/>
      <c r="W31" s="23"/>
      <c r="X31" s="23"/>
      <c r="Y31" s="23"/>
      <c r="Z31" s="23"/>
      <c r="AA31" s="23"/>
      <c r="AB31" s="23"/>
      <c r="AC31" s="24"/>
    </row>
    <row r="32" spans="1:29" ht="19.5" thickBot="1">
      <c r="A32" s="235"/>
      <c r="B32" s="565"/>
      <c r="C32" s="236"/>
      <c r="D32" s="237"/>
      <c r="E32" s="567"/>
      <c r="F32" s="567"/>
      <c r="G32" s="238">
        <f>SUM(G13:G30)</f>
        <v>78199.06</v>
      </c>
      <c r="H32" s="239"/>
      <c r="I32" s="240">
        <f>SUM(I13:I30)</f>
        <v>55389348.399999999</v>
      </c>
      <c r="J32" s="241"/>
      <c r="K32" s="242">
        <f>SUM(K13:R30)</f>
        <v>50937463147.619453</v>
      </c>
      <c r="L32" s="359"/>
      <c r="M32" s="212" t="s">
        <v>103</v>
      </c>
      <c r="N32" s="212" t="s">
        <v>103</v>
      </c>
      <c r="O32" s="212" t="s">
        <v>103</v>
      </c>
      <c r="P32" s="212" t="s">
        <v>104</v>
      </c>
      <c r="Q32" s="212" t="s">
        <v>104</v>
      </c>
      <c r="R32" s="213" t="s">
        <v>104</v>
      </c>
      <c r="T32" s="534" t="s">
        <v>132</v>
      </c>
      <c r="U32" s="535"/>
      <c r="V32" s="535"/>
      <c r="W32" s="535"/>
      <c r="X32" s="535"/>
      <c r="Y32" s="535"/>
      <c r="Z32" s="535"/>
      <c r="AA32" s="535"/>
      <c r="AB32" s="535"/>
      <c r="AC32" s="536"/>
    </row>
    <row r="33" spans="1:15" ht="16.5" hidden="1" customHeight="1">
      <c r="A33" s="365">
        <v>5</v>
      </c>
      <c r="B33" s="366" t="s">
        <v>133</v>
      </c>
      <c r="C33" s="367" t="e">
        <f>#REF!</f>
        <v>#REF!</v>
      </c>
      <c r="D33" s="366">
        <v>6.35</v>
      </c>
      <c r="E33" s="171" t="e">
        <f>#REF!+#REF!</f>
        <v>#REF!</v>
      </c>
      <c r="F33" s="156">
        <v>0</v>
      </c>
      <c r="G33" s="172"/>
      <c r="I33" s="172" t="e">
        <f>J33*1.83*6.1*50.2</f>
        <v>#REF!</v>
      </c>
      <c r="J33" s="156" t="e">
        <f>F33-#REF!</f>
        <v>#REF!</v>
      </c>
      <c r="L33" s="368"/>
      <c r="O33" s="214"/>
    </row>
    <row r="34" spans="1:15" ht="16.5" hidden="1" customHeight="1">
      <c r="A34" s="568" t="s">
        <v>134</v>
      </c>
      <c r="B34" s="569"/>
      <c r="C34" s="569"/>
      <c r="D34" s="569"/>
      <c r="E34" s="173" t="e">
        <f>SUM(E33:E33)</f>
        <v>#REF!</v>
      </c>
      <c r="F34" s="174"/>
      <c r="G34" s="369">
        <f>SUM(G33:G33)</f>
        <v>0</v>
      </c>
      <c r="I34" s="369" t="e">
        <f>SUM(I33:I33)</f>
        <v>#REF!</v>
      </c>
      <c r="L34" s="368"/>
    </row>
    <row r="35" spans="1:15" ht="16.5" hidden="1" customHeight="1">
      <c r="A35" s="370"/>
      <c r="B35" s="371"/>
      <c r="C35" s="371"/>
      <c r="D35" s="371"/>
      <c r="E35" s="175"/>
      <c r="F35" s="174"/>
      <c r="G35" s="372"/>
      <c r="I35" s="372"/>
      <c r="L35" s="368"/>
    </row>
    <row r="36" spans="1:15" ht="16.5" hidden="1" customHeight="1">
      <c r="A36" s="30"/>
      <c r="C36" s="262"/>
      <c r="D36" s="262"/>
      <c r="E36" s="176" t="s">
        <v>135</v>
      </c>
      <c r="F36" s="371" t="s">
        <v>136</v>
      </c>
      <c r="G36" s="371" t="s">
        <v>135</v>
      </c>
      <c r="H36" s="373"/>
      <c r="I36" s="371" t="s">
        <v>135</v>
      </c>
      <c r="J36" s="371" t="s">
        <v>136</v>
      </c>
      <c r="L36" s="368"/>
      <c r="M36" s="154"/>
    </row>
    <row r="37" spans="1:15" ht="15.75" hidden="1" customHeight="1">
      <c r="A37" s="365">
        <v>1</v>
      </c>
      <c r="B37" s="366" t="s">
        <v>137</v>
      </c>
      <c r="C37" s="367" t="s">
        <v>138</v>
      </c>
      <c r="D37" s="366">
        <v>9.5299999999999994</v>
      </c>
      <c r="E37" s="374" t="e">
        <f>#REF!+#REF!</f>
        <v>#REF!</v>
      </c>
      <c r="F37" s="156"/>
      <c r="G37" s="172">
        <v>5267.21</v>
      </c>
      <c r="L37" s="22" t="e">
        <f>IF(M37&gt;=0,#REF!,IF(M37&lt;0,#REF!,0))</f>
        <v>#REF!</v>
      </c>
      <c r="M37" s="215" t="e">
        <f t="shared" ref="M37:M42" si="6">+G37-E37*(1+0.08)</f>
        <v>#REF!</v>
      </c>
    </row>
    <row r="38" spans="1:15" ht="15.75" hidden="1" customHeight="1">
      <c r="A38" s="365">
        <v>2</v>
      </c>
      <c r="B38" s="366" t="s">
        <v>139</v>
      </c>
      <c r="C38" s="367" t="s">
        <v>138</v>
      </c>
      <c r="D38" s="366">
        <v>7.94</v>
      </c>
      <c r="E38" s="374" t="e">
        <f>#REF!+#REF!</f>
        <v>#REF!</v>
      </c>
      <c r="F38" s="156"/>
      <c r="G38" s="172">
        <f>8616.62+26580.068</f>
        <v>35196.688000000002</v>
      </c>
      <c r="L38" s="22" t="e">
        <f>IF(M38&gt;=0,#REF!,IF(M38&lt;0,#REF!,0))</f>
        <v>#REF!</v>
      </c>
      <c r="M38" s="215" t="e">
        <f t="shared" si="6"/>
        <v>#REF!</v>
      </c>
    </row>
    <row r="39" spans="1:15" ht="15.75" hidden="1" customHeight="1">
      <c r="A39" s="365">
        <v>3</v>
      </c>
      <c r="B39" s="366" t="s">
        <v>140</v>
      </c>
      <c r="C39" s="367" t="s">
        <v>138</v>
      </c>
      <c r="D39" s="366">
        <f>D38</f>
        <v>7.94</v>
      </c>
      <c r="E39" s="374" t="e">
        <f>#REF!+#REF!</f>
        <v>#REF!</v>
      </c>
      <c r="F39" s="156"/>
      <c r="G39" s="172">
        <v>9735.6</v>
      </c>
      <c r="L39" s="22" t="e">
        <f>IF(M39&gt;=0,#REF!,IF(M39&lt;0,#REF!,0))</f>
        <v>#REF!</v>
      </c>
      <c r="M39" s="215" t="e">
        <f t="shared" si="6"/>
        <v>#REF!</v>
      </c>
    </row>
    <row r="40" spans="1:15" ht="15.75" hidden="1" customHeight="1">
      <c r="A40" s="365">
        <v>4</v>
      </c>
      <c r="B40" s="366" t="s">
        <v>141</v>
      </c>
      <c r="C40" s="367" t="s">
        <v>138</v>
      </c>
      <c r="D40" s="366">
        <f>D38</f>
        <v>7.94</v>
      </c>
      <c r="E40" s="374" t="e">
        <f>#REF!+#REF!</f>
        <v>#REF!</v>
      </c>
      <c r="F40" s="156"/>
      <c r="G40" s="172">
        <v>20557.2</v>
      </c>
      <c r="L40" s="22" t="e">
        <f>IF(M40&gt;=0,#REF!,IF(M40&lt;0,#REF!,0))</f>
        <v>#REF!</v>
      </c>
      <c r="M40" s="215" t="e">
        <f t="shared" si="6"/>
        <v>#REF!</v>
      </c>
    </row>
    <row r="41" spans="1:15" ht="15.75" hidden="1" customHeight="1">
      <c r="A41" s="365">
        <v>5</v>
      </c>
      <c r="B41" s="366" t="s">
        <v>141</v>
      </c>
      <c r="C41" s="367" t="s">
        <v>138</v>
      </c>
      <c r="D41" s="366">
        <v>6.35</v>
      </c>
      <c r="E41" s="374" t="e">
        <f>#REF!+#REF!</f>
        <v>#REF!</v>
      </c>
      <c r="F41" s="156"/>
      <c r="G41" s="172">
        <v>3000.12</v>
      </c>
      <c r="L41" s="22" t="e">
        <f>IF(M41&gt;=0,#REF!,IF(M41&lt;0,#REF!,0))</f>
        <v>#REF!</v>
      </c>
      <c r="M41" s="215" t="e">
        <f t="shared" si="6"/>
        <v>#REF!</v>
      </c>
    </row>
    <row r="42" spans="1:15" ht="15.75" hidden="1" customHeight="1">
      <c r="A42" s="375">
        <v>6</v>
      </c>
      <c r="B42" s="177" t="s">
        <v>142</v>
      </c>
      <c r="C42" s="178" t="s">
        <v>143</v>
      </c>
      <c r="D42" s="177">
        <v>9.5299999999999994</v>
      </c>
      <c r="E42" s="171" t="e">
        <f>#REF!</f>
        <v>#REF!</v>
      </c>
      <c r="G42" s="172">
        <v>0</v>
      </c>
      <c r="L42" s="22" t="e">
        <f>IF(M42&gt;=0,#REF!,IF(M42&lt;0,#REF!,0))</f>
        <v>#REF!</v>
      </c>
      <c r="M42" s="215" t="e">
        <f t="shared" si="6"/>
        <v>#REF!</v>
      </c>
    </row>
    <row r="43" spans="1:15" ht="15.75" hidden="1" customHeight="1">
      <c r="A43" s="570" t="s">
        <v>144</v>
      </c>
      <c r="B43" s="571"/>
      <c r="C43" s="571"/>
      <c r="D43" s="571"/>
      <c r="E43" s="179" t="e">
        <f>SUM(E37:E42)</f>
        <v>#REF!</v>
      </c>
      <c r="F43" s="174"/>
      <c r="G43" s="369">
        <f>SUM(G37:G42)</f>
        <v>73756.817999999999</v>
      </c>
      <c r="L43" s="22"/>
    </row>
    <row r="44" spans="1:15" ht="15.75" hidden="1" customHeight="1">
      <c r="A44" s="572" t="s">
        <v>145</v>
      </c>
      <c r="B44" s="573"/>
      <c r="C44" s="573"/>
      <c r="D44" s="573"/>
      <c r="E44" s="369" t="e">
        <f>+E34+E43</f>
        <v>#REF!</v>
      </c>
      <c r="F44" s="373"/>
      <c r="G44" s="369">
        <f>+G34+G43</f>
        <v>73756.817999999999</v>
      </c>
      <c r="J44" s="376"/>
      <c r="L44" s="377"/>
      <c r="M44" s="181" t="e">
        <f>G44-E44</f>
        <v>#REF!</v>
      </c>
    </row>
    <row r="45" spans="1:15" ht="15.75" hidden="1" customHeight="1">
      <c r="A45" s="572" t="s">
        <v>146</v>
      </c>
      <c r="B45" s="573"/>
      <c r="C45" s="573"/>
      <c r="D45" s="573"/>
      <c r="E45" s="180" t="e">
        <f>#REF!+#REF!+#REF!+#REF!+#REF!+#REF!+#REF!+#REF!+#REF!*#REF!</f>
        <v>#REF!</v>
      </c>
      <c r="L45" s="22"/>
      <c r="M45" s="216" t="e">
        <f>M44/G44</f>
        <v>#REF!</v>
      </c>
      <c r="N45" t="s">
        <v>147</v>
      </c>
    </row>
    <row r="46" spans="1:15" ht="15.75" hidden="1" customHeight="1">
      <c r="A46" s="574" t="s">
        <v>148</v>
      </c>
      <c r="B46" s="575"/>
      <c r="C46" s="575"/>
      <c r="D46" s="575"/>
      <c r="E46" s="376" t="e">
        <f>E44+E45</f>
        <v>#REF!</v>
      </c>
      <c r="L46" s="22"/>
      <c r="M46" s="181" t="e">
        <f>#REF!+#REF!</f>
        <v>#REF!</v>
      </c>
    </row>
    <row r="47" spans="1:15" ht="15.75" customHeight="1" thickBot="1">
      <c r="A47" s="378"/>
      <c r="B47" s="379"/>
      <c r="C47" s="379"/>
      <c r="D47" s="379"/>
      <c r="E47" s="376"/>
      <c r="L47" s="22"/>
      <c r="M47" s="181"/>
    </row>
    <row r="48" spans="1:15" ht="16.5" thickBot="1">
      <c r="A48" s="30"/>
      <c r="C48" s="540" t="s">
        <v>149</v>
      </c>
      <c r="D48" s="541"/>
      <c r="E48" s="541"/>
      <c r="F48" s="542"/>
      <c r="I48" s="181"/>
      <c r="L48" s="22"/>
    </row>
    <row r="49" spans="1:12" hidden="1">
      <c r="A49" s="30"/>
      <c r="F49" s="32"/>
      <c r="L49" s="22"/>
    </row>
    <row r="50" spans="1:12" ht="20.25" hidden="1" customHeight="1">
      <c r="A50" s="545" t="s">
        <v>150</v>
      </c>
      <c r="B50" s="546"/>
      <c r="C50" s="546"/>
      <c r="D50" s="546"/>
      <c r="E50" s="546"/>
      <c r="F50" s="546"/>
      <c r="G50" s="546"/>
      <c r="L50" s="22"/>
    </row>
    <row r="51" spans="1:12" ht="15.75" hidden="1" customHeight="1">
      <c r="A51" s="547" t="s">
        <v>151</v>
      </c>
      <c r="B51" s="543" t="s">
        <v>152</v>
      </c>
      <c r="C51" s="549" t="s">
        <v>153</v>
      </c>
      <c r="D51" s="549"/>
      <c r="E51" s="543" t="s">
        <v>154</v>
      </c>
      <c r="F51" s="543" t="s">
        <v>155</v>
      </c>
      <c r="G51" s="543" t="s">
        <v>156</v>
      </c>
      <c r="L51" s="22"/>
    </row>
    <row r="52" spans="1:12" ht="30" hidden="1" customHeight="1">
      <c r="A52" s="548"/>
      <c r="B52" s="544"/>
      <c r="C52" s="182" t="s">
        <v>157</v>
      </c>
      <c r="D52" s="183" t="s">
        <v>158</v>
      </c>
      <c r="E52" s="544"/>
      <c r="F52" s="544"/>
      <c r="G52" s="544"/>
      <c r="L52" s="22"/>
    </row>
    <row r="53" spans="1:12" hidden="1">
      <c r="A53" s="380">
        <v>1</v>
      </c>
      <c r="B53" s="381" t="s">
        <v>159</v>
      </c>
      <c r="C53" s="156" t="s">
        <v>160</v>
      </c>
      <c r="D53" s="156">
        <v>12.7</v>
      </c>
      <c r="E53" s="184"/>
      <c r="F53" s="156" t="s">
        <v>161</v>
      </c>
      <c r="G53" s="382" t="e">
        <f>#REF!</f>
        <v>#REF!</v>
      </c>
      <c r="L53" s="22"/>
    </row>
    <row r="54" spans="1:12" hidden="1">
      <c r="A54" s="380">
        <v>2</v>
      </c>
      <c r="B54" s="381" t="str">
        <f>B53</f>
        <v>Lamina acero</v>
      </c>
      <c r="C54" s="156" t="str">
        <f>C53</f>
        <v>A131</v>
      </c>
      <c r="D54" s="156" t="e">
        <f>#REF!</f>
        <v>#REF!</v>
      </c>
      <c r="E54" s="185"/>
      <c r="F54" s="156" t="str">
        <f>F53</f>
        <v>1830x6100</v>
      </c>
      <c r="G54" s="382" t="e">
        <f>#REF!</f>
        <v>#REF!</v>
      </c>
      <c r="L54" s="22"/>
    </row>
    <row r="55" spans="1:12" hidden="1">
      <c r="A55" s="380">
        <v>3</v>
      </c>
      <c r="B55" s="381" t="str">
        <f>B53</f>
        <v>Lamina acero</v>
      </c>
      <c r="C55" s="156" t="str">
        <f>+C54</f>
        <v>A131</v>
      </c>
      <c r="D55" s="156" t="e">
        <f>#REF!</f>
        <v>#REF!</v>
      </c>
      <c r="E55" s="185"/>
      <c r="F55" s="156" t="str">
        <f>F54</f>
        <v>1830x6100</v>
      </c>
      <c r="G55" s="382" t="e">
        <f>#REF!</f>
        <v>#REF!</v>
      </c>
      <c r="L55" s="22"/>
    </row>
    <row r="56" spans="1:12" hidden="1">
      <c r="A56" s="380">
        <v>4</v>
      </c>
      <c r="B56" s="381" t="str">
        <f>B53</f>
        <v>Lamina acero</v>
      </c>
      <c r="C56" s="156" t="str">
        <f>C53</f>
        <v>A131</v>
      </c>
      <c r="D56" s="156" t="e">
        <f>#REF!</f>
        <v>#REF!</v>
      </c>
      <c r="E56" s="185"/>
      <c r="F56" s="156" t="s">
        <v>162</v>
      </c>
      <c r="G56" s="382"/>
      <c r="L56" s="22"/>
    </row>
    <row r="57" spans="1:12" hidden="1">
      <c r="A57" s="380">
        <v>5</v>
      </c>
      <c r="B57" s="381" t="s">
        <v>163</v>
      </c>
      <c r="C57" s="156" t="s">
        <v>164</v>
      </c>
      <c r="D57" s="156">
        <f>D37</f>
        <v>9.5299999999999994</v>
      </c>
      <c r="E57" s="185"/>
      <c r="F57" s="156" t="s">
        <v>165</v>
      </c>
      <c r="G57" s="382">
        <v>48</v>
      </c>
      <c r="L57" s="22"/>
    </row>
    <row r="58" spans="1:12" hidden="1">
      <c r="A58" s="380">
        <v>6</v>
      </c>
      <c r="B58" s="381" t="str">
        <f>B57</f>
        <v>Perfil L acero</v>
      </c>
      <c r="C58" s="156" t="str">
        <f>C57</f>
        <v>A36</v>
      </c>
      <c r="D58" s="156">
        <f>D38</f>
        <v>7.94</v>
      </c>
      <c r="E58" s="185"/>
      <c r="F58" s="156" t="s">
        <v>166</v>
      </c>
      <c r="G58" s="382"/>
      <c r="L58" s="22"/>
    </row>
    <row r="59" spans="1:12" hidden="1">
      <c r="A59" s="380">
        <v>7</v>
      </c>
      <c r="B59" s="381" t="str">
        <f>B57</f>
        <v>Perfil L acero</v>
      </c>
      <c r="C59" s="156" t="str">
        <f>C57</f>
        <v>A36</v>
      </c>
      <c r="D59" s="156">
        <f>D39</f>
        <v>7.94</v>
      </c>
      <c r="E59" s="185"/>
      <c r="F59" s="156" t="s">
        <v>167</v>
      </c>
      <c r="G59" s="382"/>
      <c r="L59" s="22"/>
    </row>
    <row r="60" spans="1:12" hidden="1">
      <c r="A60" s="380">
        <v>8</v>
      </c>
      <c r="B60" s="381" t="str">
        <f>B57</f>
        <v>Perfil L acero</v>
      </c>
      <c r="C60" s="156" t="str">
        <f>C57</f>
        <v>A36</v>
      </c>
      <c r="D60" s="156">
        <f>D40</f>
        <v>7.94</v>
      </c>
      <c r="E60" s="185"/>
      <c r="F60" s="156" t="s">
        <v>168</v>
      </c>
      <c r="G60" s="382"/>
      <c r="L60" s="22"/>
    </row>
    <row r="61" spans="1:12" hidden="1">
      <c r="A61" s="380">
        <v>9</v>
      </c>
      <c r="B61" s="381" t="str">
        <f>B57</f>
        <v>Perfil L acero</v>
      </c>
      <c r="C61" s="156" t="str">
        <f>C57</f>
        <v>A36</v>
      </c>
      <c r="D61" s="156">
        <f>D41</f>
        <v>6.35</v>
      </c>
      <c r="E61" s="185"/>
      <c r="F61" s="156" t="str">
        <f>F60</f>
        <v>76,2x6000</v>
      </c>
      <c r="G61" s="382"/>
      <c r="L61" s="22"/>
    </row>
    <row r="62" spans="1:12" hidden="1">
      <c r="A62" s="380">
        <v>10</v>
      </c>
      <c r="B62" s="383" t="s">
        <v>169</v>
      </c>
      <c r="C62" s="384" t="str">
        <f>+C61</f>
        <v>A36</v>
      </c>
      <c r="D62" s="385">
        <f>+F46</f>
        <v>0</v>
      </c>
      <c r="E62" s="386" t="e">
        <f>#REF!</f>
        <v>#REF!</v>
      </c>
      <c r="F62" s="385" t="s">
        <v>170</v>
      </c>
      <c r="G62" s="387"/>
      <c r="H62" t="s">
        <v>171</v>
      </c>
      <c r="L62" s="22"/>
    </row>
    <row r="63" spans="1:12" hidden="1">
      <c r="A63" s="380">
        <v>11</v>
      </c>
      <c r="B63" s="383" t="s">
        <v>172</v>
      </c>
      <c r="C63" s="384" t="str">
        <f>+C62</f>
        <v>A36</v>
      </c>
      <c r="D63" s="385">
        <v>3.91</v>
      </c>
      <c r="E63" s="386" t="e">
        <f>#REF!</f>
        <v>#REF!</v>
      </c>
      <c r="F63" s="385" t="s">
        <v>170</v>
      </c>
      <c r="G63" s="387"/>
      <c r="H63" t="s">
        <v>171</v>
      </c>
      <c r="L63" s="22"/>
    </row>
    <row r="64" spans="1:12" hidden="1">
      <c r="A64" s="388">
        <v>12</v>
      </c>
      <c r="B64" s="186" t="s">
        <v>173</v>
      </c>
      <c r="C64" s="187" t="str">
        <f>C57</f>
        <v>A36</v>
      </c>
      <c r="D64" s="187">
        <v>19.05</v>
      </c>
      <c r="E64" s="188" t="e">
        <f>G64*6*#REF!</f>
        <v>#REF!</v>
      </c>
      <c r="F64" s="187" t="s">
        <v>174</v>
      </c>
      <c r="G64" s="189" t="e">
        <f>ROUND((#REF!*2+#REF!*4+#REF!*2)/6,0)+1</f>
        <v>#REF!</v>
      </c>
      <c r="H64" t="s">
        <v>171</v>
      </c>
      <c r="L64" s="22"/>
    </row>
    <row r="65" spans="1:19" ht="16.5" hidden="1" customHeight="1">
      <c r="A65" s="550" t="s">
        <v>175</v>
      </c>
      <c r="B65" s="551"/>
      <c r="C65" s="262"/>
      <c r="D65" s="262"/>
      <c r="E65" s="389" t="e">
        <f>SUM(E53:E64)</f>
        <v>#REF!</v>
      </c>
      <c r="L65" s="22"/>
    </row>
    <row r="66" spans="1:19" hidden="1">
      <c r="A66" s="30"/>
      <c r="L66" s="22"/>
    </row>
    <row r="67" spans="1:19" ht="15.75" hidden="1" customHeight="1">
      <c r="A67" s="547" t="s">
        <v>151</v>
      </c>
      <c r="B67" s="543" t="s">
        <v>152</v>
      </c>
      <c r="C67" s="549" t="s">
        <v>153</v>
      </c>
      <c r="D67" s="549"/>
      <c r="E67" s="543" t="s">
        <v>154</v>
      </c>
      <c r="F67" s="543" t="s">
        <v>155</v>
      </c>
      <c r="G67" s="543" t="s">
        <v>156</v>
      </c>
      <c r="L67" s="22"/>
    </row>
    <row r="68" spans="1:19" ht="30" hidden="1" customHeight="1">
      <c r="A68" s="548"/>
      <c r="B68" s="544"/>
      <c r="C68" s="182" t="s">
        <v>157</v>
      </c>
      <c r="D68" s="183" t="s">
        <v>158</v>
      </c>
      <c r="E68" s="544"/>
      <c r="F68" s="544"/>
      <c r="G68" s="544"/>
      <c r="L68" s="22"/>
    </row>
    <row r="69" spans="1:19" hidden="1">
      <c r="A69" s="380">
        <v>1</v>
      </c>
      <c r="B69" s="383" t="s">
        <v>176</v>
      </c>
      <c r="C69" s="385" t="s">
        <v>177</v>
      </c>
      <c r="D69" s="385" t="s">
        <v>178</v>
      </c>
      <c r="E69" s="390" t="e">
        <f>#REF!</f>
        <v>#REF!</v>
      </c>
      <c r="F69" s="385" t="s">
        <v>179</v>
      </c>
      <c r="G69" s="391">
        <v>10</v>
      </c>
      <c r="L69" s="22"/>
    </row>
    <row r="70" spans="1:19" hidden="1">
      <c r="A70" s="380">
        <v>2</v>
      </c>
      <c r="B70" s="383" t="s">
        <v>180</v>
      </c>
      <c r="C70" s="385" t="str">
        <f>C69</f>
        <v>Acero</v>
      </c>
      <c r="D70" s="385" t="s">
        <v>178</v>
      </c>
      <c r="E70" s="390" t="e">
        <f>#REF!*#REF!</f>
        <v>#REF!</v>
      </c>
      <c r="F70" s="385" t="s">
        <v>181</v>
      </c>
      <c r="G70" s="391" t="e">
        <f>#REF!*#REF!</f>
        <v>#REF!</v>
      </c>
      <c r="L70" s="22"/>
    </row>
    <row r="71" spans="1:19" hidden="1">
      <c r="A71" s="380">
        <v>3</v>
      </c>
      <c r="B71" s="383" t="s">
        <v>182</v>
      </c>
      <c r="C71" s="385" t="str">
        <f>C69</f>
        <v>Acero</v>
      </c>
      <c r="D71" s="385" t="s">
        <v>178</v>
      </c>
      <c r="E71" s="390" t="e">
        <f>#REF!</f>
        <v>#REF!</v>
      </c>
      <c r="F71" s="385" t="s">
        <v>181</v>
      </c>
      <c r="G71" s="391" t="e">
        <f>#REF!</f>
        <v>#REF!</v>
      </c>
      <c r="L71" s="22"/>
    </row>
    <row r="72" spans="1:19" hidden="1">
      <c r="A72" s="380">
        <v>4</v>
      </c>
      <c r="B72" s="383" t="s">
        <v>183</v>
      </c>
      <c r="C72" s="385" t="str">
        <f>C69</f>
        <v>Acero</v>
      </c>
      <c r="D72" s="385" t="s">
        <v>178</v>
      </c>
      <c r="E72" s="390" t="e">
        <f>#REF!</f>
        <v>#REF!</v>
      </c>
      <c r="F72" s="385" t="s">
        <v>184</v>
      </c>
      <c r="G72" s="391" t="e">
        <f>#REF!</f>
        <v>#REF!</v>
      </c>
      <c r="L72" s="22"/>
    </row>
    <row r="73" spans="1:19" hidden="1">
      <c r="A73" s="388">
        <v>5</v>
      </c>
      <c r="B73" s="190" t="s">
        <v>185</v>
      </c>
      <c r="C73" s="191" t="s">
        <v>164</v>
      </c>
      <c r="D73" s="191" t="s">
        <v>178</v>
      </c>
      <c r="E73" s="192" t="e">
        <f>#REF!</f>
        <v>#REF!</v>
      </c>
      <c r="F73" s="191" t="s">
        <v>186</v>
      </c>
      <c r="G73" s="193" t="e">
        <f>#REF!*0.6</f>
        <v>#REF!</v>
      </c>
      <c r="I73" s="392" t="s">
        <v>187</v>
      </c>
      <c r="J73" s="392" t="s">
        <v>188</v>
      </c>
      <c r="L73" s="22"/>
    </row>
    <row r="74" spans="1:19" ht="16.5" hidden="1" customHeight="1">
      <c r="A74" s="550" t="s">
        <v>189</v>
      </c>
      <c r="B74" s="551"/>
      <c r="C74" s="262"/>
      <c r="D74" s="262"/>
      <c r="E74" s="393" t="e">
        <f>SUM(E69:E73)</f>
        <v>#REF!</v>
      </c>
      <c r="L74" s="22"/>
    </row>
    <row r="75" spans="1:19">
      <c r="A75" s="30"/>
      <c r="C75" s="552" t="s">
        <v>190</v>
      </c>
      <c r="D75" s="194" t="s">
        <v>191</v>
      </c>
      <c r="E75" s="195">
        <v>0</v>
      </c>
      <c r="F75" s="196"/>
      <c r="L75" s="22"/>
    </row>
    <row r="76" spans="1:19">
      <c r="A76" s="30"/>
      <c r="B76" s="394"/>
      <c r="C76" s="553"/>
      <c r="D76" s="197" t="s">
        <v>192</v>
      </c>
      <c r="E76" s="198">
        <f>+I32/G32</f>
        <v>708.31220221828755</v>
      </c>
      <c r="F76" s="199"/>
      <c r="L76" s="395"/>
      <c r="M76" s="156"/>
      <c r="N76" s="217"/>
      <c r="P76" s="218"/>
      <c r="Q76" s="217"/>
      <c r="R76" s="159"/>
      <c r="S76" s="159"/>
    </row>
    <row r="77" spans="1:19">
      <c r="A77" s="30"/>
      <c r="B77" s="396"/>
      <c r="C77" s="552" t="s">
        <v>193</v>
      </c>
      <c r="D77" s="200" t="s">
        <v>194</v>
      </c>
      <c r="E77" s="201">
        <f>1.2-E78</f>
        <v>0.49168779778171245</v>
      </c>
      <c r="F77" s="196" t="s">
        <v>114</v>
      </c>
      <c r="L77" s="395"/>
      <c r="M77" s="156"/>
      <c r="N77" s="217"/>
      <c r="P77" s="218"/>
      <c r="Q77" s="217"/>
      <c r="R77" s="159"/>
      <c r="S77" s="159"/>
    </row>
    <row r="78" spans="1:19">
      <c r="A78" s="30"/>
      <c r="C78" s="553"/>
      <c r="D78" s="202" t="s">
        <v>195</v>
      </c>
      <c r="E78" s="203">
        <f>+E76/1000</f>
        <v>0.7083122022182875</v>
      </c>
      <c r="F78" s="199" t="s">
        <v>196</v>
      </c>
      <c r="L78" s="395"/>
      <c r="M78" s="156"/>
      <c r="N78" s="217"/>
      <c r="P78" s="218"/>
      <c r="Q78" s="217"/>
      <c r="R78" s="159"/>
      <c r="S78" s="159"/>
    </row>
    <row r="79" spans="1:19">
      <c r="A79" s="30"/>
      <c r="C79" s="554" t="s">
        <v>197</v>
      </c>
      <c r="D79" s="243" t="s">
        <v>198</v>
      </c>
      <c r="E79" s="244">
        <f>+((K32/(1000*1000*1000*1000))/(E77))*100*100</f>
        <v>1035.9716750634805</v>
      </c>
      <c r="F79" s="245" t="s">
        <v>199</v>
      </c>
      <c r="I79" s="263"/>
      <c r="J79" s="156"/>
      <c r="K79" s="156"/>
      <c r="L79" s="395"/>
      <c r="M79" s="156"/>
      <c r="N79" s="217"/>
      <c r="P79" s="218"/>
      <c r="Q79" s="217"/>
      <c r="R79" s="159"/>
      <c r="S79" s="159"/>
    </row>
    <row r="80" spans="1:19">
      <c r="A80" s="30"/>
      <c r="C80" s="555"/>
      <c r="D80" s="246" t="s">
        <v>200</v>
      </c>
      <c r="E80" s="247">
        <f>+((K32/(1000*1000*1000*1000))/(E78))*100*100</f>
        <v>719.13858024884837</v>
      </c>
      <c r="F80" s="248" t="s">
        <v>196</v>
      </c>
      <c r="G80" s="181"/>
      <c r="I80" s="263"/>
      <c r="L80" s="22"/>
    </row>
    <row r="81" spans="1:26">
      <c r="A81" s="30"/>
      <c r="G81" s="204"/>
      <c r="L81" s="22"/>
      <c r="Z81" s="219"/>
    </row>
    <row r="82" spans="1:26" ht="15.75" thickBot="1">
      <c r="A82" s="30"/>
      <c r="L82" s="22"/>
      <c r="Z82" s="219"/>
    </row>
    <row r="83" spans="1:26" ht="21.75" customHeight="1" thickBot="1">
      <c r="A83" s="30"/>
      <c r="B83" s="485" t="s">
        <v>201</v>
      </c>
      <c r="C83" s="540" t="s">
        <v>202</v>
      </c>
      <c r="D83" s="541"/>
      <c r="E83" s="541"/>
      <c r="F83" s="542"/>
      <c r="H83" s="204"/>
      <c r="I83" s="204"/>
      <c r="J83" s="204"/>
      <c r="K83" s="204"/>
      <c r="L83" s="22"/>
      <c r="Z83" s="219"/>
    </row>
    <row r="84" spans="1:26" ht="28.5" customHeight="1">
      <c r="A84" s="30"/>
      <c r="B84" s="486" t="s">
        <v>109</v>
      </c>
      <c r="C84" s="397" t="s">
        <v>203</v>
      </c>
      <c r="D84" s="398">
        <f>VLOOKUP(B84,'Resistencia viga buque'!A18:C19,3,FALSE)</f>
        <v>103.18652880479915</v>
      </c>
      <c r="E84" s="348" t="s">
        <v>204</v>
      </c>
      <c r="G84" s="251"/>
      <c r="H84" s="253"/>
      <c r="I84" s="253"/>
      <c r="J84" s="249"/>
      <c r="K84" s="348"/>
      <c r="L84" s="22"/>
      <c r="Z84" s="219"/>
    </row>
    <row r="85" spans="1:26" ht="34.9" customHeight="1">
      <c r="A85" s="30"/>
      <c r="C85" s="538" t="s">
        <v>205</v>
      </c>
      <c r="D85" s="539"/>
      <c r="E85" s="539"/>
      <c r="F85" s="539"/>
      <c r="G85" s="220"/>
      <c r="H85" s="220"/>
      <c r="I85" s="220"/>
      <c r="L85" s="22"/>
      <c r="Z85" s="219"/>
    </row>
    <row r="86" spans="1:26" ht="15" customHeight="1">
      <c r="A86" s="30"/>
      <c r="G86" s="220"/>
      <c r="H86" s="270"/>
      <c r="I86" s="220"/>
      <c r="J86" s="220"/>
      <c r="K86" s="220"/>
      <c r="L86" s="399"/>
      <c r="M86" s="220"/>
      <c r="N86" s="220"/>
      <c r="O86" s="220"/>
      <c r="P86" s="220"/>
      <c r="Q86" s="220"/>
      <c r="R86" s="220"/>
      <c r="S86" s="220"/>
      <c r="T86" s="220"/>
      <c r="Z86" s="219"/>
    </row>
    <row r="87" spans="1:26" ht="15.75" thickBot="1">
      <c r="A87" s="30"/>
      <c r="C87" s="270"/>
      <c r="G87" s="220"/>
      <c r="L87" s="359"/>
      <c r="M87" s="139"/>
      <c r="N87" s="139"/>
      <c r="O87" s="139"/>
      <c r="P87" s="139"/>
      <c r="Q87" s="139"/>
      <c r="R87" s="139"/>
      <c r="S87" s="139"/>
      <c r="T87" s="220"/>
    </row>
    <row r="88" spans="1:26" ht="16.5" thickBot="1">
      <c r="A88" s="30"/>
      <c r="C88" s="540" t="s">
        <v>206</v>
      </c>
      <c r="D88" s="541"/>
      <c r="E88" s="541"/>
      <c r="F88" s="542"/>
      <c r="G88" s="220"/>
      <c r="H88" s="537"/>
      <c r="I88" s="537"/>
      <c r="J88" s="537"/>
      <c r="K88" s="537"/>
      <c r="L88" s="400"/>
      <c r="M88" s="204"/>
      <c r="N88" s="204"/>
      <c r="O88" s="204"/>
      <c r="P88" s="204"/>
      <c r="Q88" s="204"/>
      <c r="R88" s="204"/>
      <c r="S88" s="204"/>
      <c r="T88" s="220"/>
    </row>
    <row r="89" spans="1:26">
      <c r="A89" s="30"/>
      <c r="C89" s="220" t="s">
        <v>207</v>
      </c>
      <c r="D89" s="417">
        <f>+D90/D91</f>
        <v>6.9693068327675114</v>
      </c>
      <c r="E89" s="220"/>
      <c r="F89" s="220"/>
      <c r="H89" s="220"/>
      <c r="I89" s="254"/>
      <c r="J89" s="220"/>
      <c r="K89" s="220"/>
      <c r="L89" s="22"/>
      <c r="T89" s="220"/>
    </row>
    <row r="90" spans="1:26">
      <c r="A90" s="30"/>
      <c r="C90" s="220" t="s">
        <v>208</v>
      </c>
      <c r="D90" s="255">
        <f>+E80</f>
        <v>719.13858024884837</v>
      </c>
      <c r="E90" s="348" t="s">
        <v>204</v>
      </c>
      <c r="F90" s="220"/>
      <c r="H90" s="220"/>
      <c r="I90" s="255"/>
      <c r="J90" s="348"/>
      <c r="K90" s="220"/>
      <c r="L90" s="399"/>
      <c r="M90" s="220"/>
      <c r="N90" s="220"/>
      <c r="O90" s="220"/>
      <c r="P90" s="220"/>
      <c r="Q90" s="220"/>
      <c r="R90" s="220"/>
      <c r="S90" s="220"/>
      <c r="T90" s="220"/>
    </row>
    <row r="91" spans="1:26">
      <c r="A91" s="30"/>
      <c r="C91" s="220" t="s">
        <v>209</v>
      </c>
      <c r="D91" s="255">
        <f>+D84</f>
        <v>103.18652880479915</v>
      </c>
      <c r="E91" s="348" t="s">
        <v>204</v>
      </c>
      <c r="H91" s="220"/>
      <c r="I91" s="255"/>
      <c r="J91" s="348"/>
      <c r="L91" s="399"/>
      <c r="M91" s="220"/>
      <c r="N91" s="220"/>
      <c r="O91" s="220"/>
      <c r="P91" s="220"/>
      <c r="Q91" s="220"/>
      <c r="R91" s="220"/>
      <c r="S91" s="220"/>
    </row>
    <row r="92" spans="1:26">
      <c r="A92" s="30"/>
      <c r="C92" s="150" t="s">
        <v>210</v>
      </c>
      <c r="D92" s="150"/>
      <c r="E92" s="150"/>
      <c r="F92" s="199"/>
      <c r="H92" s="220"/>
      <c r="I92" s="220"/>
      <c r="J92" s="220"/>
      <c r="L92" s="399"/>
      <c r="M92" s="220"/>
      <c r="N92" s="220"/>
      <c r="O92" s="220"/>
      <c r="P92" s="220"/>
      <c r="Q92" s="220"/>
      <c r="R92" s="221"/>
      <c r="S92" s="220"/>
    </row>
    <row r="93" spans="1:26">
      <c r="A93" s="30"/>
      <c r="C93" s="220" t="s">
        <v>211</v>
      </c>
      <c r="H93" s="220"/>
      <c r="L93" s="399"/>
      <c r="M93" s="220"/>
      <c r="N93" s="220"/>
      <c r="O93" s="220"/>
      <c r="P93" s="220"/>
      <c r="Q93" s="220"/>
      <c r="R93" s="222"/>
      <c r="S93" s="220"/>
    </row>
    <row r="94" spans="1:26" ht="15.75" thickBot="1">
      <c r="A94" s="28"/>
      <c r="B94" s="23"/>
      <c r="C94" s="401"/>
      <c r="D94" s="23"/>
      <c r="E94" s="23"/>
      <c r="F94" s="23"/>
      <c r="G94" s="23"/>
      <c r="H94" s="23"/>
      <c r="I94" s="23"/>
      <c r="J94" s="23"/>
      <c r="K94" s="23"/>
      <c r="L94" s="402"/>
      <c r="M94" s="220"/>
      <c r="N94" s="220"/>
      <c r="O94" s="220"/>
      <c r="P94" s="220"/>
      <c r="Q94" s="220"/>
      <c r="R94" s="222"/>
      <c r="S94" s="220"/>
    </row>
    <row r="95" spans="1:26">
      <c r="C95" s="220"/>
      <c r="L95" s="220"/>
      <c r="M95" s="220"/>
      <c r="N95" s="220"/>
      <c r="O95" s="220"/>
      <c r="P95" s="220"/>
      <c r="Q95" s="220"/>
      <c r="R95" s="222"/>
      <c r="S95" s="220"/>
    </row>
    <row r="96" spans="1:26">
      <c r="C96" s="220"/>
      <c r="L96" s="220"/>
      <c r="M96" s="220"/>
      <c r="N96" s="220"/>
      <c r="O96" s="220"/>
      <c r="P96" s="220"/>
      <c r="Q96" s="220"/>
      <c r="R96" s="222"/>
      <c r="S96" s="220"/>
    </row>
    <row r="97" spans="3:19" ht="15.75">
      <c r="C97" s="537"/>
      <c r="D97" s="537"/>
      <c r="E97" s="537"/>
      <c r="F97" s="537"/>
      <c r="L97" s="220"/>
      <c r="M97" s="220"/>
      <c r="N97" s="220"/>
      <c r="O97" s="220"/>
      <c r="P97" s="220"/>
      <c r="Q97" s="220"/>
      <c r="R97" s="222"/>
      <c r="S97" s="220"/>
    </row>
    <row r="98" spans="3:19">
      <c r="C98" s="252"/>
      <c r="D98" s="252"/>
      <c r="E98" s="252"/>
      <c r="F98" s="252"/>
      <c r="G98" s="252"/>
      <c r="L98" s="220"/>
      <c r="M98" s="220"/>
      <c r="N98" s="220"/>
      <c r="O98" s="220"/>
      <c r="P98" s="220"/>
      <c r="Q98" s="220"/>
      <c r="R98" s="221">
        <f>+D104</f>
        <v>0</v>
      </c>
      <c r="S98" s="220"/>
    </row>
    <row r="99" spans="3:19">
      <c r="C99" s="256"/>
      <c r="L99" s="220"/>
      <c r="M99" s="220"/>
      <c r="N99" s="220"/>
      <c r="O99" s="220"/>
      <c r="P99" s="220"/>
      <c r="Q99" s="220"/>
      <c r="R99" s="220">
        <f>+D105</f>
        <v>0</v>
      </c>
      <c r="S99" s="220"/>
    </row>
    <row r="100" spans="3:19">
      <c r="C100" s="257"/>
      <c r="D100" s="258"/>
      <c r="G100" s="220"/>
      <c r="L100" s="220"/>
      <c r="M100" s="220"/>
      <c r="N100" s="220"/>
      <c r="O100" s="220"/>
      <c r="P100" s="220"/>
      <c r="Q100" s="220"/>
      <c r="R100" s="223" t="e">
        <f>(-0.11*R92*#REF!*R93*R98*(R99+0.7))*1000</f>
        <v>#REF!</v>
      </c>
    </row>
    <row r="101" spans="3:19">
      <c r="C101" s="257"/>
      <c r="D101" s="258"/>
      <c r="E101" s="220"/>
      <c r="F101" s="220"/>
      <c r="G101" s="220"/>
    </row>
    <row r="102" spans="3:19">
      <c r="C102" s="257"/>
      <c r="D102" s="258"/>
      <c r="E102" s="220"/>
      <c r="F102" s="250"/>
      <c r="G102" s="221"/>
      <c r="H102" s="204"/>
      <c r="I102" s="204"/>
      <c r="J102" s="204"/>
      <c r="K102" s="204"/>
      <c r="L102" s="204"/>
      <c r="M102" s="204"/>
    </row>
    <row r="103" spans="3:19">
      <c r="C103" s="257"/>
      <c r="D103" s="258"/>
      <c r="E103" s="220"/>
      <c r="F103" s="250"/>
      <c r="G103" s="259"/>
    </row>
    <row r="104" spans="3:19">
      <c r="C104" s="257"/>
      <c r="D104" s="258"/>
      <c r="E104" s="220"/>
      <c r="F104" s="250"/>
      <c r="G104" s="221"/>
    </row>
    <row r="105" spans="3:19">
      <c r="C105" s="257"/>
      <c r="D105" s="258"/>
      <c r="E105" s="220"/>
      <c r="F105" s="250"/>
      <c r="G105" s="220"/>
    </row>
    <row r="106" spans="3:19">
      <c r="C106" s="257"/>
      <c r="D106" s="258"/>
      <c r="E106" s="220"/>
      <c r="F106" s="250"/>
      <c r="G106" s="220"/>
    </row>
    <row r="107" spans="3:19">
      <c r="C107" s="260"/>
      <c r="D107" s="255"/>
      <c r="E107" s="251"/>
      <c r="F107" s="261"/>
      <c r="G107" s="255"/>
    </row>
    <row r="108" spans="3:19">
      <c r="C108" s="257"/>
      <c r="D108" s="258"/>
    </row>
    <row r="109" spans="3:19">
      <c r="C109" s="98"/>
      <c r="D109" s="262"/>
    </row>
    <row r="112" spans="3:19" ht="15.75">
      <c r="C112" s="537"/>
      <c r="D112" s="537"/>
      <c r="E112" s="537"/>
      <c r="F112" s="537"/>
      <c r="G112" s="263"/>
    </row>
    <row r="113" spans="2:7">
      <c r="C113" s="252"/>
      <c r="D113" s="204"/>
      <c r="E113" s="204"/>
      <c r="F113" s="204"/>
      <c r="G113" s="263"/>
    </row>
    <row r="114" spans="2:7">
      <c r="C114" s="220"/>
      <c r="D114" s="264"/>
      <c r="F114" s="156"/>
      <c r="G114" s="263"/>
    </row>
    <row r="115" spans="2:7">
      <c r="C115" s="220"/>
      <c r="D115" s="265"/>
      <c r="F115" s="156"/>
    </row>
    <row r="116" spans="2:7">
      <c r="C116" s="252"/>
      <c r="D116" s="204"/>
      <c r="E116" s="204"/>
      <c r="F116" s="204"/>
    </row>
    <row r="117" spans="2:7">
      <c r="C117" s="220"/>
      <c r="D117" s="264"/>
      <c r="F117" s="156"/>
    </row>
    <row r="118" spans="2:7">
      <c r="C118" s="220"/>
      <c r="D118" s="265"/>
      <c r="F118" s="156"/>
    </row>
    <row r="128" spans="2:7">
      <c r="B128" s="139"/>
    </row>
    <row r="148" spans="3:6">
      <c r="F148" s="139"/>
    </row>
    <row r="152" spans="3:6">
      <c r="C152" s="196"/>
      <c r="D152" s="224" t="s">
        <v>212</v>
      </c>
      <c r="E152" s="224"/>
    </row>
    <row r="153" spans="3:6">
      <c r="C153" s="529" t="s">
        <v>213</v>
      </c>
      <c r="D153" s="529"/>
      <c r="E153" s="529"/>
    </row>
  </sheetData>
  <mergeCells count="41">
    <mergeCell ref="F1:G1"/>
    <mergeCell ref="D4:L4"/>
    <mergeCell ref="C48:F48"/>
    <mergeCell ref="A8:K8"/>
    <mergeCell ref="A9:A10"/>
    <mergeCell ref="B9:B10"/>
    <mergeCell ref="C9:C10"/>
    <mergeCell ref="D9:E9"/>
    <mergeCell ref="B31:B32"/>
    <mergeCell ref="E31:F32"/>
    <mergeCell ref="A34:D34"/>
    <mergeCell ref="A43:D43"/>
    <mergeCell ref="A44:D44"/>
    <mergeCell ref="A45:D45"/>
    <mergeCell ref="A46:D46"/>
    <mergeCell ref="A65:B65"/>
    <mergeCell ref="A67:A68"/>
    <mergeCell ref="B67:B68"/>
    <mergeCell ref="C67:D67"/>
    <mergeCell ref="E67:E68"/>
    <mergeCell ref="A74:B74"/>
    <mergeCell ref="C75:C76"/>
    <mergeCell ref="C77:C78"/>
    <mergeCell ref="C79:C80"/>
    <mergeCell ref="C83:F83"/>
    <mergeCell ref="T32:AC32"/>
    <mergeCell ref="C112:F112"/>
    <mergeCell ref="C153:E153"/>
    <mergeCell ref="C85:F85"/>
    <mergeCell ref="C88:F88"/>
    <mergeCell ref="H88:K88"/>
    <mergeCell ref="C97:F97"/>
    <mergeCell ref="G67:G68"/>
    <mergeCell ref="F67:F68"/>
    <mergeCell ref="A50:G50"/>
    <mergeCell ref="A51:A52"/>
    <mergeCell ref="B51:B52"/>
    <mergeCell ref="C51:D51"/>
    <mergeCell ref="E51:E52"/>
    <mergeCell ref="F51:F52"/>
    <mergeCell ref="G51:G52"/>
  </mergeCells>
  <conditionalFormatting sqref="M37:M42">
    <cfRule type="top10" priority="1" rank="1"/>
  </conditionalFormatting>
  <conditionalFormatting sqref="I33">
    <cfRule type="top10" priority="2" rank="1"/>
  </conditionalFormatting>
  <hyperlinks>
    <hyperlink ref="I73" r:id="rId1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'Resistencia viga buque'!$A$18:$A$19</xm:f>
          </x14:formula1>
          <xm:sqref>B84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30"/>
  <sheetViews>
    <sheetView zoomScaleNormal="100" workbookViewId="0">
      <selection activeCell="C19" sqref="C19"/>
    </sheetView>
  </sheetViews>
  <sheetFormatPr baseColWidth="10" defaultColWidth="11.42578125" defaultRowHeight="15"/>
  <sheetData>
    <row r="1" spans="1:14" ht="15.75" thickBot="1">
      <c r="A1" s="578" t="s">
        <v>214</v>
      </c>
      <c r="B1" s="579"/>
      <c r="C1" s="579"/>
      <c r="D1" s="580"/>
    </row>
    <row r="2" spans="1:14" ht="15.75" thickBot="1">
      <c r="A2" s="581"/>
      <c r="B2" s="582"/>
      <c r="C2" s="582"/>
      <c r="D2" s="583"/>
      <c r="E2" s="21"/>
      <c r="F2" s="21"/>
      <c r="G2" s="21"/>
      <c r="H2" s="21"/>
      <c r="I2" s="21"/>
      <c r="J2" s="21"/>
      <c r="K2" s="21"/>
      <c r="L2" s="21"/>
      <c r="M2" s="21"/>
      <c r="N2" s="7"/>
    </row>
    <row r="3" spans="1:14" ht="15.75" thickBot="1">
      <c r="A3" s="30"/>
      <c r="G3" s="20"/>
      <c r="H3" s="21"/>
      <c r="I3" s="21"/>
      <c r="J3" s="21"/>
      <c r="K3" s="21"/>
      <c r="L3" s="7"/>
      <c r="N3" s="22"/>
    </row>
    <row r="4" spans="1:14">
      <c r="A4" s="576" t="s">
        <v>215</v>
      </c>
      <c r="B4" s="577"/>
      <c r="C4" s="577"/>
      <c r="D4" s="10"/>
      <c r="G4" s="30"/>
      <c r="L4" s="22"/>
      <c r="N4" s="22"/>
    </row>
    <row r="5" spans="1:14">
      <c r="A5" s="11"/>
      <c r="B5" s="8" t="s">
        <v>216</v>
      </c>
      <c r="C5" s="9">
        <f>0.044*'ABS Datos de entrada'!B12+3.75</f>
        <v>4.2146400000000002</v>
      </c>
      <c r="D5" s="12"/>
      <c r="G5" s="30"/>
      <c r="L5" s="22"/>
      <c r="N5" s="22"/>
    </row>
    <row r="6" spans="1:14">
      <c r="A6" s="11"/>
      <c r="B6" s="8" t="s">
        <v>217</v>
      </c>
      <c r="C6" s="84">
        <v>0.01</v>
      </c>
      <c r="D6" s="12"/>
      <c r="G6" s="30"/>
      <c r="L6" s="22"/>
      <c r="N6" s="22"/>
    </row>
    <row r="7" spans="1:14">
      <c r="A7" s="11"/>
      <c r="B7" s="8" t="s">
        <v>218</v>
      </c>
      <c r="C7" s="9">
        <f>0.7+0.3*(('ABS Datos de entrada'!B17/('ABS Datos de entrada'!B12)^0.5)/2.36)</f>
        <v>1.6779514643485121</v>
      </c>
      <c r="D7" s="12"/>
      <c r="G7" s="30"/>
      <c r="L7" s="22"/>
      <c r="N7" s="22"/>
    </row>
    <row r="8" spans="1:14">
      <c r="A8" s="11"/>
      <c r="B8" s="8" t="s">
        <v>219</v>
      </c>
      <c r="C8" s="84">
        <v>0.8</v>
      </c>
      <c r="D8" s="12"/>
      <c r="G8" s="30"/>
      <c r="L8" s="22"/>
      <c r="N8" s="22"/>
    </row>
    <row r="9" spans="1:14">
      <c r="A9" s="11"/>
      <c r="B9" s="8" t="s">
        <v>220</v>
      </c>
      <c r="C9" s="84">
        <v>0.9</v>
      </c>
      <c r="D9" s="12"/>
      <c r="G9" s="30"/>
      <c r="L9" s="22"/>
      <c r="N9" s="22"/>
    </row>
    <row r="10" spans="1:14">
      <c r="A10" s="11"/>
      <c r="B10" s="8" t="s">
        <v>221</v>
      </c>
      <c r="C10" s="9">
        <f>0.9+C13</f>
        <v>3.4555555555555553</v>
      </c>
      <c r="D10" s="12"/>
      <c r="G10" s="30"/>
      <c r="L10" s="22"/>
      <c r="N10" s="22"/>
    </row>
    <row r="11" spans="1:14">
      <c r="A11" s="11"/>
      <c r="B11" s="8" t="s">
        <v>222</v>
      </c>
      <c r="C11" s="9">
        <f>400/(0.75*'espesores laminas'!N6)</f>
        <v>5.0793650793650791</v>
      </c>
      <c r="D11" s="12"/>
      <c r="G11" s="30"/>
      <c r="L11" s="22"/>
      <c r="N11" s="22"/>
    </row>
    <row r="12" spans="1:14">
      <c r="A12" s="11"/>
      <c r="B12" s="8" t="s">
        <v>223</v>
      </c>
      <c r="C12" s="8">
        <f>60*0.75</f>
        <v>45</v>
      </c>
      <c r="D12" s="12" t="s">
        <v>224</v>
      </c>
      <c r="G12" s="30"/>
      <c r="L12" s="22"/>
      <c r="N12" s="22"/>
    </row>
    <row r="13" spans="1:14">
      <c r="A13" s="11"/>
      <c r="B13" s="8" t="s">
        <v>225</v>
      </c>
      <c r="C13" s="9">
        <f>115/C12</f>
        <v>2.5555555555555554</v>
      </c>
      <c r="D13" s="12" t="s">
        <v>226</v>
      </c>
      <c r="G13" s="30"/>
      <c r="L13" s="22"/>
      <c r="N13" s="22"/>
    </row>
    <row r="14" spans="1:14">
      <c r="A14" s="11"/>
      <c r="B14" s="8" t="s">
        <v>227</v>
      </c>
      <c r="C14" s="84">
        <v>0.45</v>
      </c>
      <c r="D14" s="12"/>
      <c r="G14" s="30"/>
      <c r="L14" s="22"/>
      <c r="N14" s="22"/>
    </row>
    <row r="15" spans="1:14" ht="15.75" thickBot="1">
      <c r="A15" s="13"/>
      <c r="B15" s="14" t="s">
        <v>228</v>
      </c>
      <c r="C15" s="92">
        <v>13.33</v>
      </c>
      <c r="D15" s="15" t="s">
        <v>224</v>
      </c>
      <c r="G15" s="30"/>
      <c r="L15" s="22"/>
      <c r="N15" s="22"/>
    </row>
    <row r="16" spans="1:14">
      <c r="A16" s="30"/>
      <c r="G16" s="30"/>
      <c r="L16" s="22"/>
      <c r="N16" s="22"/>
    </row>
    <row r="17" spans="1:14" ht="15.75" thickBot="1">
      <c r="A17" s="30"/>
      <c r="G17" s="30"/>
      <c r="L17" s="22"/>
      <c r="N17" s="22"/>
    </row>
    <row r="18" spans="1:14" ht="15.75" thickBot="1">
      <c r="A18" s="16" t="s">
        <v>229</v>
      </c>
      <c r="B18" s="57" t="s">
        <v>230</v>
      </c>
      <c r="C18" s="17">
        <f>C5*C6*'ABS Datos de entrada'!B12^2*'ABS Datos de entrada'!B13*('Resistencia viga buque'!C14+0.7)*'Resistencia viga buque'!C7*'Resistencia viga buque'!C9*'Resistencia viga buque'!C10</f>
        <v>78.973971049704289</v>
      </c>
      <c r="D18" s="18" t="s">
        <v>231</v>
      </c>
      <c r="G18" s="30"/>
      <c r="L18" s="22"/>
      <c r="N18" s="22"/>
    </row>
    <row r="19" spans="1:14" ht="15.75" thickBot="1">
      <c r="A19" s="30" t="s">
        <v>109</v>
      </c>
      <c r="B19" t="s">
        <v>230</v>
      </c>
      <c r="C19" s="32">
        <f>C5*C6*RESUMEN!B12^2*RESUMEN!B13*('Resistencia viga buque'!C14+0.7)*'Resistencia viga buque'!C7*'Resistencia viga buque'!C8*'Resistencia viga buque'!C11</f>
        <v>103.18652880479915</v>
      </c>
      <c r="D19" s="18" t="s">
        <v>231</v>
      </c>
      <c r="G19" s="30"/>
      <c r="L19" s="22"/>
      <c r="N19" s="22"/>
    </row>
    <row r="20" spans="1:14">
      <c r="A20" s="576" t="s">
        <v>232</v>
      </c>
      <c r="B20" s="577"/>
      <c r="C20" s="577"/>
      <c r="D20" s="10"/>
      <c r="G20" s="30"/>
      <c r="L20" s="22"/>
      <c r="N20" s="22"/>
    </row>
    <row r="21" spans="1:14" ht="15.75" thickBot="1">
      <c r="A21" s="13"/>
      <c r="B21" s="14" t="s">
        <v>88</v>
      </c>
      <c r="C21" s="19">
        <f>('ABS Datos de entrada'!B12/('Resistencia viga buque'!C10*'Resistencia viga buque'!C8))*('Resistencia viga buque'!C18/'Resistencia viga buque'!C15)</f>
        <v>22.631319632250992</v>
      </c>
      <c r="D21" s="15" t="s">
        <v>233</v>
      </c>
      <c r="G21" s="30"/>
      <c r="L21" s="22"/>
      <c r="N21" s="22"/>
    </row>
    <row r="22" spans="1:14">
      <c r="A22" s="30"/>
      <c r="G22" s="30"/>
      <c r="L22" s="22"/>
      <c r="N22" s="22"/>
    </row>
    <row r="23" spans="1:14">
      <c r="A23" s="30"/>
      <c r="G23" s="30"/>
      <c r="L23" s="22"/>
      <c r="N23" s="22"/>
    </row>
    <row r="24" spans="1:14">
      <c r="A24" s="30"/>
      <c r="G24" s="30"/>
      <c r="L24" s="22"/>
      <c r="N24" s="22"/>
    </row>
    <row r="25" spans="1:14">
      <c r="A25" s="30"/>
      <c r="G25" s="30"/>
      <c r="L25" s="22"/>
      <c r="N25" s="22"/>
    </row>
    <row r="26" spans="1:14">
      <c r="A26" s="30"/>
      <c r="G26" s="30"/>
      <c r="L26" s="22"/>
      <c r="N26" s="22"/>
    </row>
    <row r="27" spans="1:14">
      <c r="A27" s="30"/>
      <c r="G27" s="30"/>
      <c r="L27" s="22"/>
      <c r="N27" s="22"/>
    </row>
    <row r="28" spans="1:14" ht="15.75" thickBot="1">
      <c r="A28" s="30"/>
      <c r="G28" s="28"/>
      <c r="H28" s="23"/>
      <c r="I28" s="23"/>
      <c r="J28" s="23"/>
      <c r="K28" s="23"/>
      <c r="L28" s="24"/>
      <c r="N28" s="22"/>
    </row>
    <row r="29" spans="1:14">
      <c r="A29" s="30"/>
      <c r="N29" s="22"/>
    </row>
    <row r="30" spans="1:14" ht="15.75" thickBot="1">
      <c r="A30" s="584" t="s">
        <v>234</v>
      </c>
      <c r="B30" s="585"/>
      <c r="C30" s="585"/>
      <c r="D30" s="585"/>
      <c r="E30" s="585"/>
      <c r="F30" s="585"/>
      <c r="G30" s="585"/>
      <c r="H30" s="585"/>
      <c r="I30" s="23"/>
      <c r="J30" s="23"/>
      <c r="K30" s="23"/>
      <c r="L30" s="23"/>
      <c r="M30" s="23"/>
      <c r="N30" s="24"/>
    </row>
  </sheetData>
  <mergeCells count="4">
    <mergeCell ref="A4:C4"/>
    <mergeCell ref="A20:C20"/>
    <mergeCell ref="A1:D2"/>
    <mergeCell ref="A30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D14" sqref="D14"/>
    </sheetView>
  </sheetViews>
  <sheetFormatPr baseColWidth="10" defaultColWidth="11.42578125" defaultRowHeight="15"/>
  <cols>
    <col min="2" max="2" width="17.85546875" customWidth="1"/>
    <col min="3" max="3" width="21.140625" customWidth="1"/>
    <col min="6" max="6" width="18.7109375" customWidth="1"/>
  </cols>
  <sheetData>
    <row r="3" spans="2:6">
      <c r="B3" t="s">
        <v>235</v>
      </c>
      <c r="E3" t="s">
        <v>236</v>
      </c>
      <c r="F3" t="s">
        <v>237</v>
      </c>
    </row>
    <row r="4" spans="2:6">
      <c r="B4" t="s">
        <v>238</v>
      </c>
      <c r="C4" t="s">
        <v>239</v>
      </c>
      <c r="D4" t="s">
        <v>238</v>
      </c>
      <c r="E4">
        <v>1</v>
      </c>
      <c r="F4">
        <v>4</v>
      </c>
    </row>
    <row r="5" spans="2:6">
      <c r="B5" t="s">
        <v>240</v>
      </c>
      <c r="C5" t="s">
        <v>241</v>
      </c>
      <c r="D5" t="s">
        <v>240</v>
      </c>
      <c r="E5">
        <v>0.8</v>
      </c>
      <c r="F5">
        <v>4</v>
      </c>
    </row>
    <row r="6" spans="2:6">
      <c r="B6" t="s">
        <v>242</v>
      </c>
      <c r="C6" t="s">
        <v>243</v>
      </c>
      <c r="D6" t="s">
        <v>242</v>
      </c>
      <c r="E6">
        <v>0.6</v>
      </c>
      <c r="F6">
        <v>2</v>
      </c>
    </row>
    <row r="7" spans="2:6">
      <c r="B7" t="s">
        <v>244</v>
      </c>
      <c r="C7" t="s">
        <v>68</v>
      </c>
      <c r="D7" t="s">
        <v>244</v>
      </c>
      <c r="E7">
        <v>0.4</v>
      </c>
      <c r="F7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28"/>
  <sheetViews>
    <sheetView zoomScale="115" zoomScaleNormal="115" workbookViewId="0">
      <selection activeCell="D22" sqref="D22"/>
    </sheetView>
  </sheetViews>
  <sheetFormatPr baseColWidth="10" defaultColWidth="11.42578125" defaultRowHeight="15"/>
  <cols>
    <col min="2" max="2" width="9.7109375" customWidth="1"/>
    <col min="3" max="3" width="15.140625" customWidth="1"/>
    <col min="4" max="4" width="12.28515625" customWidth="1"/>
    <col min="5" max="5" width="12" bestFit="1" customWidth="1"/>
    <col min="10" max="10" width="12" bestFit="1" customWidth="1"/>
  </cols>
  <sheetData>
    <row r="1" spans="1:11">
      <c r="A1" s="588" t="s">
        <v>245</v>
      </c>
      <c r="B1" s="589"/>
      <c r="C1" s="589"/>
      <c r="D1" s="589"/>
      <c r="E1" s="589"/>
      <c r="F1" s="589"/>
      <c r="G1" s="589"/>
      <c r="H1" s="589"/>
      <c r="I1" s="589"/>
      <c r="J1" s="589"/>
      <c r="K1" s="590"/>
    </row>
    <row r="2" spans="1:11" ht="15.75" thickBot="1">
      <c r="A2" s="591"/>
      <c r="B2" s="592"/>
      <c r="C2" s="592"/>
      <c r="D2" s="592"/>
      <c r="E2" s="592"/>
      <c r="F2" s="592"/>
      <c r="G2" s="592"/>
      <c r="H2" s="592"/>
      <c r="I2" s="592"/>
      <c r="J2" s="592"/>
      <c r="K2" s="593"/>
    </row>
    <row r="3" spans="1:11">
      <c r="A3" s="20"/>
      <c r="B3" s="21"/>
      <c r="C3" s="21"/>
      <c r="D3" s="21"/>
      <c r="E3" s="21"/>
      <c r="F3" s="21"/>
      <c r="G3" s="21"/>
      <c r="H3" s="21"/>
      <c r="I3" s="21"/>
      <c r="J3" s="21"/>
      <c r="K3" s="7"/>
    </row>
    <row r="4" spans="1:11" ht="15.75" thickBot="1">
      <c r="A4" s="30"/>
      <c r="K4" s="22"/>
    </row>
    <row r="5" spans="1:11" ht="15.75" thickBot="1">
      <c r="A5" s="30"/>
      <c r="B5" s="39" t="s">
        <v>246</v>
      </c>
      <c r="C5" s="112" t="str">
        <f>'ISO 12215 Datos de entrada'!D23</f>
        <v>embarcación de planeo</v>
      </c>
      <c r="D5" s="113"/>
      <c r="K5" s="22"/>
    </row>
    <row r="6" spans="1:11" ht="15.75" thickBot="1">
      <c r="A6" s="30"/>
      <c r="K6" s="22"/>
    </row>
    <row r="7" spans="1:11" ht="16.5" thickBot="1">
      <c r="A7" s="30"/>
      <c r="B7" s="509" t="s">
        <v>247</v>
      </c>
      <c r="C7" s="510"/>
      <c r="D7" s="79">
        <f>IF(C5="embarcación de planeo",((0.1*'ISO 12215 Datos de entrada'!C17*1000)/('ISO 12215 Datos de entrada'!C13*'ISO 12215 Datos de entrada'!C14))*(1+'ISO 12215 Datos de entrada'!E26^0.5*'ISO 12215 Datos de entrada'!C28),(2.4*('ISO 12215 Datos de entrada'!C17*1000)^0.33+20)*'ISO 12215 Datos de entrada'!E26*'ISO 12215 Datos de entrada'!C31*'ISO 12215 Datos de entrada'!E26)</f>
        <v>103.20357142857142</v>
      </c>
      <c r="E7" s="114" t="s">
        <v>248</v>
      </c>
      <c r="K7" s="22"/>
    </row>
    <row r="8" spans="1:11" ht="15.75" thickBot="1">
      <c r="A8" s="30"/>
      <c r="K8" s="22"/>
    </row>
    <row r="9" spans="1:11" ht="16.5" thickBot="1">
      <c r="A9" s="30"/>
      <c r="B9" s="509" t="s">
        <v>249</v>
      </c>
      <c r="C9" s="510"/>
      <c r="D9" s="79">
        <f>(0.35*'ISO 12215 Datos de entrada'!C13+14.6)+'ISO 12215 Datos de entrada'!C38*(((0.25*0.1*('ISO 12215 Datos de entrada'!C17*1000)/('ISO 12215 Datos de entrada'!C13*'ISO 12215 Datos de entrada'!C14))*(1+'ISO 12215 Datos de entrada'!E26^0.5*'ISO 12215 Datos de entrada'!C28))-(0.35*'ISO 12215 Datos de entrada'!C13+14.6))*'ISO 12215 Datos de entrada'!C34*'ISO 12215 Datos de entrada'!E26*'ISO 12215 Datos de entrada'!C31</f>
        <v>19.868453741496598</v>
      </c>
      <c r="E9" s="114" t="s">
        <v>248</v>
      </c>
      <c r="K9" s="22"/>
    </row>
    <row r="10" spans="1:11" ht="15.75" thickBot="1">
      <c r="A10" s="30"/>
      <c r="D10" s="32"/>
      <c r="K10" s="22"/>
    </row>
    <row r="11" spans="1:11" ht="16.5" thickBot="1">
      <c r="A11" s="30"/>
      <c r="B11" s="509" t="s">
        <v>250</v>
      </c>
      <c r="C11" s="510"/>
      <c r="D11" s="79">
        <f>0.9*'ISO 12215 Datos de entrada'!C13*'ISO 12215 Datos de entrada'!E26</f>
        <v>9.5039999999999996</v>
      </c>
      <c r="E11" s="114" t="s">
        <v>248</v>
      </c>
      <c r="K11" s="22"/>
    </row>
    <row r="12" spans="1:11" ht="15.75" thickBot="1">
      <c r="A12" s="30"/>
      <c r="K12" s="22"/>
    </row>
    <row r="13" spans="1:11" ht="16.5" thickBot="1">
      <c r="A13" s="30"/>
      <c r="B13" s="509" t="s">
        <v>251</v>
      </c>
      <c r="C13" s="510"/>
      <c r="D13" s="79">
        <f>(0.35*'ISO 12215 Datos de entrada'!C13+14.6)*'ISO 12215 Datos de entrada'!E26*'ISO 12215 Datos de entrada'!C34*0.67</f>
        <v>3.0645799999999999</v>
      </c>
      <c r="E13" s="114" t="s">
        <v>248</v>
      </c>
      <c r="K13" s="22"/>
    </row>
    <row r="14" spans="1:11" ht="15.75" thickBot="1">
      <c r="A14" s="30"/>
      <c r="K14" s="22"/>
    </row>
    <row r="15" spans="1:11" ht="16.5" thickBot="1">
      <c r="A15" s="30"/>
      <c r="B15" s="509" t="s">
        <v>252</v>
      </c>
      <c r="C15" s="510"/>
      <c r="D15" s="79">
        <v>5</v>
      </c>
      <c r="E15" s="42" t="s">
        <v>248</v>
      </c>
      <c r="K15" s="22"/>
    </row>
    <row r="16" spans="1:11" ht="15.75" thickBot="1">
      <c r="A16" s="30"/>
      <c r="K16" s="22"/>
    </row>
    <row r="17" spans="1:11" ht="16.5" thickBot="1">
      <c r="A17" s="30"/>
      <c r="B17" s="586" t="s">
        <v>253</v>
      </c>
      <c r="C17" s="587"/>
      <c r="D17" s="41">
        <f>7*D18</f>
        <v>1.4000000000000001</v>
      </c>
      <c r="E17" s="114" t="s">
        <v>248</v>
      </c>
      <c r="K17" s="22"/>
    </row>
    <row r="18" spans="1:11" ht="45.75" thickBot="1">
      <c r="A18" s="30"/>
      <c r="C18" s="115" t="s">
        <v>254</v>
      </c>
      <c r="D18" s="116">
        <f>200/1000</f>
        <v>0.2</v>
      </c>
      <c r="E18" s="114" t="s">
        <v>16</v>
      </c>
      <c r="K18" s="22"/>
    </row>
    <row r="19" spans="1:11">
      <c r="A19" s="30"/>
      <c r="K19" s="22"/>
    </row>
    <row r="20" spans="1:11" ht="15.75" thickBot="1">
      <c r="A20" s="30"/>
      <c r="K20" s="22"/>
    </row>
    <row r="21" spans="1:11" ht="16.5" thickBot="1">
      <c r="A21" s="30"/>
      <c r="B21" s="586" t="s">
        <v>253</v>
      </c>
      <c r="C21" s="587"/>
      <c r="D21" s="79">
        <f>10*D22</f>
        <v>2</v>
      </c>
      <c r="E21" s="114" t="s">
        <v>248</v>
      </c>
      <c r="J21" s="32"/>
      <c r="K21" s="22"/>
    </row>
    <row r="22" spans="1:11" ht="45.75" thickBot="1">
      <c r="A22" s="30"/>
      <c r="C22" s="115" t="s">
        <v>254</v>
      </c>
      <c r="D22" s="116">
        <f>200/1000</f>
        <v>0.2</v>
      </c>
      <c r="E22" s="114" t="s">
        <v>16</v>
      </c>
      <c r="K22" s="22"/>
    </row>
    <row r="23" spans="1:11" ht="15.75" thickBot="1">
      <c r="A23" s="30"/>
      <c r="K23" s="22"/>
    </row>
    <row r="24" spans="1:11" ht="16.5" thickBot="1">
      <c r="A24" s="30"/>
      <c r="B24" s="586" t="s">
        <v>255</v>
      </c>
      <c r="C24" s="587"/>
      <c r="D24" s="117">
        <f>D21</f>
        <v>2</v>
      </c>
      <c r="E24" s="114" t="s">
        <v>248</v>
      </c>
      <c r="K24" s="22"/>
    </row>
    <row r="25" spans="1:11">
      <c r="A25" s="30"/>
      <c r="K25" s="22"/>
    </row>
    <row r="26" spans="1:11">
      <c r="A26" s="30"/>
      <c r="K26" s="22"/>
    </row>
    <row r="27" spans="1:11">
      <c r="A27" s="30"/>
      <c r="K27" s="22"/>
    </row>
    <row r="28" spans="1:11" ht="15.75" thickBot="1">
      <c r="A28" s="28"/>
      <c r="B28" s="23"/>
      <c r="C28" s="23"/>
      <c r="D28" s="23"/>
      <c r="E28" s="23"/>
      <c r="F28" s="23"/>
      <c r="G28" s="23"/>
      <c r="H28" s="23"/>
      <c r="I28" s="23"/>
      <c r="J28" s="23"/>
      <c r="K28" s="24"/>
    </row>
  </sheetData>
  <mergeCells count="9">
    <mergeCell ref="B17:C17"/>
    <mergeCell ref="B21:C21"/>
    <mergeCell ref="B24:C24"/>
    <mergeCell ref="A1:K2"/>
    <mergeCell ref="B7:C7"/>
    <mergeCell ref="B9:C9"/>
    <mergeCell ref="B11:C11"/>
    <mergeCell ref="B13:C13"/>
    <mergeCell ref="B15:C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D111"/>
  <sheetViews>
    <sheetView topLeftCell="L82" zoomScaleNormal="100" workbookViewId="0">
      <selection activeCell="X66" sqref="X66:X67"/>
    </sheetView>
  </sheetViews>
  <sheetFormatPr baseColWidth="10" defaultColWidth="11.42578125" defaultRowHeight="15"/>
  <cols>
    <col min="1" max="1" width="9.28515625" hidden="1" customWidth="1"/>
    <col min="2" max="2" width="26.28515625" hidden="1" customWidth="1"/>
    <col min="3" max="11" width="11.42578125" hidden="1" customWidth="1"/>
    <col min="12" max="12" width="19.85546875" customWidth="1"/>
    <col min="13" max="13" width="36.28515625" customWidth="1"/>
    <col min="17" max="17" width="22.7109375" customWidth="1"/>
    <col min="19" max="19" width="32.42578125" customWidth="1"/>
    <col min="20" max="20" width="12.5703125" customWidth="1"/>
    <col min="21" max="21" width="15.85546875" customWidth="1"/>
    <col min="22" max="22" width="15.140625" customWidth="1"/>
    <col min="23" max="23" width="18.140625" customWidth="1"/>
    <col min="24" max="24" width="23.140625" customWidth="1"/>
  </cols>
  <sheetData>
    <row r="1" spans="1:25">
      <c r="A1" s="618" t="s">
        <v>256</v>
      </c>
      <c r="B1" s="619"/>
      <c r="C1" s="619"/>
      <c r="D1" s="619"/>
      <c r="E1" s="619"/>
      <c r="F1" s="619"/>
      <c r="G1" s="619"/>
      <c r="H1" s="619"/>
      <c r="I1" s="619"/>
      <c r="J1" s="619"/>
      <c r="K1" s="620"/>
      <c r="L1" s="612" t="s">
        <v>257</v>
      </c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427"/>
    </row>
    <row r="2" spans="1:25" ht="15.75" thickBot="1">
      <c r="A2" s="621"/>
      <c r="B2" s="622"/>
      <c r="C2" s="622"/>
      <c r="D2" s="622"/>
      <c r="E2" s="622"/>
      <c r="F2" s="622"/>
      <c r="G2" s="622"/>
      <c r="H2" s="622"/>
      <c r="I2" s="622"/>
      <c r="J2" s="622"/>
      <c r="K2" s="623"/>
      <c r="L2" s="614"/>
      <c r="M2" s="615"/>
      <c r="N2" s="615"/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428"/>
    </row>
    <row r="3" spans="1:25">
      <c r="A3" s="20"/>
      <c r="B3" s="21"/>
      <c r="C3" s="21"/>
      <c r="D3" s="21"/>
      <c r="E3" s="21"/>
      <c r="F3" s="21"/>
      <c r="G3" s="21"/>
      <c r="H3" s="21"/>
      <c r="I3" s="21"/>
      <c r="J3" s="21"/>
      <c r="K3" s="7"/>
    </row>
    <row r="4" spans="1:25" ht="15.75" thickBot="1">
      <c r="A4" s="30"/>
      <c r="K4" s="22"/>
    </row>
    <row r="5" spans="1:25">
      <c r="A5" s="30"/>
      <c r="B5" s="20" t="s">
        <v>258</v>
      </c>
      <c r="C5" s="125">
        <v>275</v>
      </c>
      <c r="D5" s="7" t="s">
        <v>259</v>
      </c>
      <c r="K5" s="22"/>
      <c r="M5" s="20" t="s">
        <v>260</v>
      </c>
      <c r="N5" s="483">
        <v>210</v>
      </c>
      <c r="O5" s="7" t="s">
        <v>259</v>
      </c>
    </row>
    <row r="6" spans="1:25" ht="15.75" thickBot="1">
      <c r="A6" s="30"/>
      <c r="B6" s="28" t="s">
        <v>261</v>
      </c>
      <c r="C6" s="23">
        <f>0.6*C5</f>
        <v>165</v>
      </c>
      <c r="D6" s="24" t="s">
        <v>259</v>
      </c>
      <c r="K6" s="22"/>
      <c r="M6" s="28" t="s">
        <v>261</v>
      </c>
      <c r="N6" s="23">
        <f>0.5*N5</f>
        <v>105</v>
      </c>
      <c r="O6" s="24" t="s">
        <v>259</v>
      </c>
    </row>
    <row r="7" spans="1:25" ht="18.75">
      <c r="A7" s="30"/>
      <c r="K7" s="22"/>
      <c r="T7" s="597" t="s">
        <v>262</v>
      </c>
      <c r="U7" s="598"/>
      <c r="V7" s="598"/>
      <c r="W7" s="598"/>
      <c r="X7" s="598"/>
      <c r="Y7" s="599"/>
    </row>
    <row r="8" spans="1:25" ht="21" customHeight="1" thickBot="1">
      <c r="A8" s="30"/>
      <c r="K8" s="22"/>
      <c r="T8" s="30"/>
      <c r="Y8" s="22"/>
    </row>
    <row r="9" spans="1:25" ht="31.5" customHeight="1">
      <c r="A9" s="30"/>
      <c r="B9" s="25" t="s">
        <v>263</v>
      </c>
      <c r="C9" s="266">
        <v>1</v>
      </c>
      <c r="D9" s="25"/>
      <c r="K9" s="22"/>
      <c r="M9" s="25" t="s">
        <v>263</v>
      </c>
      <c r="N9" s="266">
        <v>1</v>
      </c>
      <c r="O9" s="25"/>
      <c r="Q9" s="50" t="s">
        <v>264</v>
      </c>
      <c r="R9" s="493">
        <v>1</v>
      </c>
      <c r="T9" s="602" t="s">
        <v>265</v>
      </c>
      <c r="U9" s="527"/>
      <c r="V9" s="498" t="s">
        <v>266</v>
      </c>
      <c r="W9" s="498" t="s">
        <v>267</v>
      </c>
      <c r="X9" s="499" t="s">
        <v>268</v>
      </c>
      <c r="Y9" s="7"/>
    </row>
    <row r="10" spans="1:25" ht="29.25" customHeight="1" thickBot="1">
      <c r="A10" s="30"/>
      <c r="B10" s="126" t="s">
        <v>269</v>
      </c>
      <c r="C10" s="267">
        <v>250</v>
      </c>
      <c r="D10" s="26" t="s">
        <v>41</v>
      </c>
      <c r="K10" s="22"/>
      <c r="M10" s="126" t="s">
        <v>269</v>
      </c>
      <c r="N10" s="267">
        <v>300</v>
      </c>
      <c r="O10" s="26" t="s">
        <v>41</v>
      </c>
      <c r="Q10" s="51" t="s">
        <v>270</v>
      </c>
      <c r="R10" s="494">
        <v>0.9</v>
      </c>
      <c r="T10" s="600" t="s">
        <v>373</v>
      </c>
      <c r="U10" s="601"/>
      <c r="V10" s="14">
        <f>VLOOKUP(T10,Hoja1!C4:D7,2,FALSE)</f>
        <v>0.55000000000000004</v>
      </c>
      <c r="W10" s="14">
        <v>1.6</v>
      </c>
      <c r="X10" s="15">
        <f>W10*V10</f>
        <v>0.88000000000000012</v>
      </c>
      <c r="Y10" s="477"/>
    </row>
    <row r="11" spans="1:25" ht="23.25" customHeight="1" thickBot="1">
      <c r="A11" s="30"/>
      <c r="B11" s="26" t="s">
        <v>272</v>
      </c>
      <c r="C11" s="267">
        <v>0</v>
      </c>
      <c r="D11" s="26" t="s">
        <v>41</v>
      </c>
      <c r="K11" s="22"/>
      <c r="M11" s="26" t="s">
        <v>272</v>
      </c>
      <c r="N11" s="267">
        <v>0</v>
      </c>
      <c r="O11" s="26" t="s">
        <v>41</v>
      </c>
      <c r="Q11" s="51" t="s">
        <v>273</v>
      </c>
      <c r="R11" s="494">
        <v>0.7</v>
      </c>
      <c r="T11" s="607" t="s">
        <v>274</v>
      </c>
      <c r="U11" s="608"/>
      <c r="V11">
        <v>19</v>
      </c>
      <c r="W11" t="s">
        <v>41</v>
      </c>
      <c r="Y11" s="22"/>
    </row>
    <row r="12" spans="1:25" ht="30.75" customHeight="1" thickBot="1">
      <c r="A12" s="30"/>
      <c r="B12" s="126" t="s">
        <v>275</v>
      </c>
      <c r="C12" s="267">
        <v>750</v>
      </c>
      <c r="D12" s="26" t="s">
        <v>41</v>
      </c>
      <c r="K12" s="22"/>
      <c r="M12" s="126" t="s">
        <v>275</v>
      </c>
      <c r="N12" s="267">
        <v>800</v>
      </c>
      <c r="O12" s="26" t="s">
        <v>41</v>
      </c>
      <c r="Q12" s="51" t="s">
        <v>276</v>
      </c>
      <c r="R12" s="494">
        <v>1</v>
      </c>
      <c r="T12" s="603" t="s">
        <v>277</v>
      </c>
      <c r="U12" s="604"/>
      <c r="V12" s="17">
        <f>(U13)^0.5*((U14*U16*U15)/(1000*X10))</f>
        <v>2.2727272727272725</v>
      </c>
      <c r="W12" s="18" t="s">
        <v>41</v>
      </c>
      <c r="Y12" s="22"/>
    </row>
    <row r="13" spans="1:25" ht="15.75" thickBot="1">
      <c r="A13" s="30"/>
      <c r="B13" s="26" t="s">
        <v>278</v>
      </c>
      <c r="C13" s="268">
        <f>IF(C12/C10&gt;2,2,C12/C10)</f>
        <v>2</v>
      </c>
      <c r="D13" s="26"/>
      <c r="K13" s="22"/>
      <c r="M13" s="26" t="s">
        <v>278</v>
      </c>
      <c r="N13" s="268">
        <f>IF(N12/N10&gt;2,2,N12/N10)</f>
        <v>2</v>
      </c>
      <c r="O13" s="26"/>
      <c r="Q13" s="118" t="s">
        <v>279</v>
      </c>
      <c r="R13" s="502">
        <v>0.9</v>
      </c>
      <c r="T13" s="500" t="s">
        <v>280</v>
      </c>
      <c r="U13" s="456">
        <v>1</v>
      </c>
      <c r="V13" s="453"/>
      <c r="Y13" s="22"/>
    </row>
    <row r="14" spans="1:25">
      <c r="A14" s="30"/>
      <c r="B14" s="126" t="s">
        <v>281</v>
      </c>
      <c r="C14" s="267">
        <f>0.5</f>
        <v>0.5</v>
      </c>
      <c r="D14" s="26"/>
      <c r="K14" s="22"/>
      <c r="M14" s="126" t="s">
        <v>281</v>
      </c>
      <c r="N14" s="267">
        <f>0.5</f>
        <v>0.5</v>
      </c>
      <c r="O14" s="26"/>
      <c r="T14" s="68" t="s">
        <v>282</v>
      </c>
      <c r="U14" s="457">
        <v>0.5</v>
      </c>
      <c r="V14" s="12"/>
      <c r="Y14" s="22"/>
    </row>
    <row r="15" spans="1:25" ht="15.75" thickBot="1">
      <c r="A15" s="30"/>
      <c r="B15" s="27" t="s">
        <v>283</v>
      </c>
      <c r="C15" s="269">
        <v>2.8000000000000001E-2</v>
      </c>
      <c r="D15" s="27"/>
      <c r="K15" s="22"/>
      <c r="M15" s="27" t="s">
        <v>283</v>
      </c>
      <c r="N15" s="269">
        <v>2.8000000000000001E-2</v>
      </c>
      <c r="O15" s="27"/>
      <c r="T15" s="68" t="s">
        <v>284</v>
      </c>
      <c r="U15" s="457">
        <v>800</v>
      </c>
      <c r="V15" s="12" t="s">
        <v>41</v>
      </c>
      <c r="Y15" s="22"/>
    </row>
    <row r="16" spans="1:25" ht="27.6" customHeight="1" thickBot="1">
      <c r="A16" s="30"/>
      <c r="B16" s="585" t="s">
        <v>285</v>
      </c>
      <c r="C16" s="585"/>
      <c r="D16" s="585"/>
      <c r="E16" s="585"/>
      <c r="K16" s="22"/>
      <c r="Q16" s="98" t="s">
        <v>286</v>
      </c>
      <c r="T16" s="501" t="s">
        <v>287</v>
      </c>
      <c r="U16" s="495">
        <f>'Presiones de diseño'!D15</f>
        <v>5</v>
      </c>
      <c r="V16" s="496" t="s">
        <v>288</v>
      </c>
      <c r="Y16" s="22"/>
    </row>
    <row r="17" spans="1:30" ht="16.5" thickBot="1">
      <c r="A17" s="30"/>
      <c r="B17" s="509" t="s">
        <v>289</v>
      </c>
      <c r="C17" s="510"/>
      <c r="D17" s="117">
        <f>(C10)*C9*(('Presiones de diseño'!D7*'espesores laminas'!C14)/(1000*'espesores laminas'!C6))^0.5</f>
        <v>4.4211006494289347</v>
      </c>
      <c r="E17" s="42" t="s">
        <v>41</v>
      </c>
      <c r="G17" s="60" t="s">
        <v>290</v>
      </c>
      <c r="H17" s="60" t="s">
        <v>291</v>
      </c>
      <c r="K17" s="22"/>
      <c r="L17" s="277" t="s">
        <v>292</v>
      </c>
      <c r="M17" s="21" t="s">
        <v>293</v>
      </c>
      <c r="N17" s="132">
        <f>N10*N9*((('Presiones de diseño'!D7*'espesores laminas'!N14)/(1000*'espesores laminas'!N6))^0.5)</f>
        <v>6.6505715574540147</v>
      </c>
      <c r="O17" s="7" t="s">
        <v>41</v>
      </c>
      <c r="P17" s="25"/>
      <c r="Q17" s="431">
        <f>0.43*R12*(1.5+0.03*'ISO 12215 Datos de entrada'!C18+0.15*('ISO 12215 Datos de entrada'!C17*1000)^0.33)</f>
        <v>2.2245708938193269</v>
      </c>
      <c r="R17" s="7" t="s">
        <v>294</v>
      </c>
      <c r="T17" s="605" t="s">
        <v>295</v>
      </c>
      <c r="U17" s="606"/>
      <c r="V17" s="497">
        <f>V12/(0.5*(SUM(P66:P71)-P69))</f>
        <v>0.79744816586921807</v>
      </c>
      <c r="W17" s="18" t="s">
        <v>41</v>
      </c>
      <c r="X17" s="23" t="s">
        <v>296</v>
      </c>
      <c r="Y17" s="24"/>
    </row>
    <row r="18" spans="1:30" ht="15.75" customHeight="1" thickBot="1">
      <c r="A18" s="30"/>
      <c r="K18" s="22"/>
      <c r="L18" s="413" t="s">
        <v>297</v>
      </c>
      <c r="M18" t="s">
        <v>293</v>
      </c>
      <c r="N18" s="32">
        <f>N10*N9*((('Presiones de diseño'!D9*'espesores laminas'!N14)/(1000*'espesores laminas'!N6))^0.5)</f>
        <v>2.9180561343981273</v>
      </c>
      <c r="O18" s="22" t="s">
        <v>41</v>
      </c>
      <c r="P18" s="27"/>
      <c r="Q18" s="432">
        <f>0.43*R12*(1.5+0*'ISO 12215 Datos de entrada'!C18+0.15*('ISO 12215 Datos de entrada'!C17*1000)^0.33)</f>
        <v>1.9020708938193269</v>
      </c>
      <c r="R18" s="24" t="s">
        <v>294</v>
      </c>
      <c r="T18" s="529"/>
      <c r="U18" s="529"/>
    </row>
    <row r="19" spans="1:30" ht="16.5" thickBot="1">
      <c r="A19" s="30"/>
      <c r="B19" s="509" t="s">
        <v>298</v>
      </c>
      <c r="C19" s="510"/>
      <c r="D19" s="117">
        <f>C10*C9*(('Presiones de diseño'!D9*'espesores laminas'!C14)/(1000*'espesores laminas'!C6))^0.5</f>
        <v>1.9398362621026279</v>
      </c>
      <c r="E19" s="42" t="s">
        <v>41</v>
      </c>
      <c r="G19" s="60" t="s">
        <v>299</v>
      </c>
      <c r="H19" s="60" t="s">
        <v>300</v>
      </c>
      <c r="K19" s="22"/>
      <c r="L19" s="413" t="s">
        <v>301</v>
      </c>
      <c r="M19" t="s">
        <v>293</v>
      </c>
      <c r="N19" s="32">
        <f>IF(N10*N9*((('Presiones de diseño'!D15*'espesores laminas'!N14)/(1000*'espesores laminas'!N6))^0.5)&lt;R12*(1.45+0.14*'ISO 12215 Datos de entrada'!C13),R12*(1.45+0.14*'ISO 12215 Datos de entrada'!C13),N10*N9*((('Presiones de diseño'!D15*'espesores laminas'!N14)/(1000*'espesores laminas'!N6))^0.5))</f>
        <v>2.9283999999999999</v>
      </c>
      <c r="O19" s="22" t="s">
        <v>41</v>
      </c>
      <c r="Q19" s="32"/>
    </row>
    <row r="20" spans="1:30" ht="16.5" thickBot="1">
      <c r="A20" s="30"/>
      <c r="B20" s="419"/>
      <c r="C20" s="419"/>
      <c r="D20" s="32"/>
      <c r="G20" s="60"/>
      <c r="H20" s="60"/>
      <c r="K20" s="22"/>
      <c r="L20" s="403" t="s">
        <v>302</v>
      </c>
      <c r="M20" s="23" t="s">
        <v>293</v>
      </c>
      <c r="N20" s="31">
        <f>N10*N9*((('Presiones de diseño'!D13*'espesores laminas'!N14)/(1000*'espesores laminas'!N6))^0.5)</f>
        <v>1.1460329090263632</v>
      </c>
      <c r="O20" s="24" t="s">
        <v>41</v>
      </c>
    </row>
    <row r="21" spans="1:30" ht="15.75" thickBot="1">
      <c r="A21" s="30"/>
      <c r="K21" s="22"/>
    </row>
    <row r="22" spans="1:30" ht="16.5" thickBot="1">
      <c r="A22" s="30"/>
      <c r="B22" s="509" t="s">
        <v>303</v>
      </c>
      <c r="C22" s="510"/>
      <c r="D22" s="117">
        <f>C10*C9*(('Presiones de diseño'!D11*'espesores laminas'!C14)/(1000*'espesores laminas'!C6))^0.5</f>
        <v>1.3416407864998738</v>
      </c>
      <c r="E22" s="42" t="s">
        <v>41</v>
      </c>
      <c r="G22" s="60" t="s">
        <v>304</v>
      </c>
      <c r="H22" s="60" t="s">
        <v>305</v>
      </c>
      <c r="K22" s="22"/>
      <c r="L22" s="616" t="s">
        <v>306</v>
      </c>
      <c r="M22" s="617"/>
      <c r="N22" s="617"/>
      <c r="O22" s="617"/>
      <c r="P22" s="617"/>
      <c r="Q22" s="617"/>
      <c r="R22" s="617"/>
    </row>
    <row r="23" spans="1:30" ht="15.75" thickBot="1">
      <c r="A23" s="30"/>
      <c r="K23" s="22"/>
    </row>
    <row r="24" spans="1:30" ht="16.5" thickBot="1">
      <c r="A24" s="30"/>
      <c r="B24" s="509" t="s">
        <v>307</v>
      </c>
      <c r="C24" s="510"/>
      <c r="D24" s="117">
        <f>C10*C9*(('Presiones de diseño'!D13*'espesores laminas'!C14)/(1000*'espesores laminas'!C6))^0.5</f>
        <v>0.76184833056710088</v>
      </c>
      <c r="E24" s="42" t="s">
        <v>41</v>
      </c>
      <c r="G24" s="60" t="s">
        <v>308</v>
      </c>
      <c r="H24" s="60" t="s">
        <v>309</v>
      </c>
      <c r="K24" s="22"/>
      <c r="L24" s="609" t="s">
        <v>292</v>
      </c>
      <c r="M24" s="610"/>
      <c r="N24" s="610"/>
      <c r="O24" s="610"/>
      <c r="P24" s="611"/>
      <c r="X24" s="20"/>
      <c r="Y24" s="21"/>
      <c r="Z24" s="21"/>
      <c r="AA24" s="21"/>
      <c r="AB24" s="21"/>
      <c r="AC24" s="21"/>
      <c r="AD24" s="7"/>
    </row>
    <row r="25" spans="1:30" ht="19.5" thickBot="1">
      <c r="A25" s="30"/>
      <c r="K25" s="22"/>
      <c r="L25" s="420" t="s">
        <v>310</v>
      </c>
      <c r="M25" t="s">
        <v>311</v>
      </c>
      <c r="N25" t="s">
        <v>312</v>
      </c>
      <c r="O25" t="s">
        <v>313</v>
      </c>
      <c r="P25" s="22" t="s">
        <v>314</v>
      </c>
      <c r="S25" s="594" t="s">
        <v>315</v>
      </c>
      <c r="T25" s="595"/>
      <c r="U25" s="596"/>
      <c r="X25" s="30"/>
      <c r="AD25" s="22"/>
    </row>
    <row r="26" spans="1:30" ht="16.5" thickBot="1">
      <c r="A26" s="30"/>
      <c r="B26" s="509" t="s">
        <v>316</v>
      </c>
      <c r="C26" s="510"/>
      <c r="D26" s="117">
        <f>C10*C9*(('Presiones de diseño'!D15*'espesores laminas'!C14)/(1000*'espesores laminas'!C6))^0.5</f>
        <v>0.97312368020190365</v>
      </c>
      <c r="E26" s="42" t="s">
        <v>41</v>
      </c>
      <c r="G26" s="60" t="s">
        <v>304</v>
      </c>
      <c r="H26" s="60" t="s">
        <v>317</v>
      </c>
      <c r="K26" s="22"/>
      <c r="L26" s="30">
        <v>1</v>
      </c>
      <c r="M26" t="s">
        <v>318</v>
      </c>
      <c r="N26">
        <f>225/1000</f>
        <v>0.22500000000000001</v>
      </c>
      <c r="O26">
        <f>30/100</f>
        <v>0.3</v>
      </c>
      <c r="P26" s="22">
        <v>0.5</v>
      </c>
      <c r="S26" s="20" t="s">
        <v>319</v>
      </c>
      <c r="T26" s="21">
        <f>(SUM(N26:N31))</f>
        <v>4.6899999999999995</v>
      </c>
      <c r="U26" s="7" t="s">
        <v>294</v>
      </c>
      <c r="X26" s="30"/>
      <c r="AD26" s="22"/>
    </row>
    <row r="27" spans="1:30">
      <c r="A27" s="30"/>
      <c r="K27" s="22"/>
      <c r="L27" s="30">
        <v>2</v>
      </c>
      <c r="M27" t="s">
        <v>320</v>
      </c>
      <c r="N27">
        <f>893/1000</f>
        <v>0.89300000000000002</v>
      </c>
      <c r="O27">
        <f>47/100</f>
        <v>0.47</v>
      </c>
      <c r="P27" s="22">
        <v>1.3</v>
      </c>
      <c r="S27" s="30" t="s">
        <v>321</v>
      </c>
      <c r="T27" s="32">
        <f>T26/((N26/O26)+(5*N27/O27))*100</f>
        <v>45.756097560975604</v>
      </c>
      <c r="U27" s="22" t="s">
        <v>322</v>
      </c>
      <c r="X27" s="30"/>
      <c r="AD27" s="22"/>
    </row>
    <row r="28" spans="1:30" ht="15.75" thickBot="1">
      <c r="A28" s="30"/>
      <c r="K28" s="22"/>
      <c r="L28" s="30">
        <v>3</v>
      </c>
      <c r="M28" t="s">
        <v>320</v>
      </c>
      <c r="N28">
        <f>893/1000</f>
        <v>0.89300000000000002</v>
      </c>
      <c r="O28">
        <f>47/100</f>
        <v>0.47</v>
      </c>
      <c r="P28" s="22">
        <v>1.3</v>
      </c>
      <c r="S28" s="30" t="s">
        <v>323</v>
      </c>
      <c r="T28" s="32">
        <f>(T26/3.07)*((2.56/(T27/100))-1.36)</f>
        <v>6.469576547231271</v>
      </c>
      <c r="U28" s="22" t="s">
        <v>41</v>
      </c>
      <c r="X28" s="30"/>
      <c r="AD28" s="22"/>
    </row>
    <row r="29" spans="1:30" ht="16.5" thickBot="1">
      <c r="A29" s="30"/>
      <c r="B29" s="509" t="s">
        <v>324</v>
      </c>
      <c r="C29" s="510"/>
      <c r="D29" s="117">
        <f>D30*(D33+D31*'ISO 12215 Datos de entrada'!C14+'espesores laminas'!D32*('ISO 12215 Datos de entrada'!C13*1000)^0.33)</f>
        <v>2.1461155405905044</v>
      </c>
      <c r="E29" s="42" t="s">
        <v>41</v>
      </c>
      <c r="G29" s="60" t="s">
        <v>325</v>
      </c>
      <c r="H29" s="60" t="s">
        <v>300</v>
      </c>
      <c r="K29" s="22"/>
      <c r="L29" s="30">
        <v>4</v>
      </c>
      <c r="M29" t="s">
        <v>320</v>
      </c>
      <c r="N29">
        <f>893/1000</f>
        <v>0.89300000000000002</v>
      </c>
      <c r="O29">
        <f>47/100</f>
        <v>0.47</v>
      </c>
      <c r="P29" s="22">
        <v>1.3</v>
      </c>
      <c r="S29" s="28" t="s">
        <v>326</v>
      </c>
      <c r="T29" s="31">
        <f>T28/N17</f>
        <v>0.97278504431399082</v>
      </c>
      <c r="U29" s="24"/>
      <c r="X29" s="30"/>
      <c r="AD29" s="22"/>
    </row>
    <row r="30" spans="1:30">
      <c r="A30" s="30"/>
      <c r="C30" s="25" t="s">
        <v>327</v>
      </c>
      <c r="D30" s="7">
        <f>(125/C5)^0.5</f>
        <v>0.67419986246324204</v>
      </c>
      <c r="K30" s="22"/>
      <c r="L30" s="30">
        <v>5</v>
      </c>
      <c r="M30" t="s">
        <v>320</v>
      </c>
      <c r="N30">
        <f>893/1000</f>
        <v>0.89300000000000002</v>
      </c>
      <c r="O30">
        <f>47/100</f>
        <v>0.47</v>
      </c>
      <c r="P30" s="22">
        <v>1.3</v>
      </c>
      <c r="X30" s="30"/>
      <c r="AD30" s="22"/>
    </row>
    <row r="31" spans="1:30" ht="15.75" thickBot="1">
      <c r="A31" s="30"/>
      <c r="C31" s="26" t="s">
        <v>328</v>
      </c>
      <c r="D31" s="22">
        <v>0.02</v>
      </c>
      <c r="K31" s="22"/>
      <c r="L31" s="28">
        <v>6</v>
      </c>
      <c r="M31" s="23" t="s">
        <v>320</v>
      </c>
      <c r="N31" s="23">
        <f>893/1000</f>
        <v>0.89300000000000002</v>
      </c>
      <c r="O31" s="23">
        <f>47/100</f>
        <v>0.47</v>
      </c>
      <c r="P31" s="24">
        <v>1.3</v>
      </c>
      <c r="X31" s="30"/>
      <c r="AD31" s="22"/>
    </row>
    <row r="32" spans="1:30">
      <c r="A32" s="30"/>
      <c r="C32" s="26" t="s">
        <v>329</v>
      </c>
      <c r="D32" s="22">
        <v>0.1</v>
      </c>
      <c r="K32" s="22"/>
      <c r="X32" s="30"/>
      <c r="AD32" s="22"/>
    </row>
    <row r="33" spans="1:30" ht="15.75" thickBot="1">
      <c r="A33" s="30"/>
      <c r="C33" s="27" t="s">
        <v>238</v>
      </c>
      <c r="D33" s="24">
        <v>1</v>
      </c>
      <c r="K33" s="22"/>
      <c r="X33" s="30"/>
      <c r="AD33" s="22"/>
    </row>
    <row r="34" spans="1:30" ht="15.75" thickBot="1">
      <c r="A34" s="30"/>
      <c r="K34" s="22"/>
      <c r="L34" s="609" t="s">
        <v>330</v>
      </c>
      <c r="M34" s="610"/>
      <c r="N34" s="610"/>
      <c r="O34" s="610"/>
      <c r="P34" s="611"/>
      <c r="X34" s="30"/>
      <c r="AD34" s="22"/>
    </row>
    <row r="35" spans="1:30" ht="19.5" thickBot="1">
      <c r="A35" s="30"/>
      <c r="B35" s="509" t="s">
        <v>331</v>
      </c>
      <c r="C35" s="510"/>
      <c r="D35" s="117">
        <f>D36*(D39+D37*'ISO 12215 Datos de entrada'!C20+'espesores laminas'!D38*('ISO 12215 Datos de entrada'!C19*1000)^0.33)</f>
        <v>2.2101954420532199</v>
      </c>
      <c r="E35" s="42" t="s">
        <v>41</v>
      </c>
      <c r="G35" s="60" t="s">
        <v>299</v>
      </c>
      <c r="H35" s="60" t="s">
        <v>300</v>
      </c>
      <c r="K35" s="22"/>
      <c r="L35" s="420" t="s">
        <v>310</v>
      </c>
      <c r="M35" t="s">
        <v>311</v>
      </c>
      <c r="N35" t="s">
        <v>312</v>
      </c>
      <c r="O35" t="s">
        <v>313</v>
      </c>
      <c r="P35" s="22" t="s">
        <v>314</v>
      </c>
      <c r="S35" s="594" t="s">
        <v>332</v>
      </c>
      <c r="T35" s="595"/>
      <c r="U35" s="596"/>
      <c r="X35" s="30"/>
      <c r="AD35" s="22"/>
    </row>
    <row r="36" spans="1:30">
      <c r="A36" s="30"/>
      <c r="C36" s="25" t="s">
        <v>327</v>
      </c>
      <c r="D36" s="7">
        <f>(125/C5)^0.5</f>
        <v>0.67419986246324204</v>
      </c>
      <c r="K36" s="22"/>
      <c r="L36" s="30">
        <v>1</v>
      </c>
      <c r="M36" t="s">
        <v>318</v>
      </c>
      <c r="N36">
        <f>225/1000</f>
        <v>0.22500000000000001</v>
      </c>
      <c r="O36">
        <f>30/100</f>
        <v>0.3</v>
      </c>
      <c r="P36" s="22">
        <v>0.5</v>
      </c>
      <c r="S36" s="20" t="s">
        <v>319</v>
      </c>
      <c r="T36" s="21">
        <f>(SUM(N36:N41))</f>
        <v>4.6899999999999995</v>
      </c>
      <c r="U36" s="7" t="s">
        <v>294</v>
      </c>
      <c r="X36" s="30"/>
      <c r="AD36" s="22"/>
    </row>
    <row r="37" spans="1:30">
      <c r="A37" s="30"/>
      <c r="C37" s="26" t="s">
        <v>328</v>
      </c>
      <c r="D37" s="22">
        <v>0</v>
      </c>
      <c r="K37" s="22"/>
      <c r="L37" s="30">
        <v>2</v>
      </c>
      <c r="M37" t="s">
        <v>320</v>
      </c>
      <c r="N37">
        <f>893/1000</f>
        <v>0.89300000000000002</v>
      </c>
      <c r="O37">
        <f>47/100</f>
        <v>0.47</v>
      </c>
      <c r="P37" s="22">
        <v>1.3</v>
      </c>
      <c r="S37" s="30" t="s">
        <v>321</v>
      </c>
      <c r="T37" s="32">
        <f>T26/((N36/O36)+(5*N37/O37))*100</f>
        <v>45.756097560975604</v>
      </c>
      <c r="U37" s="22" t="s">
        <v>322</v>
      </c>
      <c r="X37" s="30"/>
      <c r="AD37" s="22"/>
    </row>
    <row r="38" spans="1:30">
      <c r="A38" s="30"/>
      <c r="C38" s="26" t="s">
        <v>329</v>
      </c>
      <c r="D38" s="22">
        <v>0.1</v>
      </c>
      <c r="K38" s="22"/>
      <c r="L38" s="30">
        <v>3</v>
      </c>
      <c r="M38" t="s">
        <v>320</v>
      </c>
      <c r="N38">
        <f>893/1000</f>
        <v>0.89300000000000002</v>
      </c>
      <c r="O38">
        <f>47/100</f>
        <v>0.47</v>
      </c>
      <c r="P38" s="22">
        <v>1.3</v>
      </c>
      <c r="S38" s="30" t="s">
        <v>323</v>
      </c>
      <c r="T38" s="32">
        <f>(T36/3.07)*((2.56/(T37/100))-1.36)</f>
        <v>6.469576547231271</v>
      </c>
      <c r="U38" s="22" t="s">
        <v>41</v>
      </c>
      <c r="X38" s="30"/>
      <c r="AD38" s="22"/>
    </row>
    <row r="39" spans="1:30" ht="15.75" thickBot="1">
      <c r="A39" s="30"/>
      <c r="C39" s="27" t="s">
        <v>238</v>
      </c>
      <c r="D39" s="24">
        <v>1</v>
      </c>
      <c r="K39" s="22"/>
      <c r="L39" s="30">
        <v>4</v>
      </c>
      <c r="M39" t="s">
        <v>320</v>
      </c>
      <c r="N39">
        <f>893/1000</f>
        <v>0.89300000000000002</v>
      </c>
      <c r="O39">
        <f>47/100</f>
        <v>0.47</v>
      </c>
      <c r="P39" s="22">
        <v>1.3</v>
      </c>
      <c r="S39" s="28" t="s">
        <v>326</v>
      </c>
      <c r="T39" s="31">
        <f>T38/N18</f>
        <v>2.217084336030319</v>
      </c>
      <c r="U39" s="24"/>
      <c r="X39" s="30"/>
      <c r="AD39" s="22"/>
    </row>
    <row r="40" spans="1:30">
      <c r="A40" s="30"/>
      <c r="K40" s="22"/>
      <c r="L40" s="30">
        <v>5</v>
      </c>
      <c r="M40" t="s">
        <v>320</v>
      </c>
      <c r="N40">
        <f>893/1000</f>
        <v>0.89300000000000002</v>
      </c>
      <c r="O40">
        <f>47/100</f>
        <v>0.47</v>
      </c>
      <c r="P40" s="22">
        <v>1.3</v>
      </c>
      <c r="X40" s="30"/>
      <c r="AD40" s="22"/>
    </row>
    <row r="41" spans="1:30" ht="15.75" thickBot="1">
      <c r="A41" s="30"/>
      <c r="K41" s="22"/>
      <c r="L41" s="28">
        <v>6</v>
      </c>
      <c r="M41" s="23" t="s">
        <v>320</v>
      </c>
      <c r="N41" s="23">
        <f>893/1000</f>
        <v>0.89300000000000002</v>
      </c>
      <c r="O41" s="23">
        <f>47/100</f>
        <v>0.47</v>
      </c>
      <c r="P41" s="24">
        <v>1.3</v>
      </c>
      <c r="X41" s="30"/>
      <c r="AD41" s="22"/>
    </row>
    <row r="42" spans="1:30" ht="16.5" thickBot="1">
      <c r="A42" s="30"/>
      <c r="B42" s="509" t="s">
        <v>333</v>
      </c>
      <c r="C42" s="510"/>
      <c r="D42" s="117">
        <f>1.35+0.06*'ISO 12215 Datos de entrada'!C13</f>
        <v>1.9836</v>
      </c>
      <c r="E42" s="42" t="s">
        <v>41</v>
      </c>
      <c r="G42" s="60" t="s">
        <v>304</v>
      </c>
      <c r="H42" s="60" t="s">
        <v>334</v>
      </c>
      <c r="K42" s="22"/>
      <c r="X42" s="30"/>
      <c r="AD42" s="22"/>
    </row>
    <row r="43" spans="1:30" ht="15.75" thickBot="1">
      <c r="A43" s="30"/>
      <c r="K43" s="22"/>
      <c r="X43" s="30"/>
      <c r="AD43" s="22"/>
    </row>
    <row r="44" spans="1:30" ht="15.75" thickBot="1">
      <c r="A44" s="28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09" t="s">
        <v>335</v>
      </c>
      <c r="M44" s="610"/>
      <c r="N44" s="610"/>
      <c r="O44" s="610"/>
      <c r="P44" s="611"/>
      <c r="X44" s="30"/>
      <c r="AD44" s="22"/>
    </row>
    <row r="45" spans="1:30" ht="19.5" thickBot="1">
      <c r="L45" s="420" t="s">
        <v>310</v>
      </c>
      <c r="M45" t="s">
        <v>311</v>
      </c>
      <c r="N45" t="s">
        <v>312</v>
      </c>
      <c r="O45" t="s">
        <v>313</v>
      </c>
      <c r="P45" s="22" t="s">
        <v>314</v>
      </c>
      <c r="S45" s="594" t="s">
        <v>336</v>
      </c>
      <c r="T45" s="595"/>
      <c r="U45" s="596"/>
      <c r="X45" s="30"/>
      <c r="AD45" s="22"/>
    </row>
    <row r="46" spans="1:30">
      <c r="L46" s="30">
        <v>1</v>
      </c>
      <c r="M46" t="s">
        <v>318</v>
      </c>
      <c r="N46">
        <f>225/1000</f>
        <v>0.22500000000000001</v>
      </c>
      <c r="O46">
        <f>30/100</f>
        <v>0.3</v>
      </c>
      <c r="P46" s="22">
        <v>0.5</v>
      </c>
      <c r="S46" s="20" t="s">
        <v>319</v>
      </c>
      <c r="T46" s="132">
        <f>(SUM(N46:N50))</f>
        <v>3.7969999999999997</v>
      </c>
      <c r="U46" s="7" t="s">
        <v>294</v>
      </c>
      <c r="X46" s="30"/>
      <c r="AD46" s="22"/>
    </row>
    <row r="47" spans="1:30">
      <c r="L47" s="30">
        <v>2</v>
      </c>
      <c r="M47" t="s">
        <v>320</v>
      </c>
      <c r="N47">
        <f>893/1000</f>
        <v>0.89300000000000002</v>
      </c>
      <c r="O47">
        <f>47/100</f>
        <v>0.47</v>
      </c>
      <c r="P47" s="22">
        <v>1.3</v>
      </c>
      <c r="S47" s="30" t="s">
        <v>321</v>
      </c>
      <c r="T47" s="32">
        <f>T26/((N46/O46)+(4*N47/O47))*100</f>
        <v>56.167664670658667</v>
      </c>
      <c r="U47" s="22" t="s">
        <v>322</v>
      </c>
      <c r="X47" s="30"/>
      <c r="AD47" s="22"/>
    </row>
    <row r="48" spans="1:30" ht="15.75" thickBot="1">
      <c r="L48" s="30">
        <v>3</v>
      </c>
      <c r="M48" t="s">
        <v>320</v>
      </c>
      <c r="N48">
        <f>893/1000</f>
        <v>0.89300000000000002</v>
      </c>
      <c r="O48">
        <f>47/100</f>
        <v>0.47</v>
      </c>
      <c r="P48" s="22">
        <v>1.3</v>
      </c>
      <c r="S48" s="28" t="s">
        <v>323</v>
      </c>
      <c r="T48" s="31">
        <f>(T46/3.07)*((2.56/(T47/100))-1.36)</f>
        <v>3.9550424147295171</v>
      </c>
      <c r="U48" s="24" t="s">
        <v>41</v>
      </c>
      <c r="X48" s="30"/>
      <c r="AD48" s="22"/>
    </row>
    <row r="49" spans="12:30" ht="15.75" thickBot="1">
      <c r="L49" s="30">
        <v>4</v>
      </c>
      <c r="M49" t="s">
        <v>320</v>
      </c>
      <c r="N49">
        <f>893/1000</f>
        <v>0.89300000000000002</v>
      </c>
      <c r="O49">
        <f>47/100</f>
        <v>0.47</v>
      </c>
      <c r="P49" s="22">
        <v>1.3</v>
      </c>
      <c r="S49" s="58" t="s">
        <v>326</v>
      </c>
      <c r="T49" s="79">
        <f>T48/N19</f>
        <v>1.3505813463766962</v>
      </c>
      <c r="U49" s="42"/>
      <c r="X49" s="30"/>
      <c r="AD49" s="22"/>
    </row>
    <row r="50" spans="12:30" ht="15.75" thickBot="1">
      <c r="L50" s="28">
        <v>5</v>
      </c>
      <c r="M50" s="23" t="s">
        <v>320</v>
      </c>
      <c r="N50" s="23">
        <f>893/1000</f>
        <v>0.89300000000000002</v>
      </c>
      <c r="O50" s="23">
        <f>47/100</f>
        <v>0.47</v>
      </c>
      <c r="P50" s="24">
        <v>1.3</v>
      </c>
      <c r="X50" s="30"/>
      <c r="AD50" s="22"/>
    </row>
    <row r="51" spans="12:30">
      <c r="X51" s="30"/>
      <c r="AD51" s="22"/>
    </row>
    <row r="52" spans="12:30" ht="15.75" thickBot="1">
      <c r="X52" s="30"/>
      <c r="AD52" s="22"/>
    </row>
    <row r="53" spans="12:30" ht="15.75" thickBot="1">
      <c r="L53" s="609" t="s">
        <v>337</v>
      </c>
      <c r="M53" s="610"/>
      <c r="N53" s="610"/>
      <c r="O53" s="610"/>
      <c r="P53" s="611"/>
      <c r="X53" s="30"/>
      <c r="AD53" s="22"/>
    </row>
    <row r="54" spans="12:30" ht="19.5" thickBot="1">
      <c r="L54" s="420" t="s">
        <v>310</v>
      </c>
      <c r="M54" t="s">
        <v>311</v>
      </c>
      <c r="N54" t="s">
        <v>312</v>
      </c>
      <c r="O54" t="s">
        <v>313</v>
      </c>
      <c r="P54" s="22" t="s">
        <v>314</v>
      </c>
      <c r="S54" s="594" t="s">
        <v>338</v>
      </c>
      <c r="T54" s="595"/>
      <c r="U54" s="596"/>
      <c r="X54" s="30"/>
      <c r="AD54" s="22"/>
    </row>
    <row r="55" spans="12:30">
      <c r="L55" s="30">
        <v>1</v>
      </c>
      <c r="M55" t="s">
        <v>318</v>
      </c>
      <c r="N55">
        <f>225/1000</f>
        <v>0.22500000000000001</v>
      </c>
      <c r="O55">
        <f>30/100</f>
        <v>0.3</v>
      </c>
      <c r="P55" s="22">
        <v>0.5</v>
      </c>
      <c r="S55" s="20" t="s">
        <v>319</v>
      </c>
      <c r="T55" s="132">
        <f>(SUM(N55:N59))</f>
        <v>3.7969999999999997</v>
      </c>
      <c r="U55" s="7" t="s">
        <v>294</v>
      </c>
      <c r="X55" s="30"/>
      <c r="AD55" s="22"/>
    </row>
    <row r="56" spans="12:30" ht="15.75" thickBot="1">
      <c r="L56" s="30">
        <v>2</v>
      </c>
      <c r="M56" t="s">
        <v>320</v>
      </c>
      <c r="N56">
        <f>893/1000</f>
        <v>0.89300000000000002</v>
      </c>
      <c r="O56">
        <f>47/100</f>
        <v>0.47</v>
      </c>
      <c r="P56" s="22">
        <v>1.3</v>
      </c>
      <c r="S56" s="30" t="s">
        <v>321</v>
      </c>
      <c r="T56" s="32">
        <f>T26/((N55/O55)+(4*N56/O56))*100</f>
        <v>56.167664670658667</v>
      </c>
      <c r="U56" s="22" t="s">
        <v>322</v>
      </c>
      <c r="X56" s="30"/>
      <c r="AD56" s="22"/>
    </row>
    <row r="57" spans="12:30" ht="21.75" thickBot="1">
      <c r="L57" s="30">
        <v>3</v>
      </c>
      <c r="M57" t="s">
        <v>320</v>
      </c>
      <c r="N57">
        <f>893/1000</f>
        <v>0.89300000000000002</v>
      </c>
      <c r="O57">
        <f>47/100</f>
        <v>0.47</v>
      </c>
      <c r="P57" s="22">
        <v>1.3</v>
      </c>
      <c r="S57" s="30" t="s">
        <v>323</v>
      </c>
      <c r="T57" s="32">
        <f>(T55/3.07)*((2.56/(T56/100))-1.36)</f>
        <v>3.9550424147295171</v>
      </c>
      <c r="U57" s="22" t="s">
        <v>41</v>
      </c>
      <c r="X57" s="624" t="s">
        <v>339</v>
      </c>
      <c r="Y57" s="625"/>
      <c r="Z57" s="625"/>
      <c r="AA57" s="625"/>
      <c r="AB57" s="625"/>
      <c r="AC57" s="625"/>
      <c r="AD57" s="626"/>
    </row>
    <row r="58" spans="12:30" ht="15.75" thickBot="1">
      <c r="L58" s="30">
        <v>4</v>
      </c>
      <c r="M58" t="s">
        <v>320</v>
      </c>
      <c r="N58">
        <f>893/1000</f>
        <v>0.89300000000000002</v>
      </c>
      <c r="O58">
        <f>47/100</f>
        <v>0.47</v>
      </c>
      <c r="P58" s="22">
        <v>1.3</v>
      </c>
      <c r="S58" s="28" t="s">
        <v>326</v>
      </c>
      <c r="T58" s="31">
        <f>T57/N20</f>
        <v>3.4510722890929966</v>
      </c>
      <c r="U58" s="24"/>
    </row>
    <row r="59" spans="12:30" ht="15.75" thickBot="1">
      <c r="L59" s="28">
        <v>5</v>
      </c>
      <c r="M59" s="23" t="s">
        <v>320</v>
      </c>
      <c r="N59" s="23">
        <f>893/1000</f>
        <v>0.89300000000000002</v>
      </c>
      <c r="O59" s="23">
        <f>47/100</f>
        <v>0.47</v>
      </c>
      <c r="P59" s="24">
        <v>1.3</v>
      </c>
    </row>
    <row r="63" spans="12:30" ht="15.75" thickBot="1"/>
    <row r="64" spans="12:30" ht="15.75" thickBot="1">
      <c r="L64" s="609" t="s">
        <v>340</v>
      </c>
      <c r="M64" s="610"/>
      <c r="N64" s="610"/>
      <c r="O64" s="610"/>
      <c r="P64" s="611"/>
      <c r="S64" s="524" t="s">
        <v>341</v>
      </c>
      <c r="T64" s="525"/>
      <c r="U64" s="526"/>
      <c r="W64" s="524" t="s">
        <v>342</v>
      </c>
      <c r="X64" s="525"/>
      <c r="Y64" s="526"/>
    </row>
    <row r="65" spans="12:25">
      <c r="L65" s="420" t="s">
        <v>310</v>
      </c>
      <c r="M65" t="s">
        <v>311</v>
      </c>
      <c r="N65" t="s">
        <v>312</v>
      </c>
      <c r="O65" t="s">
        <v>313</v>
      </c>
      <c r="P65" s="22" t="s">
        <v>314</v>
      </c>
      <c r="S65" s="277" t="s">
        <v>343</v>
      </c>
      <c r="T65" s="424">
        <f>(T69^2*T70^2*T72*T71)/(600000*T73*0.5)</f>
        <v>1.3372387330581881E-2</v>
      </c>
      <c r="U65" s="7" t="s">
        <v>344</v>
      </c>
      <c r="W65" s="277" t="s">
        <v>345</v>
      </c>
      <c r="X65" s="132">
        <f>10*X67/X75</f>
        <v>0.58961454413892922</v>
      </c>
      <c r="Y65" s="7" t="s">
        <v>344</v>
      </c>
    </row>
    <row r="66" spans="12:25">
      <c r="L66" s="30">
        <v>1</v>
      </c>
      <c r="M66" t="s">
        <v>318</v>
      </c>
      <c r="N66">
        <f>225/1000</f>
        <v>0.22500000000000001</v>
      </c>
      <c r="O66">
        <f>30/100</f>
        <v>0.3</v>
      </c>
      <c r="P66" s="22">
        <v>0.5</v>
      </c>
      <c r="S66" s="413" t="s">
        <v>346</v>
      </c>
      <c r="T66" s="209">
        <f>(T69^2*T70^2*T72*T71)/(600000*(0.3*(T74*T75*T76)^(1/3)))</f>
        <v>1.710813035716257E-2</v>
      </c>
      <c r="U66" s="22" t="s">
        <v>344</v>
      </c>
      <c r="W66" s="413" t="s">
        <v>347</v>
      </c>
      <c r="X66" s="32">
        <f>10*X67/X76</f>
        <v>0.51507414664981055</v>
      </c>
      <c r="Y66" s="22" t="s">
        <v>344</v>
      </c>
    </row>
    <row r="67" spans="12:25" ht="15.75" thickBot="1">
      <c r="L67" s="30">
        <v>2</v>
      </c>
      <c r="M67" t="s">
        <v>320</v>
      </c>
      <c r="N67">
        <f>893/1000</f>
        <v>0.89300000000000002</v>
      </c>
      <c r="O67">
        <f>47/100</f>
        <v>0.47</v>
      </c>
      <c r="P67" s="22">
        <v>1.3</v>
      </c>
      <c r="S67" s="403" t="s">
        <v>348</v>
      </c>
      <c r="T67" s="425">
        <f>(T69^3*T70^3*T72*0.028)/(12000000*0.017*(T74/2))</f>
        <v>2.6354092592927848E-2</v>
      </c>
      <c r="U67" s="24" t="s">
        <v>349</v>
      </c>
      <c r="W67" s="403" t="s">
        <v>350</v>
      </c>
      <c r="X67" s="31">
        <f>(((X72*X73*X74^2)/(X72+X73))+((X72^3+X73^3)/12))/1000</f>
        <v>0.6790394166666669</v>
      </c>
      <c r="Y67" s="24" t="s">
        <v>349</v>
      </c>
    </row>
    <row r="68" spans="12:25" ht="15.75" thickBot="1">
      <c r="L68" s="30">
        <v>3</v>
      </c>
      <c r="M68" t="s">
        <v>320</v>
      </c>
      <c r="N68">
        <f>893/1000</f>
        <v>0.89300000000000002</v>
      </c>
      <c r="O68">
        <f>47/100</f>
        <v>0.47</v>
      </c>
      <c r="P68" s="22">
        <v>1.3</v>
      </c>
      <c r="W68" s="20"/>
      <c r="X68" s="21"/>
      <c r="Y68" s="7"/>
    </row>
    <row r="69" spans="12:25">
      <c r="L69" s="421" t="s">
        <v>351</v>
      </c>
      <c r="M69" s="59" t="s">
        <v>352</v>
      </c>
      <c r="N69" s="59">
        <v>1.9</v>
      </c>
      <c r="O69" s="422" t="s">
        <v>178</v>
      </c>
      <c r="P69" s="423">
        <v>19</v>
      </c>
      <c r="S69" s="20" t="s">
        <v>353</v>
      </c>
      <c r="T69" s="21">
        <v>800</v>
      </c>
      <c r="U69" s="7" t="s">
        <v>41</v>
      </c>
      <c r="W69" s="30" t="s">
        <v>354</v>
      </c>
      <c r="X69">
        <f>P69</f>
        <v>19</v>
      </c>
      <c r="Y69" s="22" t="s">
        <v>41</v>
      </c>
    </row>
    <row r="70" spans="12:25">
      <c r="L70" s="30">
        <v>4</v>
      </c>
      <c r="M70" t="s">
        <v>320</v>
      </c>
      <c r="N70">
        <f>893/1000</f>
        <v>0.89300000000000002</v>
      </c>
      <c r="O70">
        <f>47/100</f>
        <v>0.47</v>
      </c>
      <c r="P70" s="22">
        <v>1.3</v>
      </c>
      <c r="S70" s="30" t="s">
        <v>280</v>
      </c>
      <c r="T70">
        <v>1</v>
      </c>
      <c r="U70" s="22"/>
      <c r="W70" s="30" t="s">
        <v>355</v>
      </c>
      <c r="X70">
        <f>SUM(P66:P71)</f>
        <v>24.700000000000003</v>
      </c>
      <c r="Y70" s="22" t="s">
        <v>41</v>
      </c>
    </row>
    <row r="71" spans="12:25">
      <c r="L71" s="30">
        <v>5</v>
      </c>
      <c r="M71" t="s">
        <v>320</v>
      </c>
      <c r="N71">
        <f>893/1000</f>
        <v>0.89300000000000002</v>
      </c>
      <c r="O71">
        <f>47/100</f>
        <v>0.47</v>
      </c>
      <c r="P71" s="22">
        <v>1.3</v>
      </c>
      <c r="S71" s="30" t="s">
        <v>356</v>
      </c>
      <c r="T71">
        <v>0.5</v>
      </c>
      <c r="U71" s="22"/>
      <c r="W71" s="30"/>
      <c r="Y71" s="22"/>
    </row>
    <row r="72" spans="12:25" ht="15.75" thickBot="1">
      <c r="L72" s="28"/>
      <c r="M72" s="23"/>
      <c r="N72" s="23"/>
      <c r="O72" s="23"/>
      <c r="P72" s="24"/>
      <c r="S72" s="30" t="s">
        <v>357</v>
      </c>
      <c r="T72" s="32">
        <f>'Presiones de diseño'!D13</f>
        <v>3.0645799999999999</v>
      </c>
      <c r="U72" s="22" t="s">
        <v>248</v>
      </c>
      <c r="W72" s="30" t="s">
        <v>358</v>
      </c>
      <c r="X72">
        <f>SUM(P66:P68)</f>
        <v>3.1</v>
      </c>
      <c r="Y72" s="22" t="s">
        <v>41</v>
      </c>
    </row>
    <row r="73" spans="12:25">
      <c r="S73" s="30" t="s">
        <v>359</v>
      </c>
      <c r="T73" s="61">
        <f>800*(T56/100)^2-80*(T56/100)+37</f>
        <v>244.45039262791772</v>
      </c>
      <c r="U73" s="22" t="s">
        <v>259</v>
      </c>
      <c r="W73" s="30" t="s">
        <v>360</v>
      </c>
      <c r="X73">
        <f>SUM(P70:P71)</f>
        <v>2.6</v>
      </c>
      <c r="Y73" s="22" t="s">
        <v>41</v>
      </c>
    </row>
    <row r="74" spans="12:25" ht="15.75" thickBot="1">
      <c r="S74" s="28" t="s">
        <v>361</v>
      </c>
      <c r="T74" s="23">
        <f>38000*(T47/100)-5000</f>
        <v>16343.712574850295</v>
      </c>
      <c r="U74" s="24" t="s">
        <v>259</v>
      </c>
      <c r="W74" s="30" t="s">
        <v>362</v>
      </c>
      <c r="X74">
        <f>X69+((X72+X73)/2)</f>
        <v>21.85</v>
      </c>
      <c r="Y74" s="22" t="s">
        <v>41</v>
      </c>
    </row>
    <row r="75" spans="12:25">
      <c r="S75" s="20" t="s">
        <v>363</v>
      </c>
      <c r="T75" s="21">
        <v>76</v>
      </c>
      <c r="U75" s="7" t="s">
        <v>259</v>
      </c>
      <c r="W75" s="30" t="s">
        <v>364</v>
      </c>
      <c r="X75" s="61">
        <f>((X73*X74)/(X73+X72))+(X72/2)</f>
        <v>11.516666666666667</v>
      </c>
      <c r="Y75" s="22" t="s">
        <v>41</v>
      </c>
    </row>
    <row r="76" spans="12:25" ht="15.75" thickBot="1">
      <c r="S76" s="28" t="s">
        <v>365</v>
      </c>
      <c r="T76" s="23">
        <v>26</v>
      </c>
      <c r="U76" s="24" t="s">
        <v>259</v>
      </c>
      <c r="W76" s="28" t="s">
        <v>366</v>
      </c>
      <c r="X76" s="29">
        <f>((X72*X74)/(X73+X72))+(X73/2)</f>
        <v>13.183333333333334</v>
      </c>
      <c r="Y76" s="24" t="s">
        <v>41</v>
      </c>
    </row>
    <row r="77" spans="12:25" ht="28.5" customHeight="1">
      <c r="S77" s="429" t="s">
        <v>367</v>
      </c>
      <c r="T77" s="132">
        <f>'ISO 12215 Datos de entrada'!E26*'espesores laminas'!R11*'espesores laminas'!R12*'espesores laminas'!R13*(0.1*'ISO 12215 Datos de entrada'!C13+0.15)</f>
        <v>0.75977999999999979</v>
      </c>
      <c r="U77" s="7" t="s">
        <v>294</v>
      </c>
      <c r="W77" s="429" t="s">
        <v>367</v>
      </c>
      <c r="X77" s="132">
        <f>SUM(N66:N68)</f>
        <v>2.0110000000000001</v>
      </c>
      <c r="Y77" s="7" t="s">
        <v>294</v>
      </c>
    </row>
    <row r="78" spans="12:25" ht="30.75" thickBot="1">
      <c r="S78" s="430" t="s">
        <v>368</v>
      </c>
      <c r="T78" s="31">
        <f>T77*0.7</f>
        <v>0.53184599999999982</v>
      </c>
      <c r="U78" s="24" t="s">
        <v>294</v>
      </c>
      <c r="W78" s="430" t="s">
        <v>368</v>
      </c>
      <c r="X78" s="31">
        <f>SUM(N70:N71)</f>
        <v>1.786</v>
      </c>
      <c r="Y78" s="24" t="s">
        <v>294</v>
      </c>
    </row>
    <row r="79" spans="12:25">
      <c r="S79" s="418"/>
      <c r="T79" s="32"/>
      <c r="W79" s="418"/>
      <c r="X79" s="32"/>
    </row>
    <row r="80" spans="12:25" ht="15.75" thickBot="1"/>
    <row r="81" spans="12:25" ht="15.75" thickBot="1">
      <c r="L81" s="609" t="s">
        <v>369</v>
      </c>
      <c r="M81" s="610"/>
      <c r="N81" s="610"/>
      <c r="O81" s="610"/>
      <c r="P81" s="611"/>
      <c r="S81" s="524" t="s">
        <v>341</v>
      </c>
      <c r="T81" s="525"/>
      <c r="U81" s="526"/>
      <c r="W81" s="524" t="s">
        <v>342</v>
      </c>
      <c r="X81" s="525"/>
      <c r="Y81" s="526"/>
    </row>
    <row r="82" spans="12:25">
      <c r="L82" s="420" t="s">
        <v>310</v>
      </c>
      <c r="M82" t="s">
        <v>311</v>
      </c>
      <c r="N82" t="s">
        <v>312</v>
      </c>
      <c r="O82" t="s">
        <v>313</v>
      </c>
      <c r="P82" s="22" t="s">
        <v>314</v>
      </c>
      <c r="S82" s="277" t="s">
        <v>343</v>
      </c>
      <c r="T82" s="132">
        <f>(T85^2*T86^2*T88*T87)/(600000*T89*0.5)</f>
        <v>2.1817650918856547E-2</v>
      </c>
      <c r="U82" s="7" t="s">
        <v>344</v>
      </c>
      <c r="W82" s="277" t="s">
        <v>345</v>
      </c>
      <c r="X82" s="132">
        <f>10*X84/X91</f>
        <v>0.34544070796460175</v>
      </c>
      <c r="Y82" s="7" t="s">
        <v>344</v>
      </c>
    </row>
    <row r="83" spans="12:25">
      <c r="L83" s="30">
        <v>1</v>
      </c>
      <c r="M83" t="s">
        <v>318</v>
      </c>
      <c r="N83">
        <f>225/1000</f>
        <v>0.22500000000000001</v>
      </c>
      <c r="O83">
        <f>30/100</f>
        <v>0.3</v>
      </c>
      <c r="P83" s="22">
        <v>0.5</v>
      </c>
      <c r="S83" s="413" t="s">
        <v>346</v>
      </c>
      <c r="T83" s="32">
        <f>(T85^2*T86^2*T88*T87)/(600000*(0.3*(T74*T75*T76)^(1/3)))</f>
        <v>2.7912683560492091E-2</v>
      </c>
      <c r="U83" s="22" t="s">
        <v>344</v>
      </c>
      <c r="W83" s="413" t="s">
        <v>347</v>
      </c>
      <c r="X83" s="32">
        <f>10*X84/X92</f>
        <v>0.34544070796460175</v>
      </c>
      <c r="Y83" s="22" t="s">
        <v>344</v>
      </c>
    </row>
    <row r="84" spans="12:25" ht="15.75" thickBot="1">
      <c r="L84" s="30">
        <v>2</v>
      </c>
      <c r="M84" t="s">
        <v>320</v>
      </c>
      <c r="N84">
        <f>893/1000</f>
        <v>0.89300000000000002</v>
      </c>
      <c r="O84">
        <f>47/100</f>
        <v>0.47</v>
      </c>
      <c r="P84" s="22">
        <v>1.3</v>
      </c>
      <c r="S84" s="403" t="s">
        <v>348</v>
      </c>
      <c r="T84" s="31">
        <f>(T85^3*T86^3*T88*0.028)/(12000000*0.017*(T90/2))</f>
        <v>4.2997886485142904E-2</v>
      </c>
      <c r="U84" s="24" t="s">
        <v>349</v>
      </c>
      <c r="W84" s="403" t="s">
        <v>350</v>
      </c>
      <c r="X84" s="31">
        <f>(((X88*X89*X90^2)/(X88+X89))+((X88^3+X89^3)/12))/1000</f>
        <v>0.39034800000000003</v>
      </c>
      <c r="Y84" s="24" t="s">
        <v>349</v>
      </c>
    </row>
    <row r="85" spans="12:25">
      <c r="L85" s="421" t="s">
        <v>351</v>
      </c>
      <c r="M85" s="59" t="s">
        <v>352</v>
      </c>
      <c r="N85" s="59">
        <v>1.9</v>
      </c>
      <c r="O85" s="422" t="s">
        <v>178</v>
      </c>
      <c r="P85" s="423">
        <v>19</v>
      </c>
      <c r="S85" s="20" t="s">
        <v>353</v>
      </c>
      <c r="T85" s="21">
        <v>800</v>
      </c>
      <c r="U85" s="7" t="s">
        <v>41</v>
      </c>
      <c r="W85" s="20" t="s">
        <v>354</v>
      </c>
      <c r="X85" s="21">
        <f>P85</f>
        <v>19</v>
      </c>
      <c r="Y85" s="7" t="s">
        <v>41</v>
      </c>
    </row>
    <row r="86" spans="12:25">
      <c r="L86" s="30">
        <v>4</v>
      </c>
      <c r="M86" t="s">
        <v>318</v>
      </c>
      <c r="N86">
        <f>225/1000</f>
        <v>0.22500000000000001</v>
      </c>
      <c r="O86">
        <f>30/100</f>
        <v>0.3</v>
      </c>
      <c r="P86" s="22">
        <v>0.5</v>
      </c>
      <c r="S86" s="30" t="s">
        <v>280</v>
      </c>
      <c r="T86">
        <v>1</v>
      </c>
      <c r="U86" s="22"/>
      <c r="W86" s="30" t="s">
        <v>355</v>
      </c>
      <c r="X86">
        <f>SUM(P83:P87)</f>
        <v>22.6</v>
      </c>
      <c r="Y86" s="22" t="s">
        <v>41</v>
      </c>
    </row>
    <row r="87" spans="12:25" ht="15.75" thickBot="1">
      <c r="L87" s="28">
        <v>5</v>
      </c>
      <c r="M87" s="23" t="s">
        <v>320</v>
      </c>
      <c r="N87" s="23">
        <f>893/1000</f>
        <v>0.89300000000000002</v>
      </c>
      <c r="O87" s="23">
        <f>47/100</f>
        <v>0.47</v>
      </c>
      <c r="P87" s="24">
        <v>1.3</v>
      </c>
      <c r="S87" s="30" t="s">
        <v>356</v>
      </c>
      <c r="T87">
        <v>0.5</v>
      </c>
      <c r="U87" s="22"/>
      <c r="W87" s="30"/>
      <c r="Y87" s="22"/>
    </row>
    <row r="88" spans="12:25">
      <c r="S88" s="30" t="s">
        <v>357</v>
      </c>
      <c r="T88" s="32">
        <f>'Presiones de diseño'!D15</f>
        <v>5</v>
      </c>
      <c r="U88" s="22" t="s">
        <v>248</v>
      </c>
      <c r="W88" s="30" t="s">
        <v>358</v>
      </c>
      <c r="X88">
        <f>SUM(P83:P84)</f>
        <v>1.8</v>
      </c>
      <c r="Y88" s="22" t="s">
        <v>41</v>
      </c>
    </row>
    <row r="89" spans="12:25">
      <c r="S89" s="30" t="s">
        <v>359</v>
      </c>
      <c r="T89" s="32">
        <f>800*(T56/100)^2-80*(T56/100)+37</f>
        <v>244.45039262791772</v>
      </c>
      <c r="U89" s="22" t="s">
        <v>259</v>
      </c>
      <c r="W89" s="30" t="s">
        <v>360</v>
      </c>
      <c r="X89">
        <f>SUM(P86:P87)</f>
        <v>1.8</v>
      </c>
      <c r="Y89" s="22" t="s">
        <v>41</v>
      </c>
    </row>
    <row r="90" spans="12:25" ht="15.75" thickBot="1">
      <c r="S90" s="28" t="s">
        <v>370</v>
      </c>
      <c r="T90" s="29">
        <f>38000*(T47/100)-5000</f>
        <v>16343.712574850295</v>
      </c>
      <c r="U90" s="24" t="s">
        <v>259</v>
      </c>
      <c r="W90" s="30" t="s">
        <v>362</v>
      </c>
      <c r="X90">
        <f>X85+((X88+X89)/2)</f>
        <v>20.8</v>
      </c>
      <c r="Y90" s="22" t="s">
        <v>41</v>
      </c>
    </row>
    <row r="91" spans="12:25">
      <c r="S91" s="20" t="s">
        <v>363</v>
      </c>
      <c r="T91" s="21">
        <v>76</v>
      </c>
      <c r="U91" s="7" t="s">
        <v>259</v>
      </c>
      <c r="W91" s="30" t="s">
        <v>364</v>
      </c>
      <c r="X91" s="61">
        <f>((X89*X90)/(X89+X88))+(X88/2)</f>
        <v>11.3</v>
      </c>
      <c r="Y91" s="22" t="s">
        <v>41</v>
      </c>
    </row>
    <row r="92" spans="12:25" ht="15.75" thickBot="1">
      <c r="S92" s="28" t="s">
        <v>365</v>
      </c>
      <c r="T92" s="23">
        <v>26</v>
      </c>
      <c r="U92" s="24" t="s">
        <v>259</v>
      </c>
      <c r="W92" s="28" t="s">
        <v>366</v>
      </c>
      <c r="X92" s="29">
        <f>((X88*X90)/(X89+X88))+(X89/2)</f>
        <v>11.3</v>
      </c>
      <c r="Y92" s="24" t="s">
        <v>41</v>
      </c>
    </row>
    <row r="93" spans="12:25" ht="30">
      <c r="S93" s="429" t="s">
        <v>367</v>
      </c>
      <c r="T93" s="132">
        <f>'ISO 12215 Datos de entrada'!E26*'espesores laminas'!R11*'espesores laminas'!R12*'espesores laminas'!R13*(0.1*'ISO 12215 Datos de entrada'!C13+0.15)</f>
        <v>0.75977999999999979</v>
      </c>
      <c r="U93" s="7" t="s">
        <v>294</v>
      </c>
      <c r="W93" s="429" t="s">
        <v>367</v>
      </c>
      <c r="X93" s="132">
        <f>SUM(N82:N84)</f>
        <v>1.1180000000000001</v>
      </c>
      <c r="Y93" s="7" t="s">
        <v>294</v>
      </c>
    </row>
    <row r="94" spans="12:25" ht="30.75" thickBot="1">
      <c r="S94" s="430" t="s">
        <v>368</v>
      </c>
      <c r="T94" s="31">
        <f>T93*0.7</f>
        <v>0.53184599999999982</v>
      </c>
      <c r="U94" s="24" t="s">
        <v>294</v>
      </c>
      <c r="W94" s="430" t="s">
        <v>368</v>
      </c>
      <c r="X94" s="31">
        <f>SUM(N86:N87)</f>
        <v>1.1180000000000001</v>
      </c>
      <c r="Y94" s="24" t="s">
        <v>294</v>
      </c>
    </row>
    <row r="95" spans="12:25">
      <c r="S95" s="418"/>
      <c r="T95" s="32"/>
    </row>
    <row r="96" spans="12:25">
      <c r="S96" s="418"/>
      <c r="T96" s="32"/>
    </row>
    <row r="97" spans="12:25" ht="15.75" thickBot="1"/>
    <row r="98" spans="12:25" ht="15.75" thickBot="1">
      <c r="L98" s="609" t="s">
        <v>371</v>
      </c>
      <c r="M98" s="610"/>
      <c r="N98" s="610"/>
      <c r="O98" s="610"/>
      <c r="P98" s="611"/>
      <c r="S98" s="524" t="s">
        <v>341</v>
      </c>
      <c r="T98" s="525"/>
      <c r="U98" s="526"/>
      <c r="W98" s="524" t="s">
        <v>342</v>
      </c>
      <c r="X98" s="525"/>
      <c r="Y98" s="526"/>
    </row>
    <row r="99" spans="12:25">
      <c r="L99" s="420" t="s">
        <v>310</v>
      </c>
      <c r="M99" t="s">
        <v>311</v>
      </c>
      <c r="N99" t="s">
        <v>312</v>
      </c>
      <c r="O99" t="s">
        <v>313</v>
      </c>
      <c r="P99" s="22" t="s">
        <v>314</v>
      </c>
      <c r="S99" s="277" t="s">
        <v>343</v>
      </c>
      <c r="T99" s="132">
        <f>(T102^2*T103^2*T105*T104)/(600000*T106*0.5)</f>
        <v>8.7270603675426196E-3</v>
      </c>
      <c r="U99" s="7" t="s">
        <v>344</v>
      </c>
      <c r="W99" s="277" t="s">
        <v>345</v>
      </c>
      <c r="X99" s="132">
        <f>10*X101/X108</f>
        <v>0.34544070796460175</v>
      </c>
      <c r="Y99" s="7" t="s">
        <v>344</v>
      </c>
    </row>
    <row r="100" spans="12:25">
      <c r="L100" s="30">
        <v>1</v>
      </c>
      <c r="M100" t="s">
        <v>318</v>
      </c>
      <c r="N100">
        <f>225/1000</f>
        <v>0.22500000000000001</v>
      </c>
      <c r="O100">
        <f>30/100</f>
        <v>0.3</v>
      </c>
      <c r="P100" s="22">
        <v>0.5</v>
      </c>
      <c r="S100" s="413" t="s">
        <v>346</v>
      </c>
      <c r="T100" s="32">
        <f>(T102^2*T103^2*T105*T104)/(600000*(0.3*(T74*T75*T76)^(1/3)))</f>
        <v>1.1165073424196835E-2</v>
      </c>
      <c r="U100" s="22" t="s">
        <v>344</v>
      </c>
      <c r="W100" s="413" t="s">
        <v>347</v>
      </c>
      <c r="X100" s="32">
        <f>10*X101/X109</f>
        <v>0.34544070796460175</v>
      </c>
      <c r="Y100" s="22" t="s">
        <v>344</v>
      </c>
    </row>
    <row r="101" spans="12:25" ht="15.75" thickBot="1">
      <c r="L101" s="30">
        <v>2</v>
      </c>
      <c r="M101" t="s">
        <v>320</v>
      </c>
      <c r="N101">
        <f>893/1000</f>
        <v>0.89300000000000002</v>
      </c>
      <c r="O101">
        <f>47/100</f>
        <v>0.47</v>
      </c>
      <c r="P101" s="22">
        <v>1.3</v>
      </c>
      <c r="S101" s="403" t="s">
        <v>348</v>
      </c>
      <c r="T101" s="31">
        <f>(T102^3*T103^3*T105*0.028)/(12000000*0.017*(T107/2))</f>
        <v>1.7199154594057159E-2</v>
      </c>
      <c r="U101" s="24" t="s">
        <v>349</v>
      </c>
      <c r="W101" s="403" t="s">
        <v>350</v>
      </c>
      <c r="X101" s="31">
        <f>(((X105*X106*X107^2)/(X105+X106))+((X105^3+X106^3)/12))/1000</f>
        <v>0.39034800000000003</v>
      </c>
      <c r="Y101" s="24" t="s">
        <v>349</v>
      </c>
    </row>
    <row r="102" spans="12:25">
      <c r="L102" s="421" t="s">
        <v>351</v>
      </c>
      <c r="M102" s="59" t="s">
        <v>352</v>
      </c>
      <c r="N102" s="59">
        <v>1.9</v>
      </c>
      <c r="O102" s="422" t="s">
        <v>178</v>
      </c>
      <c r="P102" s="423">
        <v>19</v>
      </c>
      <c r="S102" s="20" t="s">
        <v>353</v>
      </c>
      <c r="T102" s="21">
        <v>800</v>
      </c>
      <c r="U102" s="7" t="s">
        <v>41</v>
      </c>
      <c r="W102" s="20" t="s">
        <v>354</v>
      </c>
      <c r="X102" s="21">
        <f>P102</f>
        <v>19</v>
      </c>
      <c r="Y102" s="7" t="s">
        <v>41</v>
      </c>
    </row>
    <row r="103" spans="12:25">
      <c r="L103" s="30">
        <v>4</v>
      </c>
      <c r="M103" t="s">
        <v>318</v>
      </c>
      <c r="N103">
        <f>225/1000</f>
        <v>0.22500000000000001</v>
      </c>
      <c r="O103">
        <f>30/100</f>
        <v>0.3</v>
      </c>
      <c r="P103" s="22">
        <v>0.5</v>
      </c>
      <c r="S103" s="30" t="s">
        <v>280</v>
      </c>
      <c r="T103">
        <v>1</v>
      </c>
      <c r="U103" s="22"/>
      <c r="W103" s="30" t="s">
        <v>355</v>
      </c>
      <c r="X103">
        <f>SUM(P100:P104)</f>
        <v>22.6</v>
      </c>
      <c r="Y103" s="22" t="s">
        <v>41</v>
      </c>
    </row>
    <row r="104" spans="12:25" ht="15.75" thickBot="1">
      <c r="L104" s="28">
        <v>5</v>
      </c>
      <c r="M104" s="23" t="s">
        <v>320</v>
      </c>
      <c r="N104" s="23">
        <f>893/1000</f>
        <v>0.89300000000000002</v>
      </c>
      <c r="O104" s="23">
        <f>47/100</f>
        <v>0.47</v>
      </c>
      <c r="P104" s="24">
        <v>1.3</v>
      </c>
      <c r="S104" s="30" t="s">
        <v>356</v>
      </c>
      <c r="T104">
        <v>0.5</v>
      </c>
      <c r="U104" s="22"/>
      <c r="W104" s="30"/>
      <c r="Y104" s="22"/>
    </row>
    <row r="105" spans="12:25">
      <c r="S105" s="30" t="s">
        <v>357</v>
      </c>
      <c r="T105" s="32">
        <f>'Presiones de diseño'!D21</f>
        <v>2</v>
      </c>
      <c r="U105" s="22" t="s">
        <v>248</v>
      </c>
      <c r="W105" s="30" t="s">
        <v>358</v>
      </c>
      <c r="X105">
        <f>SUM(P100:P101)</f>
        <v>1.8</v>
      </c>
      <c r="Y105" s="22" t="s">
        <v>41</v>
      </c>
    </row>
    <row r="106" spans="12:25">
      <c r="S106" s="30" t="s">
        <v>359</v>
      </c>
      <c r="T106" s="32">
        <f>T102*(T56/100)^2-80*(T56/100)+37</f>
        <v>244.45039262791772</v>
      </c>
      <c r="U106" s="22" t="s">
        <v>259</v>
      </c>
      <c r="W106" s="30" t="s">
        <v>360</v>
      </c>
      <c r="X106">
        <f>SUM(P103:P104)</f>
        <v>1.8</v>
      </c>
      <c r="Y106" s="22" t="s">
        <v>41</v>
      </c>
    </row>
    <row r="107" spans="12:25" ht="15.75" thickBot="1">
      <c r="S107" s="28" t="s">
        <v>370</v>
      </c>
      <c r="T107" s="29">
        <f>38000*(T47/100)-5000</f>
        <v>16343.712574850295</v>
      </c>
      <c r="U107" s="24" t="s">
        <v>259</v>
      </c>
      <c r="W107" s="30" t="s">
        <v>362</v>
      </c>
      <c r="X107">
        <f>X102+((X105+X106)/2)</f>
        <v>20.8</v>
      </c>
      <c r="Y107" s="22" t="s">
        <v>41</v>
      </c>
    </row>
    <row r="108" spans="12:25">
      <c r="S108" s="20" t="s">
        <v>363</v>
      </c>
      <c r="T108" s="21">
        <v>76</v>
      </c>
      <c r="U108" s="7" t="s">
        <v>259</v>
      </c>
      <c r="W108" s="30" t="s">
        <v>364</v>
      </c>
      <c r="X108" s="61">
        <f>((X106*X107)/(X106+X105))+(X105/2)</f>
        <v>11.3</v>
      </c>
      <c r="Y108" s="22" t="s">
        <v>41</v>
      </c>
    </row>
    <row r="109" spans="12:25" ht="15.75" thickBot="1">
      <c r="S109" s="28" t="s">
        <v>365</v>
      </c>
      <c r="T109" s="23">
        <v>26</v>
      </c>
      <c r="U109" s="24" t="s">
        <v>259</v>
      </c>
      <c r="W109" s="28" t="s">
        <v>366</v>
      </c>
      <c r="X109" s="29">
        <f>((X105*X107)/(X106+X105))+(X106/2)</f>
        <v>11.3</v>
      </c>
      <c r="Y109" s="24" t="s">
        <v>41</v>
      </c>
    </row>
    <row r="110" spans="12:25">
      <c r="S110" s="490"/>
      <c r="T110" s="491"/>
      <c r="U110" s="492"/>
      <c r="V110" s="492"/>
      <c r="W110" s="490"/>
      <c r="X110" s="491"/>
      <c r="Y110" s="492"/>
    </row>
    <row r="111" spans="12:25">
      <c r="S111" s="490"/>
      <c r="T111" s="491"/>
      <c r="U111" s="492"/>
      <c r="V111" s="492"/>
      <c r="W111" s="490"/>
      <c r="X111" s="491"/>
      <c r="Y111" s="492"/>
    </row>
  </sheetData>
  <mergeCells count="37">
    <mergeCell ref="X57:AD57"/>
    <mergeCell ref="B26:C26"/>
    <mergeCell ref="B29:C29"/>
    <mergeCell ref="B35:C35"/>
    <mergeCell ref="B42:C42"/>
    <mergeCell ref="A1:K2"/>
    <mergeCell ref="B16:E16"/>
    <mergeCell ref="B17:C17"/>
    <mergeCell ref="B19:C19"/>
    <mergeCell ref="B22:C22"/>
    <mergeCell ref="B24:C24"/>
    <mergeCell ref="L98:P98"/>
    <mergeCell ref="S98:U98"/>
    <mergeCell ref="W98:Y98"/>
    <mergeCell ref="L1:X2"/>
    <mergeCell ref="L53:P53"/>
    <mergeCell ref="L64:P64"/>
    <mergeCell ref="S64:U64"/>
    <mergeCell ref="W64:Y64"/>
    <mergeCell ref="L81:P81"/>
    <mergeCell ref="S81:U81"/>
    <mergeCell ref="W81:Y81"/>
    <mergeCell ref="L22:R22"/>
    <mergeCell ref="L24:P24"/>
    <mergeCell ref="L34:P34"/>
    <mergeCell ref="L44:P44"/>
    <mergeCell ref="S25:U25"/>
    <mergeCell ref="S35:U35"/>
    <mergeCell ref="S45:U45"/>
    <mergeCell ref="S54:U54"/>
    <mergeCell ref="T7:Y7"/>
    <mergeCell ref="T10:U10"/>
    <mergeCell ref="T9:U9"/>
    <mergeCell ref="T12:U12"/>
    <mergeCell ref="T17:U17"/>
    <mergeCell ref="T18:U18"/>
    <mergeCell ref="T11:U11"/>
  </mergeCells>
  <conditionalFormatting sqref="T28">
    <cfRule type="cellIs" dxfId="81" priority="7" operator="lessThan">
      <formula>$N$17</formula>
    </cfRule>
    <cfRule type="cellIs" dxfId="80" priority="26" operator="greaterThan">
      <formula>$N$17</formula>
    </cfRule>
  </conditionalFormatting>
  <conditionalFormatting sqref="T38">
    <cfRule type="cellIs" dxfId="79" priority="4" operator="lessThan">
      <formula>$N$18</formula>
    </cfRule>
    <cfRule type="cellIs" dxfId="78" priority="25" operator="greaterThan">
      <formula>$N$18</formula>
    </cfRule>
  </conditionalFormatting>
  <conditionalFormatting sqref="T48">
    <cfRule type="cellIs" dxfId="77" priority="3" operator="lessThan">
      <formula>$N$19</formula>
    </cfRule>
    <cfRule type="cellIs" dxfId="76" priority="24" operator="greaterThan">
      <formula>$N$19</formula>
    </cfRule>
  </conditionalFormatting>
  <conditionalFormatting sqref="T57">
    <cfRule type="cellIs" dxfId="75" priority="23" operator="greaterThan">
      <formula>$N$21</formula>
    </cfRule>
  </conditionalFormatting>
  <conditionalFormatting sqref="X65">
    <cfRule type="cellIs" dxfId="74" priority="22" operator="greaterThan">
      <formula>$T$65</formula>
    </cfRule>
  </conditionalFormatting>
  <conditionalFormatting sqref="X66">
    <cfRule type="cellIs" dxfId="73" priority="21" operator="greaterThan">
      <formula>$T$66</formula>
    </cfRule>
  </conditionalFormatting>
  <conditionalFormatting sqref="X67">
    <cfRule type="cellIs" dxfId="72" priority="20" operator="greaterThan">
      <formula>$T$67</formula>
    </cfRule>
  </conditionalFormatting>
  <conditionalFormatting sqref="X82">
    <cfRule type="cellIs" dxfId="71" priority="19" operator="greaterThan">
      <formula>$T$82</formula>
    </cfRule>
  </conditionalFormatting>
  <conditionalFormatting sqref="X83">
    <cfRule type="cellIs" dxfId="70" priority="18" operator="greaterThan">
      <formula>$T$83</formula>
    </cfRule>
  </conditionalFormatting>
  <conditionalFormatting sqref="X84">
    <cfRule type="cellIs" dxfId="69" priority="17" operator="greaterThan">
      <formula>$T$84</formula>
    </cfRule>
  </conditionalFormatting>
  <conditionalFormatting sqref="X99">
    <cfRule type="cellIs" dxfId="68" priority="16" operator="greaterThan">
      <formula>$T$99</formula>
    </cfRule>
  </conditionalFormatting>
  <conditionalFormatting sqref="X100">
    <cfRule type="cellIs" dxfId="67" priority="15" operator="greaterThan">
      <formula>$T$100</formula>
    </cfRule>
  </conditionalFormatting>
  <conditionalFormatting sqref="X101">
    <cfRule type="cellIs" dxfId="66" priority="14" operator="greaterThan">
      <formula>$T$101</formula>
    </cfRule>
  </conditionalFormatting>
  <conditionalFormatting sqref="T26">
    <cfRule type="cellIs" dxfId="65" priority="6" operator="lessThan">
      <formula>$Q$17</formula>
    </cfRule>
    <cfRule type="cellIs" dxfId="64" priority="13" operator="greaterThan">
      <formula>$Q$17</formula>
    </cfRule>
  </conditionalFormatting>
  <conditionalFormatting sqref="T36">
    <cfRule type="cellIs" dxfId="63" priority="5" operator="lessThan">
      <formula>$Q$18</formula>
    </cfRule>
    <cfRule type="cellIs" dxfId="62" priority="12" operator="greaterThan">
      <formula>$Q$18</formula>
    </cfRule>
  </conditionalFormatting>
  <conditionalFormatting sqref="X77">
    <cfRule type="cellIs" dxfId="61" priority="11" operator="greaterThan">
      <formula>$T$77</formula>
    </cfRule>
  </conditionalFormatting>
  <conditionalFormatting sqref="X78">
    <cfRule type="cellIs" dxfId="60" priority="10" operator="greaterThan">
      <formula>$T$78</formula>
    </cfRule>
  </conditionalFormatting>
  <conditionalFormatting sqref="X93">
    <cfRule type="cellIs" dxfId="59" priority="9" operator="greaterThan">
      <formula>$T$93</formula>
    </cfRule>
  </conditionalFormatting>
  <conditionalFormatting sqref="X94">
    <cfRule type="cellIs" dxfId="58" priority="8" operator="greaterThan">
      <formula>$T$94</formula>
    </cfRule>
  </conditionalFormatting>
  <conditionalFormatting sqref="V11">
    <cfRule type="cellIs" dxfId="57" priority="2" operator="greaterThan">
      <formula>$V$17</formula>
    </cfRule>
    <cfRule type="cellIs" dxfId="56" priority="1" operator="lessThan">
      <formula>$V$17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Hoja1!$C$4:$C$7</xm:f>
          </x14:formula1>
          <xm:sqref>T10:U10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"/>
  <sheetViews>
    <sheetView workbookViewId="0">
      <selection activeCell="D8" sqref="D8"/>
    </sheetView>
  </sheetViews>
  <sheetFormatPr baseColWidth="10" defaultColWidth="11.42578125" defaultRowHeight="15"/>
  <cols>
    <col min="3" max="3" width="37.140625" customWidth="1"/>
  </cols>
  <sheetData>
    <row r="4" spans="3:4">
      <c r="C4" t="s">
        <v>372</v>
      </c>
      <c r="D4">
        <v>0.5</v>
      </c>
    </row>
    <row r="5" spans="3:4">
      <c r="C5" t="s">
        <v>373</v>
      </c>
      <c r="D5">
        <v>0.55000000000000004</v>
      </c>
    </row>
    <row r="6" spans="3:4">
      <c r="C6" t="s">
        <v>271</v>
      </c>
      <c r="D6">
        <v>0.65</v>
      </c>
    </row>
    <row r="7" spans="3:4">
      <c r="C7" t="s">
        <v>374</v>
      </c>
      <c r="D7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S192"/>
  <sheetViews>
    <sheetView topLeftCell="X109" zoomScaleNormal="100" workbookViewId="0">
      <selection activeCell="AB42" sqref="AB42"/>
    </sheetView>
  </sheetViews>
  <sheetFormatPr baseColWidth="10" defaultColWidth="11.42578125" defaultRowHeight="15"/>
  <cols>
    <col min="1" max="1" width="29" hidden="1" customWidth="1"/>
    <col min="2" max="2" width="17.140625" hidden="1" customWidth="1"/>
    <col min="3" max="8" width="11.42578125" hidden="1" customWidth="1"/>
    <col min="9" max="9" width="29.7109375" hidden="1" customWidth="1"/>
    <col min="10" max="10" width="16.42578125" hidden="1" customWidth="1"/>
    <col min="11" max="11" width="11.42578125" hidden="1" customWidth="1"/>
    <col min="12" max="12" width="1" hidden="1" customWidth="1"/>
    <col min="13" max="13" width="7.28515625" hidden="1" customWidth="1"/>
    <col min="14" max="15" width="11.42578125" hidden="1" customWidth="1"/>
    <col min="17" max="17" width="40.85546875" customWidth="1"/>
    <col min="18" max="18" width="19.28515625" bestFit="1" customWidth="1"/>
    <col min="27" max="27" width="13" customWidth="1"/>
    <col min="30" max="30" width="20.5703125" customWidth="1"/>
    <col min="34" max="34" width="15" customWidth="1"/>
    <col min="37" max="37" width="14.5703125" bestFit="1" customWidth="1"/>
    <col min="38" max="38" width="14.85546875" bestFit="1" customWidth="1"/>
    <col min="40" max="40" width="14.85546875" bestFit="1" customWidth="1"/>
    <col min="42" max="42" width="15.5703125" customWidth="1"/>
    <col min="43" max="43" width="15.85546875" customWidth="1"/>
    <col min="44" max="44" width="12.85546875" customWidth="1"/>
  </cols>
  <sheetData>
    <row r="1" spans="1:27">
      <c r="A1" s="627" t="s">
        <v>375</v>
      </c>
      <c r="B1" s="628"/>
      <c r="C1" s="628"/>
      <c r="D1" s="628"/>
      <c r="E1" s="628"/>
      <c r="F1" s="628"/>
      <c r="G1" s="628"/>
      <c r="H1" s="628"/>
      <c r="I1" s="628"/>
      <c r="J1" s="628"/>
      <c r="K1" s="629"/>
      <c r="O1" s="426"/>
      <c r="Q1" s="627" t="s">
        <v>375</v>
      </c>
      <c r="R1" s="628"/>
      <c r="S1" s="628"/>
      <c r="T1" s="628"/>
      <c r="U1" s="628"/>
      <c r="V1" s="628"/>
      <c r="W1" s="628"/>
      <c r="X1" s="628"/>
      <c r="Y1" s="628"/>
      <c r="Z1" s="628"/>
      <c r="AA1" s="629"/>
    </row>
    <row r="2" spans="1:27" ht="15.75" thickBot="1">
      <c r="A2" s="630"/>
      <c r="B2" s="631"/>
      <c r="C2" s="631"/>
      <c r="D2" s="631"/>
      <c r="E2" s="631"/>
      <c r="F2" s="631"/>
      <c r="G2" s="631"/>
      <c r="H2" s="631"/>
      <c r="I2" s="631"/>
      <c r="J2" s="631"/>
      <c r="K2" s="632"/>
      <c r="O2" s="426"/>
      <c r="Q2" s="630"/>
      <c r="R2" s="631"/>
      <c r="S2" s="631"/>
      <c r="T2" s="631"/>
      <c r="U2" s="631"/>
      <c r="V2" s="631"/>
      <c r="W2" s="631"/>
      <c r="X2" s="631"/>
      <c r="Y2" s="631"/>
      <c r="Z2" s="631"/>
      <c r="AA2" s="632"/>
    </row>
    <row r="3" spans="1:27">
      <c r="O3" s="426"/>
    </row>
    <row r="4" spans="1:27" ht="15.75" thickBot="1">
      <c r="O4" s="426"/>
    </row>
    <row r="5" spans="1:27" ht="15.75" thickBot="1">
      <c r="O5" s="426"/>
      <c r="Q5" s="50" t="s">
        <v>376</v>
      </c>
      <c r="R5" s="21">
        <v>210</v>
      </c>
      <c r="S5" s="7" t="s">
        <v>377</v>
      </c>
    </row>
    <row r="6" spans="1:27" ht="15.75" thickBot="1">
      <c r="A6" s="50" t="s">
        <v>376</v>
      </c>
      <c r="B6" s="21">
        <f>0.7*'espesores laminas'!C5</f>
        <v>192.5</v>
      </c>
      <c r="C6" s="7" t="s">
        <v>377</v>
      </c>
      <c r="O6" s="426"/>
      <c r="Q6" s="118" t="s">
        <v>378</v>
      </c>
      <c r="R6" s="23">
        <f>80*AB39+38</f>
        <v>73.2</v>
      </c>
      <c r="S6" s="24" t="s">
        <v>377</v>
      </c>
    </row>
    <row r="7" spans="1:27" ht="15.75" thickBot="1">
      <c r="A7" s="118" t="s">
        <v>378</v>
      </c>
      <c r="B7" s="23">
        <f>0.4*'espesores laminas'!C5</f>
        <v>110</v>
      </c>
      <c r="C7" s="24" t="s">
        <v>377</v>
      </c>
      <c r="O7" s="426"/>
    </row>
    <row r="8" spans="1:27" ht="15.75" thickBot="1">
      <c r="O8" s="426"/>
      <c r="Q8" s="119" t="s">
        <v>379</v>
      </c>
      <c r="R8" s="21">
        <v>5</v>
      </c>
      <c r="S8" s="7"/>
    </row>
    <row r="9" spans="1:27">
      <c r="A9" s="119" t="s">
        <v>379</v>
      </c>
      <c r="B9" s="21">
        <v>5</v>
      </c>
      <c r="C9" s="7"/>
      <c r="O9" s="426"/>
      <c r="Q9" s="120" t="s">
        <v>380</v>
      </c>
      <c r="R9" s="484">
        <v>300</v>
      </c>
      <c r="S9" s="22" t="s">
        <v>41</v>
      </c>
    </row>
    <row r="10" spans="1:27">
      <c r="A10" s="120" t="s">
        <v>380</v>
      </c>
      <c r="B10">
        <v>250</v>
      </c>
      <c r="C10" s="22" t="s">
        <v>41</v>
      </c>
      <c r="O10" s="426"/>
      <c r="Q10" s="120" t="s">
        <v>381</v>
      </c>
      <c r="R10" s="484">
        <v>800</v>
      </c>
      <c r="S10" s="22" t="s">
        <v>41</v>
      </c>
    </row>
    <row r="11" spans="1:27" ht="15.75" thickBot="1">
      <c r="A11" s="120" t="s">
        <v>381</v>
      </c>
      <c r="B11">
        <v>750</v>
      </c>
      <c r="C11" s="22" t="s">
        <v>41</v>
      </c>
      <c r="O11" s="426"/>
      <c r="Q11" s="121" t="s">
        <v>382</v>
      </c>
      <c r="R11" s="23">
        <v>1</v>
      </c>
      <c r="S11" s="24"/>
    </row>
    <row r="12" spans="1:27" ht="15.75" thickBot="1">
      <c r="A12" s="121" t="s">
        <v>382</v>
      </c>
      <c r="B12" s="23">
        <v>1</v>
      </c>
      <c r="C12" s="24"/>
      <c r="O12" s="426"/>
    </row>
    <row r="13" spans="1:27" ht="15.75" thickBot="1">
      <c r="O13" s="426"/>
    </row>
    <row r="14" spans="1:27" ht="15.75" thickBot="1">
      <c r="A14" s="524" t="s">
        <v>383</v>
      </c>
      <c r="B14" s="525"/>
      <c r="C14" s="525"/>
      <c r="D14" s="525"/>
      <c r="E14" s="525"/>
      <c r="F14" s="526"/>
      <c r="I14" s="524" t="s">
        <v>384</v>
      </c>
      <c r="J14" s="525"/>
      <c r="K14" s="525"/>
      <c r="L14" s="525"/>
      <c r="M14" s="525"/>
      <c r="N14" s="526"/>
      <c r="O14" s="426"/>
      <c r="Q14" s="524" t="s">
        <v>383</v>
      </c>
      <c r="R14" s="525"/>
      <c r="S14" s="525"/>
      <c r="T14" s="525"/>
      <c r="U14" s="525"/>
      <c r="V14" s="526"/>
    </row>
    <row r="15" spans="1:27" ht="15.75" thickBot="1">
      <c r="O15" s="426"/>
    </row>
    <row r="16" spans="1:27" ht="15.75" thickBot="1">
      <c r="A16" s="122" t="s">
        <v>385</v>
      </c>
      <c r="B16" s="123">
        <f>(B9*'Presiones de diseño'!D7*Refuerzos!B10*Refuerzos!B11/1000000)/Refuerzos!B7</f>
        <v>0.87957589285714277</v>
      </c>
      <c r="C16" s="42" t="s">
        <v>386</v>
      </c>
      <c r="I16" s="58" t="s">
        <v>387</v>
      </c>
      <c r="J16" s="133">
        <f>(internos!$N$35*internos!$N$34)/100</f>
        <v>3</v>
      </c>
      <c r="K16" s="42" t="s">
        <v>386</v>
      </c>
      <c r="O16" s="426"/>
      <c r="Q16" s="122" t="s">
        <v>385</v>
      </c>
      <c r="R16" s="123">
        <f>((R8*'Presiones de diseño'!D7*Refuerzos!R9*Refuerzos!R10)/Refuerzos!R6)/1000000</f>
        <v>1.691861826697892</v>
      </c>
      <c r="S16" s="42" t="s">
        <v>386</v>
      </c>
      <c r="U16" s="117">
        <f>AH31/1000</f>
        <v>2.4526414983713356</v>
      </c>
      <c r="V16" s="42" t="s">
        <v>386</v>
      </c>
    </row>
    <row r="17" spans="1:45" ht="15.75" thickBot="1">
      <c r="O17" s="426"/>
    </row>
    <row r="18" spans="1:45" ht="15.75" thickBot="1">
      <c r="A18" s="122" t="s">
        <v>388</v>
      </c>
      <c r="B18" s="123">
        <f>(B9*'Presiones de diseño'!D9*Refuerzos!B28*Refuerzos!B11/1000000)/Refuerzos!B7</f>
        <v>0.16933341256957329</v>
      </c>
      <c r="C18" s="42" t="s">
        <v>386</v>
      </c>
      <c r="I18" s="58" t="s">
        <v>389</v>
      </c>
      <c r="J18" s="133">
        <f>J16</f>
        <v>3</v>
      </c>
      <c r="K18" s="42" t="s">
        <v>386</v>
      </c>
      <c r="O18" s="426"/>
      <c r="Q18" s="122" t="s">
        <v>388</v>
      </c>
      <c r="R18" s="123">
        <f>((R8*'Presiones de diseño'!D9*Refuerzos!R9*Refuerzos!R10)/Refuerzos!R6)/1000000</f>
        <v>0.32571235641797697</v>
      </c>
      <c r="S18" s="42" t="s">
        <v>386</v>
      </c>
      <c r="U18" s="117">
        <f>AH146/1000</f>
        <v>1.8104800000000001</v>
      </c>
      <c r="V18" s="42" t="s">
        <v>386</v>
      </c>
    </row>
    <row r="19" spans="1:45" ht="15.75" thickBot="1">
      <c r="O19" s="426"/>
    </row>
    <row r="20" spans="1:45" ht="15.75" thickBot="1">
      <c r="A20" s="122" t="s">
        <v>390</v>
      </c>
      <c r="B20" s="124">
        <f>(B9*'espesores laminas'!D26*B33*B32/1000000)/Refuerzos!B7</f>
        <v>3.3174670915973987E-2</v>
      </c>
      <c r="C20" s="42" t="s">
        <v>386</v>
      </c>
      <c r="I20" s="58" t="s">
        <v>391</v>
      </c>
      <c r="J20" s="79">
        <f>(internos!$S$63+internos!$S$63)/1000</f>
        <v>0.20799999999999999</v>
      </c>
      <c r="K20" s="42" t="s">
        <v>386</v>
      </c>
      <c r="O20" s="426"/>
      <c r="Q20" s="122" t="s">
        <v>390</v>
      </c>
      <c r="R20" s="433">
        <f>((R8*'Presiones de diseño'!D15*Refuerzos!R9*Refuerzos!R10)/Refuerzos!R6)/1000000</f>
        <v>8.1967213114754092E-2</v>
      </c>
      <c r="S20" s="42" t="s">
        <v>386</v>
      </c>
      <c r="U20" s="117">
        <f>AH174/1000</f>
        <v>1.8104800000000001</v>
      </c>
      <c r="V20" s="42" t="s">
        <v>386</v>
      </c>
    </row>
    <row r="21" spans="1:45">
      <c r="O21" s="426"/>
    </row>
    <row r="22" spans="1:45" ht="15.75" thickBot="1">
      <c r="O22" s="426"/>
    </row>
    <row r="23" spans="1:45" ht="15.75" thickBot="1">
      <c r="A23" s="524" t="s">
        <v>392</v>
      </c>
      <c r="B23" s="525"/>
      <c r="C23" s="525"/>
      <c r="D23" s="525"/>
      <c r="E23" s="525"/>
      <c r="F23" s="526"/>
      <c r="I23" s="524" t="s">
        <v>393</v>
      </c>
      <c r="J23" s="525"/>
      <c r="K23" s="525"/>
      <c r="L23" s="525"/>
      <c r="M23" s="525"/>
      <c r="N23" s="526"/>
      <c r="O23" s="426"/>
      <c r="Q23" s="524" t="s">
        <v>392</v>
      </c>
      <c r="R23" s="525"/>
      <c r="S23" s="525"/>
      <c r="T23" s="525"/>
      <c r="U23" s="525"/>
      <c r="V23" s="526"/>
      <c r="AA23" s="633" t="s">
        <v>394</v>
      </c>
      <c r="AB23" s="634"/>
      <c r="AC23" s="634"/>
      <c r="AD23" s="634"/>
      <c r="AE23" s="634"/>
      <c r="AF23" s="634"/>
      <c r="AG23" s="634"/>
      <c r="AH23" s="634"/>
      <c r="AI23" s="634"/>
      <c r="AJ23" s="634"/>
      <c r="AK23" s="634"/>
      <c r="AL23" s="634"/>
      <c r="AM23" s="634"/>
      <c r="AN23" s="634"/>
      <c r="AO23" s="634"/>
      <c r="AP23" s="634"/>
      <c r="AQ23" s="634"/>
      <c r="AR23" s="634"/>
      <c r="AS23" s="635"/>
    </row>
    <row r="24" spans="1:45" ht="15.75" thickBot="1">
      <c r="O24" s="426"/>
      <c r="AA24" s="636"/>
      <c r="AB24" s="637"/>
      <c r="AC24" s="637"/>
      <c r="AD24" s="637"/>
      <c r="AE24" s="637"/>
      <c r="AF24" s="637"/>
      <c r="AG24" s="637"/>
      <c r="AH24" s="637"/>
      <c r="AI24" s="637"/>
      <c r="AJ24" s="637"/>
      <c r="AK24" s="637"/>
      <c r="AL24" s="637"/>
      <c r="AM24" s="637"/>
      <c r="AN24" s="637"/>
      <c r="AO24" s="637"/>
      <c r="AP24" s="637"/>
      <c r="AQ24" s="637"/>
      <c r="AR24" s="637"/>
      <c r="AS24" s="638"/>
    </row>
    <row r="25" spans="1:45" ht="15.75" thickBot="1">
      <c r="A25" s="122" t="s">
        <v>395</v>
      </c>
      <c r="B25" s="117">
        <f>(83.33*B12*'Presiones de diseño'!D7*Refuerzos!B10*Refuerzos!B11^2/1000000000)/Refuerzos!B6</f>
        <v>6.2824336415816315</v>
      </c>
      <c r="C25" s="42" t="s">
        <v>45</v>
      </c>
      <c r="I25" s="58" t="s">
        <v>387</v>
      </c>
      <c r="J25" s="133">
        <f>ABS(AP27)</f>
        <v>94.580122826836813</v>
      </c>
      <c r="K25" s="42" t="s">
        <v>396</v>
      </c>
      <c r="O25" s="426"/>
      <c r="Q25" s="122" t="s">
        <v>395</v>
      </c>
      <c r="R25" s="306">
        <f>(83.33*1*'Presiones de diseño'!D7*R9*R10^2/R5)/1000000000</f>
        <v>7.8628147265306119</v>
      </c>
      <c r="S25" s="42" t="s">
        <v>45</v>
      </c>
      <c r="U25" s="117">
        <f>AB42/(AB41/10)</f>
        <v>139.53378507469066</v>
      </c>
      <c r="V25" s="42" t="s">
        <v>45</v>
      </c>
    </row>
    <row r="26" spans="1:45" ht="31.5" thickBot="1">
      <c r="A26" s="128" t="s">
        <v>397</v>
      </c>
      <c r="B26" s="31">
        <f>J25/B25</f>
        <v>15.054695078804817</v>
      </c>
      <c r="C26" s="24"/>
      <c r="I26" s="30"/>
      <c r="J26" s="61"/>
      <c r="K26" s="22"/>
      <c r="O26" s="426"/>
      <c r="Q26" s="128" t="s">
        <v>398</v>
      </c>
      <c r="R26" s="31">
        <f>((26*R11^1.5*'Presiones de diseño'!D7*Refuerzos!R9*Refuerzos!R10^3)/(0.05*Refuerzos!AB40))/100000000000</f>
        <v>7.0333410043881033</v>
      </c>
      <c r="S26" s="42" t="s">
        <v>399</v>
      </c>
      <c r="AD26" s="437"/>
      <c r="AE26" s="438" t="s">
        <v>400</v>
      </c>
      <c r="AF26" s="438" t="s">
        <v>401</v>
      </c>
      <c r="AG26" s="438" t="s">
        <v>402</v>
      </c>
      <c r="AH26" s="438" t="s">
        <v>403</v>
      </c>
      <c r="AI26" s="438" t="s">
        <v>404</v>
      </c>
      <c r="AJ26" s="438" t="s">
        <v>366</v>
      </c>
      <c r="AK26" s="438" t="s">
        <v>405</v>
      </c>
      <c r="AL26" s="438" t="s">
        <v>406</v>
      </c>
      <c r="AM26" s="439" t="s">
        <v>407</v>
      </c>
      <c r="AN26" s="438" t="s">
        <v>408</v>
      </c>
      <c r="AO26" s="438" t="s">
        <v>409</v>
      </c>
      <c r="AP26" s="438" t="s">
        <v>410</v>
      </c>
      <c r="AQ26" s="439" t="s">
        <v>411</v>
      </c>
      <c r="AR26" s="487" t="s">
        <v>397</v>
      </c>
      <c r="AS26" s="440" t="s">
        <v>412</v>
      </c>
    </row>
    <row r="27" spans="1:45" ht="15.75" thickBot="1">
      <c r="A27" s="98"/>
      <c r="B27" s="32"/>
      <c r="I27" s="30"/>
      <c r="K27" s="22"/>
      <c r="O27" s="426"/>
      <c r="Q27" s="98"/>
      <c r="R27" s="32"/>
      <c r="AD27" s="11" t="s">
        <v>413</v>
      </c>
      <c r="AE27" s="8">
        <f>20*2*AB34+AB36</f>
        <v>209</v>
      </c>
      <c r="AF27" s="460">
        <f>'espesores laminas'!T28</f>
        <v>6.469576547231271</v>
      </c>
      <c r="AG27" s="435">
        <f>('espesores laminas'!T27/100)*38000-5000</f>
        <v>12387.317073170729</v>
      </c>
      <c r="AH27" s="435">
        <f>AE27*AF27</f>
        <v>1352.1414983713357</v>
      </c>
      <c r="AI27" s="8">
        <f>AG27*AH27</f>
        <v>16749405.468117898</v>
      </c>
      <c r="AJ27" s="435">
        <f>AF27/2</f>
        <v>3.2347882736156355</v>
      </c>
      <c r="AK27" s="8">
        <f>AI27*AJ27</f>
        <v>54180780.398301378</v>
      </c>
      <c r="AL27" s="8">
        <f>AK27*AJ27</f>
        <v>175263353.08776918</v>
      </c>
      <c r="AM27" s="8">
        <f>(1/12)*AE27*AF27^3</f>
        <v>4716.2042717430213</v>
      </c>
      <c r="AN27" s="8">
        <f>AM27+AL27</f>
        <v>175268069.29204091</v>
      </c>
      <c r="AO27" s="9">
        <f>AJ27-AB41</f>
        <v>-16.502376578671871</v>
      </c>
      <c r="AP27" s="447">
        <f>'C. inercias'!K32/(AO27*AG27)/1000</f>
        <v>-94.580122826836813</v>
      </c>
      <c r="AQ27" s="9">
        <f>'C. inercias'!H6/Refuerzos!AP27/1000</f>
        <v>-17.458119562759844</v>
      </c>
      <c r="AR27" s="449">
        <f>ABS($R$5/AQ27)</f>
        <v>12.028786906005266</v>
      </c>
      <c r="AS27" s="12">
        <f>AN27/AG27/10000</f>
        <v>1.4148993543698667</v>
      </c>
    </row>
    <row r="28" spans="1:45" ht="31.5" customHeight="1" thickBot="1">
      <c r="A28" s="127" t="s">
        <v>380</v>
      </c>
      <c r="B28" s="21">
        <v>250</v>
      </c>
      <c r="C28" s="7" t="s">
        <v>41</v>
      </c>
      <c r="I28" s="58" t="s">
        <v>389</v>
      </c>
      <c r="J28" s="133">
        <f>internos!M69</f>
        <v>3.1912568306010933</v>
      </c>
      <c r="K28" s="42" t="s">
        <v>396</v>
      </c>
      <c r="O28" s="426"/>
      <c r="Q28" s="127" t="s">
        <v>380</v>
      </c>
      <c r="R28" s="489">
        <v>200</v>
      </c>
      <c r="S28" s="7" t="s">
        <v>41</v>
      </c>
      <c r="AD28" s="442" t="s">
        <v>414</v>
      </c>
      <c r="AE28" s="457">
        <v>85</v>
      </c>
      <c r="AF28" s="457">
        <f>'espesores laminas'!P36+'espesores laminas'!P37+'espesores laminas'!P38</f>
        <v>3.1</v>
      </c>
      <c r="AG28" s="8">
        <f>$AB$39*38000-5000</f>
        <v>11720</v>
      </c>
      <c r="AH28" s="435">
        <f>AE28*AF28</f>
        <v>263.5</v>
      </c>
      <c r="AI28" s="8">
        <f t="shared" ref="AI28:AI30" si="0">AG28*AH28</f>
        <v>3088220</v>
      </c>
      <c r="AJ28" s="435">
        <f>AB35+AF27+AF28/2</f>
        <v>83.019576547231267</v>
      </c>
      <c r="AK28" s="8">
        <f>AI28*AJ28</f>
        <v>256382716.68469054</v>
      </c>
      <c r="AL28" s="8">
        <f>AK28*AJ28</f>
        <v>21284784573.191772</v>
      </c>
      <c r="AM28" s="8">
        <f>(1/12)*AE28*AF28^3</f>
        <v>211.01958333333334</v>
      </c>
      <c r="AN28" s="8">
        <f>AM28+AL28</f>
        <v>21284784784.211357</v>
      </c>
      <c r="AO28" s="9">
        <f>(AF27+75+AF28)-AB41</f>
        <v>64.832411694943758</v>
      </c>
      <c r="AP28" s="9">
        <f>'C. inercias'!K32/(AO28*AG28)/1000</f>
        <v>25.445080686128978</v>
      </c>
      <c r="AQ28" s="9">
        <f>'C. inercias'!H6/Refuerzos!AP28/1000</f>
        <v>64.892350428723603</v>
      </c>
      <c r="AR28" s="9">
        <f t="shared" ref="AR28:AR29" si="1">$R$5/AQ28</f>
        <v>3.2361287364781091</v>
      </c>
      <c r="AS28" s="12">
        <f t="shared" ref="AS28:AS30" si="2">AN28/AG28/10000</f>
        <v>181.61079167415832</v>
      </c>
    </row>
    <row r="29" spans="1:45" ht="31.5" customHeight="1" thickBot="1">
      <c r="A29" s="122" t="s">
        <v>415</v>
      </c>
      <c r="B29" s="117">
        <f>(83.33*B12*'Presiones de diseño'!D9*B28*Refuerzos!B11^2/1000000000)/Refuerzos!B6</f>
        <v>1.209475994521932</v>
      </c>
      <c r="C29" s="42" t="s">
        <v>45</v>
      </c>
      <c r="I29" s="30"/>
      <c r="K29" s="22"/>
      <c r="O29" s="426"/>
      <c r="Q29" s="122" t="s">
        <v>415</v>
      </c>
      <c r="R29" s="117">
        <f>((83.33*1*'Presiones de diseño'!D9*Refuerzos!R28*Refuerzos!R10^2)/Refuerzos!R5)/1000000000</f>
        <v>1.0091509335033364</v>
      </c>
      <c r="S29" s="42" t="s">
        <v>45</v>
      </c>
      <c r="U29" s="117">
        <f>AS146/(AB163/10)</f>
        <v>75.535798010466749</v>
      </c>
      <c r="V29" s="42" t="s">
        <v>45</v>
      </c>
      <c r="AD29" s="442" t="s">
        <v>416</v>
      </c>
      <c r="AE29" s="457">
        <v>3.1</v>
      </c>
      <c r="AF29" s="457">
        <v>75</v>
      </c>
      <c r="AG29" s="8">
        <f t="shared" ref="AG29:AG30" si="3">$AB$39*38000-5000</f>
        <v>11720</v>
      </c>
      <c r="AH29" s="435">
        <f>AE29*AF29*2</f>
        <v>465</v>
      </c>
      <c r="AI29" s="8">
        <f t="shared" si="0"/>
        <v>5449800</v>
      </c>
      <c r="AJ29" s="435">
        <f>AF29/2+AF27</f>
        <v>43.96957654723127</v>
      </c>
      <c r="AK29" s="8">
        <f>AI29*AJ29</f>
        <v>239625398.26710099</v>
      </c>
      <c r="AL29" s="8">
        <f>AK29*AJ29</f>
        <v>10536227291.766077</v>
      </c>
      <c r="AM29" s="8">
        <f>(2/12)*AE29*AF29^3</f>
        <v>217968.74999999997</v>
      </c>
      <c r="AN29" s="8">
        <f>AM29+AL29</f>
        <v>10536445260.516077</v>
      </c>
      <c r="AO29" s="435">
        <f>(AF29+AF27)-AB41</f>
        <v>61.732411694943764</v>
      </c>
      <c r="AP29" s="9">
        <f>'C. inercias'!K32/(AO29*AG29)/1000</f>
        <v>26.722849494462455</v>
      </c>
      <c r="AQ29" s="9">
        <f>'C. inercias'!H6/Refuerzos!AP29/1000</f>
        <v>61.78948442281915</v>
      </c>
      <c r="AR29" s="9">
        <f t="shared" si="1"/>
        <v>3.3986365473288527</v>
      </c>
      <c r="AS29" s="12">
        <f t="shared" si="2"/>
        <v>89.90141007266277</v>
      </c>
    </row>
    <row r="30" spans="1:45" ht="39.75" customHeight="1" thickBot="1">
      <c r="A30" s="128" t="s">
        <v>397</v>
      </c>
      <c r="B30" s="31">
        <f>J28/B29</f>
        <v>2.6385449939107697</v>
      </c>
      <c r="C30" s="24"/>
      <c r="I30" s="30"/>
      <c r="K30" s="22"/>
      <c r="O30" s="426"/>
      <c r="Q30" s="128" t="s">
        <v>398</v>
      </c>
      <c r="R30" s="31">
        <f>((26*R11^1.5*'Presiones de diseño'!D9*Refuerzos!R28*Refuerzos!R10^3)/(0.05*Refuerzos!AB40))/100000000000</f>
        <v>0.90269234200273973</v>
      </c>
      <c r="S30" s="42" t="s">
        <v>399</v>
      </c>
      <c r="AD30" s="444" t="s">
        <v>417</v>
      </c>
      <c r="AE30" s="458">
        <v>60</v>
      </c>
      <c r="AF30" s="458">
        <v>3.1</v>
      </c>
      <c r="AG30" s="14">
        <f t="shared" si="3"/>
        <v>11720</v>
      </c>
      <c r="AH30" s="445">
        <f>AE30*AF30*2</f>
        <v>372</v>
      </c>
      <c r="AI30" s="14">
        <f t="shared" si="0"/>
        <v>4359840</v>
      </c>
      <c r="AJ30" s="445">
        <f>AF27+AF30/2</f>
        <v>8.0195765472312708</v>
      </c>
      <c r="AK30" s="14">
        <f>AI30*AJ30</f>
        <v>34964070.61368078</v>
      </c>
      <c r="AL30" s="14">
        <f>AK30*AJ30</f>
        <v>280397040.68921244</v>
      </c>
      <c r="AM30" s="14">
        <f>(2/12)*AE30*AF30^3</f>
        <v>297.91000000000003</v>
      </c>
      <c r="AN30" s="14">
        <f>AM30+AL30</f>
        <v>280397338.59921247</v>
      </c>
      <c r="AO30" s="19">
        <f>AF27+AF30-AB41</f>
        <v>-10.167588305056235</v>
      </c>
      <c r="AP30" s="19">
        <f>'C. inercias'!K32/(AO30*AG27)/1000</f>
        <v>-153.50708121898805</v>
      </c>
      <c r="AQ30" s="445">
        <f>'C. inercias'!H6/Refuerzos!AP30/1000</f>
        <v>-10.756449014986448</v>
      </c>
      <c r="AR30" s="19">
        <f>ABS($R$5/AQ30)</f>
        <v>19.523171606858082</v>
      </c>
      <c r="AS30" s="15">
        <f t="shared" si="2"/>
        <v>2.392468759378946</v>
      </c>
    </row>
    <row r="31" spans="1:45" ht="15.75" thickBot="1">
      <c r="A31" s="98"/>
      <c r="B31" s="32"/>
      <c r="I31" s="58" t="s">
        <v>391</v>
      </c>
      <c r="J31" s="79">
        <f>internos!M63</f>
        <v>4.2694042608422675</v>
      </c>
      <c r="K31" s="42" t="s">
        <v>396</v>
      </c>
      <c r="O31" s="426"/>
      <c r="Q31" s="98"/>
      <c r="R31" s="32"/>
      <c r="AD31" s="418" t="s">
        <v>418</v>
      </c>
      <c r="AH31" s="61">
        <f>SUM(AH27:AH30)</f>
        <v>2452.6414983713357</v>
      </c>
      <c r="AN31" s="434">
        <f>SUM(AN27:AN30)</f>
        <v>32276895452.61869</v>
      </c>
      <c r="AR31" s="32">
        <f>MIN(AR27:AR30)</f>
        <v>3.2361287364781091</v>
      </c>
      <c r="AS31" s="61">
        <f>SUM(AS27:AS30)</f>
        <v>275.31956986056991</v>
      </c>
    </row>
    <row r="32" spans="1:45" ht="15.75" thickBot="1">
      <c r="A32" s="129" t="s">
        <v>419</v>
      </c>
      <c r="B32" s="130">
        <v>1000</v>
      </c>
      <c r="C32" s="7" t="s">
        <v>41</v>
      </c>
      <c r="I32" s="30"/>
      <c r="K32" s="22"/>
      <c r="O32" s="426"/>
      <c r="Q32" s="129" t="s">
        <v>419</v>
      </c>
      <c r="R32" s="488">
        <v>800</v>
      </c>
      <c r="S32" s="7" t="s">
        <v>41</v>
      </c>
      <c r="AN32" s="434"/>
    </row>
    <row r="33" spans="1:45" ht="15.75" thickBot="1">
      <c r="A33" s="131" t="s">
        <v>380</v>
      </c>
      <c r="B33">
        <v>750</v>
      </c>
      <c r="C33" s="22" t="s">
        <v>41</v>
      </c>
      <c r="I33" s="58" t="s">
        <v>420</v>
      </c>
      <c r="J33" s="133">
        <f>internos!M47</f>
        <v>35.358736059479561</v>
      </c>
      <c r="K33" s="42" t="s">
        <v>396</v>
      </c>
      <c r="O33" s="426"/>
      <c r="Q33" s="131" t="s">
        <v>380</v>
      </c>
      <c r="R33" s="484">
        <v>700</v>
      </c>
      <c r="S33" s="22" t="s">
        <v>41</v>
      </c>
      <c r="AN33" s="434"/>
    </row>
    <row r="34" spans="1:45" ht="28.5" customHeight="1" thickBot="1">
      <c r="A34" s="122" t="s">
        <v>421</v>
      </c>
      <c r="B34" s="117">
        <f>(83.33*B12*'Presiones de diseño'!D15*B33*B32^2/1000000000)/Refuerzos!B6</f>
        <v>1.6233116883116883</v>
      </c>
      <c r="C34" s="42" t="s">
        <v>45</v>
      </c>
      <c r="I34" s="30"/>
      <c r="K34" s="22"/>
      <c r="O34" s="426"/>
      <c r="Q34" s="122" t="s">
        <v>421</v>
      </c>
      <c r="R34" s="117">
        <f>((83.33*1*'Presiones de diseño'!D9*Refuerzos!R33*R32^2)/Refuerzos!R5)/1000000000</f>
        <v>3.5320282672616781</v>
      </c>
      <c r="S34" s="42" t="s">
        <v>45</v>
      </c>
      <c r="U34" s="117">
        <f>AS174/(AB191/10)</f>
        <v>75.535798010466749</v>
      </c>
      <c r="V34" s="42" t="s">
        <v>45</v>
      </c>
      <c r="AA34" s="58" t="s">
        <v>422</v>
      </c>
      <c r="AB34" s="461">
        <v>3.1</v>
      </c>
      <c r="AC34" s="42" t="s">
        <v>41</v>
      </c>
    </row>
    <row r="35" spans="1:45" ht="15.75" thickBot="1">
      <c r="A35" s="128" t="s">
        <v>397</v>
      </c>
      <c r="B35" s="31">
        <f>J31/B34</f>
        <v>2.6300582270079174</v>
      </c>
      <c r="C35" s="24"/>
      <c r="I35" s="58" t="s">
        <v>423</v>
      </c>
      <c r="J35" s="134">
        <f>internos!M53</f>
        <v>27.664721520138198</v>
      </c>
      <c r="K35" s="42" t="s">
        <v>396</v>
      </c>
      <c r="O35" s="426"/>
      <c r="Q35" s="128" t="s">
        <v>398</v>
      </c>
      <c r="R35" s="31">
        <f>((26*R11^1.5*'Presiones de diseño'!D9*Refuerzos!R33*Refuerzos!R32^3)/(0.05*Refuerzos!AB40))/100000000000</f>
        <v>3.1594231970095885</v>
      </c>
      <c r="S35" s="24"/>
      <c r="AA35" s="451" t="s">
        <v>424</v>
      </c>
      <c r="AB35" s="456">
        <v>75</v>
      </c>
      <c r="AC35" s="453" t="s">
        <v>41</v>
      </c>
    </row>
    <row r="36" spans="1:45" ht="15.75" thickBot="1">
      <c r="I36" s="30"/>
      <c r="K36" s="22"/>
      <c r="O36" s="426"/>
      <c r="AA36" s="13" t="s">
        <v>425</v>
      </c>
      <c r="AB36" s="458">
        <v>85</v>
      </c>
      <c r="AC36" s="15" t="s">
        <v>41</v>
      </c>
      <c r="AN36" s="32"/>
    </row>
    <row r="37" spans="1:45" ht="15.75" thickBot="1">
      <c r="A37" s="129" t="s">
        <v>419</v>
      </c>
      <c r="B37" s="132">
        <v>500</v>
      </c>
      <c r="C37" s="7" t="s">
        <v>41</v>
      </c>
      <c r="I37" s="58" t="s">
        <v>426</v>
      </c>
      <c r="J37" s="134">
        <f>internos!M58</f>
        <v>19.638462672608245</v>
      </c>
      <c r="K37" s="42" t="s">
        <v>396</v>
      </c>
      <c r="O37" s="426"/>
      <c r="Q37" s="98"/>
      <c r="R37" s="32"/>
    </row>
    <row r="38" spans="1:45" ht="15.75" thickBot="1">
      <c r="A38" s="131" t="s">
        <v>380</v>
      </c>
      <c r="B38">
        <v>750</v>
      </c>
      <c r="C38" s="22" t="s">
        <v>41</v>
      </c>
      <c r="I38" s="30"/>
      <c r="K38" s="22"/>
      <c r="O38" s="426"/>
      <c r="Q38" s="98"/>
    </row>
    <row r="39" spans="1:45" ht="15.75" thickBot="1">
      <c r="A39" s="122" t="s">
        <v>427</v>
      </c>
      <c r="B39" s="117">
        <f>(83.33*B12*'Presiones de diseño'!D7*B38*B37^2/1000000000)/Refuerzos!B6</f>
        <v>8.3765781887755093</v>
      </c>
      <c r="C39" s="42" t="s">
        <v>45</v>
      </c>
      <c r="I39" s="58"/>
      <c r="J39" s="134"/>
      <c r="K39" s="42"/>
      <c r="O39" s="426"/>
      <c r="Q39" s="98"/>
      <c r="R39" s="32"/>
      <c r="AA39" s="451" t="s">
        <v>428</v>
      </c>
      <c r="AB39" s="459">
        <v>0.44</v>
      </c>
      <c r="AC39" s="453"/>
    </row>
    <row r="40" spans="1:45" ht="15.75" thickBot="1">
      <c r="A40" s="128" t="s">
        <v>397</v>
      </c>
      <c r="B40" s="31">
        <f>J35/B39</f>
        <v>3.302627982056983</v>
      </c>
      <c r="C40" s="24"/>
      <c r="O40" s="426"/>
      <c r="Q40" s="98"/>
      <c r="R40" s="32"/>
      <c r="AA40" s="11" t="s">
        <v>429</v>
      </c>
      <c r="AB40" s="8">
        <f>38000*AB39-5000</f>
        <v>11720</v>
      </c>
      <c r="AC40" s="12" t="s">
        <v>259</v>
      </c>
    </row>
    <row r="41" spans="1:45" ht="15.75" thickBot="1">
      <c r="AA41" s="11" t="s">
        <v>430</v>
      </c>
      <c r="AB41" s="435">
        <f>SUM(AK27:AK30)/SUM(AI27:AI30)</f>
        <v>19.737164852287506</v>
      </c>
      <c r="AC41" s="12" t="s">
        <v>41</v>
      </c>
    </row>
    <row r="42" spans="1:45" ht="15.75" thickBot="1">
      <c r="A42" s="129" t="s">
        <v>419</v>
      </c>
      <c r="B42" s="130">
        <v>750</v>
      </c>
      <c r="C42" s="7" t="s">
        <v>41</v>
      </c>
      <c r="Q42" s="98"/>
      <c r="R42" s="333"/>
      <c r="AA42" s="13" t="s">
        <v>88</v>
      </c>
      <c r="AB42" s="455">
        <f>AN31/AB40/10000</f>
        <v>275.40013184828234</v>
      </c>
      <c r="AC42" s="15" t="s">
        <v>431</v>
      </c>
    </row>
    <row r="43" spans="1:45" ht="15.75" thickBot="1">
      <c r="A43" s="131" t="s">
        <v>380</v>
      </c>
      <c r="B43">
        <v>750</v>
      </c>
      <c r="C43" s="22" t="s">
        <v>41</v>
      </c>
      <c r="Q43" s="98"/>
      <c r="AB43" s="32"/>
    </row>
    <row r="44" spans="1:45" ht="15.75" thickBot="1">
      <c r="A44" s="122" t="s">
        <v>432</v>
      </c>
      <c r="B44" s="117">
        <f>(83.33*B12*'Presiones de diseño'!D9*B43*B42^2/1000000000)/Refuerzos!B6</f>
        <v>3.6284279835657962</v>
      </c>
      <c r="C44" s="42" t="s">
        <v>45</v>
      </c>
      <c r="Q44" s="98"/>
      <c r="R44" s="32"/>
    </row>
    <row r="45" spans="1:45" ht="15.75" thickBot="1">
      <c r="A45" s="128" t="s">
        <v>397</v>
      </c>
      <c r="B45" s="31">
        <f>J37/B44</f>
        <v>5.4123887153214953</v>
      </c>
      <c r="C45" s="24"/>
      <c r="Q45" s="98"/>
      <c r="R45" s="32"/>
    </row>
    <row r="47" spans="1:45" ht="15.75" thickBot="1">
      <c r="A47" s="98"/>
      <c r="B47" s="333"/>
    </row>
    <row r="48" spans="1:45">
      <c r="A48" s="98"/>
      <c r="AA48" s="639" t="s">
        <v>394</v>
      </c>
      <c r="AB48" s="640"/>
      <c r="AC48" s="640"/>
      <c r="AD48" s="640"/>
      <c r="AE48" s="640"/>
      <c r="AF48" s="640"/>
      <c r="AG48" s="640"/>
      <c r="AH48" s="640"/>
      <c r="AI48" s="640"/>
      <c r="AJ48" s="640"/>
      <c r="AK48" s="640"/>
      <c r="AL48" s="640"/>
      <c r="AM48" s="640"/>
      <c r="AN48" s="640"/>
      <c r="AO48" s="640"/>
      <c r="AP48" s="640"/>
      <c r="AQ48" s="640"/>
      <c r="AR48" s="640"/>
      <c r="AS48" s="641"/>
    </row>
    <row r="49" spans="1:45" ht="15.75" thickBot="1">
      <c r="A49" s="98"/>
      <c r="B49" s="32"/>
      <c r="AA49" s="642"/>
      <c r="AB49" s="643"/>
      <c r="AC49" s="643"/>
      <c r="AD49" s="643"/>
      <c r="AE49" s="643"/>
      <c r="AF49" s="643"/>
      <c r="AG49" s="643"/>
      <c r="AH49" s="643"/>
      <c r="AI49" s="643"/>
      <c r="AJ49" s="643"/>
      <c r="AK49" s="643"/>
      <c r="AL49" s="643"/>
      <c r="AM49" s="643"/>
      <c r="AN49" s="643"/>
      <c r="AO49" s="643"/>
      <c r="AP49" s="643"/>
      <c r="AQ49" s="643"/>
      <c r="AR49" s="643"/>
      <c r="AS49" s="644"/>
    </row>
    <row r="50" spans="1:45" ht="15.75" thickBot="1">
      <c r="A50" s="98"/>
      <c r="B50" s="32"/>
    </row>
    <row r="51" spans="1:45" ht="30.75">
      <c r="AD51" s="437"/>
      <c r="AE51" s="438" t="s">
        <v>400</v>
      </c>
      <c r="AF51" s="438" t="s">
        <v>401</v>
      </c>
      <c r="AG51" s="438" t="s">
        <v>402</v>
      </c>
      <c r="AH51" s="438" t="s">
        <v>403</v>
      </c>
      <c r="AI51" s="438" t="s">
        <v>404</v>
      </c>
      <c r="AJ51" s="438" t="s">
        <v>366</v>
      </c>
      <c r="AK51" s="438" t="s">
        <v>405</v>
      </c>
      <c r="AL51" s="438" t="s">
        <v>406</v>
      </c>
      <c r="AM51" s="438" t="s">
        <v>433</v>
      </c>
      <c r="AN51" s="438" t="s">
        <v>408</v>
      </c>
      <c r="AO51" s="438" t="s">
        <v>409</v>
      </c>
      <c r="AP51" s="438" t="s">
        <v>230</v>
      </c>
      <c r="AQ51" s="439" t="s">
        <v>411</v>
      </c>
      <c r="AR51" s="487" t="s">
        <v>397</v>
      </c>
      <c r="AS51" s="440" t="s">
        <v>412</v>
      </c>
    </row>
    <row r="52" spans="1:45">
      <c r="AD52" s="11" t="s">
        <v>413</v>
      </c>
      <c r="AE52" s="8">
        <f>20*2*AB62+AB64</f>
        <v>409</v>
      </c>
      <c r="AF52" s="460">
        <v>6.47</v>
      </c>
      <c r="AG52" s="435">
        <f>('espesores laminas'!T27/100)*38000-5000</f>
        <v>12387.317073170729</v>
      </c>
      <c r="AH52" s="435">
        <f>AE52*AF52</f>
        <v>2646.23</v>
      </c>
      <c r="AI52" s="8">
        <f>AG52*AH52</f>
        <v>32779690.058536578</v>
      </c>
      <c r="AJ52" s="435">
        <f>AF52/2</f>
        <v>3.2349999999999999</v>
      </c>
      <c r="AK52" s="8">
        <f>AI52*AJ52</f>
        <v>106042297.33936583</v>
      </c>
      <c r="AL52" s="8">
        <f>AK52*AJ52</f>
        <v>343046831.89284843</v>
      </c>
      <c r="AM52" s="8">
        <f>(1/12)*AE52*AF52^3</f>
        <v>9231.1307839166639</v>
      </c>
      <c r="AN52" s="8">
        <f>AM52+AL52</f>
        <v>343056063.02363235</v>
      </c>
      <c r="AO52" s="9">
        <f>AF52-AB69</f>
        <v>-178.9444159767217</v>
      </c>
      <c r="AP52" s="9">
        <f>'C. inercias'!K46/(Refuerzos!AO52*Refuerzos!AG52)/1000</f>
        <v>-1741.9791483490242</v>
      </c>
      <c r="AQ52" s="9">
        <f>'C. inercias'!$H$6/Refuerzos!AP52/1000</f>
        <v>-0.94788223735993571</v>
      </c>
      <c r="AR52" s="9">
        <f>ABS($R$5/AQ52)</f>
        <v>221.54650833514617</v>
      </c>
      <c r="AS52" s="441">
        <f>AN52/AG52/10000</f>
        <v>2.7694137559992376</v>
      </c>
    </row>
    <row r="53" spans="1:45" ht="47.25" customHeight="1">
      <c r="AD53" s="442" t="s">
        <v>414</v>
      </c>
      <c r="AE53" s="457">
        <v>183</v>
      </c>
      <c r="AF53" s="457">
        <v>3.1</v>
      </c>
      <c r="AG53" s="8">
        <f>$AB$39*38000-5000</f>
        <v>11720</v>
      </c>
      <c r="AH53" s="435">
        <f t="shared" ref="AH53" si="4">AE53*AF53</f>
        <v>567.30000000000007</v>
      </c>
      <c r="AI53" s="8">
        <f t="shared" ref="AI53:AI55" si="5">AG53*AH53</f>
        <v>6648756.0000000009</v>
      </c>
      <c r="AJ53" s="435">
        <f>AB63+AF52+AF53/2</f>
        <v>578.02</v>
      </c>
      <c r="AK53" s="8">
        <f>AI53*AJ53</f>
        <v>3843113943.1200004</v>
      </c>
      <c r="AL53" s="8">
        <f>AK53*AJ53</f>
        <v>2221396721402.2227</v>
      </c>
      <c r="AM53" s="8">
        <f>(1/12)*AE53*AF53^3</f>
        <v>454.31275000000005</v>
      </c>
      <c r="AN53" s="8">
        <f>AM53+AL53</f>
        <v>2221396721856.5356</v>
      </c>
      <c r="AO53" s="9">
        <f>(AF52+570+AF53)-AB69</f>
        <v>394.15558402327838</v>
      </c>
      <c r="AP53" s="9">
        <f>'C. inercias'!K46/(Refuerzos!AO53*Refuerzos!AG53)/1000</f>
        <v>835.87832098346223</v>
      </c>
      <c r="AQ53" s="9">
        <f>'C. inercias'!$H$6/Refuerzos!AP53/1000</f>
        <v>1.9753964795123538</v>
      </c>
      <c r="AR53" s="9">
        <f t="shared" ref="AR53:AR54" si="6">$R$5/AQ53</f>
        <v>106.30777273220644</v>
      </c>
      <c r="AS53" s="304">
        <f t="shared" ref="AS53:AS55" si="7">AN53/AG53/10000</f>
        <v>18953.896944168391</v>
      </c>
    </row>
    <row r="54" spans="1:45" ht="49.5" customHeight="1">
      <c r="AD54" s="442" t="s">
        <v>416</v>
      </c>
      <c r="AE54" s="457">
        <v>3.1</v>
      </c>
      <c r="AF54" s="457">
        <v>570</v>
      </c>
      <c r="AG54" s="8">
        <f t="shared" ref="AG54:AG55" si="8">$AB$39*38000-5000</f>
        <v>11720</v>
      </c>
      <c r="AH54" s="435">
        <f>AE54*AF54*2</f>
        <v>3534</v>
      </c>
      <c r="AI54" s="8">
        <f t="shared" si="5"/>
        <v>41418480</v>
      </c>
      <c r="AJ54" s="435">
        <f>AF54/2+AF52</f>
        <v>291.47000000000003</v>
      </c>
      <c r="AK54" s="8">
        <f>AI54*AJ54</f>
        <v>12072244365.6</v>
      </c>
      <c r="AL54" s="8">
        <f>AK54*AJ54</f>
        <v>3518697065241.4326</v>
      </c>
      <c r="AM54" s="8">
        <f>(1/12)*AE54*AF54^3</f>
        <v>47841524.999999993</v>
      </c>
      <c r="AN54" s="8">
        <f>AM54+AL54</f>
        <v>3518744906766.4326</v>
      </c>
      <c r="AO54" s="435">
        <f>(AF54+AF52)-AB69</f>
        <v>391.05558402327836</v>
      </c>
      <c r="AP54" s="9">
        <f>'C. inercias'!K46/(Refuerzos!AO54*Refuerzos!AG54)/1000</f>
        <v>842.50454728200941</v>
      </c>
      <c r="AQ54" s="9">
        <f>'C. inercias'!$H$6/Refuerzos!AP54/1000</f>
        <v>1.9598601549372165</v>
      </c>
      <c r="AR54" s="9">
        <f t="shared" si="6"/>
        <v>107.15050227995847</v>
      </c>
      <c r="AS54" s="443">
        <f t="shared" si="7"/>
        <v>30023.420706198234</v>
      </c>
    </row>
    <row r="55" spans="1:45" ht="30.75" thickBot="1">
      <c r="AD55" s="444" t="s">
        <v>417</v>
      </c>
      <c r="AE55" s="458">
        <v>80</v>
      </c>
      <c r="AF55" s="458">
        <v>3.1</v>
      </c>
      <c r="AG55" s="14">
        <f t="shared" si="8"/>
        <v>11720</v>
      </c>
      <c r="AH55" s="445">
        <f>AE55*AF55*2</f>
        <v>496</v>
      </c>
      <c r="AI55" s="14">
        <f t="shared" si="5"/>
        <v>5813120</v>
      </c>
      <c r="AJ55" s="445">
        <f>AF52+AF55/2</f>
        <v>8.02</v>
      </c>
      <c r="AK55" s="14">
        <f>AI55*AJ55</f>
        <v>46621222.399999999</v>
      </c>
      <c r="AL55" s="14">
        <f>AK55*AJ55</f>
        <v>373902203.64799994</v>
      </c>
      <c r="AM55" s="14">
        <f>(1/12)*AE55*AF55^3</f>
        <v>198.60666666666668</v>
      </c>
      <c r="AN55" s="14">
        <f>AM55+AL55</f>
        <v>373902402.25466663</v>
      </c>
      <c r="AO55" s="19">
        <f>AF52+AF55-AB69</f>
        <v>-175.84441597672171</v>
      </c>
      <c r="AP55" s="9">
        <f>'C. inercias'!K46/(Refuerzos!AO55*Refuerzos!AG55)/1000</f>
        <v>-1873.6228042819891</v>
      </c>
      <c r="AQ55" s="19">
        <f>'C. inercias'!$H$6/Refuerzos!AP55/1000</f>
        <v>-0.88128255527088273</v>
      </c>
      <c r="AR55" s="19">
        <f>ABS($R$5/AQ55)</f>
        <v>238.28906942955612</v>
      </c>
      <c r="AS55" s="275">
        <f t="shared" si="7"/>
        <v>3.1902935345961314</v>
      </c>
    </row>
    <row r="56" spans="1:45">
      <c r="AD56" s="450" t="s">
        <v>418</v>
      </c>
      <c r="AH56" s="61">
        <f>SUM(AH52:AH55)</f>
        <v>7243.5300000000007</v>
      </c>
      <c r="AN56">
        <f>SUM(AN52:AN55)</f>
        <v>5740858587088.2471</v>
      </c>
      <c r="AR56" s="32">
        <f>MIN(AR52:AR55)</f>
        <v>106.30777273220644</v>
      </c>
      <c r="AS56" s="61">
        <f>SUM(AS52:AS55)</f>
        <v>48983.277357657214</v>
      </c>
    </row>
    <row r="61" spans="1:45" ht="15.75" thickBot="1"/>
    <row r="62" spans="1:45">
      <c r="AA62" s="451" t="s">
        <v>422</v>
      </c>
      <c r="AB62" s="456">
        <f>'espesores laminas'!P26+'espesores laminas'!P27+'espesores laminas'!P28</f>
        <v>3.1</v>
      </c>
      <c r="AC62" s="453" t="s">
        <v>41</v>
      </c>
    </row>
    <row r="63" spans="1:45">
      <c r="AA63" s="11" t="s">
        <v>424</v>
      </c>
      <c r="AB63" s="457">
        <v>570</v>
      </c>
      <c r="AC63" s="12" t="s">
        <v>41</v>
      </c>
    </row>
    <row r="64" spans="1:45" ht="15.75" thickBot="1">
      <c r="AA64" s="13" t="s">
        <v>425</v>
      </c>
      <c r="AB64" s="458">
        <v>285</v>
      </c>
      <c r="AC64" s="15" t="s">
        <v>41</v>
      </c>
    </row>
    <row r="66" spans="27:45" ht="15.75" thickBot="1"/>
    <row r="67" spans="27:45">
      <c r="AA67" s="451" t="s">
        <v>428</v>
      </c>
      <c r="AB67" s="459">
        <v>0.44</v>
      </c>
      <c r="AC67" s="453"/>
    </row>
    <row r="68" spans="27:45">
      <c r="AA68" s="11" t="s">
        <v>429</v>
      </c>
      <c r="AB68" s="8">
        <f>38000*AB67-5000</f>
        <v>11720</v>
      </c>
      <c r="AC68" s="12" t="s">
        <v>259</v>
      </c>
    </row>
    <row r="69" spans="27:45">
      <c r="AA69" s="11" t="s">
        <v>430</v>
      </c>
      <c r="AB69" s="435">
        <f>SUM(AK52:AK55)/SUM(AI52:AI55)</f>
        <v>185.4144159767217</v>
      </c>
      <c r="AC69" s="12" t="s">
        <v>41</v>
      </c>
    </row>
    <row r="70" spans="27:45" ht="15.75" thickBot="1">
      <c r="AA70" s="13" t="s">
        <v>88</v>
      </c>
      <c r="AB70" s="455">
        <f>AN56/AB68/10000</f>
        <v>48983.435043415077</v>
      </c>
      <c r="AC70" s="15" t="s">
        <v>431</v>
      </c>
    </row>
    <row r="71" spans="27:45">
      <c r="AB71" s="32"/>
    </row>
    <row r="73" spans="27:45" ht="15.75" thickBot="1"/>
    <row r="74" spans="27:45">
      <c r="AA74" s="639" t="s">
        <v>394</v>
      </c>
      <c r="AB74" s="640"/>
      <c r="AC74" s="640"/>
      <c r="AD74" s="640"/>
      <c r="AE74" s="640"/>
      <c r="AF74" s="640"/>
      <c r="AG74" s="640"/>
      <c r="AH74" s="640"/>
      <c r="AI74" s="640"/>
      <c r="AJ74" s="640"/>
      <c r="AK74" s="640"/>
      <c r="AL74" s="640"/>
      <c r="AM74" s="640"/>
      <c r="AN74" s="640"/>
      <c r="AO74" s="640"/>
      <c r="AP74" s="640"/>
      <c r="AQ74" s="640"/>
      <c r="AR74" s="640"/>
      <c r="AS74" s="641"/>
    </row>
    <row r="75" spans="27:45" ht="15.75" thickBot="1">
      <c r="AA75" s="642"/>
      <c r="AB75" s="643"/>
      <c r="AC75" s="643"/>
      <c r="AD75" s="643"/>
      <c r="AE75" s="643"/>
      <c r="AF75" s="643"/>
      <c r="AG75" s="643"/>
      <c r="AH75" s="643"/>
      <c r="AI75" s="643"/>
      <c r="AJ75" s="643"/>
      <c r="AK75" s="643"/>
      <c r="AL75" s="643"/>
      <c r="AM75" s="643"/>
      <c r="AN75" s="643"/>
      <c r="AO75" s="643"/>
      <c r="AP75" s="643"/>
      <c r="AQ75" s="643"/>
      <c r="AR75" s="643"/>
      <c r="AS75" s="644"/>
    </row>
    <row r="76" spans="27:45" ht="15.75" thickBot="1"/>
    <row r="77" spans="27:45" ht="30.75">
      <c r="AD77" s="437"/>
      <c r="AE77" s="438" t="s">
        <v>400</v>
      </c>
      <c r="AF77" s="438" t="s">
        <v>401</v>
      </c>
      <c r="AG77" s="438" t="s">
        <v>402</v>
      </c>
      <c r="AH77" s="438" t="s">
        <v>403</v>
      </c>
      <c r="AI77" s="438" t="s">
        <v>404</v>
      </c>
      <c r="AJ77" s="438" t="s">
        <v>366</v>
      </c>
      <c r="AK77" s="438" t="s">
        <v>405</v>
      </c>
      <c r="AL77" s="438" t="s">
        <v>406</v>
      </c>
      <c r="AM77" s="438" t="s">
        <v>433</v>
      </c>
      <c r="AN77" s="438" t="s">
        <v>408</v>
      </c>
      <c r="AO77" s="438" t="s">
        <v>409</v>
      </c>
      <c r="AP77" s="438" t="s">
        <v>230</v>
      </c>
      <c r="AQ77" s="439" t="s">
        <v>411</v>
      </c>
      <c r="AR77" s="487" t="s">
        <v>397</v>
      </c>
      <c r="AS77" s="440" t="s">
        <v>412</v>
      </c>
    </row>
    <row r="78" spans="27:45">
      <c r="AD78" s="11" t="s">
        <v>413</v>
      </c>
      <c r="AE78" s="8">
        <f>20*2*AB93+AB95</f>
        <v>228</v>
      </c>
      <c r="AF78" s="460">
        <v>6.47</v>
      </c>
      <c r="AG78" s="435">
        <f>('espesores laminas'!T27/100)*38000-5000</f>
        <v>12387.317073170729</v>
      </c>
      <c r="AH78" s="435">
        <f>AE78*AF78</f>
        <v>1475.1599999999999</v>
      </c>
      <c r="AI78" s="8">
        <f>AG78*AH78</f>
        <v>18273274.653658532</v>
      </c>
      <c r="AJ78" s="435">
        <f>AF78/2</f>
        <v>3.2349999999999999</v>
      </c>
      <c r="AK78" s="8">
        <f>AI78*AJ78</f>
        <v>59114043.504585348</v>
      </c>
      <c r="AL78" s="8">
        <f>AK78*AJ78</f>
        <v>191233930.7373336</v>
      </c>
      <c r="AM78" s="8">
        <f>(1/12)*AE78*AF78^3</f>
        <v>5145.9604369999997</v>
      </c>
      <c r="AN78" s="8">
        <f>AM78+AL78</f>
        <v>191239076.6977706</v>
      </c>
      <c r="AO78" s="9">
        <f>AF78-AB100</f>
        <v>-91.175812952830512</v>
      </c>
      <c r="AP78" s="435">
        <f>'C. inercias'!K60/(Refuerzos!AO78*Refuerzos!AG78)/1000</f>
        <v>-496.88906500156048</v>
      </c>
      <c r="AQ78" s="9">
        <f>'C. inercias'!$H$6/Refuerzos!AP78/1000</f>
        <v>-3.3230578188840658</v>
      </c>
      <c r="AR78" s="9">
        <f>ABS($R$5/AQ78)</f>
        <v>63.194807748040098</v>
      </c>
      <c r="AS78" s="12">
        <f>AN78/AG78/10000</f>
        <v>1.5438296732709689</v>
      </c>
    </row>
    <row r="79" spans="27:45" ht="44.25" customHeight="1">
      <c r="AD79" s="442" t="s">
        <v>414</v>
      </c>
      <c r="AE79" s="457">
        <v>90</v>
      </c>
      <c r="AF79" s="457">
        <v>3.1</v>
      </c>
      <c r="AG79" s="8">
        <f>$AB$39*38000-5000</f>
        <v>11720</v>
      </c>
      <c r="AH79" s="435">
        <f>AE79*AF79</f>
        <v>279</v>
      </c>
      <c r="AI79" s="8">
        <f>AG79*AH79</f>
        <v>3269880</v>
      </c>
      <c r="AJ79" s="435">
        <f>AB94+AF78+AF79/2</f>
        <v>303.02000000000004</v>
      </c>
      <c r="AK79" s="8">
        <f>AI79*AJ79</f>
        <v>990839037.60000014</v>
      </c>
      <c r="AL79" s="8">
        <f>AK79*AJ79</f>
        <v>300244045173.55206</v>
      </c>
      <c r="AM79" s="8">
        <f>(1/12)*AE79*AF79^3</f>
        <v>223.43250000000003</v>
      </c>
      <c r="AN79" s="8">
        <f>AM79+AL79</f>
        <v>300244045396.98456</v>
      </c>
      <c r="AO79" s="9">
        <f>(AF78+295+AF79)-AB100</f>
        <v>206.92418704716954</v>
      </c>
      <c r="AP79" s="9">
        <f>'C. inercias'!K60/(Refuerzos!AO79*Refuerzos!AG79)/1000</f>
        <v>231.40752028479656</v>
      </c>
      <c r="AQ79" s="9">
        <f>'C. inercias'!$H$6/Refuerzos!AP79/1000</f>
        <v>7.1354253765793079</v>
      </c>
      <c r="AR79" s="9">
        <f t="shared" ref="AR79:AR80" si="9">$R$5/AQ79</f>
        <v>29.430621009545629</v>
      </c>
      <c r="AS79" s="12">
        <f t="shared" ref="AS79:AS81" si="10">AN79/AG79/10000</f>
        <v>2561.8092610664212</v>
      </c>
    </row>
    <row r="80" spans="27:45" ht="42" customHeight="1">
      <c r="AD80" s="442" t="s">
        <v>416</v>
      </c>
      <c r="AE80" s="457">
        <v>3.1</v>
      </c>
      <c r="AF80" s="457">
        <v>295</v>
      </c>
      <c r="AG80" s="8">
        <f t="shared" ref="AG80:AG81" si="11">$AB$39*38000-5000</f>
        <v>11720</v>
      </c>
      <c r="AH80" s="435">
        <f>AE80*AF80*2</f>
        <v>1829</v>
      </c>
      <c r="AI80" s="8">
        <f>AG80*AH80</f>
        <v>21435880</v>
      </c>
      <c r="AJ80" s="435">
        <f>AF80/2+AF78+AJ81</f>
        <v>161.99</v>
      </c>
      <c r="AK80" s="8">
        <f>AI80*AJ80</f>
        <v>3472398201.2000003</v>
      </c>
      <c r="AL80" s="8">
        <f>AK80*AJ80</f>
        <v>562493784612.38806</v>
      </c>
      <c r="AM80" s="8">
        <f>(1/12)*AE80*AF80^3</f>
        <v>6632030.208333333</v>
      </c>
      <c r="AN80" s="8">
        <f>AM80+AL80</f>
        <v>562500416642.59644</v>
      </c>
      <c r="AO80" s="435">
        <f>(AF80+AF78)-AB100</f>
        <v>203.82418704716952</v>
      </c>
      <c r="AP80" s="436">
        <f>'C. inercias'!K60/(AO80*AG80)/1000</f>
        <v>234.92704033428348</v>
      </c>
      <c r="AQ80" s="9">
        <f>'C. inercias'!$H$6/Refuerzos!AP80/1000</f>
        <v>7.0285271981544053</v>
      </c>
      <c r="AR80" s="9">
        <f t="shared" si="9"/>
        <v>29.878236802603983</v>
      </c>
      <c r="AS80" s="12">
        <f t="shared" si="10"/>
        <v>4799.4916095784683</v>
      </c>
    </row>
    <row r="81" spans="27:45" ht="54" customHeight="1" thickBot="1">
      <c r="AD81" s="444" t="s">
        <v>417</v>
      </c>
      <c r="AE81" s="458">
        <v>50</v>
      </c>
      <c r="AF81" s="458">
        <v>3.1</v>
      </c>
      <c r="AG81" s="14">
        <f t="shared" si="11"/>
        <v>11720</v>
      </c>
      <c r="AH81" s="445">
        <f>AE81*AF81*2</f>
        <v>310</v>
      </c>
      <c r="AI81" s="14">
        <f>AG81*AH81</f>
        <v>3633200</v>
      </c>
      <c r="AJ81" s="445">
        <f>AF78+AF81/2</f>
        <v>8.02</v>
      </c>
      <c r="AK81" s="14">
        <f>AI81*AJ81</f>
        <v>29138264</v>
      </c>
      <c r="AL81" s="14">
        <f>AK81*AJ81</f>
        <v>233688877.28</v>
      </c>
      <c r="AM81" s="14">
        <f>(1/12)*AE81*AF81^3</f>
        <v>124.12916666666666</v>
      </c>
      <c r="AN81" s="14">
        <f>AM81+AL81</f>
        <v>233689001.40916666</v>
      </c>
      <c r="AO81" s="19">
        <f>AF78+AF81-AB92</f>
        <v>9.57</v>
      </c>
      <c r="AP81" s="445">
        <f>'C. inercias'!K60/(AO81*AG81)/1000</f>
        <v>5003.5332300452374</v>
      </c>
      <c r="AQ81" s="19">
        <f>'C. inercias'!$H$6/Refuerzos!AP81/1000</f>
        <v>0.33000502178267738</v>
      </c>
      <c r="AR81" s="19">
        <f>ABS($R$5/AQ81)</f>
        <v>636.35395263255759</v>
      </c>
      <c r="AS81" s="15">
        <f t="shared" si="10"/>
        <v>1.9939334591225824</v>
      </c>
    </row>
    <row r="82" spans="27:45">
      <c r="AD82" s="450" t="s">
        <v>418</v>
      </c>
      <c r="AH82" s="61">
        <f>SUM(AH78:AH81)</f>
        <v>3893.16</v>
      </c>
      <c r="AN82" s="446">
        <f>SUM(AN78:AN81)</f>
        <v>863169390117.68799</v>
      </c>
      <c r="AR82" s="32">
        <f>MIN(AR78:AR81)</f>
        <v>29.430621009545629</v>
      </c>
      <c r="AS82">
        <f>SUM(AS78:AS81)</f>
        <v>7364.8386337772836</v>
      </c>
    </row>
    <row r="92" spans="27:45" ht="15.75" thickBot="1"/>
    <row r="93" spans="27:45">
      <c r="AA93" s="451" t="s">
        <v>422</v>
      </c>
      <c r="AB93" s="456">
        <f>'espesores laminas'!P26+'espesores laminas'!P27+'espesores laminas'!P28</f>
        <v>3.1</v>
      </c>
      <c r="AC93" s="453" t="s">
        <v>41</v>
      </c>
    </row>
    <row r="94" spans="27:45">
      <c r="AA94" s="11" t="s">
        <v>424</v>
      </c>
      <c r="AB94" s="457">
        <v>295</v>
      </c>
      <c r="AC94" s="12" t="s">
        <v>41</v>
      </c>
    </row>
    <row r="95" spans="27:45" ht="15.75" thickBot="1">
      <c r="AA95" s="13" t="s">
        <v>425</v>
      </c>
      <c r="AB95" s="458">
        <v>104</v>
      </c>
      <c r="AC95" s="15" t="s">
        <v>41</v>
      </c>
    </row>
    <row r="97" spans="26:45" ht="15.75" thickBot="1"/>
    <row r="98" spans="26:45" ht="15.75" thickBot="1">
      <c r="AA98" s="451" t="s">
        <v>428</v>
      </c>
      <c r="AB98" s="459">
        <v>0.44</v>
      </c>
      <c r="AC98" s="453"/>
    </row>
    <row r="99" spans="26:45">
      <c r="AA99" s="11" t="s">
        <v>429</v>
      </c>
      <c r="AB99" s="8">
        <f>38000*AB98-5000</f>
        <v>11720</v>
      </c>
      <c r="AC99" s="453" t="s">
        <v>259</v>
      </c>
    </row>
    <row r="100" spans="26:45" ht="15.75" thickBot="1">
      <c r="AA100" s="13" t="s">
        <v>430</v>
      </c>
      <c r="AB100" s="445">
        <f>SUM(AK78:AK81)/SUM(AI78:AI81)</f>
        <v>97.645812952830511</v>
      </c>
      <c r="AC100" s="12" t="s">
        <v>41</v>
      </c>
    </row>
    <row r="101" spans="26:45">
      <c r="AB101" s="333"/>
    </row>
    <row r="102" spans="26:45">
      <c r="AB102" s="32"/>
    </row>
    <row r="107" spans="26:45" ht="15.75" thickBot="1"/>
    <row r="108" spans="26:45">
      <c r="Z108" s="639" t="s">
        <v>394</v>
      </c>
      <c r="AA108" s="640"/>
      <c r="AB108" s="640"/>
      <c r="AC108" s="640"/>
      <c r="AD108" s="640"/>
      <c r="AE108" s="640"/>
      <c r="AF108" s="640"/>
      <c r="AG108" s="640"/>
      <c r="AH108" s="640"/>
      <c r="AI108" s="640"/>
      <c r="AJ108" s="640"/>
      <c r="AK108" s="640"/>
      <c r="AL108" s="640"/>
      <c r="AM108" s="640"/>
      <c r="AN108" s="640"/>
      <c r="AO108" s="640"/>
      <c r="AP108" s="640"/>
      <c r="AQ108" s="640"/>
      <c r="AR108" s="641"/>
    </row>
    <row r="109" spans="26:45" ht="15.75" thickBot="1">
      <c r="Z109" s="642"/>
      <c r="AA109" s="643"/>
      <c r="AB109" s="643"/>
      <c r="AC109" s="643"/>
      <c r="AD109" s="643"/>
      <c r="AE109" s="643"/>
      <c r="AF109" s="643"/>
      <c r="AG109" s="643"/>
      <c r="AH109" s="643"/>
      <c r="AI109" s="643"/>
      <c r="AJ109" s="643"/>
      <c r="AK109" s="643"/>
      <c r="AL109" s="643"/>
      <c r="AM109" s="643"/>
      <c r="AN109" s="643"/>
      <c r="AO109" s="643"/>
      <c r="AP109" s="643"/>
      <c r="AQ109" s="643"/>
      <c r="AR109" s="644"/>
    </row>
    <row r="110" spans="26:45" ht="15.75" thickBot="1"/>
    <row r="111" spans="26:45" ht="30.75">
      <c r="AD111" s="437"/>
      <c r="AE111" s="438" t="s">
        <v>400</v>
      </c>
      <c r="AF111" s="438" t="s">
        <v>401</v>
      </c>
      <c r="AG111" s="438" t="s">
        <v>402</v>
      </c>
      <c r="AH111" s="438" t="s">
        <v>403</v>
      </c>
      <c r="AI111" s="438" t="s">
        <v>404</v>
      </c>
      <c r="AJ111" s="438" t="s">
        <v>366</v>
      </c>
      <c r="AK111" s="438" t="s">
        <v>405</v>
      </c>
      <c r="AL111" s="438" t="s">
        <v>406</v>
      </c>
      <c r="AM111" s="438" t="s">
        <v>433</v>
      </c>
      <c r="AN111" s="438" t="s">
        <v>408</v>
      </c>
      <c r="AO111" s="438" t="s">
        <v>409</v>
      </c>
      <c r="AP111" s="438" t="s">
        <v>230</v>
      </c>
      <c r="AQ111" s="439" t="s">
        <v>411</v>
      </c>
      <c r="AR111" s="487" t="s">
        <v>397</v>
      </c>
      <c r="AS111" s="440" t="s">
        <v>412</v>
      </c>
    </row>
    <row r="112" spans="26:45">
      <c r="AD112" s="11" t="s">
        <v>413</v>
      </c>
      <c r="AE112" s="8">
        <f>20*2*AB126+AB128</f>
        <v>335</v>
      </c>
      <c r="AF112" s="460">
        <v>6.47</v>
      </c>
      <c r="AG112" s="435">
        <f>('espesores laminas'!T27/100)*38000-5000</f>
        <v>12387.317073170729</v>
      </c>
      <c r="AH112" s="435">
        <f>AE112*AF112</f>
        <v>2167.4499999999998</v>
      </c>
      <c r="AI112" s="8">
        <f>AG112*AH112</f>
        <v>26848890.390243895</v>
      </c>
      <c r="AJ112" s="435">
        <f>AF112/2</f>
        <v>3.2349999999999999</v>
      </c>
      <c r="AK112" s="8">
        <f>AI112*AJ112</f>
        <v>86856160.412439004</v>
      </c>
      <c r="AL112" s="8">
        <f>AK112*AJ112</f>
        <v>280979678.93424016</v>
      </c>
      <c r="AM112" s="8">
        <f>(1/12)*AE112*AF112^3</f>
        <v>7560.9506420833322</v>
      </c>
      <c r="AN112" s="8">
        <f>AM112+AL112</f>
        <v>280987239.88488227</v>
      </c>
      <c r="AO112" s="9">
        <f>AF112-AB133</f>
        <v>-100.31478886231896</v>
      </c>
      <c r="AP112" s="435">
        <f>('C. inercias'!$K$75/(Refuerzos!AO112*Refuerzos!AG112))/1000</f>
        <v>-708.21095548272842</v>
      </c>
      <c r="AQ112" s="9">
        <f>'C. inercias'!$H$6/Refuerzos!AP112/1000</f>
        <v>-2.3314961167833799</v>
      </c>
      <c r="AR112" s="9">
        <f>ABS($R$5/AQ112)</f>
        <v>90.070919907738869</v>
      </c>
      <c r="AS112" s="12">
        <f>AN112/AG112/10000</f>
        <v>2.2683462304639237</v>
      </c>
    </row>
    <row r="113" spans="27:45" ht="40.5" customHeight="1">
      <c r="AD113" s="442" t="s">
        <v>414</v>
      </c>
      <c r="AE113" s="457">
        <v>142</v>
      </c>
      <c r="AF113" s="457">
        <v>3.1</v>
      </c>
      <c r="AG113" s="8">
        <f>$AB$39*38000-5000</f>
        <v>11720</v>
      </c>
      <c r="AH113" s="435">
        <f>AE113*AF113</f>
        <v>440.2</v>
      </c>
      <c r="AI113" s="8">
        <f>AG113*AH113</f>
        <v>5159144</v>
      </c>
      <c r="AJ113" s="435">
        <f>AB127+AF112+AF113/2</f>
        <v>350.02000000000004</v>
      </c>
      <c r="AK113" s="8">
        <f>AI113*AJ113</f>
        <v>1805803582.8800001</v>
      </c>
      <c r="AL113" s="8">
        <f>AK113*AJ113</f>
        <v>632067370079.65771</v>
      </c>
      <c r="AM113" s="8">
        <f>(1/12)*AE113*AF113^3</f>
        <v>352.52683333333334</v>
      </c>
      <c r="AN113" s="8">
        <f>AM113+AL113</f>
        <v>632067370432.18457</v>
      </c>
      <c r="AO113" s="9">
        <f>(AF112+295+AF113)-AB133</f>
        <v>197.78521113768107</v>
      </c>
      <c r="AP113" s="435">
        <f>('C. inercias'!$K$75/(Refuerzos!AO113*Refuerzos!AG113))/1000</f>
        <v>379.65002371238137</v>
      </c>
      <c r="AQ113" s="9">
        <f>'C. inercias'!$H$6/Refuerzos!AP113/1000</f>
        <v>4.3492453297523106</v>
      </c>
      <c r="AR113" s="9">
        <f t="shared" ref="AR113:AR114" si="12">$R$5/AQ113</f>
        <v>48.284238776652202</v>
      </c>
      <c r="AS113" s="12">
        <f t="shared" ref="AS113:AS115" si="13">AN113/AG113/10000</f>
        <v>5393.0663006159093</v>
      </c>
    </row>
    <row r="114" spans="27:45" ht="44.25" customHeight="1">
      <c r="AD114" s="442" t="s">
        <v>416</v>
      </c>
      <c r="AE114" s="457">
        <v>3.1</v>
      </c>
      <c r="AF114" s="457">
        <v>342</v>
      </c>
      <c r="AG114" s="8">
        <f t="shared" ref="AG114:AG115" si="14">$AB$39*38000-5000</f>
        <v>11720</v>
      </c>
      <c r="AH114" s="435">
        <f>AE114*AF114*2</f>
        <v>2120.4</v>
      </c>
      <c r="AI114" s="8">
        <f>AG114*AH114</f>
        <v>24851088</v>
      </c>
      <c r="AJ114" s="435">
        <f>AF114/2+AF112+AJ115</f>
        <v>185.49</v>
      </c>
      <c r="AK114" s="8">
        <f>AI114*AJ114</f>
        <v>4609628313.1199999</v>
      </c>
      <c r="AL114" s="8">
        <f>AK114*AJ114</f>
        <v>855039955800.62878</v>
      </c>
      <c r="AM114" s="8">
        <f>(1/12)*AE114*AF114^3</f>
        <v>10333769.399999999</v>
      </c>
      <c r="AN114" s="8">
        <f>AM114+AL114</f>
        <v>855050289570.02881</v>
      </c>
      <c r="AO114" s="435">
        <f>(AF114+AF112)-AB133</f>
        <v>241.68521113768105</v>
      </c>
      <c r="AP114" s="435">
        <f>('C. inercias'!$K$75/(Refuerzos!AO114*Refuerzos!AG114))/1000</f>
        <v>310.68992490236764</v>
      </c>
      <c r="AQ114" s="9">
        <f>'C. inercias'!$H$6/Refuerzos!AP114/1000</f>
        <v>5.3145949070936407</v>
      </c>
      <c r="AR114" s="9">
        <f t="shared" si="12"/>
        <v>39.513830060632294</v>
      </c>
      <c r="AS114" s="12">
        <f t="shared" si="13"/>
        <v>7295.6509348978561</v>
      </c>
    </row>
    <row r="115" spans="27:45" ht="30.75" thickBot="1">
      <c r="AD115" s="444" t="s">
        <v>417</v>
      </c>
      <c r="AE115" s="458">
        <v>60</v>
      </c>
      <c r="AF115" s="458">
        <v>3.1</v>
      </c>
      <c r="AG115" s="14">
        <f t="shared" si="14"/>
        <v>11720</v>
      </c>
      <c r="AH115" s="445">
        <f>AE115*AF115*2</f>
        <v>372</v>
      </c>
      <c r="AI115" s="14">
        <f>AG115*AH115</f>
        <v>4359840</v>
      </c>
      <c r="AJ115" s="445">
        <f>AF112+AF115/2</f>
        <v>8.02</v>
      </c>
      <c r="AK115" s="14">
        <f>AI115*AJ115</f>
        <v>34965916.799999997</v>
      </c>
      <c r="AL115" s="14">
        <f>AK115*AJ115</f>
        <v>280426652.73599994</v>
      </c>
      <c r="AM115" s="14">
        <f>(1/12)*AE115*AF115^3</f>
        <v>148.95500000000001</v>
      </c>
      <c r="AN115" s="14">
        <f>AM115+AL115</f>
        <v>280426801.69099993</v>
      </c>
      <c r="AO115" s="19">
        <f>AF112+AF115-AB126</f>
        <v>6.4700000000000006</v>
      </c>
      <c r="AP115" s="435">
        <f>('C. inercias'!$K$75/(Refuerzos!AO115*Refuerzos!AG115))/1000</f>
        <v>11605.743446426426</v>
      </c>
      <c r="AQ115" s="19">
        <f>'C. inercias'!$H$6/Refuerzos!AP115/1000</f>
        <v>0.14227361652388187</v>
      </c>
      <c r="AR115" s="19">
        <f>ABS($R$5/AQ115)</f>
        <v>1476.0291129926375</v>
      </c>
      <c r="AS115" s="15">
        <f t="shared" si="13"/>
        <v>2.3927201509470981</v>
      </c>
    </row>
    <row r="116" spans="27:45">
      <c r="AD116" s="450" t="s">
        <v>418</v>
      </c>
      <c r="AH116" s="61">
        <f>SUM(AH112:AH115)</f>
        <v>5100.0499999999993</v>
      </c>
      <c r="AN116" s="446">
        <f>SUM(AN112:AN115)</f>
        <v>1487679074043.7891</v>
      </c>
      <c r="AR116" s="32">
        <f>MIN(AR112:AR115)</f>
        <v>39.513830060632294</v>
      </c>
      <c r="AS116">
        <f>SUM(AS112:AS115)</f>
        <v>12693.378301895176</v>
      </c>
    </row>
    <row r="117" spans="27:45">
      <c r="AR117" s="32"/>
    </row>
    <row r="125" spans="27:45" ht="15.75" thickBot="1"/>
    <row r="126" spans="27:45">
      <c r="AA126" s="451" t="s">
        <v>422</v>
      </c>
      <c r="AB126" s="456">
        <f>3.1</f>
        <v>3.1</v>
      </c>
      <c r="AC126" s="453" t="s">
        <v>41</v>
      </c>
    </row>
    <row r="127" spans="27:45">
      <c r="AA127" s="11" t="s">
        <v>424</v>
      </c>
      <c r="AB127" s="457">
        <v>342</v>
      </c>
      <c r="AC127" s="12" t="s">
        <v>41</v>
      </c>
    </row>
    <row r="128" spans="27:45" ht="15.75" thickBot="1">
      <c r="AA128" s="13" t="s">
        <v>425</v>
      </c>
      <c r="AB128" s="458">
        <v>211</v>
      </c>
      <c r="AC128" s="15" t="s">
        <v>41</v>
      </c>
    </row>
    <row r="130" spans="26:45" ht="15.75" thickBot="1"/>
    <row r="131" spans="26:45">
      <c r="AA131" s="451" t="s">
        <v>428</v>
      </c>
      <c r="AB131" s="454">
        <v>0.44</v>
      </c>
      <c r="AC131" s="453" t="s">
        <v>259</v>
      </c>
    </row>
    <row r="132" spans="26:45">
      <c r="AA132" s="11" t="s">
        <v>429</v>
      </c>
      <c r="AB132" s="8">
        <f>38000*AB131-5000</f>
        <v>11720</v>
      </c>
      <c r="AC132" s="12" t="s">
        <v>41</v>
      </c>
    </row>
    <row r="133" spans="26:45" ht="15.75" thickBot="1">
      <c r="AA133" s="13" t="s">
        <v>430</v>
      </c>
      <c r="AB133" s="445">
        <f>SUM(AK112:AK115)/SUM(AI112:AI115)</f>
        <v>106.78478886231896</v>
      </c>
      <c r="AC133" s="15" t="s">
        <v>431</v>
      </c>
    </row>
    <row r="134" spans="26:45">
      <c r="AB134" s="333"/>
    </row>
    <row r="137" spans="26:45" ht="15.75" thickBot="1"/>
    <row r="138" spans="26:45">
      <c r="Z138" s="639" t="s">
        <v>434</v>
      </c>
      <c r="AA138" s="640"/>
      <c r="AB138" s="640"/>
      <c r="AC138" s="640"/>
      <c r="AD138" s="640"/>
      <c r="AE138" s="640"/>
      <c r="AF138" s="640"/>
      <c r="AG138" s="640"/>
      <c r="AH138" s="640"/>
      <c r="AI138" s="640"/>
      <c r="AJ138" s="640"/>
      <c r="AK138" s="640"/>
      <c r="AL138" s="640"/>
      <c r="AM138" s="640"/>
      <c r="AN138" s="640"/>
      <c r="AO138" s="640"/>
      <c r="AP138" s="640"/>
      <c r="AQ138" s="640"/>
      <c r="AR138" s="641"/>
    </row>
    <row r="139" spans="26:45" ht="15.75" thickBot="1">
      <c r="Z139" s="642"/>
      <c r="AA139" s="643"/>
      <c r="AB139" s="643"/>
      <c r="AC139" s="643"/>
      <c r="AD139" s="643"/>
      <c r="AE139" s="643"/>
      <c r="AF139" s="643"/>
      <c r="AG139" s="643"/>
      <c r="AH139" s="643"/>
      <c r="AI139" s="643"/>
      <c r="AJ139" s="643"/>
      <c r="AK139" s="643"/>
      <c r="AL139" s="643"/>
      <c r="AM139" s="643"/>
      <c r="AN139" s="643"/>
      <c r="AO139" s="643"/>
      <c r="AP139" s="643"/>
      <c r="AQ139" s="643"/>
      <c r="AR139" s="644"/>
    </row>
    <row r="140" spans="26:45" ht="15.75" thickBot="1"/>
    <row r="141" spans="26:45" ht="30.75">
      <c r="AD141" s="437"/>
      <c r="AE141" s="438" t="s">
        <v>400</v>
      </c>
      <c r="AF141" s="438" t="s">
        <v>401</v>
      </c>
      <c r="AG141" s="438" t="s">
        <v>402</v>
      </c>
      <c r="AH141" s="438" t="s">
        <v>403</v>
      </c>
      <c r="AI141" s="438" t="s">
        <v>404</v>
      </c>
      <c r="AJ141" s="438" t="s">
        <v>366</v>
      </c>
      <c r="AK141" s="438" t="s">
        <v>405</v>
      </c>
      <c r="AL141" s="438" t="s">
        <v>406</v>
      </c>
      <c r="AM141" s="438" t="s">
        <v>433</v>
      </c>
      <c r="AN141" s="438" t="s">
        <v>408</v>
      </c>
      <c r="AO141" s="438" t="s">
        <v>409</v>
      </c>
      <c r="AP141" s="438" t="s">
        <v>230</v>
      </c>
      <c r="AQ141" s="439" t="s">
        <v>411</v>
      </c>
      <c r="AR141" s="487" t="s">
        <v>397</v>
      </c>
      <c r="AS141" s="440" t="s">
        <v>412</v>
      </c>
    </row>
    <row r="142" spans="26:45" ht="27" customHeight="1">
      <c r="AD142" s="11" t="s">
        <v>413</v>
      </c>
      <c r="AE142" s="8">
        <f>20*2*AB156+AB158</f>
        <v>184</v>
      </c>
      <c r="AF142" s="460">
        <v>6.47</v>
      </c>
      <c r="AG142" s="435">
        <f>('espesores laminas'!T27/100)*38000-5000</f>
        <v>12387.317073170729</v>
      </c>
      <c r="AH142" s="435">
        <f>AE142*AF142</f>
        <v>1190.48</v>
      </c>
      <c r="AI142" s="8">
        <f>AG142*AH142</f>
        <v>14746853.22926829</v>
      </c>
      <c r="AJ142" s="435">
        <f>AF142/2</f>
        <v>3.2349999999999999</v>
      </c>
      <c r="AK142" s="8">
        <f>AI142*AJ142</f>
        <v>47706070.196682915</v>
      </c>
      <c r="AL142" s="8">
        <f>AK142*AJ142</f>
        <v>154329137.08626923</v>
      </c>
      <c r="AM142" s="8">
        <f>(1/12)*AE142*AF142^3</f>
        <v>4152.8803526666661</v>
      </c>
      <c r="AN142" s="8">
        <f>AM142+AL142</f>
        <v>154333289.96662191</v>
      </c>
      <c r="AO142" s="9">
        <f>AF142-AB163</f>
        <v>-8.4898698005632873</v>
      </c>
      <c r="AP142" s="435">
        <f>('C. inercias'!$K$89/(Refuerzos!AO142*Refuerzos!AG142))/1000</f>
        <v>-79.559404314157362</v>
      </c>
      <c r="AQ142" s="9">
        <f>'C. inercias'!$H$7/Refuerzos!AP142/1000</f>
        <v>-2.6636913368391046</v>
      </c>
      <c r="AR142" s="9">
        <f>ABS($R$5/AQ142)</f>
        <v>78.837963353966742</v>
      </c>
      <c r="AS142" s="12">
        <f>AN142/AG142/10000</f>
        <v>1.2458976310607821</v>
      </c>
    </row>
    <row r="143" spans="26:45" ht="43.5" customHeight="1">
      <c r="AD143" s="442" t="s">
        <v>414</v>
      </c>
      <c r="AE143" s="457">
        <v>60</v>
      </c>
      <c r="AF143" s="457">
        <v>3.1</v>
      </c>
      <c r="AG143" s="8">
        <f>$AB$39*38000-5000</f>
        <v>11720</v>
      </c>
      <c r="AH143" s="435">
        <f>AE143*AF143</f>
        <v>186</v>
      </c>
      <c r="AI143" s="8">
        <f>AG143*AH143</f>
        <v>2179920</v>
      </c>
      <c r="AJ143" s="435">
        <f>AB157+AF142+AF143/2</f>
        <v>58.019999999999996</v>
      </c>
      <c r="AK143" s="8">
        <f>AI143*AJ143</f>
        <v>126478958.39999999</v>
      </c>
      <c r="AL143" s="8">
        <f>AK143*AJ143</f>
        <v>7338309166.3679991</v>
      </c>
      <c r="AM143" s="8">
        <f>(1/12)*AE143*AF143^3</f>
        <v>148.95500000000001</v>
      </c>
      <c r="AN143" s="8">
        <f>AM143+AL143</f>
        <v>7338309315.322999</v>
      </c>
      <c r="AO143" s="9">
        <f>(AF142+295+AF143)-AB163</f>
        <v>289.61013019943675</v>
      </c>
      <c r="AP143" s="435">
        <f>('C. inercias'!$K$89/(Refuerzos!AO143*Refuerzos!AG143))/1000</f>
        <v>2.46506540291649</v>
      </c>
      <c r="AQ143" s="9">
        <f>'C. inercias'!$H$7/Refuerzos!AP143/1000</f>
        <v>85.970009471136137</v>
      </c>
      <c r="AR143" s="9">
        <f t="shared" ref="AR143:AR144" si="15">$R$5/AQ143</f>
        <v>2.4427123050452391</v>
      </c>
      <c r="AS143" s="12">
        <f t="shared" ref="AS143:AS145" si="16">AN143/AG143/10000</f>
        <v>62.613560710947084</v>
      </c>
    </row>
    <row r="144" spans="26:45" ht="45" customHeight="1">
      <c r="AD144" s="442" t="s">
        <v>416</v>
      </c>
      <c r="AE144" s="457">
        <v>3.1</v>
      </c>
      <c r="AF144" s="457">
        <v>50</v>
      </c>
      <c r="AG144" s="8">
        <f t="shared" ref="AG144:AG145" si="17">$AB$39*38000-5000</f>
        <v>11720</v>
      </c>
      <c r="AH144" s="435">
        <f>AE144*AF144*2</f>
        <v>310</v>
      </c>
      <c r="AI144" s="8">
        <f>AG144*AH144</f>
        <v>3633200</v>
      </c>
      <c r="AJ144" s="435">
        <f>AF144/2+AF142+AJ145</f>
        <v>39.489999999999995</v>
      </c>
      <c r="AK144" s="8">
        <f>AI144*AJ144</f>
        <v>143475067.99999997</v>
      </c>
      <c r="AL144" s="8">
        <f>AK144*AJ144</f>
        <v>5665830435.3199978</v>
      </c>
      <c r="AM144" s="8">
        <f>(1/12)*AE144*AF144^3</f>
        <v>32291.666666666664</v>
      </c>
      <c r="AN144" s="8">
        <f>AM144+AL144</f>
        <v>5665862726.9866648</v>
      </c>
      <c r="AO144" s="435">
        <f>(AF144+AF142)-AB163</f>
        <v>41.510130199436716</v>
      </c>
      <c r="AP144" s="435">
        <f>('C. inercias'!$K$89/(Refuerzos!AO144*Refuerzos!AG144))/1000</f>
        <v>17.198402145663692</v>
      </c>
      <c r="AQ144" s="9">
        <f>'C. inercias'!$H$7/Refuerzos!AP144/1000</f>
        <v>12.322173550822184</v>
      </c>
      <c r="AR144" s="9">
        <f t="shared" si="15"/>
        <v>17.042447838757148</v>
      </c>
      <c r="AS144" s="12">
        <f t="shared" si="16"/>
        <v>48.343538626166087</v>
      </c>
    </row>
    <row r="145" spans="27:45" ht="52.5" customHeight="1" thickBot="1">
      <c r="AD145" s="444" t="s">
        <v>417</v>
      </c>
      <c r="AE145" s="458">
        <v>20</v>
      </c>
      <c r="AF145" s="458">
        <v>3.1</v>
      </c>
      <c r="AG145" s="14">
        <f t="shared" si="17"/>
        <v>11720</v>
      </c>
      <c r="AH145" s="445">
        <f>AE145*AF145*2</f>
        <v>124</v>
      </c>
      <c r="AI145" s="14">
        <f>AG145*AH145</f>
        <v>1453280</v>
      </c>
      <c r="AJ145" s="445">
        <f>AF142+AF145/2</f>
        <v>8.02</v>
      </c>
      <c r="AK145" s="14">
        <f>AI145*AJ145</f>
        <v>11655305.6</v>
      </c>
      <c r="AL145" s="14">
        <f>AK145*AJ145</f>
        <v>93475550.911999986</v>
      </c>
      <c r="AM145" s="14">
        <f>(1/12)*AE145*AF145^3</f>
        <v>49.651666666666671</v>
      </c>
      <c r="AN145" s="14">
        <f>AM145+AL145</f>
        <v>93475600.563666657</v>
      </c>
      <c r="AO145" s="19">
        <f>AF142+AF145-AB156</f>
        <v>6.4700000000000006</v>
      </c>
      <c r="AP145" s="435">
        <f>('C. inercias'!$K$89/(Refuerzos!AO145*Refuerzos!AG145))/1000</f>
        <v>110.34125383134027</v>
      </c>
      <c r="AQ145" s="19">
        <f>'C. inercias'!$H$7/Refuerzos!AP145/1000</f>
        <v>1.9206025731738463</v>
      </c>
      <c r="AR145" s="19">
        <f>ABS($R$5/AQ145)</f>
        <v>109.34068449828716</v>
      </c>
      <c r="AS145" s="15">
        <f t="shared" si="16"/>
        <v>0.79757338364903285</v>
      </c>
    </row>
    <row r="146" spans="27:45">
      <c r="AH146" s="61">
        <f>SUM(AH142:AH145)</f>
        <v>1810.48</v>
      </c>
      <c r="AN146" s="446">
        <f>SUM(AN142:AN145)</f>
        <v>13251980932.839954</v>
      </c>
      <c r="AR146" s="32">
        <f>MIN(AR142:AR145)</f>
        <v>2.4427123050452391</v>
      </c>
      <c r="AS146">
        <f>SUM(AS142:AS145)</f>
        <v>113.00057035182299</v>
      </c>
    </row>
    <row r="155" spans="27:45" ht="15.75" thickBot="1"/>
    <row r="156" spans="27:45">
      <c r="AA156" s="451" t="s">
        <v>422</v>
      </c>
      <c r="AB156" s="452">
        <v>3.1</v>
      </c>
      <c r="AC156" s="453" t="s">
        <v>41</v>
      </c>
    </row>
    <row r="157" spans="27:45">
      <c r="AA157" s="11" t="s">
        <v>424</v>
      </c>
      <c r="AB157" s="8">
        <v>50</v>
      </c>
      <c r="AC157" s="12" t="s">
        <v>41</v>
      </c>
    </row>
    <row r="158" spans="27:45" ht="15.75" thickBot="1">
      <c r="AA158" s="13" t="s">
        <v>425</v>
      </c>
      <c r="AB158" s="14">
        <v>60</v>
      </c>
      <c r="AC158" s="15" t="s">
        <v>41</v>
      </c>
    </row>
    <row r="160" spans="27:45" ht="15.75" thickBot="1"/>
    <row r="161" spans="26:45">
      <c r="AA161" s="451" t="s">
        <v>428</v>
      </c>
      <c r="AB161" s="454">
        <v>0.44</v>
      </c>
      <c r="AC161" s="453" t="s">
        <v>259</v>
      </c>
    </row>
    <row r="162" spans="26:45">
      <c r="AA162" s="11" t="s">
        <v>429</v>
      </c>
      <c r="AB162" s="8">
        <f>38000*AB161-5000</f>
        <v>11720</v>
      </c>
      <c r="AC162" s="12" t="s">
        <v>41</v>
      </c>
    </row>
    <row r="163" spans="26:45" ht="15.75" thickBot="1">
      <c r="AA163" s="13" t="s">
        <v>430</v>
      </c>
      <c r="AB163" s="445">
        <f>SUM(AK142:AK145)/SUM(AI142:AI145)</f>
        <v>14.959869800563286</v>
      </c>
      <c r="AC163" s="15" t="s">
        <v>431</v>
      </c>
    </row>
    <row r="164" spans="26:45">
      <c r="AA164" t="s">
        <v>88</v>
      </c>
      <c r="AB164" s="333">
        <f>AS146</f>
        <v>113.00057035182299</v>
      </c>
      <c r="AC164" t="s">
        <v>396</v>
      </c>
    </row>
    <row r="165" spans="26:45" ht="15.75" thickBot="1"/>
    <row r="166" spans="26:45">
      <c r="Z166" s="639" t="s">
        <v>435</v>
      </c>
      <c r="AA166" s="640"/>
      <c r="AB166" s="640"/>
      <c r="AC166" s="640"/>
      <c r="AD166" s="640"/>
      <c r="AE166" s="640"/>
      <c r="AF166" s="640"/>
      <c r="AG166" s="640"/>
      <c r="AH166" s="640"/>
      <c r="AI166" s="640"/>
      <c r="AJ166" s="640"/>
      <c r="AK166" s="640"/>
      <c r="AL166" s="640"/>
      <c r="AM166" s="640"/>
      <c r="AN166" s="640"/>
      <c r="AO166" s="640"/>
      <c r="AP166" s="640"/>
      <c r="AQ166" s="640"/>
      <c r="AR166" s="641"/>
    </row>
    <row r="167" spans="26:45" ht="15.75" thickBot="1">
      <c r="Z167" s="642"/>
      <c r="AA167" s="643"/>
      <c r="AB167" s="643"/>
      <c r="AC167" s="643"/>
      <c r="AD167" s="643"/>
      <c r="AE167" s="643"/>
      <c r="AF167" s="643"/>
      <c r="AG167" s="643"/>
      <c r="AH167" s="643"/>
      <c r="AI167" s="643"/>
      <c r="AJ167" s="643"/>
      <c r="AK167" s="643"/>
      <c r="AL167" s="643"/>
      <c r="AM167" s="643"/>
      <c r="AN167" s="643"/>
      <c r="AO167" s="643"/>
      <c r="AP167" s="643"/>
      <c r="AQ167" s="643"/>
      <c r="AR167" s="644"/>
    </row>
    <row r="168" spans="26:45" ht="15.75" thickBot="1"/>
    <row r="169" spans="26:45" ht="30.75">
      <c r="AD169" s="437"/>
      <c r="AE169" s="438" t="s">
        <v>400</v>
      </c>
      <c r="AF169" s="438" t="s">
        <v>401</v>
      </c>
      <c r="AG169" s="438" t="s">
        <v>402</v>
      </c>
      <c r="AH169" s="438" t="s">
        <v>403</v>
      </c>
      <c r="AI169" s="438" t="s">
        <v>404</v>
      </c>
      <c r="AJ169" s="438" t="s">
        <v>366</v>
      </c>
      <c r="AK169" s="438" t="s">
        <v>405</v>
      </c>
      <c r="AL169" s="438" t="s">
        <v>406</v>
      </c>
      <c r="AM169" s="438" t="s">
        <v>433</v>
      </c>
      <c r="AN169" s="438" t="s">
        <v>408</v>
      </c>
      <c r="AO169" s="438" t="s">
        <v>409</v>
      </c>
      <c r="AP169" s="438" t="s">
        <v>230</v>
      </c>
      <c r="AQ169" s="439" t="s">
        <v>411</v>
      </c>
      <c r="AR169" s="487" t="s">
        <v>397</v>
      </c>
      <c r="AS169" s="440" t="s">
        <v>412</v>
      </c>
    </row>
    <row r="170" spans="26:45" ht="21.75" customHeight="1">
      <c r="AD170" s="11" t="s">
        <v>413</v>
      </c>
      <c r="AE170" s="8">
        <f>20*2*AB184+AB186</f>
        <v>184</v>
      </c>
      <c r="AF170" s="460">
        <v>6.47</v>
      </c>
      <c r="AG170" s="435">
        <f>('espesores laminas'!T27/100)*38000-5000</f>
        <v>12387.317073170729</v>
      </c>
      <c r="AH170" s="435">
        <f>AE170*AF170</f>
        <v>1190.48</v>
      </c>
      <c r="AI170" s="8">
        <f>AG170*AH170</f>
        <v>14746853.22926829</v>
      </c>
      <c r="AJ170" s="435">
        <f>AF170/2</f>
        <v>3.2349999999999999</v>
      </c>
      <c r="AK170" s="8">
        <f>AI170*AJ170</f>
        <v>47706070.196682915</v>
      </c>
      <c r="AL170" s="8">
        <f>AK170*AJ170</f>
        <v>154329137.08626923</v>
      </c>
      <c r="AM170" s="8">
        <f>(1/12)*AE170*AF170^3</f>
        <v>4152.8803526666661</v>
      </c>
      <c r="AN170" s="8">
        <f>AM170+AL170</f>
        <v>154333289.96662191</v>
      </c>
      <c r="AO170" s="9">
        <f>AF170-AB191</f>
        <v>-8.4898698005632873</v>
      </c>
      <c r="AP170" s="435">
        <f>('C. inercias'!$K$103/(Refuerzos!AO170*Refuerzos!AG170))/1000</f>
        <v>-71.878421210294817</v>
      </c>
      <c r="AQ170" s="9">
        <f>'C. inercias'!$H$8/Refuerzos!AP170/1000</f>
        <v>-1.5916655972796201</v>
      </c>
      <c r="AR170" s="9">
        <f>ABS($R$5/AQ170)</f>
        <v>131.93726141905654</v>
      </c>
      <c r="AS170" s="12">
        <f>AN170/AG170/10000</f>
        <v>1.2458976310607821</v>
      </c>
    </row>
    <row r="171" spans="26:45" ht="43.5" customHeight="1">
      <c r="AD171" s="442" t="s">
        <v>414</v>
      </c>
      <c r="AE171" s="457">
        <v>60</v>
      </c>
      <c r="AF171" s="457">
        <v>3.1</v>
      </c>
      <c r="AG171" s="8">
        <f>$AB$39*38000-5000</f>
        <v>11720</v>
      </c>
      <c r="AH171" s="435">
        <f>AE171*AF171</f>
        <v>186</v>
      </c>
      <c r="AI171" s="8">
        <f>AG171*AH171</f>
        <v>2179920</v>
      </c>
      <c r="AJ171" s="435">
        <f>AB185+AF170+AF171/2</f>
        <v>58.019999999999996</v>
      </c>
      <c r="AK171" s="8">
        <f>AI171*AJ171</f>
        <v>126478958.39999999</v>
      </c>
      <c r="AL171" s="8">
        <f>AK171*AJ171</f>
        <v>7338309166.3679991</v>
      </c>
      <c r="AM171" s="8">
        <f>(1/12)*AE171*AF171^3</f>
        <v>148.95500000000001</v>
      </c>
      <c r="AN171" s="8">
        <f>AM171+AL171</f>
        <v>7338309315.322999</v>
      </c>
      <c r="AO171" s="9">
        <f>(AF170+295+AF171)-AB191</f>
        <v>289.61013019943675</v>
      </c>
      <c r="AP171" s="435">
        <f>('C. inercias'!$K$103/(Refuerzos!AO171*Refuerzos!AG171))/1000</f>
        <v>2.2270781294704465</v>
      </c>
      <c r="AQ171" s="9">
        <f>'C. inercias'!$H$8/Refuerzos!AP171/1000</f>
        <v>51.370631642098473</v>
      </c>
      <c r="AR171" s="9">
        <f t="shared" ref="AR171:AR172" si="18">$R$5/AQ171</f>
        <v>4.0879388336721174</v>
      </c>
      <c r="AS171" s="12">
        <f>AN171/AG171/10000</f>
        <v>62.613560710947084</v>
      </c>
    </row>
    <row r="172" spans="26:45" ht="46.5" customHeight="1">
      <c r="AD172" s="442" t="s">
        <v>416</v>
      </c>
      <c r="AE172" s="457">
        <v>3.1</v>
      </c>
      <c r="AF172" s="457">
        <v>50</v>
      </c>
      <c r="AG172" s="8">
        <f t="shared" ref="AG172:AG173" si="19">$AB$39*38000-5000</f>
        <v>11720</v>
      </c>
      <c r="AH172" s="435">
        <f>AE172*AF172*2</f>
        <v>310</v>
      </c>
      <c r="AI172" s="8">
        <f>AG172*AH172</f>
        <v>3633200</v>
      </c>
      <c r="AJ172" s="435">
        <f>AF172/2+AF170+AJ173</f>
        <v>39.489999999999995</v>
      </c>
      <c r="AK172" s="8">
        <f>AI172*AJ172</f>
        <v>143475067.99999997</v>
      </c>
      <c r="AL172" s="8">
        <f>AK172*AJ172</f>
        <v>5665830435.3199978</v>
      </c>
      <c r="AM172" s="8">
        <f>(1/12)*AE172*AF172^3</f>
        <v>32291.666666666664</v>
      </c>
      <c r="AN172" s="8">
        <f>AM172+AL172</f>
        <v>5665862726.9866648</v>
      </c>
      <c r="AO172" s="435">
        <f>(AF172+AF170)-AB191</f>
        <v>41.510130199436716</v>
      </c>
      <c r="AP172" s="435">
        <f>('C. inercias'!$K$103/(Refuerzos!AO172*Refuerzos!AG172))/1000</f>
        <v>15.5379996145858</v>
      </c>
      <c r="AQ172" s="9">
        <f>'C. inercias'!$H$8/Refuerzos!AP172/1000</f>
        <v>7.3630076628271146</v>
      </c>
      <c r="AR172" s="9">
        <f t="shared" si="18"/>
        <v>28.520953612503508</v>
      </c>
      <c r="AS172" s="12">
        <f t="shared" ref="AS172:AS173" si="20">AN172/AG172/10000</f>
        <v>48.343538626166087</v>
      </c>
    </row>
    <row r="173" spans="26:45" ht="51" customHeight="1" thickBot="1">
      <c r="AD173" s="444" t="s">
        <v>417</v>
      </c>
      <c r="AE173" s="458">
        <v>20</v>
      </c>
      <c r="AF173" s="458">
        <v>3.1</v>
      </c>
      <c r="AG173" s="14">
        <f t="shared" si="19"/>
        <v>11720</v>
      </c>
      <c r="AH173" s="445">
        <f>AE173*AF173*2</f>
        <v>124</v>
      </c>
      <c r="AI173" s="14">
        <f>AG173*AH173</f>
        <v>1453280</v>
      </c>
      <c r="AJ173" s="445">
        <f>AF170+AF173/2</f>
        <v>8.02</v>
      </c>
      <c r="AK173" s="14">
        <f>AI173*AJ173</f>
        <v>11655305.6</v>
      </c>
      <c r="AL173" s="14">
        <f>AK173*AJ173</f>
        <v>93475550.911999986</v>
      </c>
      <c r="AM173" s="14">
        <f>(1/12)*AE173*AF173^3</f>
        <v>49.651666666666671</v>
      </c>
      <c r="AN173" s="14">
        <f>AM173+AL173</f>
        <v>93475600.563666657</v>
      </c>
      <c r="AO173" s="19">
        <f>AF170+AF173-AB184</f>
        <v>6.4700000000000006</v>
      </c>
      <c r="AP173" s="435">
        <f>('C. inercias'!$K$103/(Refuerzos!AO173*Refuerzos!AG173))/1000</f>
        <v>99.688467857844515</v>
      </c>
      <c r="AQ173" s="19">
        <f>'C. inercias'!$H$8/Refuerzos!AP173/1000</f>
        <v>1.1476393677786605</v>
      </c>
      <c r="AR173" s="19">
        <f>ABS($R$5/AQ173)</f>
        <v>182.98431188054334</v>
      </c>
      <c r="AS173" s="15">
        <f t="shared" si="20"/>
        <v>0.79757338364903285</v>
      </c>
    </row>
    <row r="174" spans="26:45">
      <c r="AH174" s="61">
        <f>SUM(AH170:AH173)</f>
        <v>1810.48</v>
      </c>
      <c r="AN174" s="446">
        <f>SUM(AN170:AN173)</f>
        <v>13251980932.839954</v>
      </c>
      <c r="AR174" s="32">
        <f>MIN(AR170:AR173)</f>
        <v>4.0879388336721174</v>
      </c>
      <c r="AS174" s="333">
        <f>SUM(AS170:AS173)</f>
        <v>113.00057035182299</v>
      </c>
    </row>
    <row r="183" spans="27:29" ht="15.75" thickBot="1"/>
    <row r="184" spans="27:29">
      <c r="AA184" s="451" t="s">
        <v>422</v>
      </c>
      <c r="AB184" s="452">
        <v>3.1</v>
      </c>
      <c r="AC184" s="453" t="s">
        <v>41</v>
      </c>
    </row>
    <row r="185" spans="27:29">
      <c r="AA185" s="11" t="s">
        <v>424</v>
      </c>
      <c r="AB185" s="8">
        <v>50</v>
      </c>
      <c r="AC185" s="12" t="s">
        <v>41</v>
      </c>
    </row>
    <row r="186" spans="27:29" ht="15.75" thickBot="1">
      <c r="AA186" s="13" t="s">
        <v>425</v>
      </c>
      <c r="AB186" s="14">
        <v>60</v>
      </c>
      <c r="AC186" s="15" t="s">
        <v>41</v>
      </c>
    </row>
    <row r="188" spans="27:29" ht="15.75" thickBot="1"/>
    <row r="189" spans="27:29">
      <c r="AA189" s="451" t="s">
        <v>428</v>
      </c>
      <c r="AB189" s="454">
        <v>0.44</v>
      </c>
      <c r="AC189" s="453" t="s">
        <v>259</v>
      </c>
    </row>
    <row r="190" spans="27:29">
      <c r="AA190" s="11" t="s">
        <v>429</v>
      </c>
      <c r="AB190" s="8">
        <f>38000*AB189-5000</f>
        <v>11720</v>
      </c>
      <c r="AC190" s="12" t="s">
        <v>41</v>
      </c>
    </row>
    <row r="191" spans="27:29" ht="15.75" thickBot="1">
      <c r="AA191" s="13" t="s">
        <v>430</v>
      </c>
      <c r="AB191" s="445">
        <f>SUM(AK170:AK173)/SUM(AI170:AI173)</f>
        <v>14.959869800563286</v>
      </c>
      <c r="AC191" s="15" t="s">
        <v>431</v>
      </c>
    </row>
    <row r="192" spans="27:29" ht="15.75" thickBot="1">
      <c r="AA192" s="58" t="s">
        <v>88</v>
      </c>
      <c r="AB192" s="463">
        <f>AS174</f>
        <v>113.00057035182299</v>
      </c>
      <c r="AC192" s="462" t="s">
        <v>396</v>
      </c>
    </row>
  </sheetData>
  <mergeCells count="14">
    <mergeCell ref="AA48:AS49"/>
    <mergeCell ref="AA74:AS75"/>
    <mergeCell ref="Z108:AR109"/>
    <mergeCell ref="Z138:AR139"/>
    <mergeCell ref="Z166:AR167"/>
    <mergeCell ref="Q1:AA2"/>
    <mergeCell ref="Q14:V14"/>
    <mergeCell ref="Q23:V23"/>
    <mergeCell ref="A1:K2"/>
    <mergeCell ref="A14:F14"/>
    <mergeCell ref="A23:F23"/>
    <mergeCell ref="I23:N23"/>
    <mergeCell ref="I14:N14"/>
    <mergeCell ref="AA23:AS24"/>
  </mergeCells>
  <conditionalFormatting sqref="J25">
    <cfRule type="cellIs" dxfId="55" priority="32" operator="greaterThan">
      <formula>$B$25</formula>
    </cfRule>
    <cfRule type="cellIs" dxfId="54" priority="34" operator="lessThan">
      <formula>$B$25</formula>
    </cfRule>
  </conditionalFormatting>
  <conditionalFormatting sqref="J28">
    <cfRule type="cellIs" dxfId="53" priority="31" operator="greaterThan">
      <formula>$B$29</formula>
    </cfRule>
    <cfRule type="cellIs" dxfId="52" priority="33" operator="lessThan">
      <formula>$B$29</formula>
    </cfRule>
  </conditionalFormatting>
  <conditionalFormatting sqref="J33">
    <cfRule type="cellIs" dxfId="51" priority="30" operator="greaterThan">
      <formula>$B$25</formula>
    </cfRule>
  </conditionalFormatting>
  <conditionalFormatting sqref="J35">
    <cfRule type="cellIs" dxfId="50" priority="29" operator="greaterThan">
      <formula>$B$39</formula>
    </cfRule>
  </conditionalFormatting>
  <conditionalFormatting sqref="J37">
    <cfRule type="cellIs" dxfId="49" priority="28" operator="greaterThan">
      <formula>$B$44</formula>
    </cfRule>
  </conditionalFormatting>
  <conditionalFormatting sqref="J16">
    <cfRule type="cellIs" dxfId="48" priority="19" operator="greaterThan">
      <formula>$B$16</formula>
    </cfRule>
    <cfRule type="cellIs" dxfId="47" priority="24" operator="greaterThan">
      <formula>$B$25</formula>
    </cfRule>
    <cfRule type="cellIs" dxfId="46" priority="25" operator="lessThan">
      <formula>$B$25</formula>
    </cfRule>
  </conditionalFormatting>
  <conditionalFormatting sqref="J18">
    <cfRule type="cellIs" dxfId="45" priority="22" operator="greaterThan">
      <formula>$B$29</formula>
    </cfRule>
    <cfRule type="cellIs" dxfId="44" priority="23" operator="lessThan">
      <formula>$B$29</formula>
    </cfRule>
  </conditionalFormatting>
  <conditionalFormatting sqref="J20">
    <cfRule type="cellIs" dxfId="43" priority="18" operator="greaterThan">
      <formula>$B$20</formula>
    </cfRule>
    <cfRule type="cellIs" dxfId="42" priority="20" operator="greaterThan">
      <formula>$B$49</formula>
    </cfRule>
    <cfRule type="cellIs" dxfId="41" priority="21" operator="lessThan">
      <formula>$B$49</formula>
    </cfRule>
  </conditionalFormatting>
  <conditionalFormatting sqref="J31">
    <cfRule type="cellIs" dxfId="40" priority="16" operator="greaterThan">
      <formula>$B$34</formula>
    </cfRule>
  </conditionalFormatting>
  <conditionalFormatting sqref="J39">
    <cfRule type="cellIs" dxfId="39" priority="15" operator="greaterThan">
      <formula>$B$44</formula>
    </cfRule>
  </conditionalFormatting>
  <conditionalFormatting sqref="U16">
    <cfRule type="cellIs" dxfId="38" priority="10" operator="lessThan">
      <formula>$R$16</formula>
    </cfRule>
    <cfRule type="cellIs" dxfId="37" priority="14" operator="greaterThan">
      <formula>$R$16</formula>
    </cfRule>
  </conditionalFormatting>
  <conditionalFormatting sqref="U18">
    <cfRule type="cellIs" dxfId="36" priority="9" operator="lessThan">
      <formula>$R$16</formula>
    </cfRule>
    <cfRule type="cellIs" dxfId="35" priority="13" operator="greaterThan">
      <formula>$R$18</formula>
    </cfRule>
  </conditionalFormatting>
  <conditionalFormatting sqref="U20">
    <cfRule type="cellIs" dxfId="34" priority="8" operator="lessThan">
      <formula>$R$20</formula>
    </cfRule>
    <cfRule type="cellIs" dxfId="33" priority="12" operator="greaterThan">
      <formula>$R$20</formula>
    </cfRule>
  </conditionalFormatting>
  <conditionalFormatting sqref="U25">
    <cfRule type="cellIs" dxfId="32" priority="7" operator="lessThan">
      <formula>$R$25</formula>
    </cfRule>
    <cfRule type="cellIs" dxfId="31" priority="11" operator="greaterThan">
      <formula>$R$25</formula>
    </cfRule>
  </conditionalFormatting>
  <conditionalFormatting sqref="U29">
    <cfRule type="cellIs" dxfId="30" priority="6" operator="greaterThan">
      <formula>$R$29</formula>
    </cfRule>
  </conditionalFormatting>
  <conditionalFormatting sqref="U34">
    <cfRule type="cellIs" dxfId="29" priority="5" operator="greaterThan">
      <formula>$R$34</formula>
    </cfRule>
  </conditionalFormatting>
  <conditionalFormatting sqref="AB42">
    <cfRule type="cellIs" dxfId="28" priority="4" operator="greaterThan">
      <formula>$R$26</formula>
    </cfRule>
  </conditionalFormatting>
  <conditionalFormatting sqref="AB70">
    <cfRule type="cellIs" dxfId="27" priority="3" operator="greaterThan">
      <formula>$R$26</formula>
    </cfRule>
  </conditionalFormatting>
  <conditionalFormatting sqref="AB192">
    <cfRule type="cellIs" dxfId="26" priority="2" operator="greaterThan">
      <formula>$R$35</formula>
    </cfRule>
  </conditionalFormatting>
  <conditionalFormatting sqref="AB164">
    <cfRule type="cellIs" dxfId="25" priority="1" operator="greaterThan">
      <formula>$R$30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RESUMEN</vt:lpstr>
      <vt:lpstr>ISO 12215 Datos de entrada</vt:lpstr>
      <vt:lpstr>Módulo de sección F.S</vt:lpstr>
      <vt:lpstr>Resistencia viga buque</vt:lpstr>
      <vt:lpstr>categorias</vt:lpstr>
      <vt:lpstr>Presiones de diseño</vt:lpstr>
      <vt:lpstr>espesores laminas</vt:lpstr>
      <vt:lpstr>Hoja1</vt:lpstr>
      <vt:lpstr>Refuerzos</vt:lpstr>
      <vt:lpstr>C. inercias</vt:lpstr>
      <vt:lpstr>ABS Datos de entrada</vt:lpstr>
      <vt:lpstr>ABS Presiones de diseño</vt:lpstr>
      <vt:lpstr>paneles</vt:lpstr>
      <vt:lpstr>internos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alvarado</dc:creator>
  <cp:keywords/>
  <dc:description/>
  <cp:lastModifiedBy>David Ricardo Alvarado Carvajal</cp:lastModifiedBy>
  <cp:revision/>
  <dcterms:created xsi:type="dcterms:W3CDTF">2020-04-27T16:20:10Z</dcterms:created>
  <dcterms:modified xsi:type="dcterms:W3CDTF">2023-09-15T21:22:22Z</dcterms:modified>
  <cp:category/>
  <cp:contentStatus/>
</cp:coreProperties>
</file>