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TECMAR\Ecotea\Software_escantillamiento\"/>
    </mc:Choice>
  </mc:AlternateContent>
  <xr:revisionPtr revIDLastSave="0" documentId="8_{2A8BF5F8-332D-48A5-96BD-451B6133C0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7" i="1"/>
  <c r="C37" i="1"/>
  <c r="D42" i="1"/>
  <c r="D41" i="1"/>
  <c r="C41" i="1"/>
  <c r="C58" i="1" l="1"/>
  <c r="G58" i="1" s="1"/>
  <c r="D57" i="1"/>
  <c r="G57" i="1" s="1"/>
  <c r="G56" i="1"/>
  <c r="F58" i="1"/>
  <c r="F57" i="1"/>
  <c r="F56" i="1"/>
  <c r="E57" i="1"/>
  <c r="E56" i="1"/>
  <c r="E58" i="1" l="1"/>
  <c r="C64" i="1" s="1"/>
  <c r="F59" i="1" l="1"/>
  <c r="H58" i="1" s="1"/>
  <c r="H56" i="1" l="1"/>
  <c r="C61" i="1"/>
  <c r="H57" i="1"/>
  <c r="C62" i="1" l="1"/>
  <c r="C63" i="1" s="1"/>
  <c r="E37" i="1" l="1"/>
  <c r="C42" i="1" s="1"/>
  <c r="C45" i="1" s="1"/>
  <c r="C48" i="1" l="1"/>
  <c r="G9" i="1" l="1"/>
  <c r="G8" i="1"/>
  <c r="F7" i="1" l="1"/>
  <c r="E42" i="1"/>
  <c r="E41" i="1"/>
  <c r="G22" i="1"/>
  <c r="F22" i="1"/>
  <c r="G21" i="1"/>
  <c r="F21" i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F9" i="1"/>
  <c r="F8" i="1"/>
  <c r="G7" i="1"/>
  <c r="C26" i="1" l="1"/>
  <c r="C11" i="1"/>
  <c r="H7" i="1" s="1"/>
  <c r="F10" i="1"/>
  <c r="C14" i="1"/>
  <c r="E14" i="1" s="1"/>
  <c r="C15" i="1"/>
  <c r="I9" i="1" s="1"/>
  <c r="C29" i="1"/>
  <c r="E29" i="1" s="1"/>
  <c r="H22" i="1"/>
  <c r="I8" i="1" l="1"/>
  <c r="I10" i="1" s="1"/>
  <c r="I11" i="1" s="1"/>
  <c r="H9" i="1"/>
  <c r="H8" i="1"/>
  <c r="H21" i="1"/>
  <c r="C27" i="1" s="1"/>
  <c r="C28" i="1" s="1"/>
  <c r="C12" i="1" l="1"/>
  <c r="E27" i="1"/>
  <c r="E28" i="1" s="1"/>
  <c r="E12" i="1" l="1"/>
  <c r="E13" i="1" s="1"/>
  <c r="C13" i="1"/>
  <c r="F42" i="1"/>
  <c r="F41" i="1"/>
  <c r="C46" i="1" s="1"/>
  <c r="C47" i="1" s="1"/>
</calcChain>
</file>

<file path=xl/sharedStrings.xml><?xml version="1.0" encoding="utf-8"?>
<sst xmlns="http://schemas.openxmlformats.org/spreadsheetml/2006/main" count="118" uniqueCount="76">
  <si>
    <t>CALCULADORA DE INERCIAS Y MODULOS DE SECCIÓN</t>
  </si>
  <si>
    <t>PERFILES COMPUESTOS</t>
  </si>
  <si>
    <t>ancho</t>
  </si>
  <si>
    <t>alto</t>
  </si>
  <si>
    <t>área</t>
  </si>
  <si>
    <t>centroide</t>
  </si>
  <si>
    <t>Inercia+Ad^2</t>
  </si>
  <si>
    <t>I cm^4</t>
  </si>
  <si>
    <t xml:space="preserve">Forros asociados </t>
  </si>
  <si>
    <t>alma</t>
  </si>
  <si>
    <t>ala</t>
  </si>
  <si>
    <t>Eje neutro</t>
  </si>
  <si>
    <t>mm</t>
  </si>
  <si>
    <t xml:space="preserve">Inercia </t>
  </si>
  <si>
    <t>mm^4</t>
  </si>
  <si>
    <t>cm^4</t>
  </si>
  <si>
    <t>SM</t>
  </si>
  <si>
    <t>mm^3</t>
  </si>
  <si>
    <t>cm^3</t>
  </si>
  <si>
    <t>area</t>
  </si>
  <si>
    <t>mm^2</t>
  </si>
  <si>
    <t>cm^2</t>
  </si>
  <si>
    <t>Eje neutro sin forro</t>
  </si>
  <si>
    <t>PERFILES FB</t>
  </si>
  <si>
    <t>PERFILES HP</t>
  </si>
  <si>
    <t>Espesor refuerzo</t>
  </si>
  <si>
    <t>ancho mm</t>
  </si>
  <si>
    <t>alto mm</t>
  </si>
  <si>
    <t>area mm2</t>
  </si>
  <si>
    <t>Forro asociado</t>
  </si>
  <si>
    <t>ALTURA PERFIL</t>
  </si>
  <si>
    <t xml:space="preserve">PERFIL </t>
  </si>
  <si>
    <t>ÁREA cm2</t>
  </si>
  <si>
    <t>Centroide cm</t>
  </si>
  <si>
    <t>Inercia cm4</t>
  </si>
  <si>
    <t>HP 80X5</t>
  </si>
  <si>
    <t>Forr. Asoc</t>
  </si>
  <si>
    <t>cm</t>
  </si>
  <si>
    <t>cm4</t>
  </si>
  <si>
    <t>cm3</t>
  </si>
  <si>
    <t>cm2</t>
  </si>
  <si>
    <t>PERFILES L</t>
  </si>
  <si>
    <t>alto perfil</t>
  </si>
  <si>
    <t>espesor</t>
  </si>
  <si>
    <t>Centroide</t>
  </si>
  <si>
    <t>Inercia</t>
  </si>
  <si>
    <t>ALMA</t>
  </si>
  <si>
    <t>ALA</t>
  </si>
  <si>
    <t>Aluminio</t>
  </si>
  <si>
    <t>Acero</t>
  </si>
  <si>
    <t>Perfil</t>
  </si>
  <si>
    <t>sección cm^2</t>
  </si>
  <si>
    <t>Peso kg/m</t>
  </si>
  <si>
    <t>centroide cm</t>
  </si>
  <si>
    <t>SM cm^3</t>
  </si>
  <si>
    <t>HP 60X4</t>
  </si>
  <si>
    <t>HP 60X5</t>
  </si>
  <si>
    <t>HP 80X6</t>
  </si>
  <si>
    <t>HP 80X7</t>
  </si>
  <si>
    <t>HP 80X8</t>
  </si>
  <si>
    <t>HP 100X6</t>
  </si>
  <si>
    <t>HP 100X7</t>
  </si>
  <si>
    <t>HP 100X8</t>
  </si>
  <si>
    <t>HP 120X6</t>
  </si>
  <si>
    <t>HP 120X7</t>
  </si>
  <si>
    <t>HP 120X8</t>
  </si>
  <si>
    <t>HP 140X7</t>
  </si>
  <si>
    <t>HP 140X8</t>
  </si>
  <si>
    <t>HP 140X9</t>
  </si>
  <si>
    <t>HP 160X7</t>
  </si>
  <si>
    <t>HP 160X8</t>
  </si>
  <si>
    <t>HP 160X9</t>
  </si>
  <si>
    <t>HP 180X8</t>
  </si>
  <si>
    <t>HP 180X9</t>
  </si>
  <si>
    <t>HP 180X10</t>
  </si>
  <si>
    <t>HP 180X11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</si>
</sst>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164" fontId="0" fillId="0" borderId="6" xfId="0" applyNumberFormat="1" applyBorder="1"/>
    <xf numFmtId="0" fontId="0" fillId="0" borderId="8" xfId="0" applyBorder="1"/>
    <xf numFmtId="1" fontId="0" fillId="0" borderId="8" xfId="0" applyNumberFormat="1" applyBorder="1"/>
    <xf numFmtId="164" fontId="0" fillId="0" borderId="9" xfId="0" applyNumberFormat="1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2" xfId="0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3" xfId="0" applyNumberFormat="1" applyBorder="1"/>
    <xf numFmtId="164" fontId="0" fillId="0" borderId="5" xfId="0" applyNumberFormat="1" applyBorder="1"/>
    <xf numFmtId="1" fontId="0" fillId="0" borderId="7" xfId="0" applyNumberFormat="1" applyBorder="1"/>
    <xf numFmtId="0" fontId="0" fillId="0" borderId="14" xfId="0" applyBorder="1"/>
    <xf numFmtId="0" fontId="0" fillId="0" borderId="15" xfId="0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3" borderId="1" xfId="0" applyFill="1" applyBorder="1"/>
    <xf numFmtId="0" fontId="0" fillId="3" borderId="13" xfId="0" applyFill="1" applyBorder="1" applyAlignment="1">
      <alignment wrapText="1"/>
    </xf>
    <xf numFmtId="0" fontId="0" fillId="3" borderId="15" xfId="0" applyFill="1" applyBorder="1"/>
    <xf numFmtId="2" fontId="0" fillId="0" borderId="0" xfId="0" applyNumberFormat="1"/>
    <xf numFmtId="0" fontId="0" fillId="3" borderId="0" xfId="0" applyFill="1"/>
    <xf numFmtId="0" fontId="0" fillId="0" borderId="10" xfId="0" applyBorder="1" applyAlignment="1">
      <alignment wrapText="1"/>
    </xf>
    <xf numFmtId="164" fontId="0" fillId="0" borderId="11" xfId="0" applyNumberFormat="1" applyBorder="1"/>
    <xf numFmtId="0" fontId="0" fillId="0" borderId="10" xfId="0" applyBorder="1"/>
    <xf numFmtId="0" fontId="0" fillId="4" borderId="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14" xfId="0" applyFill="1" applyBorder="1"/>
    <xf numFmtId="0" fontId="1" fillId="2" borderId="8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62240</xdr:colOff>
      <xdr:row>5</xdr:row>
      <xdr:rowOff>17891</xdr:rowOff>
    </xdr:from>
    <xdr:to>
      <xdr:col>12</xdr:col>
      <xdr:colOff>191399</xdr:colOff>
      <xdr:row>13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1A4AE5-EAC0-4E3E-BB33-7779BDDA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4560" y="749411"/>
          <a:ext cx="2506599" cy="1536589"/>
        </a:xfrm>
        <a:prstGeom prst="rect">
          <a:avLst/>
        </a:prstGeom>
      </xdr:spPr>
    </xdr:pic>
    <xdr:clientData/>
  </xdr:twoCellAnchor>
  <xdr:twoCellAnchor editAs="oneCell">
    <xdr:from>
      <xdr:col>9</xdr:col>
      <xdr:colOff>399452</xdr:colOff>
      <xdr:row>22</xdr:row>
      <xdr:rowOff>98611</xdr:rowOff>
    </xdr:from>
    <xdr:to>
      <xdr:col>12</xdr:col>
      <xdr:colOff>34718</xdr:colOff>
      <xdr:row>29</xdr:row>
      <xdr:rowOff>33476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0EAB18-6112-40B8-B140-2035D4E54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3628" y="4603376"/>
          <a:ext cx="1921266" cy="1313188"/>
        </a:xfrm>
        <a:prstGeom prst="rect">
          <a:avLst/>
        </a:prstGeom>
      </xdr:spPr>
    </xdr:pic>
    <xdr:clientData/>
  </xdr:twoCellAnchor>
  <xdr:twoCellAnchor editAs="oneCell">
    <xdr:from>
      <xdr:col>8</xdr:col>
      <xdr:colOff>712898</xdr:colOff>
      <xdr:row>34</xdr:row>
      <xdr:rowOff>340658</xdr:rowOff>
    </xdr:from>
    <xdr:to>
      <xdr:col>12</xdr:col>
      <xdr:colOff>562717</xdr:colOff>
      <xdr:row>45</xdr:row>
      <xdr:rowOff>161364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782981-C183-41AF-BF99-0AA5BE39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6780" y="6768352"/>
          <a:ext cx="3005396" cy="2043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85" zoomScaleNormal="85" workbookViewId="0">
      <selection activeCell="D22" sqref="D22"/>
    </sheetView>
  </sheetViews>
  <sheetFormatPr baseColWidth="10" defaultColWidth="11.42578125" defaultRowHeight="15" x14ac:dyDescent="0.25"/>
  <cols>
    <col min="2" max="2" width="15.42578125" customWidth="1"/>
    <col min="4" max="4" width="13.28515625" customWidth="1"/>
    <col min="6" max="6" width="12.5703125" customWidth="1"/>
    <col min="8" max="8" width="13.28515625" customWidth="1"/>
  </cols>
  <sheetData>
    <row r="1" spans="1:15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</row>
    <row r="2" spans="1:15" ht="15.75" thickBot="1" x14ac:dyDescent="0.3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2"/>
    </row>
    <row r="3" spans="1:15" x14ac:dyDescent="0.25">
      <c r="A3" s="14"/>
      <c r="O3" s="15"/>
    </row>
    <row r="4" spans="1:15" x14ac:dyDescent="0.25">
      <c r="A4" s="14"/>
      <c r="O4" s="15"/>
    </row>
    <row r="5" spans="1:15" ht="15.75" thickBot="1" x14ac:dyDescent="0.3">
      <c r="A5" s="14"/>
      <c r="B5" s="40" t="s">
        <v>1</v>
      </c>
      <c r="C5" s="40"/>
      <c r="D5" s="40"/>
      <c r="E5" s="40"/>
      <c r="F5" s="40"/>
      <c r="O5" s="15"/>
    </row>
    <row r="6" spans="1:15" ht="15.75" thickBot="1" x14ac:dyDescent="0.3">
      <c r="A6" s="14"/>
      <c r="B6" s="45"/>
      <c r="C6" s="46"/>
      <c r="D6" s="10" t="s">
        <v>2</v>
      </c>
      <c r="E6" s="10" t="s">
        <v>3</v>
      </c>
      <c r="F6" s="10" t="s">
        <v>4</v>
      </c>
      <c r="G6" s="10" t="s">
        <v>5</v>
      </c>
      <c r="H6" s="11" t="s">
        <v>6</v>
      </c>
      <c r="I6" s="32" t="s">
        <v>7</v>
      </c>
      <c r="O6" s="15"/>
    </row>
    <row r="7" spans="1:15" x14ac:dyDescent="0.25">
      <c r="A7" s="14">
        <v>1</v>
      </c>
      <c r="B7" s="41" t="s">
        <v>8</v>
      </c>
      <c r="C7" s="42"/>
      <c r="D7" s="4">
        <f>2*D8*(200000/235)^0.5</f>
        <v>370.49707840465214</v>
      </c>
      <c r="E7">
        <v>6.35</v>
      </c>
      <c r="F7">
        <f>D7*E7</f>
        <v>2352.6564478695409</v>
      </c>
      <c r="G7" s="4">
        <f>E7/2</f>
        <v>3.1749999999999998</v>
      </c>
      <c r="H7" s="5">
        <f>(1/12)*D7*E7^3+((F7)*(G7-$C$11)^2)</f>
        <v>8327605.9679129105</v>
      </c>
      <c r="O7" s="15"/>
    </row>
    <row r="8" spans="1:15" x14ac:dyDescent="0.25">
      <c r="A8" s="14">
        <v>2</v>
      </c>
      <c r="B8" s="41" t="s">
        <v>9</v>
      </c>
      <c r="C8" s="42"/>
      <c r="D8">
        <v>6.35</v>
      </c>
      <c r="E8">
        <v>180</v>
      </c>
      <c r="F8">
        <f>D8*E8</f>
        <v>1143</v>
      </c>
      <c r="G8" s="4">
        <f>E7+E8/2</f>
        <v>96.35</v>
      </c>
      <c r="H8" s="5">
        <f>(1/12)*D8*E8^3+((F8)*(G8-$C$11)^2)</f>
        <v>4384825.2275437852</v>
      </c>
      <c r="I8" s="1">
        <f>(((1/12)*D8*E8^3)+F8*($C$15-G8)^2)/10000</f>
        <v>456.02959296844705</v>
      </c>
      <c r="O8" s="15"/>
    </row>
    <row r="9" spans="1:15" ht="15.75" thickBot="1" x14ac:dyDescent="0.3">
      <c r="A9" s="14">
        <v>3</v>
      </c>
      <c r="B9" s="43" t="s">
        <v>10</v>
      </c>
      <c r="C9" s="44"/>
      <c r="D9" s="6">
        <v>100</v>
      </c>
      <c r="E9" s="6">
        <v>7.94</v>
      </c>
      <c r="F9" s="6">
        <f>D9*E9</f>
        <v>794</v>
      </c>
      <c r="G9" s="7">
        <f>E8+E7+E9/2</f>
        <v>190.32</v>
      </c>
      <c r="H9" s="8">
        <f t="shared" ref="H9" si="0">(1/12)*D9*E9^3+((F9)*(G9-$C$11)^2)</f>
        <v>12947738.640635354</v>
      </c>
      <c r="I9" s="1">
        <f>(((1/12)*D9*E9^3)+F9*($C$15-G9)^2)/10000</f>
        <v>268.04185217646943</v>
      </c>
      <c r="O9" s="15"/>
    </row>
    <row r="10" spans="1:15" ht="15.75" thickBot="1" x14ac:dyDescent="0.3">
      <c r="A10" s="14"/>
      <c r="F10">
        <f>SUM(F8:F9)</f>
        <v>1937</v>
      </c>
      <c r="I10" s="1">
        <f>SUM(I8:I9)</f>
        <v>724.07144514491642</v>
      </c>
      <c r="O10" s="15"/>
    </row>
    <row r="11" spans="1:15" ht="15.75" thickBot="1" x14ac:dyDescent="0.3">
      <c r="A11" s="14"/>
      <c r="B11" s="12" t="s">
        <v>11</v>
      </c>
      <c r="C11" s="13">
        <f>(F7*G7+F8*G8+F9*G9)/(F7+F8+F9)</f>
        <v>62.641803017918029</v>
      </c>
      <c r="D11" s="3" t="s">
        <v>12</v>
      </c>
      <c r="I11">
        <f>I10/(C15/10)</f>
        <v>54.744726503447446</v>
      </c>
      <c r="O11" s="15"/>
    </row>
    <row r="12" spans="1:15" x14ac:dyDescent="0.25">
      <c r="A12" s="14"/>
      <c r="B12" s="14" t="s">
        <v>13</v>
      </c>
      <c r="C12" s="1">
        <f>H7+H8+H9</f>
        <v>25660169.836092047</v>
      </c>
      <c r="D12" s="15" t="s">
        <v>14</v>
      </c>
      <c r="E12" s="18">
        <f>C12/10000</f>
        <v>2566.0169836092045</v>
      </c>
      <c r="F12" s="3" t="s">
        <v>15</v>
      </c>
      <c r="O12" s="15"/>
    </row>
    <row r="13" spans="1:15" ht="15.75" thickBot="1" x14ac:dyDescent="0.3">
      <c r="A13" s="14"/>
      <c r="B13" s="14" t="s">
        <v>16</v>
      </c>
      <c r="C13">
        <f>C12/C11</f>
        <v>409633.32151777664</v>
      </c>
      <c r="D13" s="15" t="s">
        <v>17</v>
      </c>
      <c r="E13" s="19">
        <f>E12/((E7+E8+E9-C11)/10)</f>
        <v>194.91470771593274</v>
      </c>
      <c r="F13" s="17" t="s">
        <v>18</v>
      </c>
      <c r="O13" s="15"/>
    </row>
    <row r="14" spans="1:15" ht="15.75" thickBot="1" x14ac:dyDescent="0.3">
      <c r="A14" s="14"/>
      <c r="B14" s="16" t="s">
        <v>19</v>
      </c>
      <c r="C14" s="6">
        <f>F7+F8+F9</f>
        <v>4289.6564478695409</v>
      </c>
      <c r="D14" s="17" t="s">
        <v>20</v>
      </c>
      <c r="E14" s="35">
        <f>C14/100</f>
        <v>42.89656447869541</v>
      </c>
      <c r="F14" s="9" t="s">
        <v>21</v>
      </c>
      <c r="O14" s="15"/>
    </row>
    <row r="15" spans="1:15" ht="30.75" thickBot="1" x14ac:dyDescent="0.3">
      <c r="A15" s="14"/>
      <c r="B15" s="33" t="s">
        <v>22</v>
      </c>
      <c r="C15" s="34">
        <f>((F8*G8-E7)+F9*(G9-E7))/(F8+F9)</f>
        <v>132.26323180175527</v>
      </c>
      <c r="D15" s="9" t="s">
        <v>12</v>
      </c>
      <c r="O15" s="15"/>
    </row>
    <row r="16" spans="1:15" x14ac:dyDescent="0.25">
      <c r="A16" s="14"/>
      <c r="O16" s="15"/>
    </row>
    <row r="17" spans="1:15" x14ac:dyDescent="0.25">
      <c r="A17" s="14"/>
      <c r="O17" s="15"/>
    </row>
    <row r="18" spans="1:15" x14ac:dyDescent="0.25">
      <c r="A18" s="14"/>
      <c r="O18" s="15"/>
    </row>
    <row r="19" spans="1:15" ht="15.75" thickBot="1" x14ac:dyDescent="0.3">
      <c r="A19" s="14"/>
      <c r="B19" s="40" t="s">
        <v>23</v>
      </c>
      <c r="C19" s="40"/>
      <c r="D19" s="40"/>
      <c r="E19" s="40"/>
      <c r="F19" s="40"/>
      <c r="O19" s="15"/>
    </row>
    <row r="20" spans="1:15" ht="15.75" thickBot="1" x14ac:dyDescent="0.3">
      <c r="A20" s="14"/>
      <c r="B20" s="45"/>
      <c r="C20" s="46"/>
      <c r="D20" s="10" t="s">
        <v>2</v>
      </c>
      <c r="E20" s="10" t="s">
        <v>3</v>
      </c>
      <c r="F20" s="10" t="s">
        <v>4</v>
      </c>
      <c r="G20" s="10" t="s">
        <v>5</v>
      </c>
      <c r="H20" s="11" t="s">
        <v>6</v>
      </c>
      <c r="O20" s="15"/>
    </row>
    <row r="21" spans="1:15" x14ac:dyDescent="0.25">
      <c r="A21" s="14">
        <v>1</v>
      </c>
      <c r="B21" s="41" t="s">
        <v>8</v>
      </c>
      <c r="C21" s="42"/>
      <c r="D21">
        <f>2*D8*(200000/235)^0.5</f>
        <v>370.49707840465214</v>
      </c>
      <c r="E21">
        <v>0</v>
      </c>
      <c r="F21">
        <f>D21*E21</f>
        <v>0</v>
      </c>
      <c r="G21" s="4">
        <f>E21/2</f>
        <v>0</v>
      </c>
      <c r="H21" s="5">
        <f>(1/12)*D21*E21^3+((F21)*(G21-$C$26)^2)</f>
        <v>0</v>
      </c>
      <c r="O21" s="15"/>
    </row>
    <row r="22" spans="1:15" x14ac:dyDescent="0.25">
      <c r="A22" s="14">
        <v>2</v>
      </c>
      <c r="B22" s="41" t="s">
        <v>9</v>
      </c>
      <c r="C22" s="42"/>
      <c r="D22">
        <v>10</v>
      </c>
      <c r="E22">
        <v>80</v>
      </c>
      <c r="F22">
        <f>D22*E22</f>
        <v>800</v>
      </c>
      <c r="G22" s="4">
        <f>E21+E22/2</f>
        <v>40</v>
      </c>
      <c r="H22" s="5">
        <f>(1/12)*D22*E22^3+((F22)*(G22-$C$26)^2)</f>
        <v>426666.66666666663</v>
      </c>
      <c r="O22" s="15"/>
    </row>
    <row r="23" spans="1:15" ht="15.75" thickBot="1" x14ac:dyDescent="0.3">
      <c r="A23" s="14"/>
      <c r="B23" s="43"/>
      <c r="C23" s="44"/>
      <c r="D23" s="6"/>
      <c r="E23" s="6"/>
      <c r="F23" s="6"/>
      <c r="G23" s="7"/>
      <c r="H23" s="8"/>
      <c r="O23" s="15"/>
    </row>
    <row r="24" spans="1:15" x14ac:dyDescent="0.25">
      <c r="A24" s="14"/>
      <c r="O24" s="15"/>
    </row>
    <row r="25" spans="1:15" ht="15.75" thickBot="1" x14ac:dyDescent="0.3">
      <c r="A25" s="14"/>
      <c r="O25" s="15"/>
    </row>
    <row r="26" spans="1:15" ht="15.75" thickBot="1" x14ac:dyDescent="0.3">
      <c r="A26" s="14"/>
      <c r="B26" s="12" t="s">
        <v>11</v>
      </c>
      <c r="C26" s="20">
        <f>((F21*G21)+(F22*G22))/(F21+F22)</f>
        <v>40</v>
      </c>
      <c r="D26" s="3" t="s">
        <v>12</v>
      </c>
      <c r="E26" s="31"/>
      <c r="O26" s="15"/>
    </row>
    <row r="27" spans="1:15" x14ac:dyDescent="0.25">
      <c r="A27" s="14"/>
      <c r="B27" s="14" t="s">
        <v>13</v>
      </c>
      <c r="C27" s="4">
        <f>H21+H22</f>
        <v>426666.66666666663</v>
      </c>
      <c r="D27" s="15" t="s">
        <v>14</v>
      </c>
      <c r="E27" s="18">
        <f>C27/10000</f>
        <v>42.666666666666664</v>
      </c>
      <c r="F27" s="3" t="s">
        <v>15</v>
      </c>
      <c r="O27" s="15"/>
    </row>
    <row r="28" spans="1:15" x14ac:dyDescent="0.25">
      <c r="A28" s="14"/>
      <c r="B28" s="14" t="s">
        <v>16</v>
      </c>
      <c r="C28" s="4">
        <f>C27/(E21+E22-C26)</f>
        <v>10666.666666666666</v>
      </c>
      <c r="D28" s="15" t="s">
        <v>17</v>
      </c>
      <c r="E28" s="21">
        <f>E27/((E21+E22-C26)/10)</f>
        <v>10.666666666666666</v>
      </c>
      <c r="F28" s="15" t="s">
        <v>18</v>
      </c>
      <c r="O28" s="15"/>
    </row>
    <row r="29" spans="1:15" ht="15.75" thickBot="1" x14ac:dyDescent="0.3">
      <c r="A29" s="14"/>
      <c r="B29" s="16" t="s">
        <v>4</v>
      </c>
      <c r="C29" s="6">
        <f>F21+F22</f>
        <v>800</v>
      </c>
      <c r="D29" s="17" t="s">
        <v>20</v>
      </c>
      <c r="E29" s="22">
        <f>C29/100</f>
        <v>8</v>
      </c>
      <c r="F29" s="17" t="s">
        <v>21</v>
      </c>
      <c r="O29" s="15"/>
    </row>
    <row r="30" spans="1:15" x14ac:dyDescent="0.25">
      <c r="A30" s="14"/>
      <c r="O30" s="15"/>
    </row>
    <row r="31" spans="1:15" x14ac:dyDescent="0.25">
      <c r="A31" s="14"/>
      <c r="O31" s="15"/>
    </row>
    <row r="32" spans="1:15" x14ac:dyDescent="0.25">
      <c r="A32" s="14"/>
      <c r="O32" s="15"/>
    </row>
    <row r="33" spans="1:15" x14ac:dyDescent="0.25">
      <c r="A33" s="14"/>
      <c r="O33" s="15"/>
    </row>
    <row r="34" spans="1:15" ht="15.75" thickBot="1" x14ac:dyDescent="0.3">
      <c r="A34" s="14"/>
      <c r="B34" s="40" t="s">
        <v>24</v>
      </c>
      <c r="C34" s="40"/>
      <c r="D34" s="40"/>
      <c r="E34" s="40"/>
      <c r="F34" s="40"/>
      <c r="O34" s="15"/>
    </row>
    <row r="35" spans="1:15" ht="30.75" thickBot="1" x14ac:dyDescent="0.3">
      <c r="A35" s="14"/>
      <c r="B35" s="29" t="s">
        <v>25</v>
      </c>
      <c r="C35" s="13">
        <v>5</v>
      </c>
      <c r="D35" s="2" t="s">
        <v>12</v>
      </c>
      <c r="E35" s="2"/>
      <c r="F35" s="3"/>
      <c r="O35" s="15"/>
    </row>
    <row r="36" spans="1:15" ht="15.75" thickBot="1" x14ac:dyDescent="0.3">
      <c r="A36" s="14"/>
      <c r="B36" s="28"/>
      <c r="C36" s="10" t="s">
        <v>26</v>
      </c>
      <c r="D36" s="10" t="s">
        <v>27</v>
      </c>
      <c r="E36" s="10" t="s">
        <v>28</v>
      </c>
      <c r="F36" s="9"/>
      <c r="O36" s="15"/>
    </row>
    <row r="37" spans="1:15" ht="15.75" thickBot="1" x14ac:dyDescent="0.3">
      <c r="A37" s="14"/>
      <c r="B37" s="30" t="s">
        <v>29</v>
      </c>
      <c r="C37" s="26">
        <f>2*C35*(200000/235)^0.5</f>
        <v>291.7299829957891</v>
      </c>
      <c r="D37" s="6">
        <v>0</v>
      </c>
      <c r="E37" s="6">
        <f>C37*D37</f>
        <v>0</v>
      </c>
      <c r="F37" s="17"/>
      <c r="O37" s="15"/>
    </row>
    <row r="38" spans="1:15" x14ac:dyDescent="0.25">
      <c r="A38" s="14"/>
      <c r="O38" s="15"/>
    </row>
    <row r="39" spans="1:15" ht="15.75" thickBot="1" x14ac:dyDescent="0.3">
      <c r="A39" s="14"/>
      <c r="B39" t="s">
        <v>30</v>
      </c>
      <c r="C39">
        <v>80</v>
      </c>
      <c r="O39" s="15"/>
    </row>
    <row r="40" spans="1:15" ht="15.75" thickBot="1" x14ac:dyDescent="0.3">
      <c r="A40" s="14"/>
      <c r="B40" s="28" t="s">
        <v>31</v>
      </c>
      <c r="C40" s="10" t="s">
        <v>32</v>
      </c>
      <c r="D40" s="10" t="s">
        <v>33</v>
      </c>
      <c r="E40" s="10" t="s">
        <v>34</v>
      </c>
      <c r="F40" s="11" t="s">
        <v>6</v>
      </c>
      <c r="O40" s="15"/>
    </row>
    <row r="41" spans="1:15" x14ac:dyDescent="0.25">
      <c r="A41" s="14"/>
      <c r="B41" s="23" t="s">
        <v>35</v>
      </c>
      <c r="C41">
        <f>VLOOKUP(Hoja1!B41,Hoja3!C4:H25,2,FALSE)</f>
        <v>5.51</v>
      </c>
      <c r="D41">
        <f>VLOOKUP(Hoja1!B41,Hoja3!C4:H25,4,FALSE)+(D37/10)</f>
        <v>4.9000000000000004</v>
      </c>
      <c r="E41">
        <f>VLOOKUP(Hoja1!B41,Hoja3!C4:H25,5,FALSE)</f>
        <v>33.869999999999997</v>
      </c>
      <c r="F41" s="25">
        <f>E41+C41*(D41-C45)^2</f>
        <v>33.869999999999997</v>
      </c>
      <c r="O41" s="15"/>
    </row>
    <row r="42" spans="1:15" ht="15.75" thickBot="1" x14ac:dyDescent="0.3">
      <c r="A42" s="14"/>
      <c r="B42" s="24" t="s">
        <v>36</v>
      </c>
      <c r="C42" s="26">
        <f>E37/100</f>
        <v>0</v>
      </c>
      <c r="D42" s="26">
        <f>(D37/10)/2</f>
        <v>0</v>
      </c>
      <c r="E42" s="26">
        <f>(1/12)*(C37/10)*(D37/10)^3</f>
        <v>0</v>
      </c>
      <c r="F42" s="27">
        <f>E42+C42*(D42-C45)^2</f>
        <v>0</v>
      </c>
      <c r="O42" s="15"/>
    </row>
    <row r="43" spans="1:15" x14ac:dyDescent="0.25">
      <c r="A43" s="14"/>
      <c r="O43" s="15"/>
    </row>
    <row r="44" spans="1:15" ht="15.75" thickBot="1" x14ac:dyDescent="0.3">
      <c r="A44" s="14"/>
      <c r="O44" s="15"/>
    </row>
    <row r="45" spans="1:15" x14ac:dyDescent="0.25">
      <c r="A45" s="14"/>
      <c r="B45" s="12" t="s">
        <v>11</v>
      </c>
      <c r="C45" s="20">
        <f>((C41*D41)+(C42*D42))/(C41+C42)</f>
        <v>4.9000000000000004</v>
      </c>
      <c r="D45" s="3" t="s">
        <v>37</v>
      </c>
      <c r="O45" s="15"/>
    </row>
    <row r="46" spans="1:15" x14ac:dyDescent="0.25">
      <c r="A46" s="14"/>
      <c r="B46" s="14" t="s">
        <v>13</v>
      </c>
      <c r="C46" s="31">
        <f>F41+F42</f>
        <v>33.869999999999997</v>
      </c>
      <c r="D46" s="15" t="s">
        <v>38</v>
      </c>
      <c r="O46" s="15"/>
    </row>
    <row r="47" spans="1:15" x14ac:dyDescent="0.25">
      <c r="A47" s="14"/>
      <c r="B47" s="14" t="s">
        <v>16</v>
      </c>
      <c r="C47" s="1">
        <f>C46/(((C39+D37)/10)-C45)</f>
        <v>10.925806451612903</v>
      </c>
      <c r="D47" s="15" t="s">
        <v>39</v>
      </c>
      <c r="O47" s="15"/>
    </row>
    <row r="48" spans="1:15" ht="15.75" thickBot="1" x14ac:dyDescent="0.3">
      <c r="A48" s="14"/>
      <c r="B48" s="16" t="s">
        <v>4</v>
      </c>
      <c r="C48" s="26">
        <f>C41+C42</f>
        <v>5.51</v>
      </c>
      <c r="D48" s="17" t="s">
        <v>40</v>
      </c>
      <c r="O48" s="15"/>
    </row>
    <row r="49" spans="1:15" x14ac:dyDescent="0.25">
      <c r="A49" s="14"/>
      <c r="O49" s="15"/>
    </row>
    <row r="50" spans="1:15" ht="15.75" thickBot="1" x14ac:dyDescent="0.3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7"/>
    </row>
    <row r="53" spans="1:15" ht="15.75" thickBot="1" x14ac:dyDescent="0.3">
      <c r="B53" s="40" t="s">
        <v>41</v>
      </c>
      <c r="C53" s="40"/>
      <c r="D53" s="40"/>
      <c r="E53" s="40"/>
      <c r="F53" s="40"/>
      <c r="G53" t="s">
        <v>42</v>
      </c>
      <c r="H53" t="s">
        <v>43</v>
      </c>
    </row>
    <row r="54" spans="1:15" ht="30.75" thickBot="1" x14ac:dyDescent="0.3">
      <c r="B54" s="29" t="s">
        <v>25</v>
      </c>
      <c r="C54" s="13">
        <v>7</v>
      </c>
      <c r="D54" s="2" t="s">
        <v>12</v>
      </c>
      <c r="E54" s="2"/>
      <c r="F54" s="3"/>
      <c r="G54">
        <v>60</v>
      </c>
      <c r="H54">
        <v>6</v>
      </c>
    </row>
    <row r="55" spans="1:15" ht="15.75" thickBot="1" x14ac:dyDescent="0.3">
      <c r="B55" s="36"/>
      <c r="C55" s="37" t="s">
        <v>26</v>
      </c>
      <c r="D55" s="37" t="s">
        <v>27</v>
      </c>
      <c r="E55" s="37" t="s">
        <v>28</v>
      </c>
      <c r="F55" s="37" t="s">
        <v>44</v>
      </c>
      <c r="G55" s="37" t="s">
        <v>45</v>
      </c>
      <c r="H55" s="38" t="s">
        <v>6</v>
      </c>
    </row>
    <row r="56" spans="1:15" x14ac:dyDescent="0.25">
      <c r="B56" s="39" t="s">
        <v>29</v>
      </c>
      <c r="C56" s="31">
        <v>0</v>
      </c>
      <c r="D56">
        <v>0</v>
      </c>
      <c r="E56">
        <f>C56*D56</f>
        <v>0</v>
      </c>
      <c r="F56">
        <f>D56/2</f>
        <v>0</v>
      </c>
      <c r="G56">
        <f>(1/12)*C56*D56^3</f>
        <v>0</v>
      </c>
      <c r="H56" s="15">
        <f>G56+E56*(F56-F59)^2</f>
        <v>0</v>
      </c>
    </row>
    <row r="57" spans="1:15" x14ac:dyDescent="0.25">
      <c r="B57" s="23" t="s">
        <v>46</v>
      </c>
      <c r="C57">
        <v>6</v>
      </c>
      <c r="D57">
        <f>G54-C57</f>
        <v>54</v>
      </c>
      <c r="E57">
        <f t="shared" ref="E57:E58" si="1">C57*D57</f>
        <v>324</v>
      </c>
      <c r="F57">
        <f>D56+D57/2</f>
        <v>27</v>
      </c>
      <c r="G57">
        <f t="shared" ref="G57" si="2">(1/12)*C57*D57^3</f>
        <v>78732</v>
      </c>
      <c r="H57" s="5">
        <f>G57+E57*(F57-F59)^2</f>
        <v>159507.62326869808</v>
      </c>
    </row>
    <row r="58" spans="1:15" ht="15.75" thickBot="1" x14ac:dyDescent="0.3">
      <c r="B58" s="24" t="s">
        <v>47</v>
      </c>
      <c r="C58" s="6">
        <f>G54</f>
        <v>60</v>
      </c>
      <c r="D58" s="6">
        <v>6</v>
      </c>
      <c r="E58" s="6">
        <f t="shared" si="1"/>
        <v>360</v>
      </c>
      <c r="F58" s="6">
        <f>D56+D57+D58/2</f>
        <v>57</v>
      </c>
      <c r="G58" s="6">
        <f>(1/12)*C58*D58^3</f>
        <v>1080</v>
      </c>
      <c r="H58" s="8">
        <f>G58+E58*(F58-F59)^2</f>
        <v>73778.06094182824</v>
      </c>
    </row>
    <row r="59" spans="1:15" ht="1.5" customHeight="1" x14ac:dyDescent="0.25">
      <c r="F59">
        <f>(F56*E56+E57*F57+F58*E58)/SUM(E56:E58)</f>
        <v>42.789473684210527</v>
      </c>
    </row>
    <row r="60" spans="1:15" ht="15.75" thickBot="1" x14ac:dyDescent="0.3"/>
    <row r="61" spans="1:15" x14ac:dyDescent="0.25">
      <c r="B61" s="12" t="s">
        <v>11</v>
      </c>
      <c r="C61" s="20">
        <f>F59/10</f>
        <v>4.2789473684210524</v>
      </c>
      <c r="D61" s="3" t="s">
        <v>37</v>
      </c>
    </row>
    <row r="62" spans="1:15" x14ac:dyDescent="0.25">
      <c r="B62" s="14" t="s">
        <v>13</v>
      </c>
      <c r="C62" s="31">
        <f>SUM(H56:H58)/10000</f>
        <v>23.328568421052633</v>
      </c>
      <c r="D62" s="15" t="s">
        <v>38</v>
      </c>
    </row>
    <row r="63" spans="1:15" x14ac:dyDescent="0.25">
      <c r="B63" s="14" t="s">
        <v>16</v>
      </c>
      <c r="C63" s="1">
        <f>C62/ABS((D56+D57+D58)/10-C61)</f>
        <v>13.554825688073393</v>
      </c>
      <c r="D63" s="15" t="s">
        <v>39</v>
      </c>
    </row>
    <row r="64" spans="1:15" ht="15.75" thickBot="1" x14ac:dyDescent="0.3">
      <c r="B64" s="16" t="s">
        <v>4</v>
      </c>
      <c r="C64" s="26">
        <f>SUM(E56:E58)/100</f>
        <v>6.84</v>
      </c>
      <c r="D64" s="17" t="s">
        <v>40</v>
      </c>
    </row>
  </sheetData>
  <mergeCells count="13">
    <mergeCell ref="B19:F19"/>
    <mergeCell ref="B20:C20"/>
    <mergeCell ref="B5:F5"/>
    <mergeCell ref="A1:O2"/>
    <mergeCell ref="B7:C7"/>
    <mergeCell ref="B8:C8"/>
    <mergeCell ref="B9:C9"/>
    <mergeCell ref="B6:C6"/>
    <mergeCell ref="B53:F53"/>
    <mergeCell ref="B21:C21"/>
    <mergeCell ref="B22:C22"/>
    <mergeCell ref="B23:C23"/>
    <mergeCell ref="B34:F34"/>
  </mergeCells>
  <phoneticPr fontId="3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Hoja3!$C$4:$C$25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6"/>
  <sheetViews>
    <sheetView workbookViewId="0">
      <selection activeCell="D9" sqref="D9"/>
    </sheetView>
  </sheetViews>
  <sheetFormatPr baseColWidth="10" defaultColWidth="11.42578125" defaultRowHeight="15" x14ac:dyDescent="0.25"/>
  <sheetData>
    <row r="5" spans="3:4" x14ac:dyDescent="0.25">
      <c r="C5" t="s">
        <v>48</v>
      </c>
      <c r="D5">
        <v>60</v>
      </c>
    </row>
    <row r="6" spans="3:4" x14ac:dyDescent="0.25">
      <c r="C6" t="s">
        <v>49</v>
      </c>
      <c r="D6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25"/>
  <sheetViews>
    <sheetView topLeftCell="B1" workbookViewId="0">
      <selection activeCell="D4" sqref="D4"/>
    </sheetView>
  </sheetViews>
  <sheetFormatPr baseColWidth="10" defaultColWidth="11.42578125" defaultRowHeight="15" x14ac:dyDescent="0.25"/>
  <cols>
    <col min="3" max="3" width="18.7109375" customWidth="1"/>
    <col min="4" max="4" width="14.140625" customWidth="1"/>
  </cols>
  <sheetData>
    <row r="1" spans="3:8" ht="13.9" customHeight="1" x14ac:dyDescent="0.25"/>
    <row r="3" spans="3:8" x14ac:dyDescent="0.25">
      <c r="C3" t="s">
        <v>50</v>
      </c>
      <c r="D3" t="s">
        <v>51</v>
      </c>
      <c r="E3" t="s">
        <v>52</v>
      </c>
      <c r="F3" t="s">
        <v>53</v>
      </c>
      <c r="G3" t="s">
        <v>34</v>
      </c>
      <c r="H3" t="s">
        <v>54</v>
      </c>
    </row>
    <row r="4" spans="3:8" x14ac:dyDescent="0.25">
      <c r="C4" t="s">
        <v>55</v>
      </c>
      <c r="D4">
        <v>3.58</v>
      </c>
      <c r="E4">
        <v>2.81</v>
      </c>
      <c r="F4">
        <v>3.82</v>
      </c>
      <c r="G4">
        <v>12.2</v>
      </c>
      <c r="H4" s="1">
        <f>G4/F4</f>
        <v>3.1937172774869111</v>
      </c>
    </row>
    <row r="5" spans="3:8" x14ac:dyDescent="0.25">
      <c r="C5" t="s">
        <v>56</v>
      </c>
      <c r="D5">
        <v>4.78</v>
      </c>
      <c r="E5">
        <v>3.75</v>
      </c>
      <c r="F5">
        <v>3.62</v>
      </c>
      <c r="G5">
        <v>16.399999999999999</v>
      </c>
      <c r="H5" s="1">
        <f t="shared" ref="H5:H25" si="0">G5/F5</f>
        <v>4.5303867403314912</v>
      </c>
    </row>
    <row r="6" spans="3:8" x14ac:dyDescent="0.25">
      <c r="C6" t="s">
        <v>35</v>
      </c>
      <c r="D6">
        <v>5.51</v>
      </c>
      <c r="E6">
        <v>4.25</v>
      </c>
      <c r="F6">
        <v>4.9000000000000004</v>
      </c>
      <c r="G6">
        <v>33.869999999999997</v>
      </c>
      <c r="H6" s="1">
        <f t="shared" si="0"/>
        <v>6.9122448979591828</v>
      </c>
    </row>
    <row r="7" spans="3:8" x14ac:dyDescent="0.25">
      <c r="C7" t="s">
        <v>57</v>
      </c>
      <c r="D7">
        <v>6.21</v>
      </c>
      <c r="E7">
        <v>4.88</v>
      </c>
      <c r="F7">
        <v>4.78</v>
      </c>
      <c r="G7">
        <v>38.700000000000003</v>
      </c>
      <c r="H7" s="1">
        <f t="shared" si="0"/>
        <v>8.0962343096234317</v>
      </c>
    </row>
    <row r="8" spans="3:8" x14ac:dyDescent="0.25">
      <c r="C8" t="s">
        <v>58</v>
      </c>
      <c r="D8">
        <v>7</v>
      </c>
      <c r="E8">
        <v>5.5</v>
      </c>
      <c r="F8">
        <v>4.6900000000000004</v>
      </c>
      <c r="G8">
        <v>43.3</v>
      </c>
      <c r="H8" s="1">
        <f t="shared" si="0"/>
        <v>9.2324093816631123</v>
      </c>
    </row>
    <row r="9" spans="3:8" x14ac:dyDescent="0.25">
      <c r="C9" t="s">
        <v>59</v>
      </c>
      <c r="D9">
        <v>7.8</v>
      </c>
      <c r="E9">
        <v>6.12</v>
      </c>
      <c r="F9">
        <v>4.62</v>
      </c>
      <c r="G9">
        <v>48</v>
      </c>
      <c r="H9" s="1">
        <f t="shared" si="0"/>
        <v>10.38961038961039</v>
      </c>
    </row>
    <row r="10" spans="3:8" x14ac:dyDescent="0.25">
      <c r="C10" t="s">
        <v>60</v>
      </c>
      <c r="D10">
        <v>7.74</v>
      </c>
      <c r="E10">
        <v>6.08</v>
      </c>
      <c r="F10">
        <v>5.98</v>
      </c>
      <c r="G10">
        <v>76.099999999999994</v>
      </c>
      <c r="H10" s="1">
        <f t="shared" si="0"/>
        <v>12.725752508361202</v>
      </c>
    </row>
    <row r="11" spans="3:8" x14ac:dyDescent="0.25">
      <c r="C11" t="s">
        <v>61</v>
      </c>
      <c r="D11">
        <v>8.74</v>
      </c>
      <c r="E11">
        <v>6.86</v>
      </c>
      <c r="F11">
        <v>5.87</v>
      </c>
      <c r="G11">
        <v>85.3</v>
      </c>
      <c r="H11" s="1">
        <f t="shared" si="0"/>
        <v>14.531516183986371</v>
      </c>
    </row>
    <row r="12" spans="3:8" x14ac:dyDescent="0.25">
      <c r="C12" t="s">
        <v>62</v>
      </c>
      <c r="D12">
        <v>9.74</v>
      </c>
      <c r="E12">
        <v>7.65</v>
      </c>
      <c r="F12">
        <v>5.78</v>
      </c>
      <c r="G12">
        <v>94.3</v>
      </c>
      <c r="H12" s="1">
        <f t="shared" si="0"/>
        <v>16.314878892733564</v>
      </c>
    </row>
    <row r="13" spans="3:8" x14ac:dyDescent="0.25">
      <c r="C13" t="s">
        <v>63</v>
      </c>
      <c r="D13">
        <v>9.32</v>
      </c>
      <c r="E13">
        <v>7.32</v>
      </c>
      <c r="F13">
        <v>7.21</v>
      </c>
      <c r="G13">
        <v>133</v>
      </c>
      <c r="H13" s="1">
        <f t="shared" si="0"/>
        <v>18.446601941747574</v>
      </c>
    </row>
    <row r="14" spans="3:8" x14ac:dyDescent="0.25">
      <c r="C14" t="s">
        <v>64</v>
      </c>
      <c r="D14">
        <v>10.52</v>
      </c>
      <c r="E14">
        <v>8.26</v>
      </c>
      <c r="F14">
        <v>7.07</v>
      </c>
      <c r="G14">
        <v>149</v>
      </c>
      <c r="H14" s="1">
        <f t="shared" si="0"/>
        <v>21.074964639321074</v>
      </c>
    </row>
    <row r="15" spans="3:8" x14ac:dyDescent="0.25">
      <c r="C15" t="s">
        <v>65</v>
      </c>
      <c r="D15">
        <v>11.72</v>
      </c>
      <c r="E15">
        <v>9.1999999999999993</v>
      </c>
      <c r="F15">
        <v>6.96</v>
      </c>
      <c r="G15">
        <v>165</v>
      </c>
      <c r="H15" s="1">
        <f t="shared" si="0"/>
        <v>23.706896551724139</v>
      </c>
    </row>
    <row r="16" spans="3:8" x14ac:dyDescent="0.25">
      <c r="C16" t="s">
        <v>66</v>
      </c>
      <c r="D16">
        <v>12.43</v>
      </c>
      <c r="E16">
        <v>9.75</v>
      </c>
      <c r="F16">
        <v>8.32</v>
      </c>
      <c r="G16">
        <v>241</v>
      </c>
      <c r="H16" s="1">
        <f t="shared" si="0"/>
        <v>28.966346153846153</v>
      </c>
    </row>
    <row r="17" spans="3:8" x14ac:dyDescent="0.25">
      <c r="C17" t="s">
        <v>67</v>
      </c>
      <c r="D17">
        <v>13.83</v>
      </c>
      <c r="E17">
        <v>10.85</v>
      </c>
      <c r="F17">
        <v>8.18</v>
      </c>
      <c r="G17">
        <v>266</v>
      </c>
      <c r="H17" s="1">
        <f t="shared" si="0"/>
        <v>32.518337408312959</v>
      </c>
    </row>
    <row r="18" spans="3:8" x14ac:dyDescent="0.25">
      <c r="C18" t="s">
        <v>68</v>
      </c>
      <c r="D18">
        <v>15.2</v>
      </c>
      <c r="E18">
        <v>11.9</v>
      </c>
      <c r="F18">
        <v>8.07</v>
      </c>
      <c r="G18">
        <v>281</v>
      </c>
      <c r="H18" s="1">
        <f t="shared" si="0"/>
        <v>34.820322180916975</v>
      </c>
    </row>
    <row r="19" spans="3:8" x14ac:dyDescent="0.25">
      <c r="C19" t="s">
        <v>69</v>
      </c>
      <c r="D19">
        <v>14.6</v>
      </c>
      <c r="E19">
        <v>11.46</v>
      </c>
      <c r="F19">
        <v>9.66</v>
      </c>
      <c r="G19">
        <v>373</v>
      </c>
      <c r="H19" s="1">
        <f t="shared" si="0"/>
        <v>38.612836438923395</v>
      </c>
    </row>
    <row r="20" spans="3:8" x14ac:dyDescent="0.25">
      <c r="C20" t="s">
        <v>70</v>
      </c>
      <c r="D20">
        <v>16.2</v>
      </c>
      <c r="E20">
        <v>12.72</v>
      </c>
      <c r="F20">
        <v>9.5</v>
      </c>
      <c r="G20">
        <v>411</v>
      </c>
      <c r="H20" s="1">
        <f t="shared" si="0"/>
        <v>43.263157894736842</v>
      </c>
    </row>
    <row r="21" spans="3:8" x14ac:dyDescent="0.25">
      <c r="C21" t="s">
        <v>71</v>
      </c>
      <c r="D21">
        <v>17.8</v>
      </c>
      <c r="E21">
        <v>13.97</v>
      </c>
      <c r="F21">
        <v>9.3699999999999992</v>
      </c>
      <c r="G21">
        <v>449</v>
      </c>
      <c r="H21" s="1">
        <f t="shared" si="0"/>
        <v>47.918890074706518</v>
      </c>
    </row>
    <row r="22" spans="3:8" x14ac:dyDescent="0.25">
      <c r="C22" t="s">
        <v>72</v>
      </c>
      <c r="D22">
        <v>18.86</v>
      </c>
      <c r="E22">
        <v>14.8</v>
      </c>
      <c r="F22">
        <v>10.89</v>
      </c>
      <c r="G22">
        <v>609</v>
      </c>
      <c r="H22" s="1">
        <f t="shared" si="0"/>
        <v>55.9228650137741</v>
      </c>
    </row>
    <row r="23" spans="3:8" x14ac:dyDescent="0.25">
      <c r="C23" t="s">
        <v>73</v>
      </c>
      <c r="D23">
        <v>20.66</v>
      </c>
      <c r="E23">
        <v>16.22</v>
      </c>
      <c r="F23">
        <v>10.73</v>
      </c>
      <c r="G23">
        <v>664</v>
      </c>
      <c r="H23" s="1">
        <f t="shared" si="0"/>
        <v>61.882572227399812</v>
      </c>
    </row>
    <row r="24" spans="3:8" x14ac:dyDescent="0.25">
      <c r="C24" t="s">
        <v>74</v>
      </c>
      <c r="D24">
        <v>22.46</v>
      </c>
      <c r="E24">
        <v>17.63</v>
      </c>
      <c r="F24">
        <v>10.59</v>
      </c>
      <c r="G24">
        <v>717</v>
      </c>
      <c r="H24" s="1">
        <f t="shared" si="0"/>
        <v>67.705382436260621</v>
      </c>
    </row>
    <row r="25" spans="3:8" x14ac:dyDescent="0.25">
      <c r="C25" t="s">
        <v>75</v>
      </c>
      <c r="D25">
        <v>24.26</v>
      </c>
      <c r="E25">
        <v>19.04</v>
      </c>
      <c r="F25">
        <v>10.47</v>
      </c>
      <c r="G25">
        <v>770</v>
      </c>
      <c r="H25" s="1">
        <f t="shared" si="0"/>
        <v>73.543457497612224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alvarado</dc:creator>
  <cp:keywords/>
  <dc:description/>
  <cp:lastModifiedBy>Jhonattan de Jesus Llamas Reinoso</cp:lastModifiedBy>
  <cp:revision/>
  <dcterms:created xsi:type="dcterms:W3CDTF">2021-06-14T16:48:24Z</dcterms:created>
  <dcterms:modified xsi:type="dcterms:W3CDTF">2023-08-16T20:25:25Z</dcterms:modified>
  <cp:category/>
  <cp:contentStatus/>
</cp:coreProperties>
</file>