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tilloneria\img\"/>
    </mc:Choice>
  </mc:AlternateContent>
  <bookViews>
    <workbookView xWindow="0" yWindow="0" windowWidth="20400" windowHeight="7650" tabRatio="742" firstSheet="6" activeTab="7"/>
  </bookViews>
  <sheets>
    <sheet name="CARÁTULA" sheetId="18" r:id="rId1"/>
    <sheet name="ACTIVOS FIJOS" sheetId="19" r:id="rId2"/>
    <sheet name="COSTOS DIFERIDOS" sheetId="20" r:id="rId3"/>
    <sheet name="CAPITAL DE TRABAJO" sheetId="17" r:id="rId4"/>
    <sheet name="INVERSIÓN Y FINANCIAMIENTO" sheetId="8" r:id="rId5"/>
    <sheet name="BALANCE DE APERTURA" sheetId="5" r:id="rId6"/>
    <sheet name="PRODUCCIÓN" sheetId="6" r:id="rId7"/>
    <sheet name="COSTO DE PRODUCCIÓN - INGRESOS" sheetId="7" r:id="rId8"/>
    <sheet name="GASTOS OPERATIVOS" sheetId="9" r:id="rId9"/>
    <sheet name="ANÁLISIS FINANCIERO" sheetId="10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0" l="1"/>
  <c r="D12" i="10"/>
  <c r="I17" i="7"/>
  <c r="D92" i="7" l="1"/>
  <c r="D14" i="10" s="1"/>
  <c r="AB50" i="10" s="1"/>
  <c r="AB51" i="10" s="1"/>
  <c r="E99" i="17"/>
  <c r="AM12" i="9"/>
  <c r="AN12" i="9"/>
  <c r="AE21" i="9"/>
  <c r="AF21" i="9" s="1"/>
  <c r="AE20" i="9"/>
  <c r="AF20" i="9" s="1"/>
  <c r="AF23" i="9" s="1"/>
  <c r="B140" i="9"/>
  <c r="B141" i="9"/>
  <c r="B142" i="9"/>
  <c r="B143" i="9"/>
  <c r="B139" i="9"/>
  <c r="D50" i="17"/>
  <c r="G109" i="9"/>
  <c r="E116" i="9"/>
  <c r="E115" i="9"/>
  <c r="E114" i="9"/>
  <c r="E113" i="9"/>
  <c r="E112" i="9"/>
  <c r="E111" i="9"/>
  <c r="E110" i="9"/>
  <c r="E109" i="9"/>
  <c r="E108" i="9"/>
  <c r="H90" i="9"/>
  <c r="G87" i="9"/>
  <c r="H87" i="9" s="1"/>
  <c r="B88" i="9"/>
  <c r="B89" i="9"/>
  <c r="B90" i="9"/>
  <c r="B91" i="9"/>
  <c r="B87" i="9"/>
  <c r="E70" i="9"/>
  <c r="F70" i="9" s="1"/>
  <c r="E69" i="9"/>
  <c r="C57" i="9"/>
  <c r="D57" i="9"/>
  <c r="E57" i="9"/>
  <c r="F57" i="9" s="1"/>
  <c r="C56" i="9"/>
  <c r="D56" i="9"/>
  <c r="E56" i="9"/>
  <c r="F56" i="9" s="1"/>
  <c r="C54" i="9"/>
  <c r="D54" i="9"/>
  <c r="E54" i="9"/>
  <c r="F54" i="9" s="1"/>
  <c r="B57" i="9"/>
  <c r="B56" i="9"/>
  <c r="B54" i="9"/>
  <c r="L15" i="9"/>
  <c r="K20" i="9"/>
  <c r="K19" i="9"/>
  <c r="K16" i="9"/>
  <c r="I16" i="9" s="1"/>
  <c r="K15" i="9"/>
  <c r="I15" i="9" s="1"/>
  <c r="N15" i="9" s="1"/>
  <c r="D20" i="9"/>
  <c r="E20" i="9"/>
  <c r="E19" i="9"/>
  <c r="H19" i="9" s="1"/>
  <c r="E16" i="9"/>
  <c r="E15" i="9"/>
  <c r="C20" i="9"/>
  <c r="B42" i="9" s="1"/>
  <c r="D19" i="9"/>
  <c r="C16" i="9"/>
  <c r="B35" i="9" s="1"/>
  <c r="D16" i="9"/>
  <c r="D15" i="9"/>
  <c r="C15" i="9"/>
  <c r="B34" i="9" s="1"/>
  <c r="K30" i="7"/>
  <c r="D30" i="7"/>
  <c r="F30" i="7" s="1"/>
  <c r="B30" i="7"/>
  <c r="D42" i="7"/>
  <c r="D44" i="7"/>
  <c r="E44" i="7"/>
  <c r="E43" i="7"/>
  <c r="F43" i="7"/>
  <c r="E42" i="7"/>
  <c r="B43" i="7"/>
  <c r="B44" i="7"/>
  <c r="B42" i="7"/>
  <c r="C43" i="7"/>
  <c r="C44" i="7"/>
  <c r="C42" i="7"/>
  <c r="D29" i="7"/>
  <c r="D28" i="7"/>
  <c r="B29" i="7"/>
  <c r="B28" i="7"/>
  <c r="E9" i="6"/>
  <c r="D9" i="6" s="1"/>
  <c r="G9" i="6"/>
  <c r="F80" i="17"/>
  <c r="G80" i="17" s="1"/>
  <c r="F81" i="17"/>
  <c r="G81" i="17" s="1"/>
  <c r="F78" i="17"/>
  <c r="G78" i="17" s="1"/>
  <c r="K78" i="17" s="1"/>
  <c r="F77" i="17"/>
  <c r="G77" i="17" s="1"/>
  <c r="K77" i="17" s="1"/>
  <c r="F62" i="17"/>
  <c r="G116" i="9" s="1"/>
  <c r="F61" i="17"/>
  <c r="G113" i="9" s="1"/>
  <c r="F60" i="17"/>
  <c r="G110" i="9" s="1"/>
  <c r="F51" i="17"/>
  <c r="G51" i="17" s="1"/>
  <c r="F50" i="17"/>
  <c r="G112" i="9" s="1"/>
  <c r="F49" i="17"/>
  <c r="F40" i="17"/>
  <c r="G114" i="9" s="1"/>
  <c r="F39" i="17"/>
  <c r="G111" i="9" s="1"/>
  <c r="F38" i="17"/>
  <c r="G108" i="9" s="1"/>
  <c r="D62" i="17"/>
  <c r="D49" i="17"/>
  <c r="D61" i="17"/>
  <c r="D60" i="17"/>
  <c r="D51" i="17"/>
  <c r="D39" i="17"/>
  <c r="D43" i="7" s="1"/>
  <c r="D38" i="17"/>
  <c r="F27" i="17"/>
  <c r="D40" i="17"/>
  <c r="G17" i="20"/>
  <c r="G16" i="20"/>
  <c r="G15" i="20"/>
  <c r="F69" i="9"/>
  <c r="L19" i="9"/>
  <c r="C19" i="9"/>
  <c r="B39" i="9" s="1"/>
  <c r="E29" i="7"/>
  <c r="E28" i="7"/>
  <c r="L20" i="9"/>
  <c r="L22" i="9" s="1"/>
  <c r="L16" i="9"/>
  <c r="E7" i="7"/>
  <c r="E8" i="7"/>
  <c r="E9" i="7"/>
  <c r="E10" i="7"/>
  <c r="E11" i="7"/>
  <c r="E12" i="7"/>
  <c r="E13" i="7"/>
  <c r="E14" i="7"/>
  <c r="D8" i="7"/>
  <c r="D9" i="7"/>
  <c r="D10" i="7"/>
  <c r="D11" i="7"/>
  <c r="D12" i="7"/>
  <c r="D13" i="7"/>
  <c r="D14" i="7"/>
  <c r="D7" i="7"/>
  <c r="C13" i="7"/>
  <c r="C8" i="7"/>
  <c r="C9" i="7"/>
  <c r="C10" i="7"/>
  <c r="C11" i="7"/>
  <c r="C12" i="7"/>
  <c r="C14" i="7"/>
  <c r="C7" i="7"/>
  <c r="E15" i="8"/>
  <c r="E47" i="19"/>
  <c r="E49" i="19" s="1"/>
  <c r="C11" i="8" s="1"/>
  <c r="C142" i="9" s="1"/>
  <c r="E142" i="9" s="1"/>
  <c r="E34" i="19"/>
  <c r="E7" i="19"/>
  <c r="E8" i="19"/>
  <c r="D32" i="7" l="1"/>
  <c r="E32" i="7"/>
  <c r="H115" i="9"/>
  <c r="I115" i="9" s="1"/>
  <c r="D115" i="9"/>
  <c r="G115" i="9"/>
  <c r="F44" i="7"/>
  <c r="F42" i="7"/>
  <c r="L30" i="7"/>
  <c r="M30" i="7" s="1"/>
  <c r="F59" i="9"/>
  <c r="F60" i="9" s="1"/>
  <c r="B38" i="9"/>
  <c r="K22" i="9"/>
  <c r="B41" i="9"/>
  <c r="K17" i="9"/>
  <c r="I19" i="9"/>
  <c r="N19" i="9" s="1"/>
  <c r="O19" i="9" s="1"/>
  <c r="C41" i="9" s="1"/>
  <c r="L17" i="9"/>
  <c r="F28" i="7"/>
  <c r="I81" i="17"/>
  <c r="H81" i="17"/>
  <c r="J81" i="17"/>
  <c r="K81" i="17"/>
  <c r="L81" i="17" s="1"/>
  <c r="M81" i="17" s="1"/>
  <c r="N81" i="17" s="1"/>
  <c r="I80" i="17"/>
  <c r="J80" i="17"/>
  <c r="K80" i="17"/>
  <c r="H80" i="17"/>
  <c r="L80" i="17" s="1"/>
  <c r="M80" i="17" s="1"/>
  <c r="N80" i="17" s="1"/>
  <c r="N96" i="17" s="1"/>
  <c r="C19" i="8" s="1"/>
  <c r="D19" i="8" s="1"/>
  <c r="F83" i="17"/>
  <c r="G39" i="17"/>
  <c r="I77" i="17"/>
  <c r="J77" i="17"/>
  <c r="H77" i="17"/>
  <c r="J78" i="17"/>
  <c r="I78" i="17"/>
  <c r="H78" i="17"/>
  <c r="K83" i="17"/>
  <c r="G83" i="17"/>
  <c r="E83" i="17"/>
  <c r="G60" i="17"/>
  <c r="G61" i="17"/>
  <c r="G62" i="17"/>
  <c r="G49" i="17"/>
  <c r="H51" i="17"/>
  <c r="G50" i="17"/>
  <c r="G40" i="17"/>
  <c r="G38" i="17"/>
  <c r="D11" i="8"/>
  <c r="D19" i="5"/>
  <c r="AB52" i="10" l="1"/>
  <c r="AB53" i="10" s="1"/>
  <c r="AB54" i="10" s="1"/>
  <c r="H60" i="17"/>
  <c r="H110" i="9"/>
  <c r="I110" i="9" s="1"/>
  <c r="D110" i="9"/>
  <c r="H38" i="17"/>
  <c r="H42" i="7" s="1"/>
  <c r="G42" i="7"/>
  <c r="H108" i="9"/>
  <c r="I108" i="9" s="1"/>
  <c r="D108" i="9"/>
  <c r="D109" i="9"/>
  <c r="H109" i="9"/>
  <c r="I109" i="9" s="1"/>
  <c r="H40" i="17"/>
  <c r="H44" i="7" s="1"/>
  <c r="D114" i="9"/>
  <c r="G44" i="7"/>
  <c r="H114" i="9"/>
  <c r="I114" i="9" s="1"/>
  <c r="H62" i="17"/>
  <c r="D116" i="9"/>
  <c r="H116" i="9"/>
  <c r="I116" i="9" s="1"/>
  <c r="K23" i="9"/>
  <c r="H39" i="17"/>
  <c r="H43" i="7" s="1"/>
  <c r="G43" i="7"/>
  <c r="H111" i="9"/>
  <c r="I111" i="9" s="1"/>
  <c r="D111" i="9"/>
  <c r="H50" i="17"/>
  <c r="H112" i="9"/>
  <c r="I112" i="9" s="1"/>
  <c r="D112" i="9"/>
  <c r="H61" i="17"/>
  <c r="H113" i="9"/>
  <c r="I113" i="9" s="1"/>
  <c r="D113" i="9"/>
  <c r="H41" i="9"/>
  <c r="E41" i="9"/>
  <c r="I41" i="9"/>
  <c r="G41" i="9"/>
  <c r="F41" i="9"/>
  <c r="D41" i="9"/>
  <c r="J19" i="9"/>
  <c r="J83" i="17"/>
  <c r="L77" i="17"/>
  <c r="L78" i="17"/>
  <c r="M78" i="17" s="1"/>
  <c r="N78" i="17" s="1"/>
  <c r="H83" i="17"/>
  <c r="I83" i="17"/>
  <c r="H63" i="17"/>
  <c r="G63" i="17"/>
  <c r="G64" i="17" s="1"/>
  <c r="G52" i="17"/>
  <c r="G53" i="17" s="1"/>
  <c r="H49" i="17"/>
  <c r="H52" i="17" s="1"/>
  <c r="G41" i="17"/>
  <c r="G42" i="17" s="1"/>
  <c r="C39" i="9"/>
  <c r="H39" i="9" s="1"/>
  <c r="P19" i="9"/>
  <c r="Q19" i="9"/>
  <c r="R19" i="9"/>
  <c r="S19" i="9"/>
  <c r="N16" i="9"/>
  <c r="G88" i="9"/>
  <c r="H88" i="9" s="1"/>
  <c r="G89" i="9"/>
  <c r="H89" i="9" s="1"/>
  <c r="G91" i="9"/>
  <c r="H91" i="9" s="1"/>
  <c r="F127" i="9"/>
  <c r="G127" i="9" s="1"/>
  <c r="G129" i="9" s="1"/>
  <c r="K23" i="10" s="1"/>
  <c r="L23" i="10" s="1"/>
  <c r="M23" i="10" s="1"/>
  <c r="N23" i="10" s="1"/>
  <c r="O23" i="10" s="1"/>
  <c r="D76" i="9"/>
  <c r="F98" i="9"/>
  <c r="I20" i="9"/>
  <c r="H20" i="9"/>
  <c r="H16" i="9"/>
  <c r="H15" i="9"/>
  <c r="L23" i="9"/>
  <c r="D129" i="9"/>
  <c r="E129" i="9"/>
  <c r="C129" i="9"/>
  <c r="G21" i="20"/>
  <c r="G20" i="20"/>
  <c r="G19" i="20"/>
  <c r="G18" i="20"/>
  <c r="G14" i="20"/>
  <c r="G13" i="20"/>
  <c r="G12" i="20"/>
  <c r="G11" i="20"/>
  <c r="G10" i="20"/>
  <c r="E9" i="19"/>
  <c r="E10" i="19"/>
  <c r="E11" i="19"/>
  <c r="E12" i="19"/>
  <c r="E20" i="19"/>
  <c r="E21" i="19"/>
  <c r="E22" i="19"/>
  <c r="E23" i="19"/>
  <c r="E31" i="19"/>
  <c r="E32" i="19"/>
  <c r="E33" i="19"/>
  <c r="E35" i="19"/>
  <c r="E36" i="19"/>
  <c r="E37" i="19"/>
  <c r="E38" i="19"/>
  <c r="E39" i="19"/>
  <c r="E56" i="19"/>
  <c r="E57" i="19"/>
  <c r="E58" i="19"/>
  <c r="F29" i="17"/>
  <c r="G29" i="17" s="1"/>
  <c r="F28" i="17"/>
  <c r="G28" i="17" s="1"/>
  <c r="F15" i="17"/>
  <c r="F14" i="7" s="1"/>
  <c r="F14" i="17"/>
  <c r="F13" i="7" s="1"/>
  <c r="F13" i="17"/>
  <c r="F12" i="7" s="1"/>
  <c r="F12" i="17"/>
  <c r="F11" i="7" s="1"/>
  <c r="F11" i="17"/>
  <c r="F10" i="7" s="1"/>
  <c r="F10" i="17"/>
  <c r="F9" i="7" s="1"/>
  <c r="F9" i="17"/>
  <c r="F8" i="7" s="1"/>
  <c r="F8" i="17"/>
  <c r="F7" i="7" s="1"/>
  <c r="E13" i="8"/>
  <c r="E7" i="8"/>
  <c r="D94" i="7"/>
  <c r="D85" i="7"/>
  <c r="D76" i="7"/>
  <c r="D67" i="7"/>
  <c r="F29" i="7"/>
  <c r="F32" i="7" s="1"/>
  <c r="J28" i="7"/>
  <c r="G19" i="6"/>
  <c r="G22" i="6" s="1"/>
  <c r="E19" i="6"/>
  <c r="E22" i="6" s="1"/>
  <c r="E25" i="6" s="1"/>
  <c r="I16" i="6"/>
  <c r="F11" i="6"/>
  <c r="G11" i="6"/>
  <c r="I117" i="9" l="1"/>
  <c r="K22" i="10" s="1"/>
  <c r="L22" i="10" s="1"/>
  <c r="M22" i="10" s="1"/>
  <c r="N22" i="10" s="1"/>
  <c r="O22" i="10" s="1"/>
  <c r="H41" i="17"/>
  <c r="G46" i="7"/>
  <c r="E56" i="7" s="1"/>
  <c r="I19" i="6"/>
  <c r="H46" i="7"/>
  <c r="G22" i="20"/>
  <c r="C155" i="9" s="1"/>
  <c r="E155" i="9" s="1"/>
  <c r="E157" i="9" s="1"/>
  <c r="K25" i="10" s="1"/>
  <c r="E58" i="7"/>
  <c r="K28" i="10"/>
  <c r="L28" i="10" s="1"/>
  <c r="M28" i="10" s="1"/>
  <c r="N28" i="10" s="1"/>
  <c r="O28" i="10" s="1"/>
  <c r="J41" i="9"/>
  <c r="O16" i="9"/>
  <c r="S16" i="9" s="1"/>
  <c r="N17" i="9"/>
  <c r="H29" i="7"/>
  <c r="J29" i="7"/>
  <c r="J32" i="7" s="1"/>
  <c r="G29" i="7"/>
  <c r="L83" i="17"/>
  <c r="M77" i="17"/>
  <c r="J15" i="9"/>
  <c r="F129" i="9"/>
  <c r="T19" i="9"/>
  <c r="U19" i="9" s="1"/>
  <c r="V19" i="9" s="1"/>
  <c r="J20" i="9"/>
  <c r="N20" i="9"/>
  <c r="E100" i="17"/>
  <c r="E76" i="9"/>
  <c r="G98" i="9"/>
  <c r="H98" i="9"/>
  <c r="K21" i="10" s="1"/>
  <c r="L21" i="10" s="1"/>
  <c r="M21" i="10" s="1"/>
  <c r="N21" i="10" s="1"/>
  <c r="O21" i="10" s="1"/>
  <c r="J16" i="9"/>
  <c r="I29" i="7"/>
  <c r="D56" i="7"/>
  <c r="D58" i="7" s="1"/>
  <c r="G28" i="7"/>
  <c r="I28" i="7"/>
  <c r="H28" i="7"/>
  <c r="E20" i="8"/>
  <c r="I7" i="8" s="1"/>
  <c r="AL12" i="9" s="1"/>
  <c r="E59" i="19"/>
  <c r="E40" i="19"/>
  <c r="E24" i="19"/>
  <c r="E11" i="6"/>
  <c r="D11" i="6"/>
  <c r="G25" i="6"/>
  <c r="I25" i="6" s="1"/>
  <c r="I22" i="6"/>
  <c r="E13" i="19"/>
  <c r="F30" i="17"/>
  <c r="G27" i="17"/>
  <c r="G30" i="17" s="1"/>
  <c r="O15" i="9"/>
  <c r="F76" i="9"/>
  <c r="K20" i="10" s="1"/>
  <c r="L20" i="10" s="1"/>
  <c r="M20" i="10" s="1"/>
  <c r="N20" i="10" s="1"/>
  <c r="O20" i="10" s="1"/>
  <c r="F17" i="17"/>
  <c r="F16" i="7" s="1"/>
  <c r="C56" i="7" s="1"/>
  <c r="C58" i="7" s="1"/>
  <c r="G39" i="9"/>
  <c r="F39" i="9"/>
  <c r="E39" i="9"/>
  <c r="D39" i="9"/>
  <c r="I39" i="9"/>
  <c r="H32" i="7" l="1"/>
  <c r="F56" i="7"/>
  <c r="G56" i="7" s="1"/>
  <c r="G58" i="7" s="1"/>
  <c r="C14" i="8"/>
  <c r="C13" i="8" s="1"/>
  <c r="S21" i="10" s="1"/>
  <c r="F58" i="7"/>
  <c r="L25" i="10"/>
  <c r="M25" i="10" s="1"/>
  <c r="N25" i="10" s="1"/>
  <c r="C12" i="8"/>
  <c r="C143" i="9" s="1"/>
  <c r="E143" i="9" s="1"/>
  <c r="Q16" i="9"/>
  <c r="P16" i="9"/>
  <c r="C35" i="9"/>
  <c r="I35" i="9" s="1"/>
  <c r="R16" i="9"/>
  <c r="P15" i="9"/>
  <c r="O17" i="9"/>
  <c r="S15" i="9"/>
  <c r="S17" i="9" s="1"/>
  <c r="T14" i="10"/>
  <c r="U14" i="10" s="1"/>
  <c r="V14" i="10" s="1"/>
  <c r="W14" i="10" s="1"/>
  <c r="I32" i="7"/>
  <c r="G32" i="7"/>
  <c r="M83" i="17"/>
  <c r="N77" i="17"/>
  <c r="N93" i="17" s="1"/>
  <c r="C18" i="8" s="1"/>
  <c r="D18" i="8" s="1"/>
  <c r="F31" i="17"/>
  <c r="C17" i="8" s="1"/>
  <c r="D17" i="8" s="1"/>
  <c r="C9" i="8"/>
  <c r="C140" i="9" s="1"/>
  <c r="E140" i="9" s="1"/>
  <c r="C10" i="8"/>
  <c r="C141" i="9" s="1"/>
  <c r="C8" i="8"/>
  <c r="C139" i="9" s="1"/>
  <c r="O20" i="9"/>
  <c r="N22" i="9"/>
  <c r="N23" i="9" s="1"/>
  <c r="K29" i="7"/>
  <c r="L29" i="7" s="1"/>
  <c r="M29" i="7" s="1"/>
  <c r="K28" i="7"/>
  <c r="G11" i="5"/>
  <c r="G12" i="5" s="1"/>
  <c r="G13" i="5" s="1"/>
  <c r="J8" i="8"/>
  <c r="F18" i="17"/>
  <c r="I18" i="17"/>
  <c r="I15" i="17" s="1"/>
  <c r="I20" i="8"/>
  <c r="L21" i="8" s="1"/>
  <c r="Q15" i="9"/>
  <c r="R15" i="9"/>
  <c r="C34" i="9"/>
  <c r="J39" i="9"/>
  <c r="I14" i="7"/>
  <c r="Q17" i="9" l="1"/>
  <c r="I8" i="8"/>
  <c r="AL13" i="9" s="1"/>
  <c r="AM13" i="9"/>
  <c r="E139" i="9"/>
  <c r="F139" i="9" s="1"/>
  <c r="C145" i="9"/>
  <c r="E141" i="9"/>
  <c r="D22" i="5"/>
  <c r="D14" i="8"/>
  <c r="D13" i="8" s="1"/>
  <c r="F140" i="9"/>
  <c r="G140" i="9"/>
  <c r="F141" i="9"/>
  <c r="G141" i="9" s="1"/>
  <c r="F143" i="9"/>
  <c r="G143" i="9" s="1"/>
  <c r="T16" i="9"/>
  <c r="U16" i="9" s="1"/>
  <c r="V16" i="9" s="1"/>
  <c r="E35" i="9"/>
  <c r="D35" i="9"/>
  <c r="H35" i="9"/>
  <c r="G35" i="9"/>
  <c r="F35" i="9"/>
  <c r="D34" i="9"/>
  <c r="D36" i="9" s="1"/>
  <c r="S20" i="9"/>
  <c r="S22" i="9" s="1"/>
  <c r="S23" i="9" s="1"/>
  <c r="C42" i="9"/>
  <c r="R17" i="9"/>
  <c r="T15" i="9"/>
  <c r="P17" i="9"/>
  <c r="L28" i="7"/>
  <c r="L32" i="7" s="1"/>
  <c r="K32" i="7"/>
  <c r="N83" i="17"/>
  <c r="J93" i="17" s="1"/>
  <c r="D16" i="5"/>
  <c r="D8" i="8"/>
  <c r="C7" i="8"/>
  <c r="S20" i="10" s="1"/>
  <c r="D17" i="5"/>
  <c r="D9" i="8"/>
  <c r="D20" i="5"/>
  <c r="D12" i="8"/>
  <c r="D18" i="5"/>
  <c r="D10" i="8"/>
  <c r="Q20" i="9"/>
  <c r="Q22" i="9" s="1"/>
  <c r="Q23" i="9" s="1"/>
  <c r="C38" i="9"/>
  <c r="R20" i="9"/>
  <c r="R22" i="9" s="1"/>
  <c r="P20" i="9"/>
  <c r="O22" i="9"/>
  <c r="O23" i="9" s="1"/>
  <c r="K8" i="8"/>
  <c r="AN13" i="9" s="1"/>
  <c r="K31" i="10" s="1"/>
  <c r="K30" i="10" s="1"/>
  <c r="C16" i="8"/>
  <c r="F17" i="7"/>
  <c r="K21" i="8"/>
  <c r="J21" i="8" s="1"/>
  <c r="I21" i="8" s="1"/>
  <c r="L22" i="8"/>
  <c r="J9" i="8"/>
  <c r="AM14" i="9" s="1"/>
  <c r="M28" i="7"/>
  <c r="M32" i="7" s="1"/>
  <c r="K9" i="8"/>
  <c r="AN14" i="9" s="1"/>
  <c r="L31" i="10" s="1"/>
  <c r="L30" i="10" s="1"/>
  <c r="E34" i="9"/>
  <c r="F34" i="9"/>
  <c r="G34" i="9"/>
  <c r="H34" i="9"/>
  <c r="I34" i="9"/>
  <c r="I36" i="9" s="1"/>
  <c r="C36" i="9"/>
  <c r="F145" i="9" l="1"/>
  <c r="X23" i="10" s="1"/>
  <c r="E145" i="9"/>
  <c r="K24" i="10" s="1"/>
  <c r="L24" i="10" s="1"/>
  <c r="L8" i="8"/>
  <c r="G139" i="9"/>
  <c r="G145" i="9" s="1"/>
  <c r="X24" i="10" s="1"/>
  <c r="E36" i="9"/>
  <c r="T17" i="9"/>
  <c r="J35" i="9"/>
  <c r="G36" i="9"/>
  <c r="H36" i="9"/>
  <c r="F36" i="9"/>
  <c r="R23" i="9"/>
  <c r="F42" i="9"/>
  <c r="D42" i="9"/>
  <c r="I42" i="9"/>
  <c r="G42" i="9"/>
  <c r="E42" i="9"/>
  <c r="H42" i="9"/>
  <c r="J34" i="9"/>
  <c r="T20" i="9"/>
  <c r="T13" i="10"/>
  <c r="U13" i="10" s="1"/>
  <c r="V13" i="10" s="1"/>
  <c r="W13" i="10" s="1"/>
  <c r="X13" i="10" s="1"/>
  <c r="N84" i="17"/>
  <c r="J96" i="17" s="1"/>
  <c r="D7" i="8"/>
  <c r="D24" i="5"/>
  <c r="P22" i="9"/>
  <c r="P23" i="9" s="1"/>
  <c r="D38" i="9"/>
  <c r="D43" i="9" s="1"/>
  <c r="D45" i="9" s="1"/>
  <c r="H38" i="9"/>
  <c r="H43" i="9" s="1"/>
  <c r="F38" i="9"/>
  <c r="F43" i="9" s="1"/>
  <c r="C43" i="9"/>
  <c r="C45" i="9" s="1"/>
  <c r="E38" i="9"/>
  <c r="E43" i="9" s="1"/>
  <c r="E45" i="9" s="1"/>
  <c r="I38" i="9"/>
  <c r="I43" i="9" s="1"/>
  <c r="I45" i="9" s="1"/>
  <c r="K18" i="10" s="1"/>
  <c r="L18" i="10" s="1"/>
  <c r="M18" i="10" s="1"/>
  <c r="N18" i="10" s="1"/>
  <c r="O18" i="10" s="1"/>
  <c r="G38" i="9"/>
  <c r="G43" i="9" s="1"/>
  <c r="D16" i="8"/>
  <c r="C15" i="8"/>
  <c r="S22" i="10" s="1"/>
  <c r="S25" i="10" s="1"/>
  <c r="L23" i="8"/>
  <c r="J10" i="8"/>
  <c r="AM15" i="9" s="1"/>
  <c r="L9" i="8"/>
  <c r="K12" i="10"/>
  <c r="L12" i="10" s="1"/>
  <c r="M12" i="10" s="1"/>
  <c r="N12" i="10" s="1"/>
  <c r="O12" i="10" s="1"/>
  <c r="C65" i="7"/>
  <c r="U15" i="9"/>
  <c r="U17" i="9" s="1"/>
  <c r="I9" i="8"/>
  <c r="AL14" i="9" s="1"/>
  <c r="K22" i="8"/>
  <c r="J22" i="8" s="1"/>
  <c r="I22" i="8" s="1"/>
  <c r="M24" i="10"/>
  <c r="J36" i="9" l="1"/>
  <c r="G45" i="9"/>
  <c r="H45" i="9"/>
  <c r="K17" i="10" s="1"/>
  <c r="L17" i="10" s="1"/>
  <c r="M17" i="10" s="1"/>
  <c r="N17" i="10" s="1"/>
  <c r="O17" i="10" s="1"/>
  <c r="F45" i="9"/>
  <c r="J42" i="9"/>
  <c r="J43" i="9" s="1"/>
  <c r="J45" i="9" s="1"/>
  <c r="U20" i="9"/>
  <c r="T22" i="9"/>
  <c r="T23" i="9" s="1"/>
  <c r="J38" i="9"/>
  <c r="C67" i="7"/>
  <c r="E65" i="7"/>
  <c r="E67" i="7" s="1"/>
  <c r="C74" i="7" s="1"/>
  <c r="C20" i="8"/>
  <c r="E21" i="8" s="1"/>
  <c r="D15" i="8"/>
  <c r="AB12" i="10"/>
  <c r="AA25" i="10" s="1"/>
  <c r="K23" i="8"/>
  <c r="J23" i="8" s="1"/>
  <c r="I23" i="8" s="1"/>
  <c r="V15" i="9"/>
  <c r="V17" i="9" s="1"/>
  <c r="L24" i="8"/>
  <c r="I10" i="8"/>
  <c r="AL15" i="9" s="1"/>
  <c r="K10" i="8"/>
  <c r="J11" i="8"/>
  <c r="AM16" i="9" s="1"/>
  <c r="N24" i="10"/>
  <c r="AA32" i="10" l="1"/>
  <c r="AB42" i="10"/>
  <c r="L10" i="8"/>
  <c r="AN15" i="9"/>
  <c r="M31" i="10" s="1"/>
  <c r="M30" i="10" s="1"/>
  <c r="G46" i="9"/>
  <c r="K19" i="10" s="1"/>
  <c r="L19" i="10" s="1"/>
  <c r="M19" i="10" s="1"/>
  <c r="N19" i="10" s="1"/>
  <c r="O19" i="10" s="1"/>
  <c r="V20" i="9"/>
  <c r="V22" i="9" s="1"/>
  <c r="V23" i="9" s="1"/>
  <c r="J55" i="9" s="1"/>
  <c r="K16" i="10" s="1"/>
  <c r="L16" i="10" s="1"/>
  <c r="M16" i="10" s="1"/>
  <c r="N16" i="10" s="1"/>
  <c r="O16" i="10" s="1"/>
  <c r="U22" i="9"/>
  <c r="U23" i="9" s="1"/>
  <c r="D11" i="5"/>
  <c r="D12" i="5" s="1"/>
  <c r="D25" i="5" s="1"/>
  <c r="D20" i="8"/>
  <c r="K24" i="8"/>
  <c r="J24" i="8" s="1"/>
  <c r="I24" i="8" s="1"/>
  <c r="J12" i="8"/>
  <c r="AM17" i="9" s="1"/>
  <c r="C76" i="7"/>
  <c r="E74" i="7"/>
  <c r="E76" i="7" s="1"/>
  <c r="C83" i="7" s="1"/>
  <c r="E83" i="7" s="1"/>
  <c r="I11" i="8"/>
  <c r="AL16" i="9" s="1"/>
  <c r="K11" i="8"/>
  <c r="L25" i="8"/>
  <c r="L26" i="8" s="1"/>
  <c r="O24" i="10"/>
  <c r="L11" i="8" l="1"/>
  <c r="AN16" i="9"/>
  <c r="N31" i="10" s="1"/>
  <c r="N30" i="10" s="1"/>
  <c r="K15" i="10"/>
  <c r="L15" i="10" s="1"/>
  <c r="M15" i="10" s="1"/>
  <c r="N15" i="10" s="1"/>
  <c r="O15" i="10" s="1"/>
  <c r="G17" i="5"/>
  <c r="G18" i="5" s="1"/>
  <c r="G25" i="5" s="1"/>
  <c r="D21" i="8"/>
  <c r="K25" i="8"/>
  <c r="J25" i="8" s="1"/>
  <c r="I25" i="8" s="1"/>
  <c r="C85" i="7"/>
  <c r="E85" i="7"/>
  <c r="C92" i="7" s="1"/>
  <c r="C14" i="10" s="1"/>
  <c r="AC49" i="10" s="1"/>
  <c r="AD49" i="10" s="1"/>
  <c r="AE49" i="10" s="1"/>
  <c r="AF49" i="10" s="1"/>
  <c r="AG49" i="10" s="1"/>
  <c r="K12" i="8"/>
  <c r="I12" i="8"/>
  <c r="AL17" i="9" s="1"/>
  <c r="E92" i="7" l="1"/>
  <c r="K13" i="8"/>
  <c r="AN18" i="9" s="1"/>
  <c r="AN17" i="9"/>
  <c r="O31" i="10" s="1"/>
  <c r="O30" i="10" s="1"/>
  <c r="K26" i="8"/>
  <c r="C94" i="7"/>
  <c r="L12" i="8"/>
  <c r="L13" i="8" s="1"/>
  <c r="E12" i="10" l="1"/>
  <c r="E94" i="7"/>
  <c r="F92" i="7"/>
  <c r="F12" i="10" l="1"/>
  <c r="E14" i="10"/>
  <c r="F94" i="7"/>
  <c r="AB12" i="9" s="1"/>
  <c r="AC12" i="9" s="1"/>
  <c r="F14" i="10" l="1"/>
  <c r="K11" i="10" s="1"/>
  <c r="AD12" i="9"/>
  <c r="AE12" i="9" s="1"/>
  <c r="K27" i="10" s="1"/>
  <c r="L11" i="10" l="1"/>
  <c r="M11" i="10" s="1"/>
  <c r="N11" i="10" s="1"/>
  <c r="O11" i="10" s="1"/>
  <c r="K13" i="10"/>
  <c r="L13" i="10" s="1"/>
  <c r="M13" i="10" s="1"/>
  <c r="N13" i="10" s="1"/>
  <c r="O13" i="10" s="1"/>
  <c r="K26" i="10"/>
  <c r="K14" i="10" s="1"/>
  <c r="L14" i="10" s="1"/>
  <c r="M14" i="10" s="1"/>
  <c r="N14" i="10" s="1"/>
  <c r="O14" i="10" s="1"/>
  <c r="L27" i="10"/>
  <c r="AF12" i="9"/>
  <c r="L26" i="10" l="1"/>
  <c r="M27" i="10"/>
  <c r="N27" i="10" s="1"/>
  <c r="O27" i="10" s="1"/>
  <c r="K29" i="10"/>
  <c r="M26" i="10" l="1"/>
  <c r="K32" i="10"/>
  <c r="K34" i="10" s="1"/>
  <c r="L29" i="10"/>
  <c r="M29" i="10" s="1"/>
  <c r="N29" i="10" s="1"/>
  <c r="O29" i="10" s="1"/>
  <c r="T12" i="10"/>
  <c r="T16" i="10" s="1"/>
  <c r="N26" i="10"/>
  <c r="O26" i="10"/>
  <c r="K35" i="10" l="1"/>
  <c r="V12" i="10"/>
  <c r="V15" i="10" s="1"/>
  <c r="M32" i="10"/>
  <c r="M34" i="10" s="1"/>
  <c r="M35" i="10" s="1"/>
  <c r="N32" i="10"/>
  <c r="N34" i="10" s="1"/>
  <c r="N35" i="10" s="1"/>
  <c r="O32" i="10"/>
  <c r="O34" i="10" s="1"/>
  <c r="T15" i="10"/>
  <c r="U12" i="10"/>
  <c r="U15" i="10" s="1"/>
  <c r="L32" i="10"/>
  <c r="L34" i="10" s="1"/>
  <c r="W12" i="10"/>
  <c r="V16" i="10" l="1"/>
  <c r="V18" i="10" s="1"/>
  <c r="V25" i="10" s="1"/>
  <c r="AB15" i="10" s="1"/>
  <c r="AC15" i="10" s="1"/>
  <c r="T18" i="10"/>
  <c r="T25" i="10" s="1"/>
  <c r="AB13" i="10" s="1"/>
  <c r="AC13" i="10" s="1"/>
  <c r="X12" i="10"/>
  <c r="X16" i="10" s="1"/>
  <c r="O35" i="10"/>
  <c r="U16" i="10"/>
  <c r="U18" i="10" s="1"/>
  <c r="L35" i="10"/>
  <c r="W15" i="10"/>
  <c r="W16" i="10"/>
  <c r="AD13" i="10" l="1"/>
  <c r="AB32" i="10"/>
  <c r="U25" i="10"/>
  <c r="AB14" i="10" s="1"/>
  <c r="AC14" i="10" s="1"/>
  <c r="X15" i="10"/>
  <c r="X18" i="10" s="1"/>
  <c r="W18" i="10"/>
  <c r="W25" i="10" s="1"/>
  <c r="AB16" i="10" s="1"/>
  <c r="AC16" i="10" s="1"/>
  <c r="AD32" i="10"/>
  <c r="AC32" i="10" l="1"/>
  <c r="AD14" i="10"/>
  <c r="AD15" i="10" s="1"/>
  <c r="AE32" i="10"/>
  <c r="X25" i="10"/>
  <c r="AB17" i="10" s="1"/>
  <c r="AC17" i="10" s="1"/>
  <c r="AC18" i="10" s="1"/>
  <c r="AF32" i="10" l="1"/>
  <c r="AB33" i="10" s="1"/>
  <c r="AD16" i="10"/>
  <c r="AD17" i="10" l="1"/>
  <c r="AC25" i="10"/>
  <c r="AA42" i="10" s="1"/>
  <c r="AE25" i="10" l="1"/>
  <c r="AB49" i="10" s="1"/>
  <c r="AC42" i="10"/>
</calcChain>
</file>

<file path=xl/sharedStrings.xml><?xml version="1.0" encoding="utf-8"?>
<sst xmlns="http://schemas.openxmlformats.org/spreadsheetml/2006/main" count="829" uniqueCount="404">
  <si>
    <t>INSTITUTO TÉCNICO COMERCIAL SUPERIOR DE LA NACIÓN</t>
  </si>
  <si>
    <t>INCOS - EL ALTO</t>
  </si>
  <si>
    <t>CARRERA DE ADMINISTRACIÓN DE EMPRESAS</t>
  </si>
  <si>
    <t>"PRODUCCIÓN DE PAN INTEGRAL A BASE DE CEREALES</t>
  </si>
  <si>
    <t xml:space="preserve">Integrantes:                  </t>
  </si>
  <si>
    <t>Alcon Calle Miguel Angel</t>
  </si>
  <si>
    <t>Guarachi Aruquipa Aurora Carola</t>
  </si>
  <si>
    <t>Mamani Tumiri Paola</t>
  </si>
  <si>
    <t>Ramos Ramos Wendy</t>
  </si>
  <si>
    <t>Docente:</t>
  </si>
  <si>
    <t>Curso:</t>
  </si>
  <si>
    <t>2do "A"</t>
  </si>
  <si>
    <t>Turno:</t>
  </si>
  <si>
    <t>Mañana</t>
  </si>
  <si>
    <t>EL ALTO, LA PAZ – BOLIVIA</t>
  </si>
  <si>
    <t>ACTIVOS FIJOS</t>
  </si>
  <si>
    <t xml:space="preserve">CUADRO N° </t>
  </si>
  <si>
    <t>(expresado en bolivianos)</t>
  </si>
  <si>
    <t>DETALLE</t>
  </si>
  <si>
    <t>CANTIDAD</t>
  </si>
  <si>
    <t>PRECIO UNITARIO</t>
  </si>
  <si>
    <t>COSTO TOTAL</t>
  </si>
  <si>
    <t>Alquiler</t>
  </si>
  <si>
    <t>TOTAL</t>
  </si>
  <si>
    <t>Fuente: Elaboración propia</t>
  </si>
  <si>
    <t>MUEBLES Y ENSERES</t>
  </si>
  <si>
    <t>Mesa de acero inoxidable</t>
  </si>
  <si>
    <t>Cortador de masa</t>
  </si>
  <si>
    <t>Brocha para repostería</t>
  </si>
  <si>
    <t>Jarra medidora</t>
  </si>
  <si>
    <t>Bowls</t>
  </si>
  <si>
    <t>MAQUINARIA EN GENERAL</t>
  </si>
  <si>
    <t>Amasadora</t>
  </si>
  <si>
    <t>Balanza digital</t>
  </si>
  <si>
    <t>Cámara de fermentación</t>
  </si>
  <si>
    <t xml:space="preserve"> HERRAMIENTAS EN GENERAL</t>
  </si>
  <si>
    <t>Delantales</t>
  </si>
  <si>
    <t>Guantes de cocina</t>
  </si>
  <si>
    <t>Antigrasa</t>
  </si>
  <si>
    <t>Detergente</t>
  </si>
  <si>
    <t>Virulana</t>
  </si>
  <si>
    <t>EQUIPOS DE SEGURIDAD</t>
  </si>
  <si>
    <t>Extintor</t>
  </si>
  <si>
    <t>Rociador de incendio</t>
  </si>
  <si>
    <t>Cámaras de Seguridad</t>
  </si>
  <si>
    <t>CUADRO N°</t>
  </si>
  <si>
    <t>GASTOS DE ORGANIZACIÓN</t>
  </si>
  <si>
    <t>N°</t>
  </si>
  <si>
    <t xml:space="preserve">INSTITUCION </t>
  </si>
  <si>
    <t xml:space="preserve"> PRECIO</t>
  </si>
  <si>
    <t>SEPREC</t>
  </si>
  <si>
    <t>Publicacion en extenso de la gaceta electronica del registro de comercio</t>
  </si>
  <si>
    <t>CAJA NACIONAL DE SALUD</t>
  </si>
  <si>
    <t>CONTADOR</t>
  </si>
  <si>
    <t xml:space="preserve">Asesoria en la elaboracion de los documentos </t>
  </si>
  <si>
    <t>Tramitacion de la inscripcion de la empresa en seprec y cns</t>
  </si>
  <si>
    <t xml:space="preserve">Asesoria en la selección del regimen tributario </t>
  </si>
  <si>
    <t>ABOGADO</t>
  </si>
  <si>
    <t xml:space="preserve">Asesoria en la selección del regimen tributario y de aportes a la seguridad social </t>
  </si>
  <si>
    <t>CAPITAL DE TRABAJO</t>
  </si>
  <si>
    <t>1. MATERIA PRIMA</t>
  </si>
  <si>
    <t>MATERIA PRIMA</t>
  </si>
  <si>
    <t>UNIDAD DE MEDIDA</t>
  </si>
  <si>
    <t>COSTO</t>
  </si>
  <si>
    <t>40 - 45 gramos c/u</t>
  </si>
  <si>
    <t>Harina</t>
  </si>
  <si>
    <t>qq</t>
  </si>
  <si>
    <t>Afrechillo</t>
  </si>
  <si>
    <t>Avena</t>
  </si>
  <si>
    <t>kilos</t>
  </si>
  <si>
    <t>Sal</t>
  </si>
  <si>
    <t>Manteca</t>
  </si>
  <si>
    <t>Azúcar</t>
  </si>
  <si>
    <t>Huevos</t>
  </si>
  <si>
    <t>unidades</t>
  </si>
  <si>
    <t>Levadura Fresca</t>
  </si>
  <si>
    <t>Kilos</t>
  </si>
  <si>
    <t>COSTO POR 3 MESES</t>
  </si>
  <si>
    <t>2. COSTOS INDIRECTOS DE FABRICACIÓN</t>
  </si>
  <si>
    <t>COSTOS INDIRECTOS DE FABRICACIÓN</t>
  </si>
  <si>
    <t>COSTO UNITARIO</t>
  </si>
  <si>
    <t>COSTO MENSUAL</t>
  </si>
  <si>
    <t>COSTO ANUAL</t>
  </si>
  <si>
    <t>Energía eléctrica</t>
  </si>
  <si>
    <t>k/w</t>
  </si>
  <si>
    <t>Gas</t>
  </si>
  <si>
    <t>Agua</t>
  </si>
  <si>
    <t>m3</t>
  </si>
  <si>
    <t>COSTO POR TRES MESES</t>
  </si>
  <si>
    <t>Fuente: Elaboracion propia</t>
  </si>
  <si>
    <t>SERVICIOS BÁSICOS</t>
  </si>
  <si>
    <t>DEPTO. DE PRODUCCIÓN</t>
  </si>
  <si>
    <t>DEPTO. ADMINISTRATIVO</t>
  </si>
  <si>
    <t>3. MANO DE OBRA</t>
  </si>
  <si>
    <t>COSTO DE MANO DE OBRA DIRECTA</t>
  </si>
  <si>
    <t>CARGO</t>
  </si>
  <si>
    <t>LÍQUIDO PAGABLE</t>
  </si>
  <si>
    <t>AYUDANTE</t>
  </si>
  <si>
    <t>COSTO TOTAL POR TRES MESES</t>
  </si>
  <si>
    <t>COSTO DE MANO DE OBRA INDIRECTA</t>
  </si>
  <si>
    <t>SECRETARIA</t>
  </si>
  <si>
    <t>ESTRUCTURA DE INVERSIÓN Y FINANCIAMIENTO</t>
  </si>
  <si>
    <t>SISTEMA DE AMORTIZACIÓN A CUOTA VARIABLE</t>
  </si>
  <si>
    <t>TIEMPO</t>
  </si>
  <si>
    <t>SALDO DEUDA</t>
  </si>
  <si>
    <t>CAPITAL</t>
  </si>
  <si>
    <t>INTERES</t>
  </si>
  <si>
    <t>CUOTA</t>
  </si>
  <si>
    <t>INVERSIÓN TOTAL</t>
  </si>
  <si>
    <t>APORTE PROPIO</t>
  </si>
  <si>
    <t>FINANCIAMIENTO</t>
  </si>
  <si>
    <t>Maquinaria en general</t>
  </si>
  <si>
    <t>Herramientas en general</t>
  </si>
  <si>
    <t>Equipo de seguridad</t>
  </si>
  <si>
    <t>ACTIVOS DIFERIDOS</t>
  </si>
  <si>
    <t>Organización y Constitución</t>
  </si>
  <si>
    <t>Materia Prima(3 meses)</t>
  </si>
  <si>
    <t>Mano de obra D.(3 meses)</t>
  </si>
  <si>
    <t>SISTEMA FIJO DE AMORTIZACIÓN FIJO</t>
  </si>
  <si>
    <t>Mano de obra I. (3 meses)</t>
  </si>
  <si>
    <t>TOTAL INVERSIÓN</t>
  </si>
  <si>
    <t xml:space="preserve">TIEMPO </t>
  </si>
  <si>
    <t xml:space="preserve">CAPITAL </t>
  </si>
  <si>
    <t>INTERÉS</t>
  </si>
  <si>
    <t xml:space="preserve"> CUOTA</t>
  </si>
  <si>
    <t>PORCENTAJE</t>
  </si>
  <si>
    <t>BALANCE DE APERTURA</t>
  </si>
  <si>
    <t>Empresa "MIKUNA"</t>
  </si>
  <si>
    <t>al 31 de marzo de 20XX</t>
  </si>
  <si>
    <t>(Expresado en Bolivianos)</t>
  </si>
  <si>
    <t>ACTIVO</t>
  </si>
  <si>
    <t>PASIVO</t>
  </si>
  <si>
    <t>ACTIVO CORRIENTE</t>
  </si>
  <si>
    <t>PASIVO NO CORRIENTE</t>
  </si>
  <si>
    <t>Disponible</t>
  </si>
  <si>
    <t>Obligaciones a largo plazo</t>
  </si>
  <si>
    <t xml:space="preserve">Caja </t>
  </si>
  <si>
    <t>Préstamos por pagar</t>
  </si>
  <si>
    <t>TOTAL ACTIVO CORRIENTE</t>
  </si>
  <si>
    <t>TOTAL PASIVO NO CORRIENTE</t>
  </si>
  <si>
    <t xml:space="preserve">TOTAL PASIVO </t>
  </si>
  <si>
    <t>ACTIVO NO CORRIENTE</t>
  </si>
  <si>
    <t>Bienes de uso</t>
  </si>
  <si>
    <t>PATRIMONIO</t>
  </si>
  <si>
    <t>Capital</t>
  </si>
  <si>
    <t>Intangible</t>
  </si>
  <si>
    <t>Gastos de organización y constitución</t>
  </si>
  <si>
    <t>TOTAL ACTIVO NO CORRIENTE</t>
  </si>
  <si>
    <t>TOTAL PATRIMONIO</t>
  </si>
  <si>
    <t>TOTAL ACTIVO</t>
  </si>
  <si>
    <t>TOTAL PASIVO Y PATRIMONIO</t>
  </si>
  <si>
    <t>REPRESENTANTE LEGAL</t>
  </si>
  <si>
    <t>PROGRAMA DE PRODUCCIÓN</t>
  </si>
  <si>
    <t>PRODUCCIÓN DE ALIMENTOS/POR UNIDADES</t>
  </si>
  <si>
    <t>(expresado en unidades)</t>
  </si>
  <si>
    <t>PRODUCTO</t>
  </si>
  <si>
    <t>DÍA</t>
  </si>
  <si>
    <t>SEMANA</t>
  </si>
  <si>
    <t>MES</t>
  </si>
  <si>
    <t>AÑO</t>
  </si>
  <si>
    <t>PAN INTEGRAL CON AVENA</t>
  </si>
  <si>
    <t>EXPRESADO EN UNIDADES</t>
  </si>
  <si>
    <t>ANÁLISIS POR DÍA</t>
  </si>
  <si>
    <t>OFERTA = PRODUCCIÓN</t>
  </si>
  <si>
    <t>DEMANDA=COMPRA</t>
  </si>
  <si>
    <t>DEMANDA TOTAL</t>
  </si>
  <si>
    <t>COMPETENCIA X</t>
  </si>
  <si>
    <t>ANÁLISIS POR SEMANA</t>
  </si>
  <si>
    <t>ANÁLISIS POR MES</t>
  </si>
  <si>
    <t>ANÁLISIS POR AÑO</t>
  </si>
  <si>
    <t xml:space="preserve">1. </t>
  </si>
  <si>
    <t>6.500 paq. de 10 u. / mes</t>
  </si>
  <si>
    <t>65.000 unidades/mes</t>
  </si>
  <si>
    <t>Precio unitario Cada Paquete de 10 u.</t>
  </si>
  <si>
    <t>Bs.</t>
  </si>
  <si>
    <t>Precio unitario Cada Unidad</t>
  </si>
  <si>
    <t>2.</t>
  </si>
  <si>
    <t>MANO DE OBRA DIRECTA</t>
  </si>
  <si>
    <t>PLANILLA DE SUELDOS Y SALARIOS</t>
  </si>
  <si>
    <t>COSTO MANO DE OBRA DIRECTA DE PLANTA</t>
  </si>
  <si>
    <t>FECHA DE INGRESO</t>
  </si>
  <si>
    <t>HABER BÁSICO</t>
  </si>
  <si>
    <t>BONO DE ANTIGÜEDAD</t>
  </si>
  <si>
    <t>TOTAL GANADO</t>
  </si>
  <si>
    <t>DESCUENTOS</t>
  </si>
  <si>
    <t>TOTAL DESCUENTOS APORTE</t>
  </si>
  <si>
    <t>TOTAL SUELDO NETO</t>
  </si>
  <si>
    <t>CUENTA INDIVIDUAL</t>
  </si>
  <si>
    <t>RIESGO COMÚN</t>
  </si>
  <si>
    <t>APORTE AFP</t>
  </si>
  <si>
    <t>APORTE LABORAL SOLIDARIO</t>
  </si>
  <si>
    <t>3.</t>
  </si>
  <si>
    <t>COSTO TOTAL DE PRODUCCIÓN</t>
  </si>
  <si>
    <t>COSTO DE MATERIA PRIMA MES</t>
  </si>
  <si>
    <t>COSTO DE MANO DE OBRA</t>
  </si>
  <si>
    <t>COSTO INDIRECTO DE FABRICACIÓN</t>
  </si>
  <si>
    <t>COSTO TOTAL DE PRODUCCIÓN MENSUAL</t>
  </si>
  <si>
    <t>COSTO DE PRODUCCIÓN ANUAL</t>
  </si>
  <si>
    <t>PRECIO DE VENTA</t>
  </si>
  <si>
    <t>MARGEN DE GANANCIA</t>
  </si>
  <si>
    <t>PRECIO DE FACTURA</t>
  </si>
  <si>
    <t>IMPUESTOS</t>
  </si>
  <si>
    <t>INGRESO</t>
  </si>
  <si>
    <t>INGRESO (VENTAS MES)</t>
  </si>
  <si>
    <t>INGRESO ANUAL</t>
  </si>
  <si>
    <t>Lic. Daniel I. Choque C.</t>
  </si>
  <si>
    <t>EXPRESADO POR AÑOS CON UN INTERÉS DEL 7% CADA AÑO</t>
  </si>
  <si>
    <t>COSTOS DIFERIDOS</t>
  </si>
  <si>
    <t>NUTRITIVOS EN LA CIUDAD DE EL ALTO"</t>
  </si>
  <si>
    <t>Estantería para pan de 20 estantes</t>
  </si>
  <si>
    <t>Horno de empotrar a gas 75L Hitech</t>
  </si>
  <si>
    <t>Muebles y enseres</t>
  </si>
  <si>
    <t>GASTOS OPERATIVOS</t>
  </si>
  <si>
    <t>GASTOS DE ADMINISTRACIÓN</t>
  </si>
  <si>
    <t>PLANILLA DE APORTE PATRONAL</t>
  </si>
  <si>
    <t>CNS</t>
  </si>
  <si>
    <t>APORTE SOLIDARIO</t>
  </si>
  <si>
    <t>RIESGO PROFESIONAL</t>
  </si>
  <si>
    <t>PROVIVIENDA</t>
  </si>
  <si>
    <t>AGUINALDO</t>
  </si>
  <si>
    <t>INDEMNIZACIÓN</t>
  </si>
  <si>
    <t>HORAS PAGADAS (DÍA)</t>
  </si>
  <si>
    <t>DÍAS PAGADOS (MES)</t>
  </si>
  <si>
    <t>DOMINICALES</t>
  </si>
  <si>
    <t>NOMBRE</t>
  </si>
  <si>
    <t>TIPO DE CONTRATO</t>
  </si>
  <si>
    <t>JOSE SALINAS</t>
  </si>
  <si>
    <t>FABIO ZAMBRANA</t>
  </si>
  <si>
    <t>DE PLANTA</t>
  </si>
  <si>
    <t>AÑOS DE SERVICIO</t>
  </si>
  <si>
    <t>COSTO JORNAL</t>
  </si>
  <si>
    <t>TARIFA HORARIA</t>
  </si>
  <si>
    <t>DIAS</t>
  </si>
  <si>
    <t>IMP.</t>
  </si>
  <si>
    <t>COSTO MANO DE OBRA DIRECTA</t>
  </si>
  <si>
    <t>-</t>
  </si>
  <si>
    <t>1.1. SUELDOS Y SALARIOS</t>
  </si>
  <si>
    <t>MANTENIMIENTO</t>
  </si>
  <si>
    <t>REPARACIÓN CORRECTIVA</t>
  </si>
  <si>
    <t>REPARACIÓN PREVENTIVA</t>
  </si>
  <si>
    <t xml:space="preserve">COSTO MENSUAL </t>
  </si>
  <si>
    <t>1.3. GASTOS DE MANTENIMIENTO</t>
  </si>
  <si>
    <t>GASTOS DE MANTENIMIENTO</t>
  </si>
  <si>
    <t>MATERIAL DE ESCRITORIO</t>
  </si>
  <si>
    <t>SERVICIO</t>
  </si>
  <si>
    <t>ÁREA DE PRODUCCIÓN</t>
  </si>
  <si>
    <t>ÁREA DE COMERCIALIZACIÓN</t>
  </si>
  <si>
    <t>ÁREA ADMINITRATIVA</t>
  </si>
  <si>
    <t>ALQUILERES PAGADOS</t>
  </si>
  <si>
    <t>DEPRECIACIÓN DE ACTIVOS FIJOS (5 AÑOS)</t>
  </si>
  <si>
    <t>ACTIVOS</t>
  </si>
  <si>
    <t>VALOR DE ACTIVOS FIJOS</t>
  </si>
  <si>
    <t>AÑOS</t>
  </si>
  <si>
    <t>DEPRECIACIÓN ANUAL (Bs.)</t>
  </si>
  <si>
    <t>VALOR RESIDUAL</t>
  </si>
  <si>
    <t>REINVERSIÓN (AÑO 5)</t>
  </si>
  <si>
    <t>1.2. GASTOS GENERALES</t>
  </si>
  <si>
    <t>1.4. SERVICIOS BÁSICOS</t>
  </si>
  <si>
    <t>1.5. ALQUILERES PAGADOS</t>
  </si>
  <si>
    <t>1.6. DEPRECIACIÓN DE ACTIVOS FIJOS</t>
  </si>
  <si>
    <t>1.7. AMORTIZACIÓN GASTOS DE ORGANIZACIÓN</t>
  </si>
  <si>
    <t>VALOR DEL ACTIVO INTANGIBLE</t>
  </si>
  <si>
    <t>AÑOS VIDA ÚTIL</t>
  </si>
  <si>
    <t>AMORTIZACIÓN ANUAL</t>
  </si>
  <si>
    <t>Gastos de Organización</t>
  </si>
  <si>
    <t>GASTOS DE COMERCIALIZACIÓN</t>
  </si>
  <si>
    <t>AMORTIZACIÓN INTANGIBLES</t>
  </si>
  <si>
    <t xml:space="preserve">2. </t>
  </si>
  <si>
    <t>2.1. IMPUESTOS</t>
  </si>
  <si>
    <t>TOTAL INGRESO ANUAL</t>
  </si>
  <si>
    <t>TOTAL IMPUESTO</t>
  </si>
  <si>
    <t>IVA</t>
  </si>
  <si>
    <t>IT</t>
  </si>
  <si>
    <t>INGRESO NETO</t>
  </si>
  <si>
    <t>2.2. PUBLICIDAD Y PROPAGANDA</t>
  </si>
  <si>
    <t>GASTOS FINANCIEROS</t>
  </si>
  <si>
    <t xml:space="preserve">3. </t>
  </si>
  <si>
    <t>3.1. INTERESES</t>
  </si>
  <si>
    <t>ESTADO DE FLUJO DE EFECTIVO</t>
  </si>
  <si>
    <t>UTILIDAD OPERATIVA</t>
  </si>
  <si>
    <t>Depreciaciones</t>
  </si>
  <si>
    <t>Amortizaciones Activo Diferido</t>
  </si>
  <si>
    <t>UTILIDAD OPERATIVA MAS DEPREC. Y AMORTIZ.</t>
  </si>
  <si>
    <t>IMPUESTO SOBRE LA UTILIDAD OPERATIVA 25%</t>
  </si>
  <si>
    <t>Activos Fijos</t>
  </si>
  <si>
    <t>Activos diferidos</t>
  </si>
  <si>
    <t>Capital de trabajo</t>
  </si>
  <si>
    <t>Valor residual</t>
  </si>
  <si>
    <t>Reinversión</t>
  </si>
  <si>
    <t>FLUJO ECONÓMICO</t>
  </si>
  <si>
    <t>ANÁLISIS FINANCIERO</t>
  </si>
  <si>
    <t>ESTADO DE RESULTADOS</t>
  </si>
  <si>
    <t>Costo de Ventas (Producción)</t>
  </si>
  <si>
    <t>UTILIDAD BRUTA</t>
  </si>
  <si>
    <t>Gastos Administrativos</t>
  </si>
  <si>
    <t>Sueldos y Salarios</t>
  </si>
  <si>
    <t>Aguinaldo</t>
  </si>
  <si>
    <t>Indemnizaciones</t>
  </si>
  <si>
    <t>Aportes Patronales</t>
  </si>
  <si>
    <t>Material de Escritorio</t>
  </si>
  <si>
    <t>Gastos de Mantenimiento</t>
  </si>
  <si>
    <t>Servicios Básicos</t>
  </si>
  <si>
    <t>Alquileres pagados</t>
  </si>
  <si>
    <t>Amortización Intangibles</t>
  </si>
  <si>
    <t>Gastos de Comercialización</t>
  </si>
  <si>
    <t>Impuestos</t>
  </si>
  <si>
    <t>Publicidad y Propaganda</t>
  </si>
  <si>
    <t>Gastos Financieros</t>
  </si>
  <si>
    <t>Intereses</t>
  </si>
  <si>
    <t>UTILIDAD ANTES DE IMPUESTOS</t>
  </si>
  <si>
    <t>IMPUESTO IUE</t>
  </si>
  <si>
    <t>UTILIDAD NETA</t>
  </si>
  <si>
    <t>DATOS:</t>
  </si>
  <si>
    <t>Cuaderno de notas</t>
  </si>
  <si>
    <t>Boligrafo-Paquete</t>
  </si>
  <si>
    <t>X</t>
  </si>
  <si>
    <t>Ventas</t>
  </si>
  <si>
    <t>Menos:</t>
  </si>
  <si>
    <t>Depreciación Activos Fijo</t>
  </si>
  <si>
    <t>Mas:</t>
  </si>
  <si>
    <t>COSTO TOTAL MANO DE OBRA DIRECTA</t>
  </si>
  <si>
    <t>COSTO TOTAL MANO DE OBRA INDIRECTA</t>
  </si>
  <si>
    <t>COSTO TOTAL MANO DE OBRA ANUAL</t>
  </si>
  <si>
    <t>APORTE PATRONAL DE MANO DE OBRA DIRECTA</t>
  </si>
  <si>
    <t>APORTE PATRONAL DE MANO DE OBRA INDIRECTA</t>
  </si>
  <si>
    <t>CT AP. PATRONAL OMD</t>
  </si>
  <si>
    <t>CT AP. PATRONAL OMI</t>
  </si>
  <si>
    <t>CT AP PATRONAL ANUAL</t>
  </si>
  <si>
    <t>APORTE PATRONAL</t>
  </si>
  <si>
    <t>FACEBOOK</t>
  </si>
  <si>
    <t>FLUJO DE CAJA DE OPERACIÓN</t>
  </si>
  <si>
    <t>FLUJO DE CAJA DE INVERSIÓN</t>
  </si>
  <si>
    <t>FLUJO</t>
  </si>
  <si>
    <t>FLUJO ACTUALIZADO</t>
  </si>
  <si>
    <t>FLUJO ACUMULADO</t>
  </si>
  <si>
    <t>INVERSION INICIAL</t>
  </si>
  <si>
    <t>VAN</t>
  </si>
  <si>
    <t>AÑO 1</t>
  </si>
  <si>
    <t>AÑO 2</t>
  </si>
  <si>
    <t>AÑO 3</t>
  </si>
  <si>
    <t>AÑO 4</t>
  </si>
  <si>
    <t>AÑO 5</t>
  </si>
  <si>
    <t>TIR</t>
  </si>
  <si>
    <t>Escoba</t>
  </si>
  <si>
    <t>Recogedor de basura</t>
  </si>
  <si>
    <t>Trapeador</t>
  </si>
  <si>
    <t>Basurero</t>
  </si>
  <si>
    <t>EQUIPOS DE COMPUTACIÓN</t>
  </si>
  <si>
    <t>Laptop Asus vivobook core i3 (a medio uso)</t>
  </si>
  <si>
    <t>PAN INTEGRAL CON AVENA (65.000 UNIDADES/MES)</t>
  </si>
  <si>
    <t>Equipo de computación</t>
  </si>
  <si>
    <t>Costo Indirecto de fabricaión (3 meses)</t>
  </si>
  <si>
    <t>PANADERO</t>
  </si>
  <si>
    <t>ROSARIO ALCANTARA</t>
  </si>
  <si>
    <t>ENERGÍA ELÉCTRICA</t>
  </si>
  <si>
    <t>DEPTO DE COMERCIALIZACIÓN</t>
  </si>
  <si>
    <t>GAS</t>
  </si>
  <si>
    <t>AGUA</t>
  </si>
  <si>
    <t>KW</t>
  </si>
  <si>
    <t>M3</t>
  </si>
  <si>
    <t>PORCENTAJE DE PARTICIPACIÓN</t>
  </si>
  <si>
    <t>Formulario AVC-01</t>
  </si>
  <si>
    <t>Formulario AVC-02</t>
  </si>
  <si>
    <t>Formulario RCI-1a</t>
  </si>
  <si>
    <t>Exámen pre-ocupacional (4 trabajadores)</t>
  </si>
  <si>
    <t>REGISTRO SANITARIO</t>
  </si>
  <si>
    <t>CERTIFICADO SANITARIO</t>
  </si>
  <si>
    <t>CARNET SANITARIO</t>
  </si>
  <si>
    <t>Servicios prestados por unidades económicas artesanales</t>
  </si>
  <si>
    <t>Para la inscripción y el certificado</t>
  </si>
  <si>
    <t>Para la compra valores y fotografías de los 2 trabajadores</t>
  </si>
  <si>
    <t>PORCENTAJE DE CONSUMO MENSUAL</t>
  </si>
  <si>
    <t>CANTIDAD CONSUMIDA MENSUAL</t>
  </si>
  <si>
    <t>Gas domiciliario</t>
  </si>
  <si>
    <t>COSTOS INDIRECTOS DEL ÁREA DE PRODUCCIÓN</t>
  </si>
  <si>
    <t>COSTOS INDIRECTOS DE FABRICACIÓN TOTAL</t>
  </si>
  <si>
    <t>COSTOS INDIRECTOS DEL ÁREA ADMINISTRATIVA</t>
  </si>
  <si>
    <t>COSTOS INDIRECTOS DEL ÁREA DE COMERCIALIZACIÓN</t>
  </si>
  <si>
    <t>ÁREA</t>
  </si>
  <si>
    <t>POR CONTRATO</t>
  </si>
  <si>
    <t>COSTO DE MANO DE OBRA DIRECTA E INDIRECTA DE PLANTA</t>
  </si>
  <si>
    <t>MANO DE OBRA INDIRECTA</t>
  </si>
  <si>
    <t>COSTO DE MANO DE OBRA DIRECTA E INDIRECTA POR CONTRATO</t>
  </si>
  <si>
    <t>DÍAS HÁBILES</t>
  </si>
  <si>
    <t>CHOFER</t>
  </si>
  <si>
    <t>COSTO MANO DE OBRA POR TRES MESES</t>
  </si>
  <si>
    <t>COSTO MANO DE OBRA POR MES</t>
  </si>
  <si>
    <t>COSTO MANO DE OBRA DIRECTA POR 3 MESES</t>
  </si>
  <si>
    <t>COSTO MANO DE OBRA INDIRECTA POR 3 MESES</t>
  </si>
  <si>
    <t>COSTO MANO DE OBRA DIRECTA E INDIRECTA DE PLANTA</t>
  </si>
  <si>
    <t>PABLO ZAMBRANA</t>
  </si>
  <si>
    <t>SALARIO</t>
  </si>
  <si>
    <t>COSTO TOTAL ANUAL</t>
  </si>
  <si>
    <t>SYS ANUAL</t>
  </si>
  <si>
    <t>COSTO ANUAL TOTAL</t>
  </si>
  <si>
    <t>PUBLICIDAD Y PROPAGANDA</t>
  </si>
  <si>
    <t>VOLANTES</t>
  </si>
  <si>
    <t>TIEMPO DE RECUPERACIÓN DE LA INVERSIÓN</t>
  </si>
  <si>
    <t>PRECIO DEL PAN INTEGRAL CON AVENA</t>
  </si>
  <si>
    <t>ANÁLISIS DE SENSIBILIDAD PRECIO</t>
  </si>
  <si>
    <t>INVERSION</t>
  </si>
  <si>
    <t>INDICADOR</t>
  </si>
  <si>
    <t>BENEFICIO - COSTO</t>
  </si>
  <si>
    <t>PAN INTEGRAL CON AVENA (72.000 UNIDADES/MES)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</si>
</sst>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0.0000"/>
  </numFmts>
  <fonts count="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rgb="FF20124D"/>
      <name val="Arial"/>
      <family val="2"/>
    </font>
    <font>
      <b/>
      <sz val="12"/>
      <color rgb="FF181818"/>
      <name val="Arial"/>
      <family val="2"/>
    </font>
    <font>
      <sz val="12"/>
      <color rgb="FF1F1F1F"/>
      <name val="Arial"/>
      <family val="2"/>
    </font>
    <font>
      <sz val="12"/>
      <color theme="1"/>
      <name val="Arial"/>
      <family val="2"/>
    </font>
    <font>
      <sz val="12"/>
      <color rgb="FF181818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0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2"/>
      <color rgb="FF4C113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gency FB"/>
      <family val="2"/>
    </font>
    <font>
      <sz val="12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22"/>
      <color rgb="FF000000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rgb="FF9966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96633"/>
        <bgColor rgb="FF305496"/>
      </patternFill>
    </fill>
    <fill>
      <patternFill patternType="solid">
        <fgColor rgb="FFFFFFFF"/>
        <bgColor rgb="FFFFFFFF"/>
      </patternFill>
    </fill>
    <fill>
      <patternFill patternType="solid">
        <fgColor rgb="FFD3A577"/>
        <bgColor rgb="FF8EA9DB"/>
      </patternFill>
    </fill>
    <fill>
      <patternFill patternType="solid">
        <fgColor rgb="FF996633"/>
        <bgColor indexed="64"/>
      </patternFill>
    </fill>
    <fill>
      <patternFill patternType="solid">
        <fgColor rgb="FFD3A577"/>
        <bgColor indexed="64"/>
      </patternFill>
    </fill>
    <fill>
      <patternFill patternType="solid">
        <fgColor rgb="FFCE9D6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B0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7C02"/>
        <bgColor indexed="64"/>
      </patternFill>
    </fill>
  </fills>
  <borders count="44">
    <border>
      <left/>
      <right/>
      <top/>
      <bottom/>
      <diagonal/>
    </border>
    <border>
      <left style="thick">
        <color rgb="FF38761D"/>
      </left>
      <right/>
      <top style="thick">
        <color rgb="FF38761D"/>
      </top>
      <bottom/>
      <diagonal/>
    </border>
    <border>
      <left/>
      <right/>
      <top style="thick">
        <color rgb="FF38761D"/>
      </top>
      <bottom/>
      <diagonal/>
    </border>
    <border>
      <left/>
      <right style="thick">
        <color rgb="FF38761D"/>
      </right>
      <top style="thick">
        <color rgb="FF38761D"/>
      </top>
      <bottom/>
      <diagonal/>
    </border>
    <border>
      <left style="thick">
        <color rgb="FF38761D"/>
      </left>
      <right/>
      <top/>
      <bottom/>
      <diagonal/>
    </border>
    <border>
      <left/>
      <right style="thick">
        <color rgb="FF38761D"/>
      </right>
      <top/>
      <bottom/>
      <diagonal/>
    </border>
    <border>
      <left style="thick">
        <color rgb="FF38761D"/>
      </left>
      <right/>
      <top/>
      <bottom style="thick">
        <color rgb="FF38761D"/>
      </bottom>
      <diagonal/>
    </border>
    <border>
      <left/>
      <right/>
      <top/>
      <bottom style="thick">
        <color rgb="FF38761D"/>
      </bottom>
      <diagonal/>
    </border>
    <border>
      <left/>
      <right style="thick">
        <color rgb="FF38761D"/>
      </right>
      <top/>
      <bottom style="thick">
        <color rgb="FF38761D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0" xfId="0" applyFont="1"/>
    <xf numFmtId="4" fontId="10" fillId="3" borderId="10" xfId="0" applyNumberFormat="1" applyFont="1" applyFill="1" applyBorder="1" applyAlignment="1">
      <alignment horizontal="center" vertical="center" wrapText="1"/>
    </xf>
    <xf numFmtId="4" fontId="10" fillId="3" borderId="11" xfId="0" applyNumberFormat="1" applyFont="1" applyFill="1" applyBorder="1" applyAlignment="1">
      <alignment horizontal="center" vertical="center" wrapText="1"/>
    </xf>
    <xf numFmtId="4" fontId="10" fillId="3" borderId="12" xfId="0" applyNumberFormat="1" applyFont="1" applyFill="1" applyBorder="1" applyAlignment="1">
      <alignment horizontal="center" vertical="center" wrapText="1"/>
    </xf>
    <xf numFmtId="4" fontId="10" fillId="3" borderId="13" xfId="0" applyNumberFormat="1" applyFont="1" applyFill="1" applyBorder="1" applyAlignment="1">
      <alignment horizontal="center" vertical="center" wrapText="1"/>
    </xf>
    <xf numFmtId="4" fontId="10" fillId="3" borderId="16" xfId="0" applyNumberFormat="1" applyFont="1" applyFill="1" applyBorder="1" applyAlignment="1">
      <alignment horizontal="center" vertical="center" wrapText="1"/>
    </xf>
    <xf numFmtId="4" fontId="11" fillId="4" borderId="13" xfId="0" applyNumberFormat="1" applyFont="1" applyFill="1" applyBorder="1" applyAlignment="1">
      <alignment horizontal="left" vertical="center" wrapText="1"/>
    </xf>
    <xf numFmtId="2" fontId="10" fillId="6" borderId="13" xfId="0" applyNumberFormat="1" applyFont="1" applyFill="1" applyBorder="1" applyAlignment="1">
      <alignment horizontal="center" vertical="center" wrapText="1"/>
    </xf>
    <xf numFmtId="2" fontId="11" fillId="0" borderId="13" xfId="0" applyNumberFormat="1" applyFont="1" applyBorder="1" applyAlignment="1">
      <alignment vertical="center" wrapText="1"/>
    </xf>
    <xf numFmtId="0" fontId="12" fillId="0" borderId="0" xfId="0" applyFont="1"/>
    <xf numFmtId="0" fontId="0" fillId="0" borderId="0" xfId="0" applyAlignment="1">
      <alignment horizontal="center"/>
    </xf>
    <xf numFmtId="0" fontId="13" fillId="6" borderId="13" xfId="0" applyFont="1" applyFill="1" applyBorder="1" applyAlignment="1">
      <alignment horizontal="center" vertical="center" wrapText="1"/>
    </xf>
    <xf numFmtId="0" fontId="11" fillId="0" borderId="0" xfId="0" applyFont="1"/>
    <xf numFmtId="0" fontId="9" fillId="6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4" fontId="2" fillId="0" borderId="13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right"/>
    </xf>
    <xf numFmtId="0" fontId="9" fillId="0" borderId="13" xfId="0" applyFont="1" applyBorder="1" applyAlignment="1">
      <alignment vertical="center" wrapText="1"/>
    </xf>
    <xf numFmtId="4" fontId="9" fillId="0" borderId="13" xfId="0" applyNumberFormat="1" applyFont="1" applyBorder="1" applyAlignment="1">
      <alignment horizontal="right" vertical="center" wrapText="1"/>
    </xf>
    <xf numFmtId="0" fontId="10" fillId="0" borderId="0" xfId="0" applyFon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13" xfId="0" applyBorder="1" applyAlignment="1">
      <alignment vertical="center"/>
    </xf>
    <xf numFmtId="4" fontId="0" fillId="0" borderId="13" xfId="0" applyNumberFormat="1" applyBorder="1" applyAlignment="1">
      <alignment vertical="center"/>
    </xf>
    <xf numFmtId="4" fontId="14" fillId="7" borderId="13" xfId="0" applyNumberFormat="1" applyFont="1" applyFill="1" applyBorder="1" applyAlignment="1">
      <alignment vertical="center"/>
    </xf>
    <xf numFmtId="0" fontId="11" fillId="0" borderId="13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9" fillId="6" borderId="13" xfId="0" applyFont="1" applyFill="1" applyBorder="1" applyAlignment="1">
      <alignment horizontal="center" vertical="center" wrapText="1"/>
    </xf>
    <xf numFmtId="0" fontId="19" fillId="6" borderId="13" xfId="0" applyFont="1" applyFill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4" fontId="20" fillId="0" borderId="13" xfId="0" applyNumberFormat="1" applyFont="1" applyBorder="1" applyAlignment="1">
      <alignment horizontal="right" vertical="center"/>
    </xf>
    <xf numFmtId="2" fontId="20" fillId="0" borderId="13" xfId="0" applyNumberFormat="1" applyFont="1" applyBorder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19" fillId="7" borderId="13" xfId="0" applyFont="1" applyFill="1" applyBorder="1" applyAlignment="1">
      <alignment vertical="center" wrapText="1"/>
    </xf>
    <xf numFmtId="4" fontId="19" fillId="7" borderId="13" xfId="0" applyNumberFormat="1" applyFont="1" applyFill="1" applyBorder="1" applyAlignment="1">
      <alignment vertical="center"/>
    </xf>
    <xf numFmtId="0" fontId="20" fillId="0" borderId="13" xfId="0" applyFont="1" applyBorder="1" applyAlignment="1">
      <alignment vertical="center" wrapText="1"/>
    </xf>
    <xf numFmtId="0" fontId="19" fillId="7" borderId="13" xfId="0" applyFont="1" applyFill="1" applyBorder="1" applyAlignment="1">
      <alignment vertical="center"/>
    </xf>
    <xf numFmtId="0" fontId="20" fillId="0" borderId="0" xfId="0" applyFont="1" applyAlignment="1">
      <alignment horizontal="center" vertical="center"/>
    </xf>
    <xf numFmtId="4" fontId="20" fillId="0" borderId="0" xfId="0" applyNumberFormat="1" applyFont="1" applyAlignment="1">
      <alignment horizontal="right" vertical="center"/>
    </xf>
    <xf numFmtId="4" fontId="20" fillId="0" borderId="28" xfId="0" applyNumberFormat="1" applyFont="1" applyBorder="1" applyAlignment="1">
      <alignment horizontal="right" vertical="center"/>
    </xf>
    <xf numFmtId="4" fontId="19" fillId="0" borderId="29" xfId="0" applyNumberFormat="1" applyFont="1" applyBorder="1" applyAlignment="1">
      <alignment horizontal="right" vertical="center"/>
    </xf>
    <xf numFmtId="4" fontId="19" fillId="7" borderId="13" xfId="0" applyNumberFormat="1" applyFont="1" applyFill="1" applyBorder="1" applyAlignment="1">
      <alignment horizontal="right" vertical="center"/>
    </xf>
    <xf numFmtId="4" fontId="20" fillId="0" borderId="13" xfId="0" applyNumberFormat="1" applyFont="1" applyBorder="1"/>
    <xf numFmtId="0" fontId="21" fillId="6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vertical="center" wrapText="1"/>
    </xf>
    <xf numFmtId="9" fontId="19" fillId="0" borderId="13" xfId="0" applyNumberFormat="1" applyFont="1" applyBorder="1"/>
    <xf numFmtId="10" fontId="19" fillId="0" borderId="13" xfId="0" applyNumberFormat="1" applyFont="1" applyBorder="1" applyAlignment="1">
      <alignment horizontal="right" vertical="center"/>
    </xf>
    <xf numFmtId="10" fontId="19" fillId="0" borderId="13" xfId="0" applyNumberFormat="1" applyFont="1" applyBorder="1"/>
    <xf numFmtId="0" fontId="22" fillId="0" borderId="13" xfId="0" applyFont="1" applyBorder="1" applyAlignment="1">
      <alignment horizontal="center" vertical="center"/>
    </xf>
    <xf numFmtId="0" fontId="20" fillId="0" borderId="0" xfId="0" applyFont="1"/>
    <xf numFmtId="4" fontId="22" fillId="0" borderId="13" xfId="0" applyNumberFormat="1" applyFont="1" applyBorder="1" applyAlignment="1">
      <alignment vertical="center"/>
    </xf>
    <xf numFmtId="0" fontId="22" fillId="0" borderId="0" xfId="0" applyFont="1" applyAlignment="1">
      <alignment horizontal="center" vertical="center"/>
    </xf>
    <xf numFmtId="4" fontId="22" fillId="0" borderId="0" xfId="0" applyNumberFormat="1" applyFont="1" applyAlignment="1">
      <alignment vertical="center"/>
    </xf>
    <xf numFmtId="4" fontId="21" fillId="0" borderId="29" xfId="0" applyNumberFormat="1" applyFont="1" applyBorder="1" applyAlignment="1">
      <alignment vertical="center"/>
    </xf>
    <xf numFmtId="4" fontId="21" fillId="0" borderId="13" xfId="0" applyNumberFormat="1" applyFont="1" applyBorder="1" applyAlignment="1">
      <alignment vertical="center"/>
    </xf>
    <xf numFmtId="4" fontId="22" fillId="0" borderId="0" xfId="0" applyNumberFormat="1" applyFont="1"/>
    <xf numFmtId="0" fontId="14" fillId="0" borderId="0" xfId="0" applyFont="1"/>
    <xf numFmtId="0" fontId="9" fillId="0" borderId="0" xfId="0" applyFont="1" applyAlignment="1">
      <alignment horizontal="center" vertical="center"/>
    </xf>
    <xf numFmtId="0" fontId="12" fillId="7" borderId="0" xfId="0" applyFont="1" applyFill="1"/>
    <xf numFmtId="0" fontId="16" fillId="0" borderId="0" xfId="0" applyFont="1"/>
    <xf numFmtId="0" fontId="24" fillId="0" borderId="0" xfId="0" applyFont="1"/>
    <xf numFmtId="1" fontId="2" fillId="0" borderId="0" xfId="0" applyNumberFormat="1" applyFont="1"/>
    <xf numFmtId="0" fontId="9" fillId="6" borderId="13" xfId="0" applyFont="1" applyFill="1" applyBorder="1" applyAlignment="1">
      <alignment horizontal="center"/>
    </xf>
    <xf numFmtId="0" fontId="2" fillId="0" borderId="13" xfId="0" applyFont="1" applyBorder="1"/>
    <xf numFmtId="0" fontId="9" fillId="8" borderId="13" xfId="0" applyFont="1" applyFill="1" applyBorder="1"/>
    <xf numFmtId="0" fontId="9" fillId="6" borderId="31" xfId="0" applyFont="1" applyFill="1" applyBorder="1"/>
    <xf numFmtId="0" fontId="9" fillId="6" borderId="34" xfId="0" applyFont="1" applyFill="1" applyBorder="1"/>
    <xf numFmtId="0" fontId="25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9" fillId="0" borderId="0" xfId="0" applyFont="1"/>
    <xf numFmtId="9" fontId="9" fillId="8" borderId="13" xfId="0" applyNumberFormat="1" applyFont="1" applyFill="1" applyBorder="1" applyAlignment="1">
      <alignment horizontal="center" wrapText="1"/>
    </xf>
    <xf numFmtId="10" fontId="9" fillId="8" borderId="13" xfId="0" applyNumberFormat="1" applyFont="1" applyFill="1" applyBorder="1" applyAlignment="1">
      <alignment horizontal="center" wrapText="1"/>
    </xf>
    <xf numFmtId="10" fontId="9" fillId="8" borderId="13" xfId="0" applyNumberFormat="1" applyFont="1" applyFill="1" applyBorder="1" applyAlignment="1">
      <alignment horizontal="center"/>
    </xf>
    <xf numFmtId="14" fontId="0" fillId="0" borderId="13" xfId="0" applyNumberFormat="1" applyBorder="1" applyAlignment="1">
      <alignment vertical="center"/>
    </xf>
    <xf numFmtId="2" fontId="2" fillId="0" borderId="13" xfId="0" applyNumberFormat="1" applyFont="1" applyBorder="1"/>
    <xf numFmtId="4" fontId="2" fillId="0" borderId="13" xfId="0" applyNumberFormat="1" applyFont="1" applyBorder="1"/>
    <xf numFmtId="0" fontId="2" fillId="0" borderId="0" xfId="0" applyFont="1" applyAlignment="1">
      <alignment wrapText="1"/>
    </xf>
    <xf numFmtId="0" fontId="26" fillId="6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right"/>
    </xf>
    <xf numFmtId="4" fontId="9" fillId="8" borderId="13" xfId="0" applyNumberFormat="1" applyFont="1" applyFill="1" applyBorder="1" applyAlignment="1">
      <alignment horizontal="right"/>
    </xf>
    <xf numFmtId="0" fontId="27" fillId="6" borderId="13" xfId="0" applyFont="1" applyFill="1" applyBorder="1" applyAlignment="1">
      <alignment horizontal="center" vertical="center" wrapText="1"/>
    </xf>
    <xf numFmtId="4" fontId="2" fillId="8" borderId="13" xfId="0" applyNumberFormat="1" applyFont="1" applyFill="1" applyBorder="1"/>
    <xf numFmtId="165" fontId="2" fillId="8" borderId="13" xfId="0" applyNumberFormat="1" applyFont="1" applyFill="1" applyBorder="1"/>
    <xf numFmtId="4" fontId="9" fillId="8" borderId="38" xfId="0" applyNumberFormat="1" applyFont="1" applyFill="1" applyBorder="1"/>
    <xf numFmtId="0" fontId="9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 shrinkToFit="1"/>
    </xf>
    <xf numFmtId="2" fontId="2" fillId="0" borderId="13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4" fontId="29" fillId="7" borderId="0" xfId="0" applyNumberFormat="1" applyFont="1" applyFill="1"/>
    <xf numFmtId="4" fontId="22" fillId="7" borderId="0" xfId="0" applyNumberFormat="1" applyFont="1" applyFill="1"/>
    <xf numFmtId="4" fontId="22" fillId="7" borderId="0" xfId="0" applyNumberFormat="1" applyFont="1" applyFill="1" applyAlignment="1">
      <alignment horizontal="right"/>
    </xf>
    <xf numFmtId="4" fontId="21" fillId="7" borderId="0" xfId="0" applyNumberFormat="1" applyFont="1" applyFill="1"/>
    <xf numFmtId="4" fontId="21" fillId="7" borderId="0" xfId="0" applyNumberFormat="1" applyFont="1" applyFill="1" applyAlignment="1">
      <alignment horizontal="right"/>
    </xf>
    <xf numFmtId="4" fontId="20" fillId="7" borderId="0" xfId="0" applyNumberFormat="1" applyFont="1" applyFill="1" applyAlignment="1">
      <alignment horizontal="right" vertical="center"/>
    </xf>
    <xf numFmtId="4" fontId="21" fillId="7" borderId="30" xfId="0" applyNumberFormat="1" applyFont="1" applyFill="1" applyBorder="1" applyAlignment="1">
      <alignment horizontal="right"/>
    </xf>
    <xf numFmtId="0" fontId="32" fillId="0" borderId="0" xfId="0" applyFont="1"/>
    <xf numFmtId="0" fontId="10" fillId="6" borderId="13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vertical="center"/>
    </xf>
    <xf numFmtId="0" fontId="32" fillId="0" borderId="13" xfId="0" applyFont="1" applyBorder="1" applyAlignment="1">
      <alignment horizontal="center" vertical="center"/>
    </xf>
    <xf numFmtId="4" fontId="32" fillId="0" borderId="13" xfId="0" applyNumberFormat="1" applyFont="1" applyBorder="1" applyAlignment="1">
      <alignment vertical="center"/>
    </xf>
    <xf numFmtId="4" fontId="10" fillId="7" borderId="13" xfId="0" applyNumberFormat="1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2" fontId="6" fillId="0" borderId="13" xfId="0" applyNumberFormat="1" applyFont="1" applyBorder="1" applyAlignment="1">
      <alignment horizontal="right" vertical="center" wrapText="1"/>
    </xf>
    <xf numFmtId="4" fontId="6" fillId="0" borderId="13" xfId="0" applyNumberFormat="1" applyFont="1" applyBorder="1" applyAlignment="1">
      <alignment horizontal="right" vertical="center" wrapText="1"/>
    </xf>
    <xf numFmtId="4" fontId="8" fillId="7" borderId="13" xfId="0" applyNumberFormat="1" applyFont="1" applyFill="1" applyBorder="1" applyAlignment="1">
      <alignment horizontal="right" vertical="center" wrapText="1"/>
    </xf>
    <xf numFmtId="0" fontId="8" fillId="0" borderId="13" xfId="0" applyFont="1" applyBorder="1" applyAlignment="1">
      <alignment vertical="center" wrapText="1"/>
    </xf>
    <xf numFmtId="4" fontId="8" fillId="0" borderId="13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0" borderId="13" xfId="0" applyFont="1" applyBorder="1" applyAlignment="1">
      <alignment vertical="center"/>
    </xf>
    <xf numFmtId="0" fontId="19" fillId="0" borderId="0" xfId="0" applyFont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2" fontId="6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wrapText="1"/>
    </xf>
    <xf numFmtId="4" fontId="0" fillId="0" borderId="0" xfId="0" applyNumberFormat="1" applyAlignment="1">
      <alignment vertical="center" wrapText="1"/>
    </xf>
    <xf numFmtId="4" fontId="11" fillId="4" borderId="14" xfId="0" applyNumberFormat="1" applyFont="1" applyFill="1" applyBorder="1" applyAlignment="1">
      <alignment horizontal="left" vertical="center" wrapText="1"/>
    </xf>
    <xf numFmtId="4" fontId="11" fillId="4" borderId="9" xfId="0" applyNumberFormat="1" applyFont="1" applyFill="1" applyBorder="1" applyAlignment="1">
      <alignment horizontal="right" vertical="center" wrapText="1"/>
    </xf>
    <xf numFmtId="4" fontId="11" fillId="4" borderId="13" xfId="0" applyNumberFormat="1" applyFont="1" applyFill="1" applyBorder="1" applyAlignment="1">
      <alignment horizontal="right" vertical="center" wrapText="1"/>
    </xf>
    <xf numFmtId="4" fontId="10" fillId="5" borderId="14" xfId="0" applyNumberFormat="1" applyFont="1" applyFill="1" applyBorder="1" applyAlignment="1">
      <alignment horizontal="left" vertical="center" wrapText="1"/>
    </xf>
    <xf numFmtId="4" fontId="9" fillId="5" borderId="15" xfId="0" applyNumberFormat="1" applyFont="1" applyFill="1" applyBorder="1" applyAlignment="1">
      <alignment horizontal="left" vertical="center" wrapText="1"/>
    </xf>
    <xf numFmtId="4" fontId="9" fillId="5" borderId="9" xfId="0" applyNumberFormat="1" applyFont="1" applyFill="1" applyBorder="1" applyAlignment="1">
      <alignment horizontal="left" vertical="center" wrapText="1"/>
    </xf>
    <xf numFmtId="4" fontId="10" fillId="5" borderId="13" xfId="0" applyNumberFormat="1" applyFont="1" applyFill="1" applyBorder="1" applyAlignment="1">
      <alignment horizontal="right" vertical="center" wrapText="1"/>
    </xf>
    <xf numFmtId="4" fontId="10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4" fontId="11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horizontal="right" wrapText="1"/>
    </xf>
    <xf numFmtId="0" fontId="11" fillId="4" borderId="13" xfId="0" applyFont="1" applyFill="1" applyBorder="1" applyAlignment="1">
      <alignment horizontal="center" vertical="center" wrapText="1"/>
    </xf>
    <xf numFmtId="4" fontId="11" fillId="4" borderId="16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1" fillId="0" borderId="14" xfId="0" applyNumberFormat="1" applyFont="1" applyBorder="1" applyAlignment="1">
      <alignment horizontal="left" vertical="center" wrapText="1"/>
    </xf>
    <xf numFmtId="2" fontId="11" fillId="0" borderId="13" xfId="0" applyNumberFormat="1" applyFont="1" applyBorder="1" applyAlignment="1">
      <alignment horizontal="right" vertical="center" wrapText="1"/>
    </xf>
    <xf numFmtId="2" fontId="10" fillId="7" borderId="13" xfId="0" applyNumberFormat="1" applyFont="1" applyFill="1" applyBorder="1" applyAlignment="1">
      <alignment horizontal="center" vertical="center" wrapText="1"/>
    </xf>
    <xf numFmtId="2" fontId="11" fillId="7" borderId="13" xfId="0" applyNumberFormat="1" applyFont="1" applyFill="1" applyBorder="1" applyAlignment="1">
      <alignment vertical="center" wrapText="1"/>
    </xf>
    <xf numFmtId="2" fontId="10" fillId="7" borderId="13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6" fillId="0" borderId="0" xfId="0" applyFont="1" applyAlignment="1"/>
    <xf numFmtId="0" fontId="8" fillId="0" borderId="24" xfId="0" applyFont="1" applyBorder="1" applyAlignment="1">
      <alignment vertical="center"/>
    </xf>
    <xf numFmtId="0" fontId="0" fillId="0" borderId="0" xfId="0" applyAlignment="1"/>
    <xf numFmtId="0" fontId="6" fillId="0" borderId="25" xfId="0" applyFont="1" applyBorder="1" applyAlignment="1">
      <alignment vertical="center"/>
    </xf>
    <xf numFmtId="0" fontId="20" fillId="0" borderId="0" xfId="0" applyFont="1" applyAlignment="1"/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6" fillId="0" borderId="23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4" fontId="6" fillId="0" borderId="13" xfId="0" applyNumberFormat="1" applyFont="1" applyBorder="1" applyAlignment="1">
      <alignment vertical="center" wrapText="1"/>
    </xf>
    <xf numFmtId="4" fontId="19" fillId="7" borderId="13" xfId="0" applyNumberFormat="1" applyFont="1" applyFill="1" applyBorder="1" applyAlignment="1">
      <alignment vertical="center" wrapText="1"/>
    </xf>
    <xf numFmtId="4" fontId="8" fillId="0" borderId="13" xfId="0" applyNumberFormat="1" applyFont="1" applyBorder="1" applyAlignment="1">
      <alignment vertical="center" wrapText="1"/>
    </xf>
    <xf numFmtId="4" fontId="6" fillId="0" borderId="0" xfId="0" applyNumberFormat="1" applyFont="1" applyAlignment="1">
      <alignment wrapText="1"/>
    </xf>
    <xf numFmtId="4" fontId="34" fillId="0" borderId="0" xfId="0" applyNumberFormat="1" applyFont="1" applyAlignment="1">
      <alignment wrapText="1"/>
    </xf>
    <xf numFmtId="4" fontId="34" fillId="0" borderId="0" xfId="0" applyNumberFormat="1" applyFont="1"/>
    <xf numFmtId="0" fontId="15" fillId="0" borderId="17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25" fillId="0" borderId="22" xfId="0" applyFont="1" applyBorder="1" applyAlignment="1">
      <alignment vertical="center"/>
    </xf>
    <xf numFmtId="0" fontId="25" fillId="0" borderId="24" xfId="0" applyFont="1" applyBorder="1" applyAlignment="1">
      <alignment vertical="center"/>
    </xf>
    <xf numFmtId="0" fontId="25" fillId="0" borderId="0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/>
    </xf>
    <xf numFmtId="0" fontId="35" fillId="6" borderId="13" xfId="0" applyFont="1" applyFill="1" applyBorder="1" applyAlignment="1">
      <alignment horizontal="center" vertical="center" wrapText="1"/>
    </xf>
    <xf numFmtId="0" fontId="35" fillId="6" borderId="13" xfId="0" applyFont="1" applyFill="1" applyBorder="1" applyAlignment="1">
      <alignment horizontal="center" vertical="center"/>
    </xf>
    <xf numFmtId="4" fontId="28" fillId="7" borderId="0" xfId="0" applyNumberFormat="1" applyFont="1" applyFill="1" applyAlignment="1">
      <alignment horizontal="center" vertical="center"/>
    </xf>
    <xf numFmtId="4" fontId="28" fillId="7" borderId="0" xfId="0" applyNumberFormat="1" applyFont="1" applyFill="1"/>
    <xf numFmtId="4" fontId="30" fillId="7" borderId="0" xfId="0" applyNumberFormat="1" applyFont="1" applyFill="1" applyAlignment="1">
      <alignment vertical="center" wrapText="1"/>
    </xf>
    <xf numFmtId="4" fontId="20" fillId="7" borderId="0" xfId="0" applyNumberFormat="1" applyFont="1" applyFill="1" applyAlignment="1">
      <alignment vertical="center" wrapText="1"/>
    </xf>
    <xf numFmtId="4" fontId="31" fillId="7" borderId="0" xfId="0" applyNumberFormat="1" applyFont="1" applyFill="1"/>
    <xf numFmtId="4" fontId="22" fillId="7" borderId="0" xfId="0" applyNumberFormat="1" applyFont="1" applyFill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 applyAlignment="1"/>
    <xf numFmtId="0" fontId="2" fillId="0" borderId="16" xfId="0" applyFont="1" applyBorder="1"/>
    <xf numFmtId="9" fontId="9" fillId="8" borderId="13" xfId="0" applyNumberFormat="1" applyFont="1" applyFill="1" applyBorder="1" applyAlignment="1">
      <alignment horizontal="center" vertical="center" wrapText="1"/>
    </xf>
    <xf numFmtId="10" fontId="9" fillId="8" borderId="13" xfId="0" applyNumberFormat="1" applyFont="1" applyFill="1" applyBorder="1" applyAlignment="1">
      <alignment horizontal="center" vertical="center" wrapText="1"/>
    </xf>
    <xf numFmtId="0" fontId="8" fillId="0" borderId="0" xfId="0" applyFont="1"/>
    <xf numFmtId="4" fontId="10" fillId="7" borderId="21" xfId="0" applyNumberFormat="1" applyFont="1" applyFill="1" applyBorder="1" applyAlignment="1">
      <alignment vertical="center"/>
    </xf>
    <xf numFmtId="0" fontId="32" fillId="0" borderId="13" xfId="0" applyFont="1" applyBorder="1"/>
    <xf numFmtId="2" fontId="32" fillId="0" borderId="13" xfId="0" applyNumberFormat="1" applyFont="1" applyBorder="1"/>
    <xf numFmtId="0" fontId="33" fillId="0" borderId="0" xfId="0" applyFont="1" applyAlignment="1"/>
    <xf numFmtId="0" fontId="33" fillId="0" borderId="0" xfId="0" applyFont="1" applyAlignment="1">
      <alignment horizontal="left"/>
    </xf>
    <xf numFmtId="0" fontId="36" fillId="0" borderId="0" xfId="0" applyFont="1"/>
    <xf numFmtId="4" fontId="32" fillId="0" borderId="13" xfId="0" applyNumberFormat="1" applyFont="1" applyBorder="1"/>
    <xf numFmtId="0" fontId="9" fillId="0" borderId="0" xfId="0" applyFont="1" applyAlignment="1">
      <alignment vertical="center"/>
    </xf>
    <xf numFmtId="0" fontId="35" fillId="10" borderId="13" xfId="0" applyFont="1" applyFill="1" applyBorder="1" applyAlignment="1">
      <alignment horizontal="center" vertical="center"/>
    </xf>
    <xf numFmtId="0" fontId="32" fillId="10" borderId="13" xfId="0" applyFont="1" applyFill="1" applyBorder="1" applyAlignment="1">
      <alignment horizontal="center" vertical="center"/>
    </xf>
    <xf numFmtId="0" fontId="35" fillId="10" borderId="13" xfId="0" applyFont="1" applyFill="1" applyBorder="1" applyAlignment="1">
      <alignment horizontal="center"/>
    </xf>
    <xf numFmtId="4" fontId="35" fillId="10" borderId="13" xfId="0" applyNumberFormat="1" applyFont="1" applyFill="1" applyBorder="1" applyAlignment="1">
      <alignment horizontal="right"/>
    </xf>
    <xf numFmtId="4" fontId="32" fillId="0" borderId="13" xfId="0" applyNumberFormat="1" applyFont="1" applyBorder="1" applyAlignment="1">
      <alignment horizontal="center" vertical="center"/>
    </xf>
    <xf numFmtId="4" fontId="32" fillId="10" borderId="13" xfId="0" applyNumberFormat="1" applyFont="1" applyFill="1" applyBorder="1" applyAlignment="1">
      <alignment horizontal="center" vertical="center"/>
    </xf>
    <xf numFmtId="0" fontId="35" fillId="0" borderId="0" xfId="0" applyFont="1"/>
    <xf numFmtId="0" fontId="35" fillId="10" borderId="13" xfId="0" applyFont="1" applyFill="1" applyBorder="1"/>
    <xf numFmtId="2" fontId="35" fillId="10" borderId="13" xfId="0" applyNumberFormat="1" applyFont="1" applyFill="1" applyBorder="1"/>
    <xf numFmtId="4" fontId="35" fillId="10" borderId="13" xfId="0" applyNumberFormat="1" applyFont="1" applyFill="1" applyBorder="1"/>
    <xf numFmtId="4" fontId="11" fillId="0" borderId="13" xfId="0" applyNumberFormat="1" applyFont="1" applyBorder="1" applyAlignment="1">
      <alignment horizontal="right" vertical="center" wrapText="1"/>
    </xf>
    <xf numFmtId="4" fontId="32" fillId="10" borderId="13" xfId="0" applyNumberFormat="1" applyFont="1" applyFill="1" applyBorder="1"/>
    <xf numFmtId="0" fontId="17" fillId="0" borderId="0" xfId="0" applyFont="1" applyAlignment="1">
      <alignment horizontal="left" vertical="top"/>
    </xf>
    <xf numFmtId="9" fontId="35" fillId="6" borderId="13" xfId="0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5" fillId="0" borderId="0" xfId="0" applyFont="1"/>
    <xf numFmtId="0" fontId="33" fillId="0" borderId="0" xfId="0" applyFont="1" applyAlignment="1">
      <alignment vertical="center"/>
    </xf>
    <xf numFmtId="0" fontId="8" fillId="0" borderId="13" xfId="0" applyFont="1" applyBorder="1"/>
    <xf numFmtId="0" fontId="2" fillId="0" borderId="13" xfId="0" applyFont="1" applyBorder="1" applyAlignment="1"/>
    <xf numFmtId="4" fontId="2" fillId="0" borderId="13" xfId="0" applyNumberFormat="1" applyFont="1" applyBorder="1" applyAlignment="1"/>
    <xf numFmtId="0" fontId="17" fillId="0" borderId="0" xfId="0" applyFont="1" applyAlignment="1">
      <alignment vertical="top"/>
    </xf>
    <xf numFmtId="0" fontId="6" fillId="0" borderId="13" xfId="0" applyFont="1" applyFill="1" applyBorder="1" applyAlignment="1">
      <alignment vertical="center"/>
    </xf>
    <xf numFmtId="0" fontId="6" fillId="0" borderId="13" xfId="0" applyFont="1" applyBorder="1"/>
    <xf numFmtId="0" fontId="37" fillId="0" borderId="13" xfId="0" applyFont="1" applyFill="1" applyBorder="1" applyAlignment="1">
      <alignment vertical="center"/>
    </xf>
    <xf numFmtId="0" fontId="8" fillId="6" borderId="13" xfId="0" applyFont="1" applyFill="1" applyBorder="1" applyAlignment="1">
      <alignment vertical="center"/>
    </xf>
    <xf numFmtId="0" fontId="8" fillId="6" borderId="13" xfId="0" applyFont="1" applyFill="1" applyBorder="1"/>
    <xf numFmtId="3" fontId="2" fillId="0" borderId="13" xfId="0" applyNumberFormat="1" applyFont="1" applyBorder="1"/>
    <xf numFmtId="3" fontId="2" fillId="8" borderId="13" xfId="0" applyNumberFormat="1" applyFont="1" applyFill="1" applyBorder="1"/>
    <xf numFmtId="3" fontId="2" fillId="0" borderId="13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17" fillId="0" borderId="0" xfId="0" applyFont="1" applyAlignment="1">
      <alignment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/>
    </xf>
    <xf numFmtId="4" fontId="32" fillId="0" borderId="13" xfId="0" applyNumberFormat="1" applyFont="1" applyBorder="1" applyAlignment="1">
      <alignment horizontal="right" vertical="center"/>
    </xf>
    <xf numFmtId="0" fontId="6" fillId="11" borderId="13" xfId="0" applyFont="1" applyFill="1" applyBorder="1" applyAlignment="1">
      <alignment vertical="center"/>
    </xf>
    <xf numFmtId="4" fontId="8" fillId="11" borderId="13" xfId="0" applyNumberFormat="1" applyFont="1" applyFill="1" applyBorder="1"/>
    <xf numFmtId="4" fontId="6" fillId="0" borderId="13" xfId="0" applyNumberFormat="1" applyFont="1" applyBorder="1"/>
    <xf numFmtId="4" fontId="32" fillId="0" borderId="0" xfId="0" applyNumberFormat="1" applyFont="1"/>
    <xf numFmtId="4" fontId="8" fillId="0" borderId="13" xfId="0" applyNumberFormat="1" applyFont="1" applyBorder="1"/>
    <xf numFmtId="0" fontId="32" fillId="0" borderId="0" xfId="0" applyFont="1" applyAlignment="1"/>
    <xf numFmtId="2" fontId="2" fillId="0" borderId="13" xfId="0" applyNumberFormat="1" applyFont="1" applyBorder="1" applyAlignment="1"/>
    <xf numFmtId="0" fontId="32" fillId="0" borderId="13" xfId="0" applyFont="1" applyBorder="1" applyAlignment="1">
      <alignment horizontal="center"/>
    </xf>
    <xf numFmtId="2" fontId="32" fillId="0" borderId="13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vertical="center"/>
    </xf>
    <xf numFmtId="4" fontId="2" fillId="0" borderId="13" xfId="0" applyNumberFormat="1" applyFont="1" applyBorder="1" applyAlignment="1">
      <alignment vertical="center"/>
    </xf>
    <xf numFmtId="0" fontId="32" fillId="0" borderId="36" xfId="0" applyFont="1" applyBorder="1" applyAlignment="1">
      <alignment vertical="center"/>
    </xf>
    <xf numFmtId="4" fontId="32" fillId="0" borderId="36" xfId="0" applyNumberFormat="1" applyFont="1" applyBorder="1" applyAlignment="1">
      <alignment vertical="center"/>
    </xf>
    <xf numFmtId="4" fontId="2" fillId="0" borderId="36" xfId="0" applyNumberFormat="1" applyFont="1" applyBorder="1"/>
    <xf numFmtId="4" fontId="2" fillId="0" borderId="39" xfId="0" applyNumberFormat="1" applyFont="1" applyBorder="1"/>
    <xf numFmtId="0" fontId="32" fillId="0" borderId="0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3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6" xfId="0" applyNumberFormat="1" applyFont="1" applyBorder="1" applyAlignment="1">
      <alignment horizontal="center" vertical="center"/>
    </xf>
    <xf numFmtId="2" fontId="2" fillId="0" borderId="36" xfId="0" applyNumberFormat="1" applyFont="1" applyBorder="1" applyAlignment="1">
      <alignment vertical="center"/>
    </xf>
    <xf numFmtId="4" fontId="2" fillId="0" borderId="36" xfId="0" applyNumberFormat="1" applyFont="1" applyBorder="1" applyAlignment="1">
      <alignment vertical="center"/>
    </xf>
    <xf numFmtId="0" fontId="2" fillId="0" borderId="39" xfId="0" applyFont="1" applyBorder="1"/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2" fontId="2" fillId="0" borderId="39" xfId="0" applyNumberFormat="1" applyFont="1" applyBorder="1"/>
    <xf numFmtId="4" fontId="2" fillId="0" borderId="41" xfId="0" applyNumberFormat="1" applyFont="1" applyBorder="1" applyAlignment="1">
      <alignment vertical="center"/>
    </xf>
    <xf numFmtId="4" fontId="2" fillId="0" borderId="39" xfId="0" applyNumberFormat="1" applyFont="1" applyBorder="1" applyAlignment="1">
      <alignment vertical="center"/>
    </xf>
    <xf numFmtId="14" fontId="2" fillId="0" borderId="13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4" fontId="2" fillId="0" borderId="29" xfId="0" applyNumberFormat="1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3" xfId="0" applyNumberFormat="1" applyFont="1" applyBorder="1" applyAlignment="1">
      <alignment horizontal="center"/>
    </xf>
    <xf numFmtId="4" fontId="2" fillId="0" borderId="21" xfId="0" applyNumberFormat="1" applyFont="1" applyBorder="1" applyAlignment="1"/>
    <xf numFmtId="0" fontId="9" fillId="0" borderId="0" xfId="0" applyFont="1" applyFill="1" applyBorder="1" applyAlignment="1">
      <alignment wrapText="1"/>
    </xf>
    <xf numFmtId="0" fontId="32" fillId="0" borderId="0" xfId="0" applyFont="1" applyFill="1"/>
    <xf numFmtId="0" fontId="26" fillId="10" borderId="13" xfId="0" applyFont="1" applyFill="1" applyBorder="1" applyAlignment="1">
      <alignment vertical="center"/>
    </xf>
    <xf numFmtId="4" fontId="35" fillId="10" borderId="13" xfId="0" applyNumberFormat="1" applyFont="1" applyFill="1" applyBorder="1" applyAlignment="1">
      <alignment horizontal="center" vertical="center"/>
    </xf>
    <xf numFmtId="4" fontId="9" fillId="10" borderId="13" xfId="0" applyNumberFormat="1" applyFont="1" applyFill="1" applyBorder="1" applyAlignment="1">
      <alignment vertical="center" wrapText="1"/>
    </xf>
    <xf numFmtId="4" fontId="20" fillId="0" borderId="0" xfId="0" applyNumberFormat="1" applyFont="1" applyAlignment="1">
      <alignment vertical="center"/>
    </xf>
    <xf numFmtId="4" fontId="38" fillId="0" borderId="13" xfId="0" applyNumberFormat="1" applyFont="1" applyBorder="1"/>
    <xf numFmtId="4" fontId="9" fillId="0" borderId="13" xfId="0" applyNumberFormat="1" applyFont="1" applyBorder="1" applyAlignment="1">
      <alignment horizontal="right" vertical="center"/>
    </xf>
    <xf numFmtId="4" fontId="2" fillId="0" borderId="13" xfId="0" applyNumberFormat="1" applyFont="1" applyBorder="1" applyAlignment="1">
      <alignment horizontal="right" vertical="center"/>
    </xf>
    <xf numFmtId="2" fontId="2" fillId="0" borderId="13" xfId="0" applyNumberFormat="1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4" fontId="39" fillId="0" borderId="13" xfId="0" applyNumberFormat="1" applyFont="1" applyBorder="1"/>
    <xf numFmtId="9" fontId="32" fillId="0" borderId="0" xfId="0" applyNumberFormat="1" applyFont="1"/>
    <xf numFmtId="0" fontId="23" fillId="0" borderId="0" xfId="0" applyFont="1" applyAlignment="1">
      <alignment horizontal="left" vertical="top" wrapText="1"/>
    </xf>
    <xf numFmtId="0" fontId="9" fillId="6" borderId="13" xfId="0" applyFont="1" applyFill="1" applyBorder="1" applyAlignment="1">
      <alignment horizontal="center" vertical="center" wrapText="1"/>
    </xf>
    <xf numFmtId="0" fontId="35" fillId="6" borderId="13" xfId="0" applyFont="1" applyFill="1" applyBorder="1"/>
    <xf numFmtId="0" fontId="35" fillId="6" borderId="13" xfId="0" applyFont="1" applyFill="1" applyBorder="1" applyAlignment="1">
      <alignment wrapText="1"/>
    </xf>
    <xf numFmtId="4" fontId="35" fillId="6" borderId="13" xfId="0" applyNumberFormat="1" applyFont="1" applyFill="1" applyBorder="1"/>
    <xf numFmtId="0" fontId="9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3" fillId="6" borderId="36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4" borderId="15" xfId="0" applyNumberFormat="1" applyFont="1" applyFill="1" applyBorder="1" applyAlignment="1">
      <alignment horizontal="center" vertical="center" wrapText="1"/>
    </xf>
    <xf numFmtId="4" fontId="10" fillId="7" borderId="13" xfId="0" applyNumberFormat="1" applyFont="1" applyFill="1" applyBorder="1" applyAlignment="1">
      <alignment horizontal="right" vertical="center" wrapText="1"/>
    </xf>
    <xf numFmtId="4" fontId="11" fillId="7" borderId="13" xfId="0" applyNumberFormat="1" applyFont="1" applyFill="1" applyBorder="1" applyAlignment="1">
      <alignment vertical="center" wrapText="1"/>
    </xf>
    <xf numFmtId="3" fontId="9" fillId="8" borderId="13" xfId="0" applyNumberFormat="1" applyFont="1" applyFill="1" applyBorder="1"/>
    <xf numFmtId="3" fontId="2" fillId="0" borderId="34" xfId="0" applyNumberFormat="1" applyFont="1" applyBorder="1"/>
    <xf numFmtId="3" fontId="9" fillId="0" borderId="35" xfId="0" applyNumberFormat="1" applyFont="1" applyBorder="1"/>
    <xf numFmtId="3" fontId="2" fillId="8" borderId="19" xfId="0" applyNumberFormat="1" applyFont="1" applyFill="1" applyBorder="1"/>
    <xf numFmtId="3" fontId="9" fillId="8" borderId="35" xfId="0" applyNumberFormat="1" applyFont="1" applyFill="1" applyBorder="1"/>
    <xf numFmtId="3" fontId="2" fillId="0" borderId="0" xfId="0" applyNumberFormat="1" applyFont="1"/>
    <xf numFmtId="3" fontId="6" fillId="0" borderId="13" xfId="0" applyNumberFormat="1" applyFont="1" applyBorder="1" applyAlignment="1">
      <alignment horizontal="center" vertical="center" wrapText="1"/>
    </xf>
    <xf numFmtId="4" fontId="9" fillId="10" borderId="13" xfId="0" applyNumberFormat="1" applyFont="1" applyFill="1" applyBorder="1" applyAlignment="1">
      <alignment horizontal="right" vertical="center" wrapText="1"/>
    </xf>
    <xf numFmtId="4" fontId="9" fillId="8" borderId="13" xfId="0" applyNumberFormat="1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Font="1"/>
    <xf numFmtId="14" fontId="2" fillId="0" borderId="13" xfId="0" applyNumberFormat="1" applyFont="1" applyBorder="1"/>
    <xf numFmtId="4" fontId="9" fillId="10" borderId="13" xfId="0" applyNumberFormat="1" applyFont="1" applyFill="1" applyBorder="1"/>
    <xf numFmtId="0" fontId="9" fillId="10" borderId="13" xfId="0" applyFont="1" applyFill="1" applyBorder="1" applyAlignment="1"/>
    <xf numFmtId="4" fontId="9" fillId="10" borderId="13" xfId="0" applyNumberFormat="1" applyFont="1" applyFill="1" applyBorder="1" applyAlignment="1"/>
    <xf numFmtId="0" fontId="9" fillId="10" borderId="13" xfId="0" applyFont="1" applyFill="1" applyBorder="1" applyAlignment="1">
      <alignment vertical="center"/>
    </xf>
    <xf numFmtId="4" fontId="9" fillId="10" borderId="13" xfId="0" applyNumberFormat="1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4" fontId="9" fillId="0" borderId="13" xfId="0" applyNumberFormat="1" applyFont="1" applyFill="1" applyBorder="1" applyAlignment="1">
      <alignment vertical="center"/>
    </xf>
    <xf numFmtId="0" fontId="32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left"/>
    </xf>
    <xf numFmtId="0" fontId="9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9" fontId="11" fillId="0" borderId="0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4" fontId="1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11" fillId="0" borderId="0" xfId="0" applyFont="1" applyFill="1" applyBorder="1" applyAlignment="1">
      <alignment horizontal="center" vertical="center" wrapText="1"/>
    </xf>
    <xf numFmtId="2" fontId="11" fillId="0" borderId="0" xfId="0" applyNumberFormat="1" applyFont="1" applyFill="1" applyBorder="1" applyAlignment="1">
      <alignment horizontal="center" vertical="center" wrapText="1"/>
    </xf>
    <xf numFmtId="4" fontId="11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4" fontId="32" fillId="0" borderId="13" xfId="0" quotePrefix="1" applyNumberFormat="1" applyFont="1" applyBorder="1"/>
    <xf numFmtId="0" fontId="27" fillId="6" borderId="0" xfId="0" applyFont="1" applyFill="1" applyAlignment="1">
      <alignment horizontal="center" vertical="center" wrapText="1"/>
    </xf>
    <xf numFmtId="4" fontId="9" fillId="7" borderId="13" xfId="0" applyNumberFormat="1" applyFont="1" applyFill="1" applyBorder="1" applyAlignment="1">
      <alignment horizontal="center" vertical="center" wrapText="1"/>
    </xf>
    <xf numFmtId="2" fontId="2" fillId="0" borderId="13" xfId="0" applyNumberFormat="1" applyFont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4" fontId="2" fillId="0" borderId="13" xfId="0" applyNumberFormat="1" applyFont="1" applyBorder="1" applyAlignment="1">
      <alignment vertical="center" wrapText="1"/>
    </xf>
    <xf numFmtId="4" fontId="10" fillId="7" borderId="13" xfId="0" applyNumberFormat="1" applyFont="1" applyFill="1" applyBorder="1" applyAlignment="1">
      <alignment vertical="center" wrapText="1"/>
    </xf>
    <xf numFmtId="4" fontId="9" fillId="0" borderId="13" xfId="0" applyNumberFormat="1" applyFont="1" applyBorder="1" applyAlignment="1">
      <alignment vertical="center" wrapText="1"/>
    </xf>
    <xf numFmtId="9" fontId="2" fillId="0" borderId="13" xfId="0" applyNumberFormat="1" applyFont="1" applyBorder="1" applyAlignment="1">
      <alignment horizontal="center" vertical="center"/>
    </xf>
    <xf numFmtId="9" fontId="2" fillId="0" borderId="13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4" fontId="9" fillId="0" borderId="0" xfId="0" applyNumberFormat="1" applyFont="1" applyBorder="1" applyAlignment="1">
      <alignment vertical="center" wrapText="1"/>
    </xf>
    <xf numFmtId="4" fontId="2" fillId="0" borderId="0" xfId="0" applyNumberFormat="1" applyFont="1" applyBorder="1" applyAlignment="1">
      <alignment vertical="center" wrapText="1"/>
    </xf>
    <xf numFmtId="0" fontId="41" fillId="0" borderId="13" xfId="0" applyFont="1" applyBorder="1" applyAlignment="1"/>
    <xf numFmtId="14" fontId="41" fillId="0" borderId="13" xfId="0" applyNumberFormat="1" applyFont="1" applyBorder="1" applyAlignment="1">
      <alignment vertical="center"/>
    </xf>
    <xf numFmtId="4" fontId="41" fillId="0" borderId="13" xfId="0" applyNumberFormat="1" applyFont="1" applyBorder="1" applyAlignment="1">
      <alignment vertical="center"/>
    </xf>
    <xf numFmtId="0" fontId="41" fillId="0" borderId="13" xfId="0" applyFont="1" applyBorder="1" applyAlignment="1">
      <alignment wrapText="1"/>
    </xf>
    <xf numFmtId="0" fontId="41" fillId="0" borderId="0" xfId="0" applyFont="1" applyAlignment="1"/>
    <xf numFmtId="0" fontId="2" fillId="0" borderId="0" xfId="0" applyFont="1" applyAlignment="1"/>
    <xf numFmtId="4" fontId="10" fillId="0" borderId="13" xfId="0" applyNumberFormat="1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center" vertical="center"/>
    </xf>
    <xf numFmtId="4" fontId="0" fillId="0" borderId="0" xfId="0" applyNumberFormat="1" applyAlignment="1"/>
    <xf numFmtId="4" fontId="1" fillId="0" borderId="13" xfId="0" applyNumberFormat="1" applyFont="1" applyBorder="1" applyAlignment="1"/>
    <xf numFmtId="0" fontId="1" fillId="0" borderId="0" xfId="0" applyFont="1" applyAlignment="1"/>
    <xf numFmtId="4" fontId="6" fillId="0" borderId="0" xfId="0" applyNumberFormat="1" applyFont="1" applyAlignment="1"/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9" fontId="2" fillId="0" borderId="13" xfId="0" applyNumberFormat="1" applyFont="1" applyBorder="1" applyAlignment="1">
      <alignment horizontal="left" vertical="center"/>
    </xf>
    <xf numFmtId="1" fontId="2" fillId="0" borderId="13" xfId="0" applyNumberFormat="1" applyFont="1" applyBorder="1" applyAlignment="1">
      <alignment horizontal="center" vertical="center"/>
    </xf>
    <xf numFmtId="9" fontId="2" fillId="0" borderId="16" xfId="0" applyNumberFormat="1" applyFont="1" applyBorder="1" applyAlignment="1">
      <alignment horizontal="left" vertical="center"/>
    </xf>
    <xf numFmtId="9" fontId="2" fillId="0" borderId="20" xfId="0" applyNumberFormat="1" applyFont="1" applyBorder="1" applyAlignment="1">
      <alignment horizontal="center" vertical="center"/>
    </xf>
    <xf numFmtId="1" fontId="2" fillId="0" borderId="20" xfId="0" applyNumberFormat="1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/>
    <xf numFmtId="4" fontId="17" fillId="10" borderId="13" xfId="0" applyNumberFormat="1" applyFont="1" applyFill="1" applyBorder="1" applyAlignment="1">
      <alignment vertical="center"/>
    </xf>
    <xf numFmtId="0" fontId="9" fillId="0" borderId="0" xfId="0" applyFont="1" applyAlignment="1">
      <alignment horizontal="right"/>
    </xf>
    <xf numFmtId="4" fontId="9" fillId="0" borderId="0" xfId="0" applyNumberFormat="1" applyFont="1"/>
    <xf numFmtId="9" fontId="32" fillId="0" borderId="13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left"/>
    </xf>
    <xf numFmtId="4" fontId="32" fillId="0" borderId="29" xfId="0" applyNumberFormat="1" applyFont="1" applyBorder="1"/>
    <xf numFmtId="9" fontId="32" fillId="0" borderId="29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left"/>
    </xf>
    <xf numFmtId="4" fontId="32" fillId="0" borderId="38" xfId="0" applyNumberFormat="1" applyFont="1" applyBorder="1"/>
    <xf numFmtId="9" fontId="32" fillId="0" borderId="38" xfId="0" applyNumberFormat="1" applyFont="1" applyBorder="1" applyAlignment="1">
      <alignment horizontal="center" vertical="center"/>
    </xf>
    <xf numFmtId="4" fontId="32" fillId="0" borderId="29" xfId="0" quotePrefix="1" applyNumberFormat="1" applyFont="1" applyBorder="1"/>
    <xf numFmtId="0" fontId="2" fillId="0" borderId="39" xfId="0" applyFont="1" applyBorder="1" applyAlignment="1">
      <alignment horizontal="left"/>
    </xf>
    <xf numFmtId="4" fontId="32" fillId="0" borderId="39" xfId="0" applyNumberFormat="1" applyFont="1" applyBorder="1"/>
    <xf numFmtId="9" fontId="32" fillId="0" borderId="39" xfId="0" applyNumberFormat="1" applyFont="1" applyBorder="1" applyAlignment="1">
      <alignment horizontal="center" vertical="center"/>
    </xf>
    <xf numFmtId="4" fontId="2" fillId="0" borderId="29" xfId="0" applyNumberFormat="1" applyFont="1" applyBorder="1"/>
    <xf numFmtId="4" fontId="2" fillId="0" borderId="38" xfId="0" applyNumberFormat="1" applyFont="1" applyBorder="1"/>
    <xf numFmtId="4" fontId="45" fillId="0" borderId="38" xfId="0" applyNumberFormat="1" applyFont="1" applyBorder="1"/>
    <xf numFmtId="4" fontId="44" fillId="0" borderId="38" xfId="0" applyNumberFormat="1" applyFont="1" applyBorder="1"/>
    <xf numFmtId="2" fontId="20" fillId="0" borderId="13" xfId="0" applyNumberFormat="1" applyFont="1" applyBorder="1" applyAlignment="1">
      <alignment vertical="center" wrapText="1"/>
    </xf>
    <xf numFmtId="4" fontId="20" fillId="0" borderId="13" xfId="0" applyNumberFormat="1" applyFont="1" applyBorder="1" applyAlignment="1">
      <alignment vertical="center" wrapText="1"/>
    </xf>
    <xf numFmtId="0" fontId="17" fillId="0" borderId="13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/>
    </xf>
    <xf numFmtId="4" fontId="35" fillId="0" borderId="13" xfId="0" applyNumberFormat="1" applyFont="1" applyBorder="1" applyAlignment="1">
      <alignment horizontal="right" vertical="center"/>
    </xf>
    <xf numFmtId="4" fontId="6" fillId="0" borderId="1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4" fontId="35" fillId="12" borderId="13" xfId="0" applyNumberFormat="1" applyFont="1" applyFill="1" applyBorder="1"/>
    <xf numFmtId="4" fontId="46" fillId="0" borderId="13" xfId="0" applyNumberFormat="1" applyFont="1" applyBorder="1"/>
    <xf numFmtId="4" fontId="43" fillId="0" borderId="13" xfId="0" applyNumberFormat="1" applyFont="1" applyBorder="1"/>
    <xf numFmtId="9" fontId="35" fillId="0" borderId="13" xfId="0" applyNumberFormat="1" applyFont="1" applyBorder="1"/>
    <xf numFmtId="3" fontId="32" fillId="0" borderId="13" xfId="0" applyNumberFormat="1" applyFont="1" applyBorder="1"/>
    <xf numFmtId="4" fontId="6" fillId="11" borderId="13" xfId="0" applyNumberFormat="1" applyFont="1" applyFill="1" applyBorder="1"/>
    <xf numFmtId="3" fontId="2" fillId="0" borderId="13" xfId="0" applyNumberFormat="1" applyFont="1" applyBorder="1" applyAlignment="1"/>
    <xf numFmtId="3" fontId="9" fillId="10" borderId="13" xfId="0" applyNumberFormat="1" applyFont="1" applyFill="1" applyBorder="1" applyAlignment="1"/>
    <xf numFmtId="0" fontId="23" fillId="6" borderId="13" xfId="0" applyFont="1" applyFill="1" applyBorder="1" applyAlignment="1">
      <alignment horizontal="center" vertical="center" wrapText="1"/>
    </xf>
    <xf numFmtId="164" fontId="32" fillId="0" borderId="13" xfId="0" applyNumberFormat="1" applyFont="1" applyBorder="1" applyAlignment="1">
      <alignment vertical="center"/>
    </xf>
    <xf numFmtId="2" fontId="32" fillId="0" borderId="13" xfId="0" applyNumberFormat="1" applyFont="1" applyBorder="1" applyAlignment="1">
      <alignment vertical="center"/>
    </xf>
    <xf numFmtId="4" fontId="9" fillId="0" borderId="0" xfId="0" applyNumberFormat="1" applyFont="1" applyAlignment="1">
      <alignment horizontal="center" vertical="center" wrapText="1"/>
    </xf>
    <xf numFmtId="4" fontId="9" fillId="0" borderId="9" xfId="0" applyNumberFormat="1" applyFont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 vertical="center" wrapText="1"/>
    </xf>
    <xf numFmtId="0" fontId="10" fillId="7" borderId="21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18" xfId="0" applyFont="1" applyBorder="1" applyAlignment="1">
      <alignment horizontal="center" wrapText="1"/>
    </xf>
    <xf numFmtId="0" fontId="9" fillId="0" borderId="19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0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wrapText="1"/>
    </xf>
    <xf numFmtId="0" fontId="23" fillId="0" borderId="32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9" fillId="7" borderId="16" xfId="0" applyFont="1" applyFill="1" applyBorder="1" applyAlignment="1">
      <alignment horizontal="center" vertical="center" wrapText="1"/>
    </xf>
    <xf numFmtId="0" fontId="19" fillId="7" borderId="20" xfId="0" applyFont="1" applyFill="1" applyBorder="1" applyAlignment="1">
      <alignment horizontal="center" vertical="center" wrapText="1"/>
    </xf>
    <xf numFmtId="0" fontId="19" fillId="7" borderId="21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wrapText="1"/>
    </xf>
    <xf numFmtId="0" fontId="9" fillId="10" borderId="16" xfId="0" applyFont="1" applyFill="1" applyBorder="1" applyAlignment="1">
      <alignment horizontal="left"/>
    </xf>
    <xf numFmtId="0" fontId="9" fillId="10" borderId="20" xfId="0" applyFont="1" applyFill="1" applyBorder="1" applyAlignment="1">
      <alignment horizontal="left"/>
    </xf>
    <xf numFmtId="0" fontId="9" fillId="10" borderId="21" xfId="0" applyFont="1" applyFill="1" applyBorder="1" applyAlignment="1">
      <alignment horizontal="left"/>
    </xf>
    <xf numFmtId="0" fontId="10" fillId="7" borderId="16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3" fillId="6" borderId="36" xfId="0" applyFont="1" applyFill="1" applyBorder="1" applyAlignment="1">
      <alignment horizontal="center" vertical="center"/>
    </xf>
    <xf numFmtId="0" fontId="13" fillId="6" borderId="37" xfId="0" applyFont="1" applyFill="1" applyBorder="1" applyAlignment="1">
      <alignment horizontal="center" vertical="center"/>
    </xf>
    <xf numFmtId="0" fontId="13" fillId="6" borderId="36" xfId="0" applyFont="1" applyFill="1" applyBorder="1" applyAlignment="1">
      <alignment horizontal="center" vertical="center" wrapText="1"/>
    </xf>
    <xf numFmtId="0" fontId="13" fillId="6" borderId="37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10" borderId="16" xfId="0" applyFont="1" applyFill="1" applyBorder="1" applyAlignment="1">
      <alignment horizontal="left" vertical="center" wrapText="1"/>
    </xf>
    <xf numFmtId="0" fontId="9" fillId="10" borderId="20" xfId="0" applyFont="1" applyFill="1" applyBorder="1" applyAlignment="1">
      <alignment horizontal="left" vertical="center" wrapText="1"/>
    </xf>
    <xf numFmtId="0" fontId="9" fillId="10" borderId="21" xfId="0" applyFont="1" applyFill="1" applyBorder="1" applyAlignment="1">
      <alignment horizontal="left" vertical="center" wrapText="1"/>
    </xf>
    <xf numFmtId="0" fontId="13" fillId="10" borderId="13" xfId="0" applyFont="1" applyFill="1" applyBorder="1" applyAlignment="1">
      <alignment horizontal="left" vertical="center"/>
    </xf>
    <xf numFmtId="0" fontId="41" fillId="10" borderId="13" xfId="0" applyFont="1" applyFill="1" applyBorder="1" applyAlignment="1">
      <alignment horizontal="left" vertical="center"/>
    </xf>
    <xf numFmtId="0" fontId="13" fillId="6" borderId="29" xfId="0" applyFont="1" applyFill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 wrapText="1"/>
    </xf>
    <xf numFmtId="0" fontId="9" fillId="0" borderId="1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4" fontId="28" fillId="7" borderId="0" xfId="0" applyNumberFormat="1" applyFont="1" applyFill="1" applyAlignment="1">
      <alignment horizontal="center" vertical="center"/>
    </xf>
    <xf numFmtId="4" fontId="2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wrapText="1"/>
    </xf>
    <xf numFmtId="3" fontId="2" fillId="0" borderId="16" xfId="0" applyNumberFormat="1" applyFont="1" applyBorder="1" applyAlignment="1">
      <alignment horizontal="center"/>
    </xf>
    <xf numFmtId="3" fontId="2" fillId="0" borderId="21" xfId="0" applyNumberFormat="1" applyFont="1" applyBorder="1" applyAlignment="1">
      <alignment horizontal="center"/>
    </xf>
    <xf numFmtId="3" fontId="2" fillId="8" borderId="32" xfId="0" applyNumberFormat="1" applyFont="1" applyFill="1" applyBorder="1" applyAlignment="1">
      <alignment horizontal="center"/>
    </xf>
    <xf numFmtId="3" fontId="2" fillId="8" borderId="33" xfId="0" applyNumberFormat="1" applyFont="1" applyFill="1" applyBorder="1" applyAlignment="1">
      <alignment horizontal="center"/>
    </xf>
    <xf numFmtId="0" fontId="2" fillId="8" borderId="32" xfId="0" applyFont="1" applyFill="1" applyBorder="1" applyAlignment="1">
      <alignment horizontal="center"/>
    </xf>
    <xf numFmtId="0" fontId="2" fillId="8" borderId="33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9" fillId="7" borderId="1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7" fillId="0" borderId="0" xfId="0" applyFont="1" applyAlignment="1">
      <alignment vertical="center" wrapText="1"/>
    </xf>
    <xf numFmtId="0" fontId="13" fillId="6" borderId="13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9" fillId="6" borderId="36" xfId="0" applyFont="1" applyFill="1" applyBorder="1" applyAlignment="1">
      <alignment horizontal="center" vertical="center" wrapText="1"/>
    </xf>
    <xf numFmtId="0" fontId="9" fillId="6" borderId="37" xfId="0" applyFont="1" applyFill="1" applyBorder="1" applyAlignment="1">
      <alignment horizontal="center" vertical="center" wrapText="1"/>
    </xf>
    <xf numFmtId="0" fontId="9" fillId="6" borderId="29" xfId="0" applyFont="1" applyFill="1" applyBorder="1" applyAlignment="1">
      <alignment horizontal="center" vertical="center" wrapText="1"/>
    </xf>
    <xf numFmtId="0" fontId="9" fillId="6" borderId="31" xfId="0" applyFont="1" applyFill="1" applyBorder="1" applyAlignment="1">
      <alignment horizontal="center" vertical="center" wrapText="1"/>
    </xf>
    <xf numFmtId="0" fontId="9" fillId="6" borderId="36" xfId="0" applyFont="1" applyFill="1" applyBorder="1" applyAlignment="1">
      <alignment horizontal="center" vertical="center"/>
    </xf>
    <xf numFmtId="0" fontId="9" fillId="6" borderId="37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42" fillId="0" borderId="19" xfId="0" applyFont="1" applyBorder="1" applyAlignment="1">
      <alignment horizontal="left"/>
    </xf>
    <xf numFmtId="0" fontId="42" fillId="0" borderId="35" xfId="0" applyFont="1" applyBorder="1" applyAlignment="1">
      <alignment horizontal="left"/>
    </xf>
    <xf numFmtId="0" fontId="42" fillId="0" borderId="20" xfId="0" applyFont="1" applyBorder="1" applyAlignment="1"/>
    <xf numFmtId="0" fontId="42" fillId="0" borderId="21" xfId="0" applyFont="1" applyBorder="1" applyAlignment="1"/>
    <xf numFmtId="0" fontId="15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27" fillId="6" borderId="36" xfId="0" applyFont="1" applyFill="1" applyBorder="1" applyAlignment="1">
      <alignment horizontal="center" vertical="center" wrapText="1"/>
    </xf>
    <xf numFmtId="0" fontId="27" fillId="6" borderId="29" xfId="0" applyFont="1" applyFill="1" applyBorder="1" applyAlignment="1">
      <alignment horizontal="center" vertical="center" wrapText="1"/>
    </xf>
    <xf numFmtId="0" fontId="9" fillId="6" borderId="31" xfId="0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 vertical="center"/>
    </xf>
    <xf numFmtId="0" fontId="9" fillId="6" borderId="34" xfId="0" applyFont="1" applyFill="1" applyBorder="1" applyAlignment="1">
      <alignment horizontal="center" vertical="center"/>
    </xf>
    <xf numFmtId="0" fontId="9" fillId="6" borderId="35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35" fillId="6" borderId="36" xfId="0" applyFont="1" applyFill="1" applyBorder="1" applyAlignment="1">
      <alignment horizontal="center" vertical="center" wrapText="1"/>
    </xf>
    <xf numFmtId="0" fontId="35" fillId="6" borderId="29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35" fillId="6" borderId="36" xfId="0" applyFont="1" applyFill="1" applyBorder="1" applyAlignment="1">
      <alignment horizontal="center" vertical="center"/>
    </xf>
    <xf numFmtId="0" fontId="35" fillId="6" borderId="29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left" vertical="center"/>
    </xf>
    <xf numFmtId="0" fontId="42" fillId="0" borderId="20" xfId="0" applyFont="1" applyFill="1" applyBorder="1" applyAlignment="1">
      <alignment horizontal="left" vertical="center"/>
    </xf>
    <xf numFmtId="0" fontId="42" fillId="0" borderId="21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left" vertical="center"/>
    </xf>
    <xf numFmtId="0" fontId="26" fillId="6" borderId="36" xfId="0" applyFont="1" applyFill="1" applyBorder="1" applyAlignment="1">
      <alignment horizontal="center" vertical="center"/>
    </xf>
    <xf numFmtId="0" fontId="26" fillId="6" borderId="29" xfId="0" applyFont="1" applyFill="1" applyBorder="1" applyAlignment="1">
      <alignment horizontal="center" vertical="center"/>
    </xf>
    <xf numFmtId="0" fontId="26" fillId="6" borderId="36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9" fillId="10" borderId="16" xfId="0" applyFont="1" applyFill="1" applyBorder="1" applyAlignment="1">
      <alignment horizontal="center" vertical="center"/>
    </xf>
    <xf numFmtId="0" fontId="9" fillId="10" borderId="21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4" fontId="9" fillId="10" borderId="16" xfId="0" applyNumberFormat="1" applyFont="1" applyFill="1" applyBorder="1" applyAlignment="1">
      <alignment horizontal="left"/>
    </xf>
    <xf numFmtId="4" fontId="9" fillId="10" borderId="20" xfId="0" applyNumberFormat="1" applyFont="1" applyFill="1" applyBorder="1" applyAlignment="1">
      <alignment horizontal="left"/>
    </xf>
    <xf numFmtId="0" fontId="17" fillId="10" borderId="16" xfId="0" applyFont="1" applyFill="1" applyBorder="1" applyAlignment="1">
      <alignment horizontal="center" vertical="center"/>
    </xf>
    <xf numFmtId="0" fontId="17" fillId="10" borderId="20" xfId="0" applyFont="1" applyFill="1" applyBorder="1" applyAlignment="1">
      <alignment horizontal="center" vertical="center"/>
    </xf>
    <xf numFmtId="0" fontId="17" fillId="10" borderId="21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6" borderId="36" xfId="0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35" fillId="6" borderId="13" xfId="0" applyFont="1" applyFill="1" applyBorder="1" applyAlignment="1">
      <alignment horizontal="center"/>
    </xf>
    <xf numFmtId="0" fontId="35" fillId="6" borderId="13" xfId="0" applyFont="1" applyFill="1" applyBorder="1" applyAlignment="1">
      <alignment horizontal="center" wrapText="1"/>
    </xf>
    <xf numFmtId="0" fontId="35" fillId="0" borderId="0" xfId="0" applyFont="1" applyAlignment="1">
      <alignment horizontal="center"/>
    </xf>
    <xf numFmtId="4" fontId="43" fillId="0" borderId="13" xfId="0" applyNumberFormat="1" applyFont="1" applyBorder="1" applyAlignment="1">
      <alignment horizontal="center"/>
    </xf>
    <xf numFmtId="4" fontId="46" fillId="0" borderId="13" xfId="0" applyNumberFormat="1" applyFont="1" applyBorder="1" applyAlignment="1">
      <alignment horizontal="center"/>
    </xf>
    <xf numFmtId="0" fontId="35" fillId="6" borderId="36" xfId="0" applyFont="1" applyFill="1" applyBorder="1" applyAlignment="1">
      <alignment horizontal="center" textRotation="90"/>
    </xf>
    <xf numFmtId="0" fontId="35" fillId="6" borderId="37" xfId="0" applyFont="1" applyFill="1" applyBorder="1" applyAlignment="1">
      <alignment horizontal="center" textRotation="90"/>
    </xf>
    <xf numFmtId="0" fontId="35" fillId="6" borderId="29" xfId="0" applyFont="1" applyFill="1" applyBorder="1" applyAlignment="1">
      <alignment horizontal="center" textRotation="90"/>
    </xf>
    <xf numFmtId="0" fontId="8" fillId="0" borderId="0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6633"/>
      <color rgb="FFD8B088"/>
      <color rgb="FFD87C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307975</xdr:colOff>
      <xdr:row>11</xdr:row>
      <xdr:rowOff>110670</xdr:rowOff>
    </xdr:from>
    <xdr:ext cx="3048000" cy="3472543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161E1009-77BE-49C2-8B1A-BF9B6B8D0B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52082" y="2718706"/>
          <a:ext cx="3048000" cy="3472543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613474</xdr:colOff>
      <xdr:row>27</xdr:row>
      <xdr:rowOff>113005</xdr:rowOff>
    </xdr:from>
    <xdr:to>
      <xdr:col>3</xdr:col>
      <xdr:colOff>256288</xdr:colOff>
      <xdr:row>28</xdr:row>
      <xdr:rowOff>100576</xdr:rowOff>
    </xdr:to>
    <xdr:pic>
      <xdr:nvPicPr>
        <xdr:cNvPr id="2" name="Imagen 1" descr="Balance de apertura">
          <a:extLst>
            <a:ext uri="{FF2B5EF4-FFF2-40B4-BE49-F238E27FC236}">
              <a16:creationId xmlns:a16="http://schemas.microsoft.com/office/drawing/2014/main" id="{7C88B27E-891F-441C-B80C-D694F3D4EA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90" t="95285" r="60511" b="521"/>
        <a:stretch/>
      </xdr:blipFill>
      <xdr:spPr bwMode="auto">
        <a:xfrm>
          <a:off x="1508824" y="4351630"/>
          <a:ext cx="2524126" cy="178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137767</xdr:colOff>
      <xdr:row>27</xdr:row>
      <xdr:rowOff>103964</xdr:rowOff>
    </xdr:from>
    <xdr:to>
      <xdr:col>5</xdr:col>
      <xdr:colOff>2655738</xdr:colOff>
      <xdr:row>28</xdr:row>
      <xdr:rowOff>91535</xdr:rowOff>
    </xdr:to>
    <xdr:pic>
      <xdr:nvPicPr>
        <xdr:cNvPr id="3" name="Imagen 2" descr="Balance de apertura">
          <a:extLst>
            <a:ext uri="{FF2B5EF4-FFF2-40B4-BE49-F238E27FC236}">
              <a16:creationId xmlns:a16="http://schemas.microsoft.com/office/drawing/2014/main" id="{F28BCBBF-F1AC-4264-998E-B63E4232FEA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90" t="95285" r="60511" b="521"/>
        <a:stretch/>
      </xdr:blipFill>
      <xdr:spPr bwMode="auto">
        <a:xfrm>
          <a:off x="5331869" y="5149237"/>
          <a:ext cx="2517971" cy="181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opLeftCell="A12" zoomScale="64" zoomScaleNormal="64" workbookViewId="0">
      <selection activeCell="R20" sqref="R20"/>
    </sheetView>
  </sheetViews>
  <sheetFormatPr baseColWidth="10" defaultColWidth="10.7109375" defaultRowHeight="15" x14ac:dyDescent="0.25"/>
  <cols>
    <col min="1" max="1" width="10.28515625" customWidth="1"/>
    <col min="2" max="2" width="11.85546875" customWidth="1"/>
    <col min="4" max="4" width="7" customWidth="1"/>
    <col min="5" max="5" width="21.85546875" customWidth="1"/>
    <col min="10" max="10" width="18.85546875" customWidth="1"/>
  </cols>
  <sheetData>
    <row r="1" spans="2:10" ht="15.75" thickBot="1" x14ac:dyDescent="0.3"/>
    <row r="2" spans="2:10" ht="15.75" thickTop="1" x14ac:dyDescent="0.25">
      <c r="B2" s="1"/>
      <c r="C2" s="2"/>
      <c r="D2" s="2"/>
      <c r="E2" s="2"/>
      <c r="F2" s="2"/>
      <c r="G2" s="2"/>
      <c r="H2" s="2"/>
      <c r="I2" s="2"/>
      <c r="J2" s="3"/>
    </row>
    <row r="3" spans="2:10" x14ac:dyDescent="0.25">
      <c r="B3" s="4"/>
      <c r="C3" s="5"/>
      <c r="D3" s="5"/>
      <c r="E3" s="5"/>
      <c r="F3" s="5"/>
      <c r="G3" s="5"/>
      <c r="H3" s="5"/>
      <c r="I3" s="5"/>
      <c r="J3" s="6"/>
    </row>
    <row r="4" spans="2:10" ht="23.25" x14ac:dyDescent="0.35">
      <c r="B4" s="4"/>
      <c r="C4" s="5"/>
      <c r="D4" s="5"/>
      <c r="E4" s="5"/>
      <c r="F4" s="7" t="s">
        <v>0</v>
      </c>
      <c r="G4" s="5"/>
      <c r="H4" s="5"/>
      <c r="I4" s="5"/>
      <c r="J4" s="6"/>
    </row>
    <row r="5" spans="2:10" x14ac:dyDescent="0.25">
      <c r="B5" s="4"/>
      <c r="C5" s="5"/>
      <c r="D5" s="5"/>
      <c r="E5" s="5"/>
      <c r="F5" s="5"/>
      <c r="G5" s="5"/>
      <c r="H5" s="5"/>
      <c r="I5" s="5"/>
      <c r="J5" s="6"/>
    </row>
    <row r="6" spans="2:10" ht="23.25" x14ac:dyDescent="0.35">
      <c r="B6" s="4"/>
      <c r="C6" s="5"/>
      <c r="D6" s="5"/>
      <c r="E6" s="5"/>
      <c r="F6" s="7" t="s">
        <v>1</v>
      </c>
      <c r="G6" s="5"/>
      <c r="H6" s="5"/>
      <c r="I6" s="5"/>
      <c r="J6" s="6"/>
    </row>
    <row r="7" spans="2:10" x14ac:dyDescent="0.25">
      <c r="B7" s="4"/>
      <c r="C7" s="5"/>
      <c r="D7" s="5"/>
      <c r="E7" s="5"/>
      <c r="F7" s="5"/>
      <c r="G7" s="5"/>
      <c r="H7" s="5"/>
      <c r="I7" s="5"/>
      <c r="J7" s="6"/>
    </row>
    <row r="8" spans="2:10" ht="23.25" x14ac:dyDescent="0.35">
      <c r="B8" s="4"/>
      <c r="C8" s="5"/>
      <c r="D8" s="5"/>
      <c r="E8" s="5"/>
      <c r="F8" s="7" t="s">
        <v>2</v>
      </c>
      <c r="G8" s="5"/>
      <c r="H8" s="5"/>
      <c r="I8" s="5"/>
      <c r="J8" s="6"/>
    </row>
    <row r="9" spans="2:10" x14ac:dyDescent="0.25">
      <c r="B9" s="4"/>
      <c r="C9" s="5"/>
      <c r="D9" s="5"/>
      <c r="E9" s="5"/>
      <c r="F9" s="5"/>
      <c r="G9" s="5"/>
      <c r="H9" s="5"/>
      <c r="I9" s="5"/>
      <c r="J9" s="6"/>
    </row>
    <row r="10" spans="2:10" ht="23.25" x14ac:dyDescent="0.35">
      <c r="B10" s="4"/>
      <c r="C10" s="5"/>
      <c r="D10" s="5"/>
      <c r="E10" s="5"/>
      <c r="F10" s="7" t="s">
        <v>3</v>
      </c>
      <c r="G10" s="5"/>
      <c r="H10" s="5"/>
      <c r="I10" s="5"/>
      <c r="J10" s="6"/>
    </row>
    <row r="11" spans="2:10" ht="23.25" x14ac:dyDescent="0.35">
      <c r="B11" s="4"/>
      <c r="C11" s="5"/>
      <c r="D11" s="5"/>
      <c r="E11" s="5"/>
      <c r="F11" s="7" t="s">
        <v>208</v>
      </c>
      <c r="G11" s="5"/>
      <c r="H11" s="5"/>
      <c r="I11" s="5"/>
      <c r="J11" s="6"/>
    </row>
    <row r="12" spans="2:10" x14ac:dyDescent="0.2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2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2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2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2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2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2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2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6"/>
    </row>
    <row r="24" spans="2:10" ht="77.25" customHeight="1" x14ac:dyDescent="0.2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25">
      <c r="B27" s="4"/>
      <c r="C27" s="5"/>
      <c r="D27" s="5"/>
      <c r="E27" s="5"/>
      <c r="F27" s="5"/>
      <c r="G27" s="5"/>
      <c r="H27" s="5"/>
      <c r="I27" s="5"/>
      <c r="J27" s="6"/>
    </row>
    <row r="28" spans="2:10" ht="15.75" x14ac:dyDescent="0.25">
      <c r="B28" s="4"/>
      <c r="C28" s="5"/>
      <c r="D28" s="5"/>
      <c r="E28" s="8" t="s">
        <v>4</v>
      </c>
      <c r="F28" s="9" t="s">
        <v>5</v>
      </c>
      <c r="G28" s="5"/>
      <c r="H28" s="5"/>
      <c r="I28" s="5"/>
      <c r="J28" s="6"/>
    </row>
    <row r="29" spans="2:10" ht="15.75" x14ac:dyDescent="0.25">
      <c r="B29" s="4"/>
      <c r="C29" s="5"/>
      <c r="D29" s="5"/>
      <c r="E29" s="5"/>
      <c r="F29" s="10" t="s">
        <v>6</v>
      </c>
      <c r="G29" s="5"/>
      <c r="H29" s="5"/>
      <c r="I29" s="5"/>
      <c r="J29" s="6"/>
    </row>
    <row r="30" spans="2:10" ht="15.75" x14ac:dyDescent="0.25">
      <c r="B30" s="4"/>
      <c r="C30" s="5"/>
      <c r="D30" s="5"/>
      <c r="E30" s="5"/>
      <c r="F30" s="11" t="s">
        <v>7</v>
      </c>
      <c r="G30" s="5"/>
      <c r="H30" s="5"/>
      <c r="I30" s="5"/>
      <c r="J30" s="6"/>
    </row>
    <row r="31" spans="2:10" ht="15.75" x14ac:dyDescent="0.25">
      <c r="B31" s="4"/>
      <c r="C31" s="5"/>
      <c r="D31" s="5"/>
      <c r="E31" s="5"/>
      <c r="F31" s="11" t="s">
        <v>8</v>
      </c>
      <c r="G31" s="5"/>
      <c r="H31" s="5"/>
      <c r="I31" s="5"/>
      <c r="J31" s="6"/>
    </row>
    <row r="32" spans="2:10" ht="15.75" x14ac:dyDescent="0.25">
      <c r="B32" s="4"/>
      <c r="C32" s="5"/>
      <c r="D32" s="5"/>
      <c r="E32" s="12" t="s">
        <v>9</v>
      </c>
      <c r="F32" s="10" t="s">
        <v>205</v>
      </c>
      <c r="G32" s="5"/>
      <c r="H32" s="5"/>
      <c r="I32" s="5"/>
      <c r="J32" s="6"/>
    </row>
    <row r="33" spans="2:10" ht="15.75" x14ac:dyDescent="0.25">
      <c r="B33" s="4"/>
      <c r="C33" s="5"/>
      <c r="D33" s="5"/>
      <c r="E33" s="12" t="s">
        <v>10</v>
      </c>
      <c r="F33" s="10" t="s">
        <v>11</v>
      </c>
      <c r="G33" s="5"/>
      <c r="H33" s="5"/>
      <c r="I33" s="5"/>
      <c r="J33" s="6"/>
    </row>
    <row r="34" spans="2:10" ht="15.75" x14ac:dyDescent="0.25">
      <c r="B34" s="4"/>
      <c r="C34" s="5"/>
      <c r="D34" s="5"/>
      <c r="E34" s="12" t="s">
        <v>12</v>
      </c>
      <c r="F34" s="11" t="s">
        <v>13</v>
      </c>
      <c r="G34" s="5"/>
      <c r="H34" s="5"/>
      <c r="I34" s="5"/>
      <c r="J34" s="6"/>
    </row>
    <row r="35" spans="2:10" x14ac:dyDescent="0.2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25">
      <c r="B36" s="4"/>
      <c r="C36" s="5"/>
      <c r="D36" s="5"/>
      <c r="E36" s="5"/>
      <c r="F36" s="5"/>
      <c r="G36" s="5"/>
      <c r="H36" s="5"/>
      <c r="I36" s="5"/>
      <c r="J36" s="6"/>
    </row>
    <row r="37" spans="2:10" ht="15.75" x14ac:dyDescent="0.25">
      <c r="B37" s="4"/>
      <c r="C37" s="5"/>
      <c r="D37" s="5"/>
      <c r="E37" s="5"/>
      <c r="F37" s="13" t="s">
        <v>14</v>
      </c>
      <c r="G37" s="5"/>
      <c r="H37" s="5"/>
      <c r="I37" s="5"/>
      <c r="J37" s="6"/>
    </row>
    <row r="38" spans="2:10" x14ac:dyDescent="0.25">
      <c r="B38" s="4"/>
      <c r="C38" s="5"/>
      <c r="D38" s="5"/>
      <c r="E38" s="5"/>
      <c r="F38" s="5"/>
      <c r="G38" s="5"/>
      <c r="H38" s="5"/>
      <c r="I38" s="5"/>
      <c r="J38" s="6"/>
    </row>
    <row r="39" spans="2:10" ht="15.75" x14ac:dyDescent="0.25">
      <c r="B39" s="4"/>
      <c r="C39" s="5"/>
      <c r="D39" s="5"/>
      <c r="E39" s="5"/>
      <c r="F39" s="13">
        <v>2023</v>
      </c>
      <c r="G39" s="5"/>
      <c r="H39" s="5"/>
      <c r="I39" s="5"/>
      <c r="J39" s="6"/>
    </row>
    <row r="40" spans="2:10" ht="15.75" thickBot="1" x14ac:dyDescent="0.3">
      <c r="B40" s="14"/>
      <c r="C40" s="15"/>
      <c r="D40" s="15"/>
      <c r="E40" s="15"/>
      <c r="F40" s="15"/>
      <c r="G40" s="15"/>
      <c r="H40" s="15"/>
      <c r="I40" s="15"/>
      <c r="J40" s="16"/>
    </row>
    <row r="41" spans="2:10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topLeftCell="A29" zoomScale="64" zoomScaleNormal="64" workbookViewId="0">
      <selection activeCell="G55" sqref="G55"/>
    </sheetView>
  </sheetViews>
  <sheetFormatPr baseColWidth="10" defaultColWidth="11.42578125" defaultRowHeight="15" x14ac:dyDescent="0.25"/>
  <cols>
    <col min="1" max="1" width="11.42578125" style="45"/>
    <col min="2" max="2" width="35.140625" style="45" customWidth="1"/>
    <col min="3" max="3" width="14.28515625" style="45" customWidth="1"/>
    <col min="4" max="4" width="14.7109375" style="45" customWidth="1"/>
    <col min="5" max="5" width="12.5703125" style="45" customWidth="1"/>
    <col min="6" max="16384" width="11.42578125" style="45"/>
  </cols>
  <sheetData>
    <row r="1" spans="2:6" ht="27.75" x14ac:dyDescent="0.4">
      <c r="B1" s="181" t="s">
        <v>15</v>
      </c>
      <c r="C1" s="140"/>
      <c r="D1" s="140"/>
      <c r="E1" s="140"/>
      <c r="F1" s="96"/>
    </row>
    <row r="2" spans="2:6" x14ac:dyDescent="0.25">
      <c r="B2" s="141"/>
      <c r="C2" s="141"/>
      <c r="D2" s="141"/>
      <c r="E2" s="141"/>
      <c r="F2" s="96"/>
    </row>
    <row r="3" spans="2:6" x14ac:dyDescent="0.25">
      <c r="B3" s="420" t="s">
        <v>16</v>
      </c>
      <c r="C3" s="420"/>
      <c r="D3" s="420"/>
      <c r="E3" s="420"/>
      <c r="F3" s="152"/>
    </row>
    <row r="4" spans="2:6" x14ac:dyDescent="0.25">
      <c r="B4" s="420" t="s">
        <v>25</v>
      </c>
      <c r="C4" s="420"/>
      <c r="D4" s="420"/>
      <c r="E4" s="420"/>
      <c r="F4" s="140"/>
    </row>
    <row r="5" spans="2:6" x14ac:dyDescent="0.25">
      <c r="B5" s="420" t="s">
        <v>17</v>
      </c>
      <c r="C5" s="420"/>
      <c r="D5" s="420"/>
      <c r="E5" s="420"/>
      <c r="F5" s="140"/>
    </row>
    <row r="6" spans="2:6" ht="25.5" x14ac:dyDescent="0.25">
      <c r="B6" s="21" t="s">
        <v>18</v>
      </c>
      <c r="C6" s="21" t="s">
        <v>19</v>
      </c>
      <c r="D6" s="22" t="s">
        <v>20</v>
      </c>
      <c r="E6" s="21" t="s">
        <v>21</v>
      </c>
      <c r="F6" s="140"/>
    </row>
    <row r="7" spans="2:6" x14ac:dyDescent="0.25">
      <c r="B7" s="23" t="s">
        <v>26</v>
      </c>
      <c r="C7" s="153">
        <v>2</v>
      </c>
      <c r="D7" s="154">
        <v>1200</v>
      </c>
      <c r="E7" s="144">
        <f t="shared" ref="E7:E12" si="0">D7*C7</f>
        <v>2400</v>
      </c>
      <c r="F7" s="140"/>
    </row>
    <row r="8" spans="2:6" x14ac:dyDescent="0.25">
      <c r="B8" s="23" t="s">
        <v>209</v>
      </c>
      <c r="C8" s="153">
        <v>2</v>
      </c>
      <c r="D8" s="154">
        <v>1500</v>
      </c>
      <c r="E8" s="144">
        <f t="shared" si="0"/>
        <v>3000</v>
      </c>
      <c r="F8" s="140"/>
    </row>
    <row r="9" spans="2:6" x14ac:dyDescent="0.25">
      <c r="B9" s="23" t="s">
        <v>27</v>
      </c>
      <c r="C9" s="153">
        <v>1</v>
      </c>
      <c r="D9" s="154">
        <v>10</v>
      </c>
      <c r="E9" s="144">
        <f t="shared" si="0"/>
        <v>10</v>
      </c>
      <c r="F9" s="152"/>
    </row>
    <row r="10" spans="2:6" x14ac:dyDescent="0.25">
      <c r="B10" s="23" t="s">
        <v>28</v>
      </c>
      <c r="C10" s="153">
        <v>2</v>
      </c>
      <c r="D10" s="154">
        <v>5</v>
      </c>
      <c r="E10" s="144">
        <f t="shared" si="0"/>
        <v>10</v>
      </c>
      <c r="F10" s="152"/>
    </row>
    <row r="11" spans="2:6" x14ac:dyDescent="0.25">
      <c r="B11" s="23" t="s">
        <v>29</v>
      </c>
      <c r="C11" s="153">
        <v>1</v>
      </c>
      <c r="D11" s="154">
        <v>25</v>
      </c>
      <c r="E11" s="144">
        <f t="shared" si="0"/>
        <v>25</v>
      </c>
      <c r="F11" s="152"/>
    </row>
    <row r="12" spans="2:6" x14ac:dyDescent="0.25">
      <c r="B12" s="23" t="s">
        <v>30</v>
      </c>
      <c r="C12" s="153">
        <v>5</v>
      </c>
      <c r="D12" s="154">
        <v>5</v>
      </c>
      <c r="E12" s="144">
        <f t="shared" si="0"/>
        <v>25</v>
      </c>
      <c r="F12" s="152"/>
    </row>
    <row r="13" spans="2:6" x14ac:dyDescent="0.25">
      <c r="B13" s="145" t="s">
        <v>23</v>
      </c>
      <c r="C13" s="146"/>
      <c r="D13" s="147"/>
      <c r="E13" s="148">
        <f>SUM(E7:E12)</f>
        <v>5470</v>
      </c>
      <c r="F13" s="140"/>
    </row>
    <row r="14" spans="2:6" x14ac:dyDescent="0.25">
      <c r="B14" s="149" t="s">
        <v>24</v>
      </c>
      <c r="C14" s="150"/>
      <c r="D14" s="150"/>
      <c r="E14" s="150"/>
      <c r="F14" s="140"/>
    </row>
    <row r="15" spans="2:6" x14ac:dyDescent="0.25">
      <c r="B15" s="149"/>
      <c r="C15" s="150"/>
      <c r="D15" s="150"/>
      <c r="E15" s="150"/>
      <c r="F15" s="140"/>
    </row>
    <row r="16" spans="2:6" x14ac:dyDescent="0.25">
      <c r="B16" s="420" t="s">
        <v>16</v>
      </c>
      <c r="C16" s="420"/>
      <c r="D16" s="420"/>
      <c r="E16" s="420"/>
      <c r="F16" s="140"/>
    </row>
    <row r="17" spans="2:6" x14ac:dyDescent="0.25">
      <c r="B17" s="420" t="s">
        <v>31</v>
      </c>
      <c r="C17" s="420"/>
      <c r="D17" s="420"/>
      <c r="E17" s="420"/>
      <c r="F17" s="140"/>
    </row>
    <row r="18" spans="2:6" x14ac:dyDescent="0.25">
      <c r="B18" s="421" t="s">
        <v>17</v>
      </c>
      <c r="C18" s="421"/>
      <c r="D18" s="421"/>
      <c r="E18" s="420"/>
      <c r="F18" s="140"/>
    </row>
    <row r="19" spans="2:6" ht="25.5" x14ac:dyDescent="0.25">
      <c r="B19" s="18" t="s">
        <v>18</v>
      </c>
      <c r="C19" s="19" t="s">
        <v>19</v>
      </c>
      <c r="D19" s="20" t="s">
        <v>20</v>
      </c>
      <c r="E19" s="21" t="s">
        <v>21</v>
      </c>
      <c r="F19" s="140"/>
    </row>
    <row r="20" spans="2:6" x14ac:dyDescent="0.25">
      <c r="B20" s="142" t="s">
        <v>32</v>
      </c>
      <c r="C20" s="307">
        <v>1</v>
      </c>
      <c r="D20" s="143">
        <v>4500</v>
      </c>
      <c r="E20" s="144">
        <f>D20*C20</f>
        <v>4500</v>
      </c>
      <c r="F20" s="140"/>
    </row>
    <row r="21" spans="2:6" x14ac:dyDescent="0.25">
      <c r="B21" s="142" t="s">
        <v>33</v>
      </c>
      <c r="C21" s="307">
        <v>1</v>
      </c>
      <c r="D21" s="143">
        <v>60</v>
      </c>
      <c r="E21" s="144">
        <f>D21*C21</f>
        <v>60</v>
      </c>
      <c r="F21" s="152"/>
    </row>
    <row r="22" spans="2:6" x14ac:dyDescent="0.25">
      <c r="B22" s="142" t="s">
        <v>210</v>
      </c>
      <c r="C22" s="307">
        <v>1</v>
      </c>
      <c r="D22" s="143">
        <v>3200</v>
      </c>
      <c r="E22" s="144">
        <f>D22*C22</f>
        <v>3200</v>
      </c>
      <c r="F22" s="152"/>
    </row>
    <row r="23" spans="2:6" x14ac:dyDescent="0.25">
      <c r="B23" s="142" t="s">
        <v>34</v>
      </c>
      <c r="C23" s="307">
        <v>1</v>
      </c>
      <c r="D23" s="143">
        <v>4500</v>
      </c>
      <c r="E23" s="144">
        <f>D23*C23</f>
        <v>4500</v>
      </c>
      <c r="F23" s="152"/>
    </row>
    <row r="24" spans="2:6" x14ac:dyDescent="0.25">
      <c r="B24" s="145" t="s">
        <v>23</v>
      </c>
      <c r="C24" s="146"/>
      <c r="D24" s="147"/>
      <c r="E24" s="148">
        <f>SUM(E20:E23)</f>
        <v>12260</v>
      </c>
      <c r="F24" s="152"/>
    </row>
    <row r="25" spans="2:6" x14ac:dyDescent="0.25">
      <c r="B25" s="149" t="s">
        <v>24</v>
      </c>
      <c r="C25" s="150"/>
      <c r="D25" s="155"/>
      <c r="E25" s="155"/>
      <c r="F25" s="152"/>
    </row>
    <row r="26" spans="2:6" x14ac:dyDescent="0.25">
      <c r="B26" s="151"/>
      <c r="C26" s="151"/>
      <c r="D26" s="151"/>
      <c r="E26" s="151"/>
      <c r="F26" s="140"/>
    </row>
    <row r="27" spans="2:6" x14ac:dyDescent="0.25">
      <c r="B27" s="420" t="s">
        <v>16</v>
      </c>
      <c r="C27" s="420"/>
      <c r="D27" s="420"/>
      <c r="E27" s="420"/>
      <c r="F27" s="140"/>
    </row>
    <row r="28" spans="2:6" x14ac:dyDescent="0.25">
      <c r="B28" s="420" t="s">
        <v>35</v>
      </c>
      <c r="C28" s="420"/>
      <c r="D28" s="420"/>
      <c r="E28" s="420"/>
      <c r="F28" s="140"/>
    </row>
    <row r="29" spans="2:6" x14ac:dyDescent="0.25">
      <c r="B29" s="421" t="s">
        <v>17</v>
      </c>
      <c r="C29" s="421"/>
      <c r="D29" s="421"/>
      <c r="E29" s="420"/>
      <c r="F29" s="140"/>
    </row>
    <row r="30" spans="2:6" ht="25.5" x14ac:dyDescent="0.25">
      <c r="B30" s="18" t="s">
        <v>18</v>
      </c>
      <c r="C30" s="19" t="s">
        <v>19</v>
      </c>
      <c r="D30" s="20" t="s">
        <v>20</v>
      </c>
      <c r="E30" s="21" t="s">
        <v>21</v>
      </c>
      <c r="F30" s="140"/>
    </row>
    <row r="31" spans="2:6" x14ac:dyDescent="0.25">
      <c r="B31" s="142" t="s">
        <v>36</v>
      </c>
      <c r="C31" s="307">
        <v>3</v>
      </c>
      <c r="D31" s="143">
        <v>10</v>
      </c>
      <c r="E31" s="144">
        <f t="shared" ref="E31:E39" si="1">D31*C31</f>
        <v>30</v>
      </c>
      <c r="F31" s="140"/>
    </row>
    <row r="32" spans="2:6" x14ac:dyDescent="0.25">
      <c r="B32" s="142" t="s">
        <v>37</v>
      </c>
      <c r="C32" s="307">
        <v>1</v>
      </c>
      <c r="D32" s="143">
        <v>8</v>
      </c>
      <c r="E32" s="144">
        <f t="shared" si="1"/>
        <v>8</v>
      </c>
      <c r="F32" s="140"/>
    </row>
    <row r="33" spans="2:6" x14ac:dyDescent="0.25">
      <c r="B33" s="156" t="s">
        <v>343</v>
      </c>
      <c r="C33" s="307">
        <v>2</v>
      </c>
      <c r="D33" s="143">
        <v>7.5</v>
      </c>
      <c r="E33" s="144">
        <f t="shared" si="1"/>
        <v>15</v>
      </c>
      <c r="F33" s="140"/>
    </row>
    <row r="34" spans="2:6" x14ac:dyDescent="0.25">
      <c r="B34" s="156" t="s">
        <v>346</v>
      </c>
      <c r="C34" s="307">
        <v>3</v>
      </c>
      <c r="D34" s="143">
        <v>25</v>
      </c>
      <c r="E34" s="144">
        <f t="shared" si="1"/>
        <v>75</v>
      </c>
      <c r="F34" s="140"/>
    </row>
    <row r="35" spans="2:6" x14ac:dyDescent="0.25">
      <c r="B35" s="156" t="s">
        <v>344</v>
      </c>
      <c r="C35" s="307">
        <v>2</v>
      </c>
      <c r="D35" s="143">
        <v>8</v>
      </c>
      <c r="E35" s="144">
        <f t="shared" si="1"/>
        <v>16</v>
      </c>
      <c r="F35" s="152"/>
    </row>
    <row r="36" spans="2:6" x14ac:dyDescent="0.25">
      <c r="B36" s="156" t="s">
        <v>345</v>
      </c>
      <c r="C36" s="307">
        <v>3</v>
      </c>
      <c r="D36" s="143">
        <v>5</v>
      </c>
      <c r="E36" s="144">
        <f t="shared" si="1"/>
        <v>15</v>
      </c>
      <c r="F36" s="152"/>
    </row>
    <row r="37" spans="2:6" x14ac:dyDescent="0.25">
      <c r="B37" s="156" t="s">
        <v>38</v>
      </c>
      <c r="C37" s="307">
        <v>2</v>
      </c>
      <c r="D37" s="143">
        <v>21</v>
      </c>
      <c r="E37" s="144">
        <f t="shared" si="1"/>
        <v>42</v>
      </c>
      <c r="F37" s="152"/>
    </row>
    <row r="38" spans="2:6" x14ac:dyDescent="0.25">
      <c r="B38" s="156" t="s">
        <v>39</v>
      </c>
      <c r="C38" s="307">
        <v>2</v>
      </c>
      <c r="D38" s="143">
        <v>20</v>
      </c>
      <c r="E38" s="144">
        <f t="shared" si="1"/>
        <v>40</v>
      </c>
      <c r="F38" s="152"/>
    </row>
    <row r="39" spans="2:6" x14ac:dyDescent="0.25">
      <c r="B39" s="156" t="s">
        <v>40</v>
      </c>
      <c r="C39" s="307">
        <v>3</v>
      </c>
      <c r="D39" s="143">
        <v>5</v>
      </c>
      <c r="E39" s="144">
        <f t="shared" si="1"/>
        <v>15</v>
      </c>
      <c r="F39" s="152"/>
    </row>
    <row r="40" spans="2:6" x14ac:dyDescent="0.25">
      <c r="B40" s="145" t="s">
        <v>23</v>
      </c>
      <c r="C40" s="146"/>
      <c r="D40" s="147"/>
      <c r="E40" s="148">
        <f>SUM(E31:E39)</f>
        <v>256</v>
      </c>
      <c r="F40" s="140"/>
    </row>
    <row r="41" spans="2:6" x14ac:dyDescent="0.25">
      <c r="B41" s="149" t="s">
        <v>24</v>
      </c>
      <c r="C41" s="150"/>
      <c r="D41" s="150"/>
      <c r="E41" s="150"/>
      <c r="F41" s="140"/>
    </row>
    <row r="42" spans="2:6" x14ac:dyDescent="0.25">
      <c r="B42" s="151"/>
      <c r="C42" s="151"/>
      <c r="D42" s="151"/>
      <c r="E42" s="151"/>
      <c r="F42" s="140"/>
    </row>
    <row r="43" spans="2:6" x14ac:dyDescent="0.25">
      <c r="B43" s="420" t="s">
        <v>16</v>
      </c>
      <c r="C43" s="420"/>
      <c r="D43" s="420"/>
      <c r="E43" s="420"/>
      <c r="F43" s="140"/>
    </row>
    <row r="44" spans="2:6" x14ac:dyDescent="0.25">
      <c r="B44" s="420" t="s">
        <v>347</v>
      </c>
      <c r="C44" s="420"/>
      <c r="D44" s="420"/>
      <c r="E44" s="420"/>
      <c r="F44" s="140"/>
    </row>
    <row r="45" spans="2:6" x14ac:dyDescent="0.25">
      <c r="B45" s="420" t="s">
        <v>17</v>
      </c>
      <c r="C45" s="420"/>
      <c r="D45" s="420"/>
      <c r="E45" s="420"/>
      <c r="F45" s="140"/>
    </row>
    <row r="46" spans="2:6" ht="25.5" x14ac:dyDescent="0.25">
      <c r="B46" s="24" t="s">
        <v>18</v>
      </c>
      <c r="C46" s="24" t="s">
        <v>19</v>
      </c>
      <c r="D46" s="24" t="s">
        <v>20</v>
      </c>
      <c r="E46" s="24" t="s">
        <v>21</v>
      </c>
      <c r="F46" s="96"/>
    </row>
    <row r="47" spans="2:6" ht="25.5" x14ac:dyDescent="0.25">
      <c r="B47" s="25" t="s">
        <v>348</v>
      </c>
      <c r="C47" s="43">
        <v>1</v>
      </c>
      <c r="D47" s="221">
        <v>1700</v>
      </c>
      <c r="E47" s="221">
        <f>C47*D47</f>
        <v>1700</v>
      </c>
    </row>
    <row r="48" spans="2:6" x14ac:dyDescent="0.25">
      <c r="B48" s="25"/>
      <c r="C48" s="43"/>
      <c r="D48" s="221"/>
      <c r="E48" s="221"/>
    </row>
    <row r="49" spans="2:5" x14ac:dyDescent="0.25">
      <c r="B49" s="158" t="s">
        <v>23</v>
      </c>
      <c r="C49" s="159"/>
      <c r="D49" s="309"/>
      <c r="E49" s="308">
        <f>SUM(E47:E48)</f>
        <v>1700</v>
      </c>
    </row>
    <row r="50" spans="2:5" x14ac:dyDescent="0.25">
      <c r="B50" s="149" t="s">
        <v>24</v>
      </c>
      <c r="C50" s="161"/>
      <c r="D50" s="161"/>
      <c r="E50" s="161"/>
    </row>
    <row r="51" spans="2:5" x14ac:dyDescent="0.25">
      <c r="B51" s="161"/>
      <c r="C51" s="161"/>
      <c r="D51" s="161"/>
      <c r="E51" s="161"/>
    </row>
    <row r="52" spans="2:5" x14ac:dyDescent="0.25">
      <c r="B52" s="420" t="s">
        <v>16</v>
      </c>
      <c r="C52" s="420"/>
      <c r="D52" s="420"/>
      <c r="E52" s="420"/>
    </row>
    <row r="53" spans="2:5" x14ac:dyDescent="0.25">
      <c r="B53" s="420" t="s">
        <v>41</v>
      </c>
      <c r="C53" s="420"/>
      <c r="D53" s="420"/>
      <c r="E53" s="420"/>
    </row>
    <row r="54" spans="2:5" x14ac:dyDescent="0.25">
      <c r="B54" s="420" t="s">
        <v>17</v>
      </c>
      <c r="C54" s="420"/>
      <c r="D54" s="420"/>
      <c r="E54" s="420"/>
    </row>
    <row r="55" spans="2:5" ht="25.5" x14ac:dyDescent="0.25">
      <c r="B55" s="24" t="s">
        <v>18</v>
      </c>
      <c r="C55" s="24" t="s">
        <v>19</v>
      </c>
      <c r="D55" s="24" t="s">
        <v>20</v>
      </c>
      <c r="E55" s="24" t="s">
        <v>21</v>
      </c>
    </row>
    <row r="56" spans="2:5" x14ac:dyDescent="0.25">
      <c r="B56" s="25" t="s">
        <v>42</v>
      </c>
      <c r="C56" s="43">
        <v>1</v>
      </c>
      <c r="D56" s="157">
        <v>120</v>
      </c>
      <c r="E56" s="157">
        <f>C56*D56</f>
        <v>120</v>
      </c>
    </row>
    <row r="57" spans="2:5" x14ac:dyDescent="0.25">
      <c r="B57" s="25" t="s">
        <v>43</v>
      </c>
      <c r="C57" s="43">
        <v>2</v>
      </c>
      <c r="D57" s="157">
        <v>250</v>
      </c>
      <c r="E57" s="157">
        <f>C57*D57</f>
        <v>500</v>
      </c>
    </row>
    <row r="58" spans="2:5" x14ac:dyDescent="0.25">
      <c r="B58" s="25" t="s">
        <v>44</v>
      </c>
      <c r="C58" s="43">
        <v>2</v>
      </c>
      <c r="D58" s="157">
        <v>100</v>
      </c>
      <c r="E58" s="157">
        <f>C58*D58</f>
        <v>200</v>
      </c>
    </row>
    <row r="59" spans="2:5" x14ac:dyDescent="0.25">
      <c r="B59" s="158" t="s">
        <v>23</v>
      </c>
      <c r="C59" s="159"/>
      <c r="D59" s="159"/>
      <c r="E59" s="160">
        <f>SUM(E56:E58)</f>
        <v>820</v>
      </c>
    </row>
    <row r="60" spans="2:5" x14ac:dyDescent="0.25">
      <c r="B60" s="149" t="s">
        <v>24</v>
      </c>
      <c r="C60" s="161"/>
      <c r="D60" s="161"/>
      <c r="E60" s="161"/>
    </row>
  </sheetData>
  <mergeCells count="15">
    <mergeCell ref="B3:E3"/>
    <mergeCell ref="B4:E4"/>
    <mergeCell ref="B5:E5"/>
    <mergeCell ref="B52:E52"/>
    <mergeCell ref="B53:E53"/>
    <mergeCell ref="B54:E54"/>
    <mergeCell ref="B16:E16"/>
    <mergeCell ref="B17:E17"/>
    <mergeCell ref="B18:E18"/>
    <mergeCell ref="B27:E27"/>
    <mergeCell ref="B28:E28"/>
    <mergeCell ref="B29:E29"/>
    <mergeCell ref="B43:E43"/>
    <mergeCell ref="B44:E44"/>
    <mergeCell ref="B45:E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opLeftCell="A3" zoomScale="69" zoomScaleNormal="69" workbookViewId="0">
      <selection activeCell="F14" sqref="F14"/>
    </sheetView>
  </sheetViews>
  <sheetFormatPr baseColWidth="10" defaultColWidth="10.7109375" defaultRowHeight="15" x14ac:dyDescent="0.25"/>
  <cols>
    <col min="3" max="3" width="23" customWidth="1"/>
    <col min="4" max="4" width="25.5703125" customWidth="1"/>
  </cols>
  <sheetData>
    <row r="2" spans="2:7" ht="27.75" x14ac:dyDescent="0.4">
      <c r="B2" s="182" t="s">
        <v>207</v>
      </c>
      <c r="D2" s="27"/>
    </row>
    <row r="3" spans="2:7" x14ac:dyDescent="0.25">
      <c r="D3" s="27"/>
    </row>
    <row r="4" spans="2:7" x14ac:dyDescent="0.25">
      <c r="D4" s="27"/>
    </row>
    <row r="5" spans="2:7" x14ac:dyDescent="0.25">
      <c r="D5" s="27"/>
    </row>
    <row r="6" spans="2:7" x14ac:dyDescent="0.25">
      <c r="B6" s="426" t="s">
        <v>45</v>
      </c>
      <c r="C6" s="427"/>
      <c r="D6" s="427"/>
      <c r="E6" s="427"/>
      <c r="F6" s="427"/>
      <c r="G6" s="427"/>
    </row>
    <row r="7" spans="2:7" x14ac:dyDescent="0.25">
      <c r="B7" s="426" t="s">
        <v>46</v>
      </c>
      <c r="C7" s="427"/>
      <c r="D7" s="427"/>
      <c r="E7" s="427"/>
      <c r="F7" s="427"/>
      <c r="G7" s="427"/>
    </row>
    <row r="8" spans="2:7" x14ac:dyDescent="0.25">
      <c r="B8" s="428" t="s">
        <v>17</v>
      </c>
      <c r="C8" s="429"/>
      <c r="D8" s="429"/>
      <c r="E8" s="429"/>
      <c r="F8" s="429"/>
      <c r="G8" s="429"/>
    </row>
    <row r="9" spans="2:7" ht="25.5" x14ac:dyDescent="0.25">
      <c r="B9" s="30" t="s">
        <v>47</v>
      </c>
      <c r="C9" s="30" t="s">
        <v>48</v>
      </c>
      <c r="D9" s="30" t="s">
        <v>18</v>
      </c>
      <c r="E9" s="30" t="s">
        <v>19</v>
      </c>
      <c r="F9" s="30" t="s">
        <v>49</v>
      </c>
      <c r="G9" s="30" t="s">
        <v>21</v>
      </c>
    </row>
    <row r="10" spans="2:7" ht="38.25" x14ac:dyDescent="0.25">
      <c r="B10" s="104">
        <v>1</v>
      </c>
      <c r="C10" s="104" t="s">
        <v>50</v>
      </c>
      <c r="D10" s="105" t="s">
        <v>51</v>
      </c>
      <c r="E10" s="32">
        <v>1</v>
      </c>
      <c r="F10" s="106">
        <v>192</v>
      </c>
      <c r="G10" s="106">
        <f>E10*F10</f>
        <v>192</v>
      </c>
    </row>
    <row r="11" spans="2:7" x14ac:dyDescent="0.25">
      <c r="B11" s="425">
        <v>2</v>
      </c>
      <c r="C11" s="425" t="s">
        <v>52</v>
      </c>
      <c r="D11" s="105" t="s">
        <v>361</v>
      </c>
      <c r="E11" s="32">
        <v>1</v>
      </c>
      <c r="F11" s="106">
        <v>3</v>
      </c>
      <c r="G11" s="106">
        <f t="shared" ref="G11:G21" si="0">E11*F11</f>
        <v>3</v>
      </c>
    </row>
    <row r="12" spans="2:7" x14ac:dyDescent="0.25">
      <c r="B12" s="425"/>
      <c r="C12" s="425"/>
      <c r="D12" s="105" t="s">
        <v>362</v>
      </c>
      <c r="E12" s="32">
        <v>1</v>
      </c>
      <c r="F12" s="106">
        <v>3</v>
      </c>
      <c r="G12" s="106">
        <f t="shared" si="0"/>
        <v>3</v>
      </c>
    </row>
    <row r="13" spans="2:7" x14ac:dyDescent="0.25">
      <c r="B13" s="425"/>
      <c r="C13" s="425"/>
      <c r="D13" s="105" t="s">
        <v>363</v>
      </c>
      <c r="E13" s="32">
        <v>1</v>
      </c>
      <c r="F13" s="106">
        <v>3</v>
      </c>
      <c r="G13" s="106">
        <f t="shared" si="0"/>
        <v>3</v>
      </c>
    </row>
    <row r="14" spans="2:7" ht="25.5" x14ac:dyDescent="0.25">
      <c r="B14" s="425"/>
      <c r="C14" s="425"/>
      <c r="D14" s="32" t="s">
        <v>364</v>
      </c>
      <c r="E14" s="32">
        <v>4</v>
      </c>
      <c r="F14" s="106">
        <v>100</v>
      </c>
      <c r="G14" s="106">
        <f t="shared" si="0"/>
        <v>400</v>
      </c>
    </row>
    <row r="15" spans="2:7" ht="40.5" customHeight="1" x14ac:dyDescent="0.25">
      <c r="B15" s="300">
        <v>3</v>
      </c>
      <c r="C15" s="300" t="s">
        <v>365</v>
      </c>
      <c r="D15" s="32" t="s">
        <v>368</v>
      </c>
      <c r="E15" s="32">
        <v>1</v>
      </c>
      <c r="F15" s="106">
        <v>500</v>
      </c>
      <c r="G15" s="106">
        <f t="shared" si="0"/>
        <v>500</v>
      </c>
    </row>
    <row r="16" spans="2:7" ht="30.75" customHeight="1" x14ac:dyDescent="0.25">
      <c r="B16" s="300">
        <v>4</v>
      </c>
      <c r="C16" s="300" t="s">
        <v>366</v>
      </c>
      <c r="D16" s="32" t="s">
        <v>369</v>
      </c>
      <c r="E16" s="32">
        <v>1</v>
      </c>
      <c r="F16" s="106">
        <v>510</v>
      </c>
      <c r="G16" s="106">
        <f t="shared" si="0"/>
        <v>510</v>
      </c>
    </row>
    <row r="17" spans="1:7" ht="40.5" customHeight="1" x14ac:dyDescent="0.25">
      <c r="B17" s="104">
        <v>5</v>
      </c>
      <c r="C17" s="350" t="s">
        <v>367</v>
      </c>
      <c r="D17" s="106" t="s">
        <v>370</v>
      </c>
      <c r="E17" s="351">
        <v>1</v>
      </c>
      <c r="F17" s="106">
        <v>37</v>
      </c>
      <c r="G17" s="106">
        <f t="shared" si="0"/>
        <v>37</v>
      </c>
    </row>
    <row r="18" spans="1:7" ht="35.25" customHeight="1" x14ac:dyDescent="0.25">
      <c r="A18" s="164"/>
      <c r="B18" s="425">
        <v>6</v>
      </c>
      <c r="C18" s="425" t="s">
        <v>53</v>
      </c>
      <c r="D18" s="32" t="s">
        <v>54</v>
      </c>
      <c r="E18" s="32">
        <v>1</v>
      </c>
      <c r="F18" s="106">
        <v>50</v>
      </c>
      <c r="G18" s="106">
        <f t="shared" si="0"/>
        <v>50</v>
      </c>
    </row>
    <row r="19" spans="1:7" ht="38.25" x14ac:dyDescent="0.25">
      <c r="B19" s="425"/>
      <c r="C19" s="425"/>
      <c r="D19" s="32" t="s">
        <v>55</v>
      </c>
      <c r="E19" s="32">
        <v>1</v>
      </c>
      <c r="F19" s="106">
        <v>50</v>
      </c>
      <c r="G19" s="106">
        <f t="shared" si="0"/>
        <v>50</v>
      </c>
    </row>
    <row r="20" spans="1:7" ht="25.5" x14ac:dyDescent="0.25">
      <c r="B20" s="425"/>
      <c r="C20" s="425"/>
      <c r="D20" s="105" t="s">
        <v>56</v>
      </c>
      <c r="E20" s="32">
        <v>1</v>
      </c>
      <c r="F20" s="106">
        <v>50</v>
      </c>
      <c r="G20" s="106">
        <f t="shared" si="0"/>
        <v>50</v>
      </c>
    </row>
    <row r="21" spans="1:7" ht="38.25" x14ac:dyDescent="0.25">
      <c r="B21" s="104">
        <v>7</v>
      </c>
      <c r="C21" s="107" t="s">
        <v>57</v>
      </c>
      <c r="D21" s="105" t="s">
        <v>58</v>
      </c>
      <c r="E21" s="32">
        <v>1</v>
      </c>
      <c r="F21" s="106">
        <v>300</v>
      </c>
      <c r="G21" s="106">
        <f t="shared" si="0"/>
        <v>300</v>
      </c>
    </row>
    <row r="22" spans="1:7" x14ac:dyDescent="0.25">
      <c r="B22" s="422" t="s">
        <v>23</v>
      </c>
      <c r="C22" s="423"/>
      <c r="D22" s="423"/>
      <c r="E22" s="423"/>
      <c r="F22" s="424"/>
      <c r="G22" s="348">
        <f>SUM(G10:G21)</f>
        <v>2098</v>
      </c>
    </row>
    <row r="23" spans="1:7" x14ac:dyDescent="0.25">
      <c r="D23" s="27"/>
    </row>
  </sheetData>
  <mergeCells count="8">
    <mergeCell ref="B22:F22"/>
    <mergeCell ref="B18:B20"/>
    <mergeCell ref="C18:C20"/>
    <mergeCell ref="B6:G6"/>
    <mergeCell ref="B7:G7"/>
    <mergeCell ref="B8:G8"/>
    <mergeCell ref="B11:B14"/>
    <mergeCell ref="C11:C14"/>
  </mergeCells>
  <pageMargins left="0.7" right="0.7" top="0.75" bottom="0.75" header="0.3" footer="0.3"/>
  <pageSetup paperSize="34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opLeftCell="A5" zoomScale="71" zoomScaleNormal="71" workbookViewId="0">
      <selection activeCell="B5" sqref="B5:F5"/>
    </sheetView>
  </sheetViews>
  <sheetFormatPr baseColWidth="10" defaultColWidth="11.42578125" defaultRowHeight="15" x14ac:dyDescent="0.25"/>
  <cols>
    <col min="1" max="1" width="11.42578125" style="164"/>
    <col min="2" max="2" width="26.5703125" style="164" customWidth="1"/>
    <col min="3" max="3" width="17.7109375" style="164" customWidth="1"/>
    <col min="4" max="4" width="20.42578125" style="164" customWidth="1"/>
    <col min="5" max="5" width="16" style="164" customWidth="1"/>
    <col min="6" max="6" width="16.85546875" style="164" customWidth="1"/>
    <col min="7" max="7" width="12.85546875" style="164" customWidth="1"/>
    <col min="8" max="8" width="14" style="164" customWidth="1"/>
    <col min="9" max="9" width="21.85546875" style="164" customWidth="1"/>
    <col min="10" max="10" width="15.7109375" style="164" customWidth="1"/>
    <col min="11" max="11" width="14.5703125" style="164" customWidth="1"/>
    <col min="12" max="12" width="17.42578125" style="164" customWidth="1"/>
    <col min="13" max="13" width="13.85546875" style="164" customWidth="1"/>
    <col min="14" max="14" width="13" style="164" customWidth="1"/>
    <col min="15" max="16384" width="11.42578125" style="164"/>
  </cols>
  <sheetData>
    <row r="1" spans="1:12" ht="28.5" thickBot="1" x14ac:dyDescent="0.3">
      <c r="A1" s="162"/>
      <c r="B1" s="183" t="s">
        <v>59</v>
      </c>
      <c r="C1" s="184"/>
      <c r="D1" s="184"/>
      <c r="E1" s="184"/>
      <c r="F1" s="184"/>
      <c r="G1" s="163"/>
      <c r="H1" s="162"/>
      <c r="I1" s="162"/>
      <c r="J1" s="162"/>
      <c r="K1" s="162"/>
      <c r="L1" s="162"/>
    </row>
    <row r="2" spans="1:12" ht="21" thickBot="1" x14ac:dyDescent="0.3">
      <c r="A2" s="165"/>
      <c r="B2" s="185" t="s">
        <v>60</v>
      </c>
      <c r="C2" s="186"/>
      <c r="D2" s="165"/>
      <c r="E2" s="165"/>
      <c r="F2" s="162"/>
      <c r="G2" s="163"/>
      <c r="H2" s="166"/>
      <c r="I2" s="166"/>
      <c r="J2" s="166"/>
      <c r="K2" s="162"/>
      <c r="L2" s="162"/>
    </row>
    <row r="3" spans="1:12" ht="16.5" thickBot="1" x14ac:dyDescent="0.3">
      <c r="A3" s="165"/>
      <c r="B3" s="167"/>
      <c r="C3" s="168"/>
      <c r="D3" s="169"/>
      <c r="E3" s="169"/>
      <c r="F3" s="170"/>
      <c r="G3" s="163"/>
      <c r="H3" s="166"/>
      <c r="I3" s="166"/>
      <c r="J3" s="166"/>
      <c r="K3" s="162"/>
      <c r="L3" s="162"/>
    </row>
    <row r="4" spans="1:12" ht="16.5" thickBot="1" x14ac:dyDescent="0.3">
      <c r="A4" s="165"/>
      <c r="B4" s="433" t="s">
        <v>45</v>
      </c>
      <c r="C4" s="434"/>
      <c r="D4" s="434"/>
      <c r="E4" s="434"/>
      <c r="F4" s="434"/>
      <c r="G4" s="132"/>
      <c r="H4" s="166"/>
      <c r="I4" s="162"/>
      <c r="J4" s="162"/>
      <c r="K4" s="162"/>
      <c r="L4" s="162"/>
    </row>
    <row r="5" spans="1:12" ht="16.5" thickBot="1" x14ac:dyDescent="0.3">
      <c r="A5" s="165"/>
      <c r="B5" s="435" t="s">
        <v>403</v>
      </c>
      <c r="C5" s="436"/>
      <c r="D5" s="436"/>
      <c r="E5" s="436"/>
      <c r="F5" s="436"/>
      <c r="G5" s="162"/>
      <c r="H5" s="162"/>
      <c r="I5" s="162"/>
      <c r="J5" s="162"/>
      <c r="K5" s="162"/>
      <c r="L5" s="162"/>
    </row>
    <row r="6" spans="1:12" ht="16.5" thickBot="1" x14ac:dyDescent="0.3">
      <c r="A6" s="165"/>
      <c r="B6" s="437" t="s">
        <v>17</v>
      </c>
      <c r="C6" s="438"/>
      <c r="D6" s="438"/>
      <c r="E6" s="438"/>
      <c r="F6" s="438"/>
      <c r="G6" s="162"/>
      <c r="H6" s="162"/>
      <c r="I6" s="162"/>
      <c r="J6" s="162"/>
      <c r="K6" s="162"/>
      <c r="L6" s="162"/>
    </row>
    <row r="7" spans="1:12" ht="34.5" customHeight="1" thickBot="1" x14ac:dyDescent="0.3">
      <c r="A7" s="171"/>
      <c r="B7" s="123" t="s">
        <v>61</v>
      </c>
      <c r="C7" s="123" t="s">
        <v>19</v>
      </c>
      <c r="D7" s="123" t="s">
        <v>62</v>
      </c>
      <c r="E7" s="123" t="s">
        <v>20</v>
      </c>
      <c r="F7" s="123" t="s">
        <v>63</v>
      </c>
      <c r="G7" s="173"/>
      <c r="H7" s="173"/>
      <c r="I7" s="173"/>
      <c r="J7" s="173"/>
      <c r="K7" s="173"/>
      <c r="L7" s="162"/>
    </row>
    <row r="8" spans="1:12" ht="16.5" thickBot="1" x14ac:dyDescent="0.3">
      <c r="A8" s="171"/>
      <c r="B8" s="124" t="s">
        <v>65</v>
      </c>
      <c r="C8" s="316">
        <v>26</v>
      </c>
      <c r="D8" s="125" t="s">
        <v>66</v>
      </c>
      <c r="E8" s="126">
        <v>265</v>
      </c>
      <c r="F8" s="127">
        <f>C8*E8</f>
        <v>6890</v>
      </c>
      <c r="G8" s="122"/>
      <c r="H8" s="439" t="s">
        <v>171</v>
      </c>
      <c r="I8" s="439"/>
      <c r="J8" s="439"/>
      <c r="K8" s="439"/>
      <c r="L8" s="162"/>
    </row>
    <row r="9" spans="1:12" ht="16.5" thickBot="1" x14ac:dyDescent="0.3">
      <c r="A9" s="171"/>
      <c r="B9" s="124" t="s">
        <v>67</v>
      </c>
      <c r="C9" s="316">
        <v>18</v>
      </c>
      <c r="D9" s="125" t="s">
        <v>66</v>
      </c>
      <c r="E9" s="126">
        <v>210</v>
      </c>
      <c r="F9" s="127">
        <f t="shared" ref="F9:F14" si="0">C9*E9</f>
        <v>3780</v>
      </c>
      <c r="G9" s="122"/>
      <c r="H9" s="439" t="s">
        <v>172</v>
      </c>
      <c r="I9" s="439"/>
      <c r="J9" s="439"/>
      <c r="K9" s="439"/>
      <c r="L9" s="162"/>
    </row>
    <row r="10" spans="1:12" ht="16.5" thickBot="1" x14ac:dyDescent="0.3">
      <c r="A10" s="171"/>
      <c r="B10" s="124" t="s">
        <v>68</v>
      </c>
      <c r="C10" s="316">
        <v>600</v>
      </c>
      <c r="D10" s="125" t="s">
        <v>69</v>
      </c>
      <c r="E10" s="126">
        <v>12</v>
      </c>
      <c r="F10" s="127">
        <f t="shared" si="0"/>
        <v>7200</v>
      </c>
      <c r="G10" s="122"/>
      <c r="H10" s="440" t="s">
        <v>64</v>
      </c>
      <c r="I10" s="440"/>
      <c r="J10" s="440"/>
      <c r="K10" s="440"/>
      <c r="L10" s="162"/>
    </row>
    <row r="11" spans="1:12" ht="16.5" thickBot="1" x14ac:dyDescent="0.3">
      <c r="A11" s="171"/>
      <c r="B11" s="124" t="s">
        <v>70</v>
      </c>
      <c r="C11" s="316">
        <v>10</v>
      </c>
      <c r="D11" s="125" t="s">
        <v>69</v>
      </c>
      <c r="E11" s="126">
        <v>1</v>
      </c>
      <c r="F11" s="127">
        <f t="shared" si="0"/>
        <v>10</v>
      </c>
      <c r="G11" s="122"/>
      <c r="H11" s="175"/>
      <c r="I11" s="173"/>
      <c r="J11" s="173"/>
      <c r="K11" s="173"/>
      <c r="L11" s="162"/>
    </row>
    <row r="12" spans="1:12" ht="16.5" thickBot="1" x14ac:dyDescent="0.3">
      <c r="A12" s="171"/>
      <c r="B12" s="124" t="s">
        <v>71</v>
      </c>
      <c r="C12" s="316">
        <v>220</v>
      </c>
      <c r="D12" s="125" t="s">
        <v>69</v>
      </c>
      <c r="E12" s="126">
        <v>18</v>
      </c>
      <c r="F12" s="127">
        <f t="shared" si="0"/>
        <v>3960</v>
      </c>
      <c r="G12" s="122"/>
      <c r="H12" s="175"/>
      <c r="I12" s="173"/>
      <c r="J12" s="173"/>
      <c r="K12" s="173"/>
      <c r="L12" s="162"/>
    </row>
    <row r="13" spans="1:12" ht="16.5" thickBot="1" x14ac:dyDescent="0.3">
      <c r="A13" s="171"/>
      <c r="B13" s="124" t="s">
        <v>72</v>
      </c>
      <c r="C13" s="316">
        <v>3</v>
      </c>
      <c r="D13" s="125" t="s">
        <v>66</v>
      </c>
      <c r="E13" s="126">
        <v>165</v>
      </c>
      <c r="F13" s="127">
        <f t="shared" si="0"/>
        <v>495</v>
      </c>
      <c r="G13" s="122"/>
      <c r="H13" s="175"/>
      <c r="I13" s="173"/>
      <c r="J13" s="173"/>
      <c r="K13" s="173"/>
      <c r="L13" s="162"/>
    </row>
    <row r="14" spans="1:12" ht="16.5" thickBot="1" x14ac:dyDescent="0.3">
      <c r="A14" s="171"/>
      <c r="B14" s="124" t="s">
        <v>73</v>
      </c>
      <c r="C14" s="316">
        <v>2800</v>
      </c>
      <c r="D14" s="125" t="s">
        <v>74</v>
      </c>
      <c r="E14" s="126">
        <v>1</v>
      </c>
      <c r="F14" s="127">
        <f t="shared" si="0"/>
        <v>2800</v>
      </c>
      <c r="G14" s="122"/>
      <c r="H14" s="441" t="s">
        <v>173</v>
      </c>
      <c r="I14" s="441"/>
      <c r="J14" s="441"/>
      <c r="K14" s="441"/>
      <c r="L14" s="162"/>
    </row>
    <row r="15" spans="1:12" ht="16.5" thickBot="1" x14ac:dyDescent="0.3">
      <c r="A15" s="171"/>
      <c r="B15" s="135" t="s">
        <v>75</v>
      </c>
      <c r="C15" s="316">
        <v>45</v>
      </c>
      <c r="D15" s="125" t="s">
        <v>76</v>
      </c>
      <c r="E15" s="126">
        <v>23</v>
      </c>
      <c r="F15" s="127">
        <f>C15*E15</f>
        <v>1035</v>
      </c>
      <c r="G15" s="173"/>
      <c r="H15" s="176" t="s">
        <v>174</v>
      </c>
      <c r="I15" s="136">
        <f>I18*10</f>
        <v>4.0261538461538464</v>
      </c>
      <c r="J15" s="136"/>
      <c r="K15" s="173"/>
      <c r="L15" s="162"/>
    </row>
    <row r="16" spans="1:12" ht="16.5" thickBot="1" x14ac:dyDescent="0.3">
      <c r="A16" s="171"/>
      <c r="B16" s="124"/>
      <c r="C16" s="125"/>
      <c r="D16" s="125"/>
      <c r="E16" s="126"/>
      <c r="F16" s="127"/>
      <c r="G16" s="173"/>
      <c r="H16" s="173"/>
      <c r="I16" s="173"/>
      <c r="J16" s="173"/>
      <c r="K16" s="173"/>
      <c r="L16" s="162"/>
    </row>
    <row r="17" spans="1:12" ht="16.5" thickBot="1" x14ac:dyDescent="0.3">
      <c r="A17" s="171"/>
      <c r="B17" s="442" t="s">
        <v>21</v>
      </c>
      <c r="C17" s="443"/>
      <c r="D17" s="443"/>
      <c r="E17" s="444"/>
      <c r="F17" s="128">
        <f>SUM(F8:F16)</f>
        <v>26170</v>
      </c>
      <c r="G17" s="173"/>
      <c r="H17" s="445" t="s">
        <v>175</v>
      </c>
      <c r="I17" s="445"/>
      <c r="J17" s="445"/>
      <c r="K17" s="445"/>
      <c r="L17" s="162"/>
    </row>
    <row r="18" spans="1:12" ht="15.75" x14ac:dyDescent="0.25">
      <c r="A18" s="172"/>
      <c r="B18" s="430" t="s">
        <v>77</v>
      </c>
      <c r="C18" s="431"/>
      <c r="D18" s="432"/>
      <c r="E18" s="129"/>
      <c r="F18" s="130">
        <f>F17*3</f>
        <v>78510</v>
      </c>
      <c r="G18" s="173"/>
      <c r="H18" s="176" t="s">
        <v>174</v>
      </c>
      <c r="I18" s="131">
        <f>F17/65000</f>
        <v>0.4026153846153846</v>
      </c>
      <c r="J18" s="131"/>
      <c r="K18" s="173"/>
      <c r="L18" s="162"/>
    </row>
    <row r="19" spans="1:12" ht="15.75" x14ac:dyDescent="0.25">
      <c r="A19" s="132"/>
      <c r="B19" s="446" t="s">
        <v>24</v>
      </c>
      <c r="C19" s="446"/>
      <c r="D19" s="122"/>
      <c r="E19" s="122"/>
      <c r="F19" s="139"/>
      <c r="G19" s="122"/>
      <c r="H19" s="174"/>
      <c r="I19" s="173"/>
      <c r="J19" s="173"/>
      <c r="K19" s="173"/>
      <c r="L19" s="162"/>
    </row>
    <row r="20" spans="1:12" ht="15.75" x14ac:dyDescent="0.25">
      <c r="A20" s="132"/>
      <c r="B20" s="122"/>
      <c r="C20" s="122"/>
      <c r="D20" s="122"/>
      <c r="E20" s="122"/>
      <c r="F20" s="122"/>
      <c r="G20" s="122"/>
      <c r="H20" s="174"/>
      <c r="I20" s="174"/>
      <c r="J20" s="174"/>
      <c r="K20" s="174"/>
      <c r="L20" s="162"/>
    </row>
    <row r="21" spans="1:12" ht="15.75" customHeight="1" x14ac:dyDescent="0.25">
      <c r="A21" s="132"/>
      <c r="B21" s="188" t="s">
        <v>78</v>
      </c>
      <c r="C21" s="187"/>
      <c r="D21" s="187"/>
      <c r="E21" s="187"/>
      <c r="F21" s="187"/>
      <c r="G21" s="122"/>
      <c r="H21" s="174"/>
      <c r="I21" s="174"/>
      <c r="J21" s="174"/>
      <c r="K21" s="174"/>
      <c r="L21" s="162"/>
    </row>
    <row r="22" spans="1:12" ht="15.75" x14ac:dyDescent="0.25">
      <c r="A22" s="132"/>
      <c r="B22" s="133"/>
      <c r="C22" s="134"/>
      <c r="D22" s="134"/>
      <c r="E22" s="134"/>
      <c r="F22" s="122"/>
      <c r="G22" s="122"/>
      <c r="H22" s="174"/>
      <c r="I22" s="174"/>
      <c r="J22" s="174"/>
      <c r="K22" s="174"/>
      <c r="L22" s="162"/>
    </row>
    <row r="23" spans="1:12" ht="15.75" x14ac:dyDescent="0.25">
      <c r="A23" s="132"/>
      <c r="B23" s="447" t="s">
        <v>45</v>
      </c>
      <c r="C23" s="448"/>
      <c r="D23" s="448"/>
      <c r="E23" s="448"/>
      <c r="F23" s="448"/>
      <c r="G23" s="448"/>
      <c r="H23" s="174"/>
      <c r="I23" s="174"/>
      <c r="J23" s="174"/>
      <c r="K23" s="174"/>
      <c r="L23" s="162"/>
    </row>
    <row r="24" spans="1:12" ht="15.75" x14ac:dyDescent="0.25">
      <c r="A24" s="132"/>
      <c r="B24" s="447" t="s">
        <v>375</v>
      </c>
      <c r="C24" s="448"/>
      <c r="D24" s="448"/>
      <c r="E24" s="448"/>
      <c r="F24" s="448"/>
      <c r="G24" s="448"/>
      <c r="H24" s="173"/>
      <c r="I24" s="173"/>
      <c r="J24" s="173"/>
      <c r="K24" s="174"/>
      <c r="L24" s="162"/>
    </row>
    <row r="25" spans="1:12" ht="15.75" x14ac:dyDescent="0.25">
      <c r="A25" s="132"/>
      <c r="B25" s="449" t="s">
        <v>17</v>
      </c>
      <c r="C25" s="450"/>
      <c r="D25" s="450"/>
      <c r="E25" s="450"/>
      <c r="F25" s="450"/>
      <c r="G25" s="450"/>
      <c r="H25" s="173"/>
      <c r="I25" s="173"/>
      <c r="J25" s="173"/>
      <c r="K25" s="174"/>
      <c r="L25" s="162"/>
    </row>
    <row r="26" spans="1:12" ht="48" customHeight="1" x14ac:dyDescent="0.25">
      <c r="A26" s="132"/>
      <c r="B26" s="46" t="s">
        <v>18</v>
      </c>
      <c r="C26" s="46" t="s">
        <v>19</v>
      </c>
      <c r="D26" s="46" t="s">
        <v>62</v>
      </c>
      <c r="E26" s="46" t="s">
        <v>80</v>
      </c>
      <c r="F26" s="46" t="s">
        <v>81</v>
      </c>
      <c r="G26" s="46" t="s">
        <v>82</v>
      </c>
      <c r="H26" s="173"/>
    </row>
    <row r="27" spans="1:12" ht="15.75" x14ac:dyDescent="0.25">
      <c r="A27" s="132"/>
      <c r="B27" s="135" t="s">
        <v>83</v>
      </c>
      <c r="C27" s="125">
        <v>210</v>
      </c>
      <c r="D27" s="125" t="s">
        <v>84</v>
      </c>
      <c r="E27" s="177">
        <v>0.84</v>
      </c>
      <c r="F27" s="127">
        <f>E27*C27</f>
        <v>176.4</v>
      </c>
      <c r="G27" s="177">
        <f>F27*12</f>
        <v>2116.8000000000002</v>
      </c>
      <c r="H27" s="136"/>
    </row>
    <row r="28" spans="1:12" ht="15.75" x14ac:dyDescent="0.25">
      <c r="A28" s="132"/>
      <c r="B28" s="124" t="s">
        <v>373</v>
      </c>
      <c r="C28" s="125">
        <v>6</v>
      </c>
      <c r="D28" s="125" t="s">
        <v>87</v>
      </c>
      <c r="E28" s="177">
        <v>10</v>
      </c>
      <c r="F28" s="127">
        <f>E28*C28</f>
        <v>60</v>
      </c>
      <c r="G28" s="177">
        <f>F28*12</f>
        <v>720</v>
      </c>
      <c r="H28" s="174"/>
    </row>
    <row r="29" spans="1:12" ht="15.75" x14ac:dyDescent="0.25">
      <c r="A29" s="132"/>
      <c r="B29" s="124" t="s">
        <v>86</v>
      </c>
      <c r="C29" s="125">
        <v>8</v>
      </c>
      <c r="D29" s="137" t="s">
        <v>87</v>
      </c>
      <c r="E29" s="177">
        <v>2.4</v>
      </c>
      <c r="F29" s="127">
        <f>E29*C29</f>
        <v>19.2</v>
      </c>
      <c r="G29" s="177">
        <f>F29*12</f>
        <v>230.39999999999998</v>
      </c>
      <c r="H29" s="174"/>
    </row>
    <row r="30" spans="1:12" ht="15.75" x14ac:dyDescent="0.25">
      <c r="A30" s="132"/>
      <c r="B30" s="451" t="s">
        <v>21</v>
      </c>
      <c r="C30" s="452"/>
      <c r="D30" s="452"/>
      <c r="E30" s="453"/>
      <c r="F30" s="178">
        <f>SUM(F27:F29)</f>
        <v>255.6</v>
      </c>
      <c r="G30" s="178">
        <f>SUM(G27:G29)</f>
        <v>3067.2000000000003</v>
      </c>
      <c r="H30" s="174"/>
    </row>
    <row r="31" spans="1:12" ht="15.75" x14ac:dyDescent="0.25">
      <c r="A31" s="132"/>
      <c r="B31" s="430" t="s">
        <v>88</v>
      </c>
      <c r="C31" s="431"/>
      <c r="D31" s="431"/>
      <c r="E31" s="432"/>
      <c r="F31" s="179">
        <f>F30*3</f>
        <v>766.8</v>
      </c>
      <c r="G31" s="177"/>
      <c r="H31" s="174"/>
    </row>
    <row r="32" spans="1:12" ht="15.75" x14ac:dyDescent="0.25">
      <c r="A32" s="132"/>
      <c r="B32" s="454" t="s">
        <v>89</v>
      </c>
      <c r="C32" s="454"/>
      <c r="D32" s="122"/>
      <c r="E32" s="122"/>
      <c r="F32" s="122"/>
      <c r="G32" s="122"/>
      <c r="H32" s="174"/>
      <c r="I32" s="174"/>
      <c r="J32" s="174"/>
      <c r="K32" s="174"/>
      <c r="L32" s="162"/>
    </row>
    <row r="33" spans="1:12" ht="15.75" x14ac:dyDescent="0.25">
      <c r="A33" s="162"/>
      <c r="B33" s="173"/>
      <c r="C33" s="173"/>
      <c r="D33" s="173"/>
      <c r="E33" s="173"/>
      <c r="F33" s="173"/>
      <c r="G33" s="173"/>
      <c r="H33" s="173"/>
      <c r="I33" s="173"/>
      <c r="J33" s="173"/>
      <c r="K33" s="173"/>
      <c r="L33" s="162"/>
    </row>
    <row r="34" spans="1:12" ht="15.75" x14ac:dyDescent="0.25">
      <c r="A34" s="162"/>
      <c r="B34" s="447" t="s">
        <v>45</v>
      </c>
      <c r="C34" s="448"/>
      <c r="D34" s="448"/>
      <c r="E34" s="448"/>
      <c r="F34" s="448"/>
      <c r="G34" s="448"/>
      <c r="H34" s="173"/>
      <c r="I34" s="173"/>
      <c r="J34" s="173"/>
      <c r="K34" s="173"/>
      <c r="L34" s="162"/>
    </row>
    <row r="35" spans="1:12" ht="15.75" x14ac:dyDescent="0.25">
      <c r="A35" s="162"/>
      <c r="B35" s="447" t="s">
        <v>374</v>
      </c>
      <c r="C35" s="448"/>
      <c r="D35" s="448"/>
      <c r="E35" s="448"/>
      <c r="F35" s="448"/>
      <c r="G35" s="448"/>
      <c r="H35" s="173"/>
      <c r="I35" s="173"/>
      <c r="J35" s="173"/>
      <c r="K35" s="173"/>
      <c r="L35" s="162"/>
    </row>
    <row r="36" spans="1:12" ht="15.75" x14ac:dyDescent="0.25">
      <c r="A36" s="162"/>
      <c r="B36" s="449" t="s">
        <v>17</v>
      </c>
      <c r="C36" s="450"/>
      <c r="D36" s="450"/>
      <c r="E36" s="450"/>
      <c r="F36" s="450"/>
      <c r="G36" s="450"/>
      <c r="H36" s="173"/>
      <c r="I36" s="173"/>
      <c r="J36" s="173"/>
      <c r="K36" s="173"/>
      <c r="L36" s="162"/>
    </row>
    <row r="37" spans="1:12" ht="34.5" customHeight="1" x14ac:dyDescent="0.25">
      <c r="A37" s="162"/>
      <c r="B37" s="116" t="s">
        <v>18</v>
      </c>
      <c r="C37" s="116" t="s">
        <v>371</v>
      </c>
      <c r="D37" s="116" t="s">
        <v>372</v>
      </c>
      <c r="E37" s="116" t="s">
        <v>62</v>
      </c>
      <c r="F37" s="116" t="s">
        <v>80</v>
      </c>
      <c r="G37" s="116" t="s">
        <v>81</v>
      </c>
      <c r="H37" s="116" t="s">
        <v>82</v>
      </c>
    </row>
    <row r="38" spans="1:12" ht="15.75" x14ac:dyDescent="0.25">
      <c r="A38" s="162"/>
      <c r="B38" s="352" t="s">
        <v>83</v>
      </c>
      <c r="C38" s="356">
        <v>0.8</v>
      </c>
      <c r="D38" s="32">
        <f>$C$27*C38</f>
        <v>168</v>
      </c>
      <c r="E38" s="32" t="s">
        <v>84</v>
      </c>
      <c r="F38" s="353">
        <f>$E$27</f>
        <v>0.84</v>
      </c>
      <c r="G38" s="33">
        <f>F38*D38</f>
        <v>141.12</v>
      </c>
      <c r="H38" s="353">
        <f>G38*12</f>
        <v>1693.44</v>
      </c>
    </row>
    <row r="39" spans="1:12" ht="15.75" x14ac:dyDescent="0.25">
      <c r="A39" s="162"/>
      <c r="B39" s="31" t="s">
        <v>85</v>
      </c>
      <c r="C39" s="357">
        <v>0.9</v>
      </c>
      <c r="D39" s="32">
        <f>$C$28*C39</f>
        <v>5.4</v>
      </c>
      <c r="E39" s="43" t="s">
        <v>87</v>
      </c>
      <c r="F39" s="353">
        <f>$E$28</f>
        <v>10</v>
      </c>
      <c r="G39" s="33">
        <f>F39*D39</f>
        <v>54</v>
      </c>
      <c r="H39" s="353">
        <f>G39*12</f>
        <v>648</v>
      </c>
    </row>
    <row r="40" spans="1:12" ht="15.75" x14ac:dyDescent="0.25">
      <c r="A40" s="162"/>
      <c r="B40" s="31" t="s">
        <v>86</v>
      </c>
      <c r="C40" s="357">
        <v>0.8</v>
      </c>
      <c r="D40" s="32">
        <f>$C$29*C40</f>
        <v>6.4</v>
      </c>
      <c r="E40" s="43" t="s">
        <v>87</v>
      </c>
      <c r="F40" s="353">
        <f>$E$29</f>
        <v>2.4</v>
      </c>
      <c r="G40" s="33">
        <f>F40*D40</f>
        <v>15.36</v>
      </c>
      <c r="H40" s="353">
        <f>G40*12</f>
        <v>184.32</v>
      </c>
    </row>
    <row r="41" spans="1:12" ht="15.75" x14ac:dyDescent="0.25">
      <c r="A41" s="162"/>
      <c r="B41" s="422" t="s">
        <v>21</v>
      </c>
      <c r="C41" s="423"/>
      <c r="D41" s="423"/>
      <c r="E41" s="423"/>
      <c r="F41" s="424"/>
      <c r="G41" s="354">
        <f>SUM(G38:G40)</f>
        <v>210.48000000000002</v>
      </c>
      <c r="H41" s="354">
        <f>SUM(H38:H40)</f>
        <v>2525.7600000000002</v>
      </c>
    </row>
    <row r="42" spans="1:12" ht="15.75" x14ac:dyDescent="0.25">
      <c r="A42" s="162"/>
      <c r="B42" s="471" t="s">
        <v>88</v>
      </c>
      <c r="C42" s="472"/>
      <c r="D42" s="472"/>
      <c r="E42" s="472"/>
      <c r="F42" s="473"/>
      <c r="G42" s="355">
        <f>G41*3</f>
        <v>631.44000000000005</v>
      </c>
      <c r="H42" s="353"/>
    </row>
    <row r="43" spans="1:12" ht="15.75" x14ac:dyDescent="0.25">
      <c r="A43" s="162"/>
      <c r="B43" s="454" t="s">
        <v>89</v>
      </c>
      <c r="C43" s="454"/>
      <c r="D43" s="173"/>
      <c r="E43" s="173"/>
      <c r="F43" s="173"/>
      <c r="G43" s="173"/>
      <c r="H43" s="173"/>
      <c r="I43" s="173"/>
      <c r="J43" s="173"/>
      <c r="K43" s="173"/>
      <c r="L43" s="162"/>
    </row>
    <row r="44" spans="1:12" ht="15.75" x14ac:dyDescent="0.25">
      <c r="A44" s="162"/>
      <c r="B44" s="358"/>
      <c r="C44" s="358"/>
      <c r="D44" s="173"/>
      <c r="E44" s="173"/>
      <c r="F44" s="173"/>
      <c r="G44" s="173"/>
      <c r="H44" s="173"/>
      <c r="I44" s="173"/>
      <c r="J44" s="173"/>
      <c r="K44" s="173"/>
      <c r="L44" s="162"/>
    </row>
    <row r="45" spans="1:12" ht="15.75" x14ac:dyDescent="0.25">
      <c r="A45" s="162"/>
      <c r="B45" s="447" t="s">
        <v>45</v>
      </c>
      <c r="C45" s="448"/>
      <c r="D45" s="448"/>
      <c r="E45" s="448"/>
      <c r="F45" s="448"/>
      <c r="G45" s="448"/>
      <c r="H45" s="173"/>
      <c r="I45" s="173"/>
      <c r="J45" s="173"/>
      <c r="K45" s="173"/>
      <c r="L45" s="162"/>
    </row>
    <row r="46" spans="1:12" ht="15.75" x14ac:dyDescent="0.25">
      <c r="A46" s="162"/>
      <c r="B46" s="447" t="s">
        <v>376</v>
      </c>
      <c r="C46" s="448"/>
      <c r="D46" s="448"/>
      <c r="E46" s="448"/>
      <c r="F46" s="448"/>
      <c r="G46" s="448"/>
      <c r="H46" s="173"/>
      <c r="I46" s="173"/>
      <c r="J46" s="173"/>
      <c r="K46" s="173"/>
      <c r="L46" s="162"/>
    </row>
    <row r="47" spans="1:12" ht="15.75" x14ac:dyDescent="0.25">
      <c r="A47" s="162"/>
      <c r="B47" s="449" t="s">
        <v>17</v>
      </c>
      <c r="C47" s="450"/>
      <c r="D47" s="450"/>
      <c r="E47" s="450"/>
      <c r="F47" s="450"/>
      <c r="G47" s="450"/>
      <c r="H47" s="173"/>
      <c r="I47" s="173"/>
      <c r="J47" s="173"/>
      <c r="K47" s="173"/>
      <c r="L47" s="162"/>
    </row>
    <row r="48" spans="1:12" ht="38.25" x14ac:dyDescent="0.25">
      <c r="A48" s="162"/>
      <c r="B48" s="116" t="s">
        <v>18</v>
      </c>
      <c r="C48" s="116" t="s">
        <v>371</v>
      </c>
      <c r="D48" s="116" t="s">
        <v>372</v>
      </c>
      <c r="E48" s="116" t="s">
        <v>62</v>
      </c>
      <c r="F48" s="116" t="s">
        <v>80</v>
      </c>
      <c r="G48" s="116" t="s">
        <v>81</v>
      </c>
      <c r="H48" s="116" t="s">
        <v>82</v>
      </c>
      <c r="I48" s="173"/>
      <c r="J48" s="173"/>
      <c r="K48" s="173"/>
      <c r="L48" s="162"/>
    </row>
    <row r="49" spans="1:12" ht="15.75" x14ac:dyDescent="0.25">
      <c r="A49" s="162"/>
      <c r="B49" s="352" t="s">
        <v>83</v>
      </c>
      <c r="C49" s="356">
        <v>0.1</v>
      </c>
      <c r="D49" s="32">
        <f>$C$27*C49</f>
        <v>21</v>
      </c>
      <c r="E49" s="32" t="s">
        <v>84</v>
      </c>
      <c r="F49" s="353">
        <f>$E$27</f>
        <v>0.84</v>
      </c>
      <c r="G49" s="33">
        <f>F49*D49</f>
        <v>17.64</v>
      </c>
      <c r="H49" s="353">
        <f>G49*12</f>
        <v>211.68</v>
      </c>
      <c r="I49" s="173"/>
      <c r="J49" s="173"/>
      <c r="K49" s="173"/>
      <c r="L49" s="162"/>
    </row>
    <row r="50" spans="1:12" ht="15.75" x14ac:dyDescent="0.25">
      <c r="A50" s="162"/>
      <c r="B50" s="31" t="s">
        <v>85</v>
      </c>
      <c r="C50" s="357">
        <v>0.1</v>
      </c>
      <c r="D50" s="32">
        <f>$C$28*C50</f>
        <v>0.60000000000000009</v>
      </c>
      <c r="E50" s="43" t="s">
        <v>87</v>
      </c>
      <c r="F50" s="353">
        <f>$E$28</f>
        <v>10</v>
      </c>
      <c r="G50" s="33">
        <f>F50*D50</f>
        <v>6.0000000000000009</v>
      </c>
      <c r="H50" s="353">
        <f>G50*12</f>
        <v>72.000000000000014</v>
      </c>
      <c r="I50" s="173"/>
      <c r="J50" s="173"/>
      <c r="K50" s="173"/>
      <c r="L50" s="162"/>
    </row>
    <row r="51" spans="1:12" ht="15.75" x14ac:dyDescent="0.25">
      <c r="A51" s="162"/>
      <c r="B51" s="31" t="s">
        <v>86</v>
      </c>
      <c r="C51" s="357">
        <v>0.1</v>
      </c>
      <c r="D51" s="32">
        <f>$C$29*C51</f>
        <v>0.8</v>
      </c>
      <c r="E51" s="43" t="s">
        <v>87</v>
      </c>
      <c r="F51" s="353">
        <f>$E$29</f>
        <v>2.4</v>
      </c>
      <c r="G51" s="33">
        <f>F51*D51</f>
        <v>1.92</v>
      </c>
      <c r="H51" s="353">
        <f>G51*12</f>
        <v>23.04</v>
      </c>
      <c r="I51" s="173"/>
      <c r="J51" s="180"/>
      <c r="K51" s="173"/>
      <c r="L51" s="162"/>
    </row>
    <row r="52" spans="1:12" ht="15.75" x14ac:dyDescent="0.25">
      <c r="A52" s="162"/>
      <c r="B52" s="422" t="s">
        <v>21</v>
      </c>
      <c r="C52" s="423"/>
      <c r="D52" s="423"/>
      <c r="E52" s="423"/>
      <c r="F52" s="424"/>
      <c r="G52" s="354">
        <f>SUM(G49:G51)</f>
        <v>25.560000000000002</v>
      </c>
      <c r="H52" s="354">
        <f>SUM(H49:H51)</f>
        <v>306.72000000000003</v>
      </c>
      <c r="I52" s="173"/>
      <c r="J52" s="173"/>
      <c r="K52" s="173"/>
      <c r="L52" s="162"/>
    </row>
    <row r="53" spans="1:12" ht="15.75" x14ac:dyDescent="0.25">
      <c r="A53" s="162"/>
      <c r="B53" s="471" t="s">
        <v>88</v>
      </c>
      <c r="C53" s="472"/>
      <c r="D53" s="472"/>
      <c r="E53" s="472"/>
      <c r="F53" s="473"/>
      <c r="G53" s="355">
        <f>G52*3</f>
        <v>76.680000000000007</v>
      </c>
      <c r="H53" s="353"/>
      <c r="I53" s="173"/>
      <c r="J53" s="173"/>
      <c r="K53" s="173"/>
      <c r="L53" s="162"/>
    </row>
    <row r="54" spans="1:12" ht="15.75" x14ac:dyDescent="0.25">
      <c r="A54" s="162"/>
      <c r="B54" s="454" t="s">
        <v>89</v>
      </c>
      <c r="C54" s="454"/>
      <c r="D54" s="173"/>
      <c r="E54" s="173"/>
      <c r="F54" s="173"/>
      <c r="G54" s="173"/>
      <c r="H54" s="173"/>
      <c r="I54" s="173"/>
      <c r="J54" s="173"/>
      <c r="K54" s="173"/>
      <c r="L54" s="162"/>
    </row>
    <row r="55" spans="1:12" ht="15.75" x14ac:dyDescent="0.25">
      <c r="A55" s="162"/>
      <c r="B55" s="358"/>
      <c r="C55" s="358"/>
      <c r="D55" s="173"/>
      <c r="E55" s="173"/>
      <c r="F55" s="173"/>
      <c r="G55" s="173"/>
      <c r="H55" s="173"/>
      <c r="I55" s="173"/>
      <c r="J55" s="173"/>
      <c r="K55" s="173"/>
      <c r="L55" s="162"/>
    </row>
    <row r="56" spans="1:12" ht="15.75" x14ac:dyDescent="0.25">
      <c r="A56" s="162"/>
      <c r="B56" s="447" t="s">
        <v>45</v>
      </c>
      <c r="C56" s="448"/>
      <c r="D56" s="448"/>
      <c r="E56" s="448"/>
      <c r="F56" s="448"/>
      <c r="G56" s="448"/>
      <c r="H56" s="173"/>
      <c r="I56" s="173"/>
      <c r="J56" s="173"/>
      <c r="K56" s="173"/>
      <c r="L56" s="162"/>
    </row>
    <row r="57" spans="1:12" ht="15.75" x14ac:dyDescent="0.25">
      <c r="A57" s="162"/>
      <c r="B57" s="447" t="s">
        <v>377</v>
      </c>
      <c r="C57" s="448"/>
      <c r="D57" s="448"/>
      <c r="E57" s="448"/>
      <c r="F57" s="448"/>
      <c r="G57" s="448"/>
      <c r="H57" s="173"/>
      <c r="I57" s="173"/>
      <c r="J57" s="173"/>
      <c r="K57" s="173"/>
      <c r="L57" s="162"/>
    </row>
    <row r="58" spans="1:12" ht="15.75" x14ac:dyDescent="0.25">
      <c r="A58" s="162"/>
      <c r="B58" s="449" t="s">
        <v>17</v>
      </c>
      <c r="C58" s="450"/>
      <c r="D58" s="450"/>
      <c r="E58" s="450"/>
      <c r="F58" s="450"/>
      <c r="G58" s="450"/>
      <c r="H58" s="173"/>
      <c r="I58" s="173"/>
      <c r="J58" s="173"/>
      <c r="K58" s="173"/>
      <c r="L58" s="162"/>
    </row>
    <row r="59" spans="1:12" ht="38.25" x14ac:dyDescent="0.25">
      <c r="A59" s="162"/>
      <c r="B59" s="116" t="s">
        <v>18</v>
      </c>
      <c r="C59" s="116" t="s">
        <v>371</v>
      </c>
      <c r="D59" s="116" t="s">
        <v>372</v>
      </c>
      <c r="E59" s="116" t="s">
        <v>62</v>
      </c>
      <c r="F59" s="116" t="s">
        <v>80</v>
      </c>
      <c r="G59" s="116" t="s">
        <v>81</v>
      </c>
      <c r="H59" s="116" t="s">
        <v>82</v>
      </c>
      <c r="I59" s="173"/>
      <c r="J59" s="173"/>
      <c r="K59" s="173"/>
      <c r="L59" s="162"/>
    </row>
    <row r="60" spans="1:12" ht="15.75" x14ac:dyDescent="0.25">
      <c r="A60" s="162"/>
      <c r="B60" s="352" t="s">
        <v>83</v>
      </c>
      <c r="C60" s="356">
        <v>0.1</v>
      </c>
      <c r="D60" s="32">
        <f>$C$27*C60</f>
        <v>21</v>
      </c>
      <c r="E60" s="32" t="s">
        <v>84</v>
      </c>
      <c r="F60" s="353">
        <f>$E$27</f>
        <v>0.84</v>
      </c>
      <c r="G60" s="33">
        <f>F60*D60</f>
        <v>17.64</v>
      </c>
      <c r="H60" s="353">
        <f>G60*12</f>
        <v>211.68</v>
      </c>
      <c r="I60" s="173"/>
      <c r="J60" s="173"/>
      <c r="K60" s="173"/>
      <c r="L60" s="162"/>
    </row>
    <row r="61" spans="1:12" ht="15.75" x14ac:dyDescent="0.25">
      <c r="A61" s="162"/>
      <c r="B61" s="31" t="s">
        <v>85</v>
      </c>
      <c r="C61" s="357">
        <v>0</v>
      </c>
      <c r="D61" s="32">
        <f>$C$28*C61</f>
        <v>0</v>
      </c>
      <c r="E61" s="43" t="s">
        <v>87</v>
      </c>
      <c r="F61" s="353">
        <f>$E$28</f>
        <v>10</v>
      </c>
      <c r="G61" s="33">
        <f>F61*D61</f>
        <v>0</v>
      </c>
      <c r="H61" s="353">
        <f>G61*12</f>
        <v>0</v>
      </c>
      <c r="I61" s="173"/>
      <c r="J61" s="173"/>
      <c r="K61" s="173"/>
      <c r="L61" s="162"/>
    </row>
    <row r="62" spans="1:12" ht="15.75" x14ac:dyDescent="0.25">
      <c r="A62" s="162"/>
      <c r="B62" s="31" t="s">
        <v>86</v>
      </c>
      <c r="C62" s="357">
        <v>0.1</v>
      </c>
      <c r="D62" s="32">
        <f>$C$29*C62</f>
        <v>0.8</v>
      </c>
      <c r="E62" s="43" t="s">
        <v>87</v>
      </c>
      <c r="F62" s="353">
        <f>$E$29</f>
        <v>2.4</v>
      </c>
      <c r="G62" s="33">
        <f>F62*D62</f>
        <v>1.92</v>
      </c>
      <c r="H62" s="353">
        <f>G62*12</f>
        <v>23.04</v>
      </c>
      <c r="I62" s="173"/>
      <c r="J62" s="173"/>
      <c r="K62" s="173"/>
      <c r="L62" s="162"/>
    </row>
    <row r="63" spans="1:12" ht="15.75" x14ac:dyDescent="0.25">
      <c r="A63" s="162"/>
      <c r="B63" s="422" t="s">
        <v>21</v>
      </c>
      <c r="C63" s="423"/>
      <c r="D63" s="423"/>
      <c r="E63" s="423"/>
      <c r="F63" s="424"/>
      <c r="G63" s="354">
        <f>SUM(G60:G62)</f>
        <v>19.560000000000002</v>
      </c>
      <c r="H63" s="354">
        <f>SUM(H60:H62)</f>
        <v>234.72</v>
      </c>
      <c r="I63" s="173"/>
      <c r="J63" s="173"/>
      <c r="K63" s="173"/>
      <c r="L63" s="162"/>
    </row>
    <row r="64" spans="1:12" ht="15.75" x14ac:dyDescent="0.25">
      <c r="A64" s="162"/>
      <c r="B64" s="471" t="s">
        <v>88</v>
      </c>
      <c r="C64" s="472"/>
      <c r="D64" s="472"/>
      <c r="E64" s="472"/>
      <c r="F64" s="473"/>
      <c r="G64" s="355">
        <f>G63*3</f>
        <v>58.680000000000007</v>
      </c>
      <c r="H64" s="353"/>
      <c r="I64" s="173"/>
      <c r="J64" s="173"/>
      <c r="K64" s="173"/>
      <c r="L64" s="162"/>
    </row>
    <row r="65" spans="1:15" ht="15.75" x14ac:dyDescent="0.25">
      <c r="A65" s="162"/>
      <c r="B65" s="454" t="s">
        <v>89</v>
      </c>
      <c r="C65" s="454"/>
      <c r="D65" s="306"/>
      <c r="E65" s="306"/>
      <c r="F65" s="306"/>
      <c r="G65" s="359"/>
      <c r="H65" s="360"/>
      <c r="I65" s="173"/>
      <c r="J65" s="173"/>
      <c r="K65" s="173"/>
      <c r="L65" s="162"/>
    </row>
    <row r="66" spans="1:15" ht="15.75" x14ac:dyDescent="0.25">
      <c r="A66" s="162"/>
      <c r="D66" s="173"/>
      <c r="E66" s="173"/>
      <c r="F66" s="173"/>
      <c r="G66" s="173"/>
      <c r="H66" s="173"/>
      <c r="I66" s="173"/>
      <c r="J66" s="173"/>
      <c r="K66" s="173"/>
      <c r="L66" s="162"/>
    </row>
    <row r="67" spans="1:15" ht="15.75" x14ac:dyDescent="0.25">
      <c r="A67" s="162"/>
      <c r="D67" s="173"/>
      <c r="E67" s="173"/>
      <c r="F67" s="173"/>
      <c r="G67" s="173"/>
      <c r="H67" s="173"/>
      <c r="I67" s="173"/>
      <c r="J67" s="173"/>
      <c r="K67" s="173"/>
      <c r="L67" s="162"/>
    </row>
    <row r="68" spans="1:15" ht="20.25" x14ac:dyDescent="0.25">
      <c r="A68" s="162"/>
      <c r="B68" s="456" t="s">
        <v>93</v>
      </c>
      <c r="C68" s="456"/>
      <c r="D68" s="456"/>
      <c r="E68" s="456"/>
      <c r="F68" s="173"/>
      <c r="G68" s="173"/>
      <c r="H68" s="173"/>
      <c r="I68" s="173"/>
      <c r="J68" s="173"/>
      <c r="K68" s="173"/>
      <c r="L68" s="162"/>
    </row>
    <row r="69" spans="1:15" ht="15.75" x14ac:dyDescent="0.25">
      <c r="A69" s="132"/>
      <c r="B69" s="173"/>
      <c r="C69" s="173"/>
      <c r="D69" s="173"/>
      <c r="E69" s="122"/>
      <c r="F69" s="122"/>
      <c r="G69" s="122"/>
      <c r="H69" s="174"/>
      <c r="I69" s="174"/>
      <c r="J69" s="174"/>
      <c r="K69" s="174"/>
      <c r="L69" s="162"/>
    </row>
    <row r="70" spans="1:15" ht="15.75" x14ac:dyDescent="0.25">
      <c r="A70" s="132"/>
      <c r="B70" s="447" t="s">
        <v>45</v>
      </c>
      <c r="C70" s="448"/>
      <c r="D70" s="448"/>
      <c r="E70" s="448"/>
      <c r="F70" s="448"/>
      <c r="G70" s="448"/>
      <c r="H70" s="448"/>
      <c r="I70" s="448"/>
      <c r="J70" s="448"/>
      <c r="K70" s="448"/>
      <c r="L70" s="448"/>
      <c r="M70" s="448"/>
      <c r="N70" s="448"/>
    </row>
    <row r="71" spans="1:15" ht="15.75" customHeight="1" x14ac:dyDescent="0.25">
      <c r="A71" s="132"/>
      <c r="B71" s="447" t="s">
        <v>380</v>
      </c>
      <c r="C71" s="448"/>
      <c r="D71" s="448"/>
      <c r="E71" s="448"/>
      <c r="F71" s="448"/>
      <c r="G71" s="448"/>
      <c r="H71" s="448"/>
      <c r="I71" s="448"/>
      <c r="J71" s="448"/>
      <c r="K71" s="448"/>
      <c r="L71" s="448"/>
      <c r="M71" s="448"/>
      <c r="N71" s="448"/>
    </row>
    <row r="72" spans="1:15" ht="15.75" customHeight="1" x14ac:dyDescent="0.25">
      <c r="A72" s="132"/>
      <c r="B72" s="449" t="s">
        <v>17</v>
      </c>
      <c r="C72" s="450"/>
      <c r="D72" s="450"/>
      <c r="E72" s="450"/>
      <c r="F72" s="450"/>
      <c r="G72" s="450"/>
      <c r="H72" s="450"/>
      <c r="I72" s="450"/>
      <c r="J72" s="450"/>
      <c r="K72" s="450"/>
      <c r="L72" s="450"/>
      <c r="M72" s="450"/>
      <c r="N72" s="450"/>
    </row>
    <row r="73" spans="1:15" ht="15.75" customHeight="1" x14ac:dyDescent="0.25">
      <c r="A73" s="132"/>
      <c r="B73" s="464" t="s">
        <v>95</v>
      </c>
      <c r="C73" s="464" t="s">
        <v>378</v>
      </c>
      <c r="D73" s="466" t="s">
        <v>180</v>
      </c>
      <c r="E73" s="466" t="s">
        <v>181</v>
      </c>
      <c r="F73" s="466" t="s">
        <v>182</v>
      </c>
      <c r="G73" s="466" t="s">
        <v>183</v>
      </c>
      <c r="H73" s="468" t="s">
        <v>184</v>
      </c>
      <c r="I73" s="469"/>
      <c r="J73" s="469"/>
      <c r="K73" s="470"/>
      <c r="L73" s="466" t="s">
        <v>185</v>
      </c>
      <c r="M73" s="466" t="s">
        <v>186</v>
      </c>
      <c r="N73" s="466" t="s">
        <v>96</v>
      </c>
    </row>
    <row r="74" spans="1:15" ht="15" customHeight="1" x14ac:dyDescent="0.25">
      <c r="A74" s="132"/>
      <c r="B74" s="465"/>
      <c r="C74" s="465"/>
      <c r="D74" s="467"/>
      <c r="E74" s="467"/>
      <c r="F74" s="467"/>
      <c r="G74" s="467"/>
      <c r="H74" s="90">
        <v>0.1</v>
      </c>
      <c r="I74" s="91">
        <v>1.7100000000000001E-2</v>
      </c>
      <c r="J74" s="92">
        <v>5.0000000000000001E-3</v>
      </c>
      <c r="K74" s="92">
        <v>5.0000000000000001E-3</v>
      </c>
      <c r="L74" s="467"/>
      <c r="M74" s="467"/>
      <c r="N74" s="467"/>
    </row>
    <row r="75" spans="1:15" ht="38.25" x14ac:dyDescent="0.25">
      <c r="A75" s="132"/>
      <c r="B75" s="465"/>
      <c r="C75" s="465"/>
      <c r="D75" s="467"/>
      <c r="E75" s="467"/>
      <c r="F75" s="467"/>
      <c r="G75" s="467"/>
      <c r="H75" s="302" t="s">
        <v>187</v>
      </c>
      <c r="I75" s="302" t="s">
        <v>188</v>
      </c>
      <c r="J75" s="302" t="s">
        <v>189</v>
      </c>
      <c r="K75" s="302" t="s">
        <v>190</v>
      </c>
      <c r="L75" s="479"/>
      <c r="M75" s="479"/>
      <c r="N75" s="467"/>
    </row>
    <row r="76" spans="1:15" x14ac:dyDescent="0.25">
      <c r="A76" s="132"/>
      <c r="B76" s="477" t="s">
        <v>177</v>
      </c>
      <c r="C76" s="478"/>
      <c r="D76" s="478"/>
      <c r="E76" s="478"/>
      <c r="F76" s="478"/>
      <c r="G76" s="478"/>
      <c r="H76" s="478"/>
      <c r="I76" s="478"/>
      <c r="J76" s="478"/>
      <c r="K76" s="478"/>
      <c r="L76" s="478"/>
      <c r="M76" s="478"/>
      <c r="N76" s="478"/>
    </row>
    <row r="77" spans="1:15" ht="15" customHeight="1" x14ac:dyDescent="0.25">
      <c r="A77" s="132"/>
      <c r="B77" s="352" t="s">
        <v>352</v>
      </c>
      <c r="C77" s="361" t="s">
        <v>228</v>
      </c>
      <c r="D77" s="362">
        <v>44075</v>
      </c>
      <c r="E77" s="353">
        <v>2450</v>
      </c>
      <c r="F77" s="363">
        <f>2362*3*0.05</f>
        <v>354.3</v>
      </c>
      <c r="G77" s="363">
        <f>E77+F77</f>
        <v>2804.3</v>
      </c>
      <c r="H77" s="363">
        <f>$G$77*H74</f>
        <v>280.43</v>
      </c>
      <c r="I77" s="363">
        <f>$G$77*I74</f>
        <v>47.953530000000008</v>
      </c>
      <c r="J77" s="363">
        <f>$G$77*J74</f>
        <v>14.021500000000001</v>
      </c>
      <c r="K77" s="363">
        <f>$G$77*K74</f>
        <v>14.021500000000001</v>
      </c>
      <c r="L77" s="95">
        <f>SUM(H77:K77)</f>
        <v>356.42653000000001</v>
      </c>
      <c r="M77" s="95">
        <f>G77-L77</f>
        <v>2447.87347</v>
      </c>
      <c r="N77" s="95">
        <f>M77</f>
        <v>2447.87347</v>
      </c>
      <c r="O77" s="369"/>
    </row>
    <row r="78" spans="1:15" x14ac:dyDescent="0.25">
      <c r="A78" s="132"/>
      <c r="B78" s="31" t="s">
        <v>97</v>
      </c>
      <c r="C78" s="361" t="s">
        <v>228</v>
      </c>
      <c r="D78" s="362">
        <v>44076</v>
      </c>
      <c r="E78" s="353">
        <v>2362</v>
      </c>
      <c r="F78" s="363">
        <f t="shared" ref="F78:F81" si="1">2362*3*0.05</f>
        <v>354.3</v>
      </c>
      <c r="G78" s="363">
        <f>E78+F78</f>
        <v>2716.3</v>
      </c>
      <c r="H78" s="363">
        <f>$G$78*H74</f>
        <v>271.63000000000005</v>
      </c>
      <c r="I78" s="363">
        <f>$G$78*I74</f>
        <v>46.448730000000005</v>
      </c>
      <c r="J78" s="363">
        <f>$G$78*J74</f>
        <v>13.581500000000002</v>
      </c>
      <c r="K78" s="363">
        <f>$G$78*K74</f>
        <v>13.581500000000002</v>
      </c>
      <c r="L78" s="95">
        <f>SUM(H78:K78)</f>
        <v>345.24173000000008</v>
      </c>
      <c r="M78" s="95">
        <f>G78-L78</f>
        <v>2371.05827</v>
      </c>
      <c r="N78" s="95">
        <f>M78</f>
        <v>2371.05827</v>
      </c>
    </row>
    <row r="79" spans="1:15" x14ac:dyDescent="0.25">
      <c r="A79" s="132"/>
      <c r="B79" s="474" t="s">
        <v>381</v>
      </c>
      <c r="C79" s="475"/>
      <c r="D79" s="475"/>
      <c r="E79" s="475"/>
      <c r="F79" s="475"/>
      <c r="G79" s="475"/>
      <c r="H79" s="475"/>
      <c r="I79" s="475"/>
      <c r="J79" s="475"/>
      <c r="K79" s="475"/>
      <c r="L79" s="475"/>
      <c r="M79" s="475"/>
      <c r="N79" s="476"/>
    </row>
    <row r="80" spans="1:15" x14ac:dyDescent="0.25">
      <c r="A80" s="132"/>
      <c r="B80" s="135" t="s">
        <v>53</v>
      </c>
      <c r="C80" s="361" t="s">
        <v>228</v>
      </c>
      <c r="D80" s="322">
        <v>44075</v>
      </c>
      <c r="E80" s="353">
        <v>2362</v>
      </c>
      <c r="F80" s="363">
        <f t="shared" si="1"/>
        <v>354.3</v>
      </c>
      <c r="G80" s="363">
        <f>E80+F80</f>
        <v>2716.3</v>
      </c>
      <c r="H80" s="363">
        <f>$G$80*H74</f>
        <v>271.63000000000005</v>
      </c>
      <c r="I80" s="363">
        <f t="shared" ref="I80:K80" si="2">$G$80*I74</f>
        <v>46.448730000000005</v>
      </c>
      <c r="J80" s="363">
        <f t="shared" si="2"/>
        <v>13.581500000000002</v>
      </c>
      <c r="K80" s="363">
        <f t="shared" si="2"/>
        <v>13.581500000000002</v>
      </c>
      <c r="L80" s="95">
        <f t="shared" ref="L80:L81" si="3">SUM(H80:K80)</f>
        <v>345.24173000000008</v>
      </c>
      <c r="M80" s="95">
        <f t="shared" ref="M80:M81" si="4">G80-L80</f>
        <v>2371.05827</v>
      </c>
      <c r="N80" s="95">
        <f t="shared" ref="N80:N81" si="5">M80</f>
        <v>2371.05827</v>
      </c>
    </row>
    <row r="81" spans="1:14" x14ac:dyDescent="0.25">
      <c r="A81" s="132"/>
      <c r="B81" s="135" t="s">
        <v>100</v>
      </c>
      <c r="C81" s="361" t="s">
        <v>228</v>
      </c>
      <c r="D81" s="275">
        <v>44075</v>
      </c>
      <c r="E81" s="353">
        <v>2362</v>
      </c>
      <c r="F81" s="363">
        <f t="shared" si="1"/>
        <v>354.3</v>
      </c>
      <c r="G81" s="363">
        <f t="shared" ref="G81" si="6">E81+F81</f>
        <v>2716.3</v>
      </c>
      <c r="H81" s="363">
        <f>$G$81*H74</f>
        <v>271.63000000000005</v>
      </c>
      <c r="I81" s="363">
        <f t="shared" ref="I81:K81" si="7">$G$81*I74</f>
        <v>46.448730000000005</v>
      </c>
      <c r="J81" s="363">
        <f t="shared" si="7"/>
        <v>13.581500000000002</v>
      </c>
      <c r="K81" s="363">
        <f t="shared" si="7"/>
        <v>13.581500000000002</v>
      </c>
      <c r="L81" s="95">
        <f t="shared" si="3"/>
        <v>345.24173000000008</v>
      </c>
      <c r="M81" s="95">
        <f t="shared" si="4"/>
        <v>2371.05827</v>
      </c>
      <c r="N81" s="95">
        <f t="shared" si="5"/>
        <v>2371.05827</v>
      </c>
    </row>
    <row r="82" spans="1:14" s="45" customFormat="1" ht="16.5" customHeight="1" x14ac:dyDescent="0.25">
      <c r="A82" s="122"/>
      <c r="B82" s="31"/>
      <c r="C82" s="364"/>
      <c r="D82" s="363"/>
      <c r="E82" s="363"/>
      <c r="F82" s="363"/>
      <c r="G82" s="363"/>
      <c r="H82" s="363"/>
      <c r="I82" s="363"/>
      <c r="J82" s="82"/>
      <c r="K82" s="82"/>
      <c r="L82" s="82"/>
      <c r="M82" s="82"/>
      <c r="N82" s="82"/>
    </row>
    <row r="83" spans="1:14" x14ac:dyDescent="0.25">
      <c r="A83" s="132"/>
      <c r="B83" s="303" t="s">
        <v>21</v>
      </c>
      <c r="C83" s="304"/>
      <c r="D83" s="304"/>
      <c r="E83" s="42">
        <f t="shared" ref="E83:M83" si="8">SUM(E77:E78)</f>
        <v>4812</v>
      </c>
      <c r="F83" s="42">
        <f t="shared" si="8"/>
        <v>708.6</v>
      </c>
      <c r="G83" s="42">
        <f t="shared" si="8"/>
        <v>5520.6</v>
      </c>
      <c r="H83" s="42">
        <f t="shared" si="8"/>
        <v>552.06000000000006</v>
      </c>
      <c r="I83" s="42">
        <f t="shared" si="8"/>
        <v>94.402260000000012</v>
      </c>
      <c r="J83" s="42">
        <f t="shared" si="8"/>
        <v>27.603000000000002</v>
      </c>
      <c r="K83" s="42">
        <f t="shared" si="8"/>
        <v>27.603000000000002</v>
      </c>
      <c r="L83" s="42">
        <f t="shared" si="8"/>
        <v>701.66826000000015</v>
      </c>
      <c r="M83" s="42">
        <f t="shared" si="8"/>
        <v>4818.93174</v>
      </c>
      <c r="N83" s="42">
        <f>SUM(N77:N81)</f>
        <v>9561.0482799999991</v>
      </c>
    </row>
    <row r="84" spans="1:14" ht="25.5" customHeight="1" x14ac:dyDescent="0.25">
      <c r="A84" s="132"/>
      <c r="B84" s="87"/>
      <c r="C84" s="365"/>
      <c r="D84" s="96"/>
      <c r="E84" s="96"/>
      <c r="F84" s="96"/>
      <c r="G84" s="96"/>
      <c r="H84" s="366"/>
      <c r="I84" s="107" t="s">
        <v>98</v>
      </c>
      <c r="J84" s="107"/>
      <c r="K84" s="107"/>
      <c r="L84" s="107"/>
      <c r="M84" s="107"/>
      <c r="N84" s="367">
        <f>N83*3</f>
        <v>28683.144839999997</v>
      </c>
    </row>
    <row r="85" spans="1:14" ht="15.75" x14ac:dyDescent="0.25">
      <c r="A85" s="132"/>
      <c r="B85" s="138" t="s">
        <v>89</v>
      </c>
      <c r="C85" s="122"/>
      <c r="D85" s="122"/>
      <c r="E85" s="122"/>
      <c r="F85" s="122"/>
      <c r="G85" s="122"/>
      <c r="H85" s="173"/>
      <c r="I85" s="176"/>
      <c r="J85" s="173"/>
      <c r="K85" s="173"/>
      <c r="L85" s="162"/>
    </row>
    <row r="86" spans="1:14" x14ac:dyDescent="0.25">
      <c r="A86" s="132"/>
    </row>
    <row r="87" spans="1:14" x14ac:dyDescent="0.25">
      <c r="A87" s="132"/>
    </row>
    <row r="88" spans="1:14" x14ac:dyDescent="0.25">
      <c r="A88" s="132"/>
    </row>
    <row r="89" spans="1:14" ht="14.25" customHeight="1" x14ac:dyDescent="0.25">
      <c r="A89" s="132"/>
      <c r="B89" s="447" t="s">
        <v>45</v>
      </c>
      <c r="C89" s="448"/>
      <c r="D89" s="448"/>
      <c r="E89" s="448"/>
    </row>
    <row r="90" spans="1:14" ht="15.75" x14ac:dyDescent="0.25">
      <c r="A90" s="132"/>
      <c r="B90" s="447" t="s">
        <v>382</v>
      </c>
      <c r="C90" s="448"/>
      <c r="D90" s="448"/>
      <c r="E90" s="448"/>
    </row>
    <row r="91" spans="1:14" ht="15.75" x14ac:dyDescent="0.25">
      <c r="A91" s="132"/>
      <c r="B91" s="449" t="s">
        <v>17</v>
      </c>
      <c r="C91" s="450"/>
      <c r="D91" s="450"/>
      <c r="E91" s="450"/>
    </row>
    <row r="92" spans="1:14" ht="25.5" x14ac:dyDescent="0.25">
      <c r="A92" s="132"/>
      <c r="B92" s="305" t="s">
        <v>95</v>
      </c>
      <c r="C92" s="305" t="s">
        <v>378</v>
      </c>
      <c r="D92" s="305" t="s">
        <v>383</v>
      </c>
      <c r="E92" s="305" t="s">
        <v>96</v>
      </c>
    </row>
    <row r="93" spans="1:14" x14ac:dyDescent="0.25">
      <c r="A93" s="132"/>
      <c r="B93" s="457" t="s">
        <v>177</v>
      </c>
      <c r="C93" s="458"/>
      <c r="D93" s="458"/>
      <c r="E93" s="459"/>
      <c r="H93" s="463" t="s">
        <v>386</v>
      </c>
      <c r="I93" s="463"/>
      <c r="J93" s="480">
        <f>E99+N83</f>
        <v>12361.048279999999</v>
      </c>
      <c r="L93" s="463" t="s">
        <v>387</v>
      </c>
      <c r="M93" s="463"/>
      <c r="N93" s="373">
        <f>(N77+N78+E94)*3</f>
        <v>17456.79522</v>
      </c>
    </row>
    <row r="94" spans="1:14" x14ac:dyDescent="0.25">
      <c r="A94" s="132"/>
      <c r="B94" s="229" t="s">
        <v>352</v>
      </c>
      <c r="C94" s="255" t="s">
        <v>379</v>
      </c>
      <c r="D94" s="368">
        <v>15</v>
      </c>
      <c r="E94" s="255">
        <v>1000</v>
      </c>
      <c r="G94" s="371"/>
      <c r="H94" s="463"/>
      <c r="I94" s="463"/>
      <c r="J94" s="481"/>
      <c r="L94" s="463"/>
      <c r="M94" s="463"/>
      <c r="N94" s="374"/>
    </row>
    <row r="95" spans="1:14" x14ac:dyDescent="0.25">
      <c r="A95" s="132"/>
      <c r="B95" s="457" t="s">
        <v>381</v>
      </c>
      <c r="C95" s="458"/>
      <c r="D95" s="458"/>
      <c r="E95" s="459"/>
      <c r="J95" s="38"/>
    </row>
    <row r="96" spans="1:14" x14ac:dyDescent="0.25">
      <c r="A96" s="132"/>
      <c r="B96" s="229" t="s">
        <v>53</v>
      </c>
      <c r="C96" s="255" t="s">
        <v>379</v>
      </c>
      <c r="D96" s="368">
        <v>15</v>
      </c>
      <c r="E96" s="255">
        <v>1000</v>
      </c>
      <c r="H96" s="463" t="s">
        <v>385</v>
      </c>
      <c r="I96" s="463"/>
      <c r="J96" s="480">
        <f>N84+E100</f>
        <v>37083.144839999994</v>
      </c>
      <c r="L96" s="463" t="s">
        <v>388</v>
      </c>
      <c r="M96" s="463"/>
      <c r="N96" s="373">
        <f>(N80+N81+E96+E97)*3</f>
        <v>19626.349620000001</v>
      </c>
    </row>
    <row r="97" spans="1:14" x14ac:dyDescent="0.25">
      <c r="A97" s="132"/>
      <c r="B97" s="229" t="s">
        <v>384</v>
      </c>
      <c r="C97" s="255" t="s">
        <v>379</v>
      </c>
      <c r="D97" s="279">
        <v>4</v>
      </c>
      <c r="E97" s="251">
        <v>800</v>
      </c>
      <c r="H97" s="463"/>
      <c r="I97" s="463"/>
      <c r="J97" s="480"/>
      <c r="L97" s="463"/>
      <c r="M97" s="463"/>
      <c r="N97" s="374"/>
    </row>
    <row r="98" spans="1:14" ht="15.75" x14ac:dyDescent="0.25">
      <c r="A98" s="132"/>
      <c r="B98" s="229"/>
      <c r="C98" s="255"/>
      <c r="D98" s="279"/>
      <c r="E98" s="251"/>
      <c r="F98" s="122"/>
      <c r="K98" s="173"/>
      <c r="L98" s="162"/>
    </row>
    <row r="99" spans="1:14" ht="15.75" x14ac:dyDescent="0.25">
      <c r="A99" s="132"/>
      <c r="B99" s="460" t="s">
        <v>21</v>
      </c>
      <c r="C99" s="461"/>
      <c r="D99" s="462"/>
      <c r="E99" s="120">
        <f>SUM(E93:E97)</f>
        <v>2800</v>
      </c>
      <c r="F99" s="122"/>
      <c r="K99" s="173"/>
      <c r="L99" s="372"/>
    </row>
    <row r="100" spans="1:14" ht="15.75" x14ac:dyDescent="0.25">
      <c r="A100" s="162"/>
      <c r="C100" s="455" t="s">
        <v>98</v>
      </c>
      <c r="D100" s="455"/>
      <c r="E100" s="370">
        <f>E99*3</f>
        <v>8400</v>
      </c>
      <c r="F100" s="173"/>
      <c r="K100" s="173"/>
      <c r="L100" s="162"/>
    </row>
    <row r="101" spans="1:14" ht="15.75" x14ac:dyDescent="0.25">
      <c r="A101" s="162"/>
      <c r="B101" s="138" t="s">
        <v>89</v>
      </c>
      <c r="C101" s="122"/>
      <c r="D101" s="122"/>
      <c r="E101" s="122"/>
      <c r="F101" s="162"/>
      <c r="K101" s="162"/>
      <c r="L101" s="162"/>
    </row>
    <row r="102" spans="1:14" ht="15.75" x14ac:dyDescent="0.25">
      <c r="A102" s="162"/>
      <c r="B102" s="162"/>
      <c r="C102" s="162"/>
      <c r="D102" s="162"/>
      <c r="E102" s="162"/>
      <c r="F102" s="162"/>
      <c r="K102" s="162"/>
      <c r="L102" s="162"/>
    </row>
    <row r="103" spans="1:14" ht="15.75" x14ac:dyDescent="0.25">
      <c r="A103" s="162"/>
      <c r="B103" s="162"/>
      <c r="C103" s="162"/>
      <c r="D103" s="162"/>
      <c r="E103" s="162"/>
      <c r="F103" s="162"/>
      <c r="K103" s="162"/>
      <c r="L103" s="162"/>
    </row>
  </sheetData>
  <mergeCells count="64">
    <mergeCell ref="B91:E91"/>
    <mergeCell ref="J96:J97"/>
    <mergeCell ref="H93:I94"/>
    <mergeCell ref="J93:J94"/>
    <mergeCell ref="L93:M94"/>
    <mergeCell ref="L96:M97"/>
    <mergeCell ref="C73:C75"/>
    <mergeCell ref="B79:N79"/>
    <mergeCell ref="B76:N76"/>
    <mergeCell ref="L73:L75"/>
    <mergeCell ref="M73:M75"/>
    <mergeCell ref="N73:N75"/>
    <mergeCell ref="B41:F41"/>
    <mergeCell ref="B42:F42"/>
    <mergeCell ref="B43:C43"/>
    <mergeCell ref="B45:G45"/>
    <mergeCell ref="B90:E90"/>
    <mergeCell ref="B46:G46"/>
    <mergeCell ref="B47:G47"/>
    <mergeCell ref="B52:F52"/>
    <mergeCell ref="B53:F53"/>
    <mergeCell ref="B54:C54"/>
    <mergeCell ref="B65:C65"/>
    <mergeCell ref="B56:G56"/>
    <mergeCell ref="B57:G57"/>
    <mergeCell ref="B58:G58"/>
    <mergeCell ref="B63:F63"/>
    <mergeCell ref="B64:F64"/>
    <mergeCell ref="C100:D100"/>
    <mergeCell ref="B68:E68"/>
    <mergeCell ref="B89:E89"/>
    <mergeCell ref="B70:N70"/>
    <mergeCell ref="B71:N71"/>
    <mergeCell ref="B72:N72"/>
    <mergeCell ref="B93:E93"/>
    <mergeCell ref="B95:E95"/>
    <mergeCell ref="B99:D99"/>
    <mergeCell ref="H96:I97"/>
    <mergeCell ref="B73:B75"/>
    <mergeCell ref="D73:D75"/>
    <mergeCell ref="E73:E75"/>
    <mergeCell ref="F73:F75"/>
    <mergeCell ref="G73:G75"/>
    <mergeCell ref="H73:K73"/>
    <mergeCell ref="B31:E31"/>
    <mergeCell ref="B32:C32"/>
    <mergeCell ref="B34:G34"/>
    <mergeCell ref="B35:G35"/>
    <mergeCell ref="B36:G36"/>
    <mergeCell ref="B19:C19"/>
    <mergeCell ref="B23:G23"/>
    <mergeCell ref="B24:G24"/>
    <mergeCell ref="B25:G25"/>
    <mergeCell ref="B30:E30"/>
    <mergeCell ref="B18:D18"/>
    <mergeCell ref="B4:F4"/>
    <mergeCell ref="B5:F5"/>
    <mergeCell ref="B6:F6"/>
    <mergeCell ref="H8:K8"/>
    <mergeCell ref="H9:K9"/>
    <mergeCell ref="H10:K10"/>
    <mergeCell ref="H14:K14"/>
    <mergeCell ref="B17:E17"/>
    <mergeCell ref="H17:K17"/>
  </mergeCells>
  <phoneticPr fontId="40" type="noConversion"/>
  <pageMargins left="0.7" right="0.7" top="0.75" bottom="0.75" header="0.3" footer="0.3"/>
  <pageSetup paperSize="34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zoomScale="69" zoomScaleNormal="69" workbookViewId="0">
      <selection activeCell="C15" sqref="C15"/>
    </sheetView>
  </sheetViews>
  <sheetFormatPr baseColWidth="10" defaultColWidth="10.7109375" defaultRowHeight="15" x14ac:dyDescent="0.25"/>
  <cols>
    <col min="2" max="2" width="47" customWidth="1"/>
    <col min="3" max="3" width="17.42578125" customWidth="1"/>
    <col min="4" max="4" width="17.140625" customWidth="1"/>
    <col min="5" max="5" width="21.5703125" customWidth="1"/>
    <col min="8" max="8" width="12.28515625" customWidth="1"/>
    <col min="9" max="9" width="17" customWidth="1"/>
    <col min="10" max="10" width="13.5703125" customWidth="1"/>
    <col min="11" max="11" width="14.140625" customWidth="1"/>
    <col min="12" max="12" width="15" customWidth="1"/>
  </cols>
  <sheetData>
    <row r="2" spans="2:15" ht="12.75" customHeight="1" x14ac:dyDescent="0.25">
      <c r="B2" s="483" t="s">
        <v>45</v>
      </c>
      <c r="C2" s="484"/>
      <c r="D2" s="484"/>
      <c r="E2" s="484"/>
    </row>
    <row r="3" spans="2:15" ht="12.75" customHeight="1" x14ac:dyDescent="0.25">
      <c r="B3" s="426" t="s">
        <v>101</v>
      </c>
      <c r="C3" s="427"/>
      <c r="D3" s="427"/>
      <c r="E3" s="427"/>
      <c r="H3" s="485" t="s">
        <v>45</v>
      </c>
      <c r="I3" s="486"/>
      <c r="J3" s="486"/>
      <c r="K3" s="486"/>
      <c r="L3" s="486"/>
    </row>
    <row r="4" spans="2:15" x14ac:dyDescent="0.25">
      <c r="B4" s="426" t="s">
        <v>17</v>
      </c>
      <c r="C4" s="427"/>
      <c r="D4" s="427"/>
      <c r="E4" s="427"/>
      <c r="H4" s="487" t="s">
        <v>102</v>
      </c>
      <c r="I4" s="488"/>
      <c r="J4" s="488"/>
      <c r="K4" s="488"/>
      <c r="L4" s="488"/>
    </row>
    <row r="5" spans="2:15" s="45" customFormat="1" ht="15" customHeight="1" x14ac:dyDescent="0.25">
      <c r="H5" s="489" t="s">
        <v>17</v>
      </c>
      <c r="I5" s="490"/>
      <c r="J5" s="490"/>
      <c r="K5" s="490"/>
      <c r="L5" s="490"/>
    </row>
    <row r="6" spans="2:15" ht="31.5" x14ac:dyDescent="0.25">
      <c r="B6" s="47" t="s">
        <v>18</v>
      </c>
      <c r="C6" s="46" t="s">
        <v>108</v>
      </c>
      <c r="D6" s="46" t="s">
        <v>109</v>
      </c>
      <c r="E6" s="116" t="s">
        <v>110</v>
      </c>
      <c r="H6" s="46" t="s">
        <v>103</v>
      </c>
      <c r="I6" s="46" t="s">
        <v>104</v>
      </c>
      <c r="J6" s="46" t="s">
        <v>105</v>
      </c>
      <c r="K6" s="46" t="s">
        <v>106</v>
      </c>
      <c r="L6" s="46" t="s">
        <v>107</v>
      </c>
      <c r="M6" s="51"/>
    </row>
    <row r="7" spans="2:15" ht="15.75" customHeight="1" x14ac:dyDescent="0.25">
      <c r="B7" s="52" t="s">
        <v>15</v>
      </c>
      <c r="C7" s="53">
        <f>SUM(C8:C12)</f>
        <v>20506</v>
      </c>
      <c r="D7" s="53">
        <f>SUM(D8:D12)</f>
        <v>11000</v>
      </c>
      <c r="E7" s="53">
        <f>SUM(E8:E12)</f>
        <v>9506</v>
      </c>
      <c r="H7" s="48">
        <v>0</v>
      </c>
      <c r="I7" s="49">
        <f>E20</f>
        <v>9506</v>
      </c>
      <c r="J7" s="50">
        <v>0</v>
      </c>
      <c r="K7" s="50">
        <v>0</v>
      </c>
      <c r="L7" s="50">
        <v>0</v>
      </c>
      <c r="N7" s="491" t="s">
        <v>206</v>
      </c>
      <c r="O7" s="491"/>
    </row>
    <row r="8" spans="2:15" ht="14.25" customHeight="1" x14ac:dyDescent="0.25">
      <c r="B8" s="54" t="s">
        <v>211</v>
      </c>
      <c r="C8" s="49">
        <f>'ACTIVOS FIJOS'!E13</f>
        <v>5470</v>
      </c>
      <c r="D8" s="49">
        <f>C8-E8</f>
        <v>0</v>
      </c>
      <c r="E8" s="49">
        <v>5470</v>
      </c>
      <c r="H8" s="48">
        <v>1</v>
      </c>
      <c r="I8" s="49">
        <f>I7-J8</f>
        <v>7604.8</v>
      </c>
      <c r="J8" s="49">
        <f>I7/5</f>
        <v>1901.2</v>
      </c>
      <c r="K8" s="49">
        <f>I7*0.07</f>
        <v>665.42000000000007</v>
      </c>
      <c r="L8" s="49">
        <f>J8-K8</f>
        <v>1235.78</v>
      </c>
      <c r="N8" s="491"/>
      <c r="O8" s="491"/>
    </row>
    <row r="9" spans="2:15" ht="15.75" customHeight="1" x14ac:dyDescent="0.25">
      <c r="B9" s="54" t="s">
        <v>111</v>
      </c>
      <c r="C9" s="49">
        <f>'ACTIVOS FIJOS'!E24</f>
        <v>12260</v>
      </c>
      <c r="D9" s="49">
        <f t="shared" ref="D9:D10" si="0">C9-E9</f>
        <v>11000</v>
      </c>
      <c r="E9" s="49">
        <v>1260</v>
      </c>
      <c r="H9" s="48">
        <v>2</v>
      </c>
      <c r="I9" s="49">
        <f>I8-J9</f>
        <v>5703.6</v>
      </c>
      <c r="J9" s="49">
        <f>J8</f>
        <v>1901.2</v>
      </c>
      <c r="K9" s="49">
        <f>I8*0.07</f>
        <v>532.33600000000001</v>
      </c>
      <c r="L9" s="49">
        <f>J9-K9</f>
        <v>1368.864</v>
      </c>
      <c r="N9" s="491"/>
      <c r="O9" s="491"/>
    </row>
    <row r="10" spans="2:15" ht="16.5" customHeight="1" x14ac:dyDescent="0.25">
      <c r="B10" s="54" t="s">
        <v>112</v>
      </c>
      <c r="C10" s="49">
        <f>'ACTIVOS FIJOS'!E40</f>
        <v>256</v>
      </c>
      <c r="D10" s="49">
        <f t="shared" si="0"/>
        <v>0</v>
      </c>
      <c r="E10" s="49">
        <v>256</v>
      </c>
      <c r="H10" s="48">
        <v>3</v>
      </c>
      <c r="I10" s="49">
        <f>I9-J10</f>
        <v>3802.4000000000005</v>
      </c>
      <c r="J10" s="49">
        <f>J9</f>
        <v>1901.2</v>
      </c>
      <c r="K10" s="49">
        <f>I9*0.07</f>
        <v>399.25200000000007</v>
      </c>
      <c r="L10" s="49">
        <f>J10-K10</f>
        <v>1501.9479999999999</v>
      </c>
      <c r="N10" s="491"/>
      <c r="O10" s="491"/>
    </row>
    <row r="11" spans="2:15" ht="15.75" x14ac:dyDescent="0.25">
      <c r="B11" s="233" t="s">
        <v>350</v>
      </c>
      <c r="C11" s="49">
        <f>'ACTIVOS FIJOS'!E49</f>
        <v>1700</v>
      </c>
      <c r="D11" s="49">
        <f>C11-E11</f>
        <v>0</v>
      </c>
      <c r="E11" s="49">
        <v>1700</v>
      </c>
      <c r="H11" s="48">
        <v>4</v>
      </c>
      <c r="I11" s="49">
        <f>I10-J11</f>
        <v>1901.2000000000005</v>
      </c>
      <c r="J11" s="49">
        <f>J10</f>
        <v>1901.2</v>
      </c>
      <c r="K11" s="49">
        <f>I10*0.07</f>
        <v>266.16800000000006</v>
      </c>
      <c r="L11" s="49">
        <f>J11-K11</f>
        <v>1635.0319999999999</v>
      </c>
    </row>
    <row r="12" spans="2:15" x14ac:dyDescent="0.25">
      <c r="B12" s="54" t="s">
        <v>113</v>
      </c>
      <c r="C12" s="49">
        <f>'ACTIVOS FIJOS'!E59</f>
        <v>820</v>
      </c>
      <c r="D12" s="49">
        <f>C12-E12</f>
        <v>0</v>
      </c>
      <c r="E12" s="49">
        <v>820</v>
      </c>
      <c r="H12" s="48">
        <v>5</v>
      </c>
      <c r="I12" s="49">
        <f>I11-J12</f>
        <v>0</v>
      </c>
      <c r="J12" s="49">
        <f>J11</f>
        <v>1901.2</v>
      </c>
      <c r="K12" s="49">
        <f>I11*0.07</f>
        <v>133.08400000000006</v>
      </c>
      <c r="L12" s="49">
        <f>J12-K12</f>
        <v>1768.116</v>
      </c>
    </row>
    <row r="13" spans="2:15" ht="15" customHeight="1" x14ac:dyDescent="0.25">
      <c r="B13" s="55" t="s">
        <v>114</v>
      </c>
      <c r="C13" s="53">
        <f>SUM(C14)</f>
        <v>2098</v>
      </c>
      <c r="D13" s="53">
        <f>SUM(D14)</f>
        <v>2098</v>
      </c>
      <c r="E13" s="53">
        <f t="shared" ref="E13" si="1">SUM(E14)</f>
        <v>0</v>
      </c>
      <c r="H13" s="56"/>
      <c r="I13" s="57"/>
      <c r="J13" s="58"/>
      <c r="K13" s="59">
        <f>SUM(K8:K12)</f>
        <v>1996.2600000000004</v>
      </c>
      <c r="L13" s="59">
        <f>SUM(L8:L12)</f>
        <v>7509.7400000000007</v>
      </c>
    </row>
    <row r="14" spans="2:15" x14ac:dyDescent="0.25">
      <c r="B14" s="54" t="s">
        <v>115</v>
      </c>
      <c r="C14" s="49">
        <f>'COSTOS DIFERIDOS'!G22</f>
        <v>2098</v>
      </c>
      <c r="D14" s="49">
        <f t="shared" ref="D14:D18" si="2">C14-E14</f>
        <v>2098</v>
      </c>
      <c r="E14" s="49">
        <v>0</v>
      </c>
      <c r="H14" s="492" t="s">
        <v>24</v>
      </c>
      <c r="I14" s="492"/>
      <c r="J14" s="492"/>
      <c r="K14" s="57"/>
      <c r="L14" s="57"/>
    </row>
    <row r="15" spans="2:15" ht="15.75" x14ac:dyDescent="0.25">
      <c r="B15" s="52" t="s">
        <v>59</v>
      </c>
      <c r="C15" s="60">
        <f>SUM(C16:C19)</f>
        <v>116359.94484000001</v>
      </c>
      <c r="D15" s="60">
        <f t="shared" si="2"/>
        <v>116359.94484000001</v>
      </c>
      <c r="E15" s="60">
        <f>SUM(E16:E19)</f>
        <v>0</v>
      </c>
      <c r="H15" s="38"/>
      <c r="I15" s="38"/>
      <c r="J15" s="38"/>
      <c r="K15" s="38"/>
      <c r="L15" s="38"/>
    </row>
    <row r="16" spans="2:15" ht="23.25" customHeight="1" x14ac:dyDescent="0.25">
      <c r="B16" s="54" t="s">
        <v>116</v>
      </c>
      <c r="C16" s="49">
        <f>'CAPITAL DE TRABAJO'!F18</f>
        <v>78510</v>
      </c>
      <c r="D16" s="49">
        <f t="shared" si="2"/>
        <v>78510</v>
      </c>
      <c r="E16" s="49">
        <v>0</v>
      </c>
      <c r="H16" s="485" t="s">
        <v>45</v>
      </c>
      <c r="I16" s="486"/>
      <c r="J16" s="486"/>
      <c r="K16" s="486"/>
      <c r="L16" s="486"/>
    </row>
    <row r="17" spans="2:15" x14ac:dyDescent="0.25">
      <c r="B17" s="54" t="s">
        <v>351</v>
      </c>
      <c r="C17" s="49">
        <f>'CAPITAL DE TRABAJO'!F31</f>
        <v>766.8</v>
      </c>
      <c r="D17" s="49">
        <f t="shared" si="2"/>
        <v>766.8</v>
      </c>
      <c r="E17" s="49">
        <v>0</v>
      </c>
      <c r="H17" s="487" t="s">
        <v>118</v>
      </c>
      <c r="I17" s="488"/>
      <c r="J17" s="488"/>
      <c r="K17" s="488"/>
      <c r="L17" s="488"/>
    </row>
    <row r="18" spans="2:15" ht="15.75" x14ac:dyDescent="0.25">
      <c r="B18" s="54" t="s">
        <v>117</v>
      </c>
      <c r="C18" s="49">
        <f>'CAPITAL DE TRABAJO'!N93</f>
        <v>17456.79522</v>
      </c>
      <c r="D18" s="49">
        <f t="shared" si="2"/>
        <v>17456.79522</v>
      </c>
      <c r="E18" s="61">
        <v>0</v>
      </c>
      <c r="H18" s="489" t="s">
        <v>17</v>
      </c>
      <c r="I18" s="490"/>
      <c r="J18" s="490"/>
      <c r="K18" s="490"/>
      <c r="L18" s="490"/>
    </row>
    <row r="19" spans="2:15" ht="15.75" x14ac:dyDescent="0.25">
      <c r="B19" s="54" t="s">
        <v>119</v>
      </c>
      <c r="C19" s="49">
        <f>'CAPITAL DE TRABAJO'!N96</f>
        <v>19626.349620000001</v>
      </c>
      <c r="D19" s="49">
        <f>C19-E19</f>
        <v>19626.349620000001</v>
      </c>
      <c r="E19" s="61">
        <v>0</v>
      </c>
      <c r="H19" s="62" t="s">
        <v>121</v>
      </c>
      <c r="I19" s="62" t="s">
        <v>104</v>
      </c>
      <c r="J19" s="62" t="s">
        <v>122</v>
      </c>
      <c r="K19" s="62" t="s">
        <v>123</v>
      </c>
      <c r="L19" s="62" t="s">
        <v>124</v>
      </c>
    </row>
    <row r="20" spans="2:15" ht="15.75" customHeight="1" x14ac:dyDescent="0.25">
      <c r="B20" s="55" t="s">
        <v>120</v>
      </c>
      <c r="C20" s="60">
        <f>C7+C13+C15</f>
        <v>138963.94484000001</v>
      </c>
      <c r="D20" s="60">
        <f>D7+D13+D15</f>
        <v>129457.94484000001</v>
      </c>
      <c r="E20" s="60">
        <f>E7+E13+E15</f>
        <v>9506</v>
      </c>
      <c r="H20" s="67">
        <v>0</v>
      </c>
      <c r="I20" s="49">
        <f>E20</f>
        <v>9506</v>
      </c>
      <c r="J20" s="50">
        <v>0</v>
      </c>
      <c r="K20" s="50">
        <v>0</v>
      </c>
      <c r="L20" s="50">
        <v>0</v>
      </c>
      <c r="N20" s="491" t="s">
        <v>206</v>
      </c>
      <c r="O20" s="491"/>
    </row>
    <row r="21" spans="2:15" ht="15.75" x14ac:dyDescent="0.25">
      <c r="B21" s="63" t="s">
        <v>125</v>
      </c>
      <c r="C21" s="64">
        <v>1</v>
      </c>
      <c r="D21" s="65">
        <f>D20*C21/C20</f>
        <v>0.93159376692317564</v>
      </c>
      <c r="E21" s="66">
        <f>E20*C21/C20</f>
        <v>6.8406233076824322E-2</v>
      </c>
      <c r="H21" s="67">
        <v>1</v>
      </c>
      <c r="I21" s="69">
        <f>I20-J21</f>
        <v>7852.9950586402983</v>
      </c>
      <c r="J21" s="69">
        <f>L21-K21</f>
        <v>1653.0049413597017</v>
      </c>
      <c r="K21" s="69">
        <f>I20*1*0.07</f>
        <v>665.42000000000007</v>
      </c>
      <c r="L21" s="69">
        <f>I20*(0.07/(1-(1+0.07)^(-5)))</f>
        <v>2318.4249413597017</v>
      </c>
      <c r="N21" s="491"/>
      <c r="O21" s="491"/>
    </row>
    <row r="22" spans="2:15" ht="15.75" x14ac:dyDescent="0.25">
      <c r="B22" s="295" t="s">
        <v>24</v>
      </c>
      <c r="C22" s="295"/>
      <c r="D22" s="68"/>
      <c r="E22" s="68"/>
      <c r="H22" s="67">
        <v>2</v>
      </c>
      <c r="I22" s="69">
        <f>I21-J22</f>
        <v>6084.2797713854179</v>
      </c>
      <c r="J22" s="69">
        <f>L22-K22</f>
        <v>1768.7152872548809</v>
      </c>
      <c r="K22" s="69">
        <f>I21*1*0.07</f>
        <v>549.70965410482097</v>
      </c>
      <c r="L22" s="69">
        <f>L21</f>
        <v>2318.4249413597017</v>
      </c>
      <c r="N22" s="491"/>
      <c r="O22" s="491"/>
    </row>
    <row r="23" spans="2:15" ht="15.75" x14ac:dyDescent="0.25">
      <c r="H23" s="67">
        <v>3</v>
      </c>
      <c r="I23" s="69">
        <f>I22-J23</f>
        <v>4191.7544140226955</v>
      </c>
      <c r="J23" s="69">
        <f>L23-K23</f>
        <v>1892.5253573627224</v>
      </c>
      <c r="K23" s="69">
        <f>I22*1*0.07</f>
        <v>425.89958399697929</v>
      </c>
      <c r="L23" s="69">
        <f>L22</f>
        <v>2318.4249413597017</v>
      </c>
      <c r="N23" s="491"/>
      <c r="O23" s="491"/>
    </row>
    <row r="24" spans="2:15" ht="15.75" x14ac:dyDescent="0.25">
      <c r="H24" s="67">
        <v>4</v>
      </c>
      <c r="I24" s="69">
        <f>I23-J24</f>
        <v>2166.7522816445826</v>
      </c>
      <c r="J24" s="69">
        <f>L24-K24</f>
        <v>2025.0021323781129</v>
      </c>
      <c r="K24" s="69">
        <f>I23*1*0.07</f>
        <v>293.42280898158873</v>
      </c>
      <c r="L24" s="69">
        <f>L23</f>
        <v>2318.4249413597017</v>
      </c>
    </row>
    <row r="25" spans="2:15" ht="15.75" x14ac:dyDescent="0.25">
      <c r="H25" s="67">
        <v>5</v>
      </c>
      <c r="I25" s="69">
        <f>I24-J25</f>
        <v>0</v>
      </c>
      <c r="J25" s="69">
        <f>L25-K25</f>
        <v>2166.7522816445808</v>
      </c>
      <c r="K25" s="69">
        <f>I24*1*0.07</f>
        <v>151.6726597151208</v>
      </c>
      <c r="L25" s="69">
        <f>L24</f>
        <v>2318.4249413597017</v>
      </c>
    </row>
    <row r="26" spans="2:15" ht="15.75" x14ac:dyDescent="0.25">
      <c r="H26" s="70"/>
      <c r="I26" s="71"/>
      <c r="J26" s="71"/>
      <c r="K26" s="72">
        <f>SUM(K21:K25)</f>
        <v>2086.12470679851</v>
      </c>
      <c r="L26" s="73">
        <f>SUM(L21:L25)</f>
        <v>11592.12470679851</v>
      </c>
    </row>
    <row r="27" spans="2:15" ht="15" customHeight="1" x14ac:dyDescent="0.25">
      <c r="H27" s="482" t="s">
        <v>24</v>
      </c>
      <c r="I27" s="482"/>
      <c r="J27" s="482"/>
      <c r="K27" s="74"/>
      <c r="L27" s="74"/>
    </row>
    <row r="36" spans="1:1" x14ac:dyDescent="0.25">
      <c r="A36" s="75"/>
    </row>
    <row r="37" spans="1:1" x14ac:dyDescent="0.25">
      <c r="A37" s="75"/>
    </row>
  </sheetData>
  <mergeCells count="13">
    <mergeCell ref="N7:O10"/>
    <mergeCell ref="N20:O23"/>
    <mergeCell ref="H14:J14"/>
    <mergeCell ref="H16:L16"/>
    <mergeCell ref="H17:L17"/>
    <mergeCell ref="H18:L18"/>
    <mergeCell ref="H27:J27"/>
    <mergeCell ref="B2:E2"/>
    <mergeCell ref="H3:L3"/>
    <mergeCell ref="B3:E3"/>
    <mergeCell ref="H4:L4"/>
    <mergeCell ref="B4:E4"/>
    <mergeCell ref="H5:L5"/>
  </mergeCells>
  <pageMargins left="0.7" right="0.7" top="0.75" bottom="0.75" header="0.3" footer="0.3"/>
  <ignoredErrors>
    <ignoredError sqref="D13 D15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zoomScale="64" zoomScaleNormal="64" workbookViewId="0">
      <selection activeCell="G21" sqref="G21"/>
    </sheetView>
  </sheetViews>
  <sheetFormatPr baseColWidth="10" defaultColWidth="10.7109375" defaultRowHeight="15" x14ac:dyDescent="0.25"/>
  <cols>
    <col min="1" max="1" width="11.28515625" customWidth="1"/>
    <col min="2" max="2" width="2.140625" customWidth="1"/>
    <col min="3" max="3" width="43.28515625" customWidth="1"/>
    <col min="4" max="4" width="15.140625" customWidth="1"/>
    <col min="5" max="5" width="5.7109375" customWidth="1"/>
    <col min="6" max="6" width="43.42578125" customWidth="1"/>
    <col min="7" max="7" width="15.42578125" customWidth="1"/>
    <col min="8" max="8" width="2.28515625" customWidth="1"/>
  </cols>
  <sheetData>
    <row r="2" spans="2:8" ht="15.75" x14ac:dyDescent="0.25">
      <c r="B2" s="77"/>
      <c r="C2" s="109"/>
      <c r="D2" s="109"/>
      <c r="E2" s="109"/>
      <c r="F2" s="109"/>
      <c r="G2" s="109"/>
      <c r="H2" s="109"/>
    </row>
    <row r="3" spans="2:8" ht="15.75" x14ac:dyDescent="0.25">
      <c r="B3" s="77"/>
      <c r="C3" s="493" t="s">
        <v>126</v>
      </c>
      <c r="D3" s="493"/>
      <c r="E3" s="493"/>
      <c r="F3" s="493"/>
      <c r="G3" s="493"/>
      <c r="H3" s="109"/>
    </row>
    <row r="4" spans="2:8" ht="15.75" x14ac:dyDescent="0.25">
      <c r="B4" s="77"/>
      <c r="C4" s="493" t="s">
        <v>127</v>
      </c>
      <c r="D4" s="493"/>
      <c r="E4" s="493"/>
      <c r="F4" s="493"/>
      <c r="G4" s="493"/>
      <c r="H4" s="109"/>
    </row>
    <row r="5" spans="2:8" ht="15.75" x14ac:dyDescent="0.25">
      <c r="B5" s="77"/>
      <c r="C5" s="493" t="s">
        <v>128</v>
      </c>
      <c r="D5" s="493"/>
      <c r="E5" s="493"/>
      <c r="F5" s="493"/>
      <c r="G5" s="493"/>
      <c r="H5" s="109"/>
    </row>
    <row r="6" spans="2:8" ht="15.75" x14ac:dyDescent="0.25">
      <c r="B6" s="77"/>
      <c r="C6" s="493" t="s">
        <v>129</v>
      </c>
      <c r="D6" s="493"/>
      <c r="E6" s="493"/>
      <c r="F6" s="493"/>
      <c r="G6" s="493"/>
      <c r="H6" s="109"/>
    </row>
    <row r="7" spans="2:8" ht="15.75" x14ac:dyDescent="0.25">
      <c r="B7" s="77"/>
      <c r="C7" s="191"/>
      <c r="D7" s="191"/>
      <c r="E7" s="191"/>
      <c r="F7" s="191"/>
      <c r="G7" s="191"/>
      <c r="H7" s="109"/>
    </row>
    <row r="8" spans="2:8" ht="15.75" x14ac:dyDescent="0.25">
      <c r="B8" s="77"/>
      <c r="C8" s="192" t="s">
        <v>130</v>
      </c>
      <c r="D8" s="109"/>
      <c r="E8" s="109"/>
      <c r="F8" s="192" t="s">
        <v>131</v>
      </c>
      <c r="G8" s="109"/>
      <c r="H8" s="109"/>
    </row>
    <row r="9" spans="2:8" ht="15.75" x14ac:dyDescent="0.25">
      <c r="B9" s="77"/>
      <c r="C9" s="192" t="s">
        <v>132</v>
      </c>
      <c r="D9" s="109"/>
      <c r="E9" s="109"/>
      <c r="F9" s="192" t="s">
        <v>133</v>
      </c>
      <c r="G9" s="109"/>
      <c r="H9" s="109"/>
    </row>
    <row r="10" spans="2:8" ht="15.75" x14ac:dyDescent="0.25">
      <c r="B10" s="77"/>
      <c r="C10" s="111" t="s">
        <v>134</v>
      </c>
      <c r="D10" s="108"/>
      <c r="E10" s="109"/>
      <c r="F10" s="192" t="s">
        <v>135</v>
      </c>
      <c r="G10" s="109"/>
      <c r="H10" s="109"/>
    </row>
    <row r="11" spans="2:8" ht="15.75" x14ac:dyDescent="0.25">
      <c r="B11" s="77"/>
      <c r="C11" s="109" t="s">
        <v>136</v>
      </c>
      <c r="D11" s="108">
        <f>'INVERSIÓN Y FINANCIAMIENTO'!D15</f>
        <v>116359.94484000001</v>
      </c>
      <c r="E11" s="109"/>
      <c r="F11" s="109" t="s">
        <v>137</v>
      </c>
      <c r="G11" s="110">
        <f>'INVERSIÓN Y FINANCIAMIENTO'!E20</f>
        <v>9506</v>
      </c>
      <c r="H11" s="109"/>
    </row>
    <row r="12" spans="2:8" ht="15.75" x14ac:dyDescent="0.25">
      <c r="B12" s="77"/>
      <c r="C12" s="192" t="s">
        <v>138</v>
      </c>
      <c r="D12" s="111">
        <f>D11</f>
        <v>116359.94484000001</v>
      </c>
      <c r="E12" s="109"/>
      <c r="F12" s="192" t="s">
        <v>139</v>
      </c>
      <c r="G12" s="112">
        <f>G11</f>
        <v>9506</v>
      </c>
      <c r="H12" s="109"/>
    </row>
    <row r="13" spans="2:8" ht="13.5" customHeight="1" x14ac:dyDescent="0.25">
      <c r="B13" s="77"/>
      <c r="C13" s="193"/>
      <c r="D13" s="108"/>
      <c r="E13" s="109"/>
      <c r="F13" s="192" t="s">
        <v>140</v>
      </c>
      <c r="G13" s="112">
        <f>G12</f>
        <v>9506</v>
      </c>
      <c r="H13" s="109"/>
    </row>
    <row r="14" spans="2:8" ht="15.75" x14ac:dyDescent="0.25">
      <c r="B14" s="77"/>
      <c r="C14" s="192" t="s">
        <v>141</v>
      </c>
      <c r="D14" s="108"/>
      <c r="E14" s="109"/>
      <c r="F14" s="109"/>
      <c r="G14" s="110"/>
      <c r="H14" s="109"/>
    </row>
    <row r="15" spans="2:8" ht="15.75" x14ac:dyDescent="0.25">
      <c r="B15" s="77"/>
      <c r="C15" s="192" t="s">
        <v>142</v>
      </c>
      <c r="D15" s="108"/>
      <c r="E15" s="109"/>
      <c r="F15" s="192" t="s">
        <v>143</v>
      </c>
      <c r="G15" s="110"/>
      <c r="H15" s="109"/>
    </row>
    <row r="16" spans="2:8" ht="15.75" x14ac:dyDescent="0.25">
      <c r="B16" s="77"/>
      <c r="C16" s="194" t="s">
        <v>211</v>
      </c>
      <c r="D16" s="113">
        <f>'INVERSIÓN Y FINANCIAMIENTO'!C8</f>
        <v>5470</v>
      </c>
      <c r="E16" s="109"/>
      <c r="F16" s="192" t="s">
        <v>144</v>
      </c>
      <c r="G16" s="108"/>
      <c r="H16" s="109"/>
    </row>
    <row r="17" spans="2:8" ht="15.75" x14ac:dyDescent="0.25">
      <c r="B17" s="77"/>
      <c r="C17" s="194" t="s">
        <v>111</v>
      </c>
      <c r="D17" s="113">
        <f>'INVERSIÓN Y FINANCIAMIENTO'!C9</f>
        <v>12260</v>
      </c>
      <c r="E17" s="109"/>
      <c r="F17" s="195" t="s">
        <v>144</v>
      </c>
      <c r="G17" s="108">
        <f>'INVERSIÓN Y FINANCIAMIENTO'!D20</f>
        <v>129457.94484000001</v>
      </c>
      <c r="H17" s="109"/>
    </row>
    <row r="18" spans="2:8" ht="15.75" x14ac:dyDescent="0.25">
      <c r="B18" s="77"/>
      <c r="C18" s="194" t="s">
        <v>112</v>
      </c>
      <c r="D18" s="113">
        <f>'INVERSIÓN Y FINANCIAMIENTO'!C10</f>
        <v>256</v>
      </c>
      <c r="E18" s="109"/>
      <c r="F18" s="192" t="s">
        <v>148</v>
      </c>
      <c r="G18" s="112">
        <f>G17</f>
        <v>129457.94484000001</v>
      </c>
      <c r="H18" s="109"/>
    </row>
    <row r="19" spans="2:8" ht="15.75" x14ac:dyDescent="0.25">
      <c r="B19" s="77"/>
      <c r="C19" s="194" t="s">
        <v>350</v>
      </c>
      <c r="D19" s="113">
        <f>'INVERSIÓN Y FINANCIAMIENTO'!C11</f>
        <v>1700</v>
      </c>
      <c r="E19" s="109"/>
      <c r="F19" s="192"/>
      <c r="G19" s="112"/>
      <c r="H19" s="109"/>
    </row>
    <row r="20" spans="2:8" ht="15.75" x14ac:dyDescent="0.25">
      <c r="B20" s="77"/>
      <c r="C20" s="194" t="s">
        <v>113</v>
      </c>
      <c r="D20" s="113">
        <f>'INVERSIÓN Y FINANCIAMIENTO'!C12</f>
        <v>820</v>
      </c>
      <c r="E20" s="109"/>
      <c r="F20" s="109"/>
      <c r="G20" s="109"/>
      <c r="H20" s="109"/>
    </row>
    <row r="21" spans="2:8" ht="15.75" x14ac:dyDescent="0.25">
      <c r="B21" s="77"/>
      <c r="C21" s="192" t="s">
        <v>145</v>
      </c>
      <c r="D21" s="108"/>
      <c r="E21" s="109"/>
      <c r="F21" s="108"/>
      <c r="G21" s="109"/>
      <c r="H21" s="109"/>
    </row>
    <row r="22" spans="2:8" ht="15.75" x14ac:dyDescent="0.25">
      <c r="B22" s="77"/>
      <c r="C22" s="194" t="s">
        <v>146</v>
      </c>
      <c r="D22" s="113">
        <f>'INVERSIÓN Y FINANCIAMIENTO'!C14</f>
        <v>2098</v>
      </c>
      <c r="E22" s="109"/>
      <c r="F22" s="109"/>
      <c r="G22" s="110"/>
      <c r="H22" s="109"/>
    </row>
    <row r="23" spans="2:8" ht="15.75" x14ac:dyDescent="0.25">
      <c r="B23" s="77"/>
      <c r="C23" s="108"/>
      <c r="D23" s="108"/>
      <c r="E23" s="109"/>
      <c r="F23" s="109"/>
      <c r="G23" s="110"/>
      <c r="H23" s="109"/>
    </row>
    <row r="24" spans="2:8" ht="15.75" x14ac:dyDescent="0.25">
      <c r="B24" s="77"/>
      <c r="C24" s="192" t="s">
        <v>147</v>
      </c>
      <c r="D24" s="112">
        <f>SUM(D16:D22)</f>
        <v>22604</v>
      </c>
      <c r="E24" s="109"/>
      <c r="F24" s="109"/>
      <c r="G24" s="110"/>
      <c r="H24" s="109"/>
    </row>
    <row r="25" spans="2:8" ht="16.5" thickBot="1" x14ac:dyDescent="0.3">
      <c r="B25" s="77"/>
      <c r="C25" s="192" t="s">
        <v>149</v>
      </c>
      <c r="D25" s="114">
        <f>D12+D24</f>
        <v>138963.94484000001</v>
      </c>
      <c r="E25" s="109"/>
      <c r="F25" s="192" t="s">
        <v>150</v>
      </c>
      <c r="G25" s="114">
        <f>G13+G18</f>
        <v>138963.94484000001</v>
      </c>
      <c r="H25" s="109"/>
    </row>
    <row r="26" spans="2:8" ht="16.5" thickTop="1" x14ac:dyDescent="0.25">
      <c r="B26" s="77"/>
      <c r="C26" s="192"/>
      <c r="D26" s="112"/>
      <c r="E26" s="109"/>
      <c r="F26" s="109"/>
      <c r="G26" s="109"/>
      <c r="H26" s="109"/>
    </row>
    <row r="27" spans="2:8" ht="15.75" x14ac:dyDescent="0.25">
      <c r="B27" s="77"/>
      <c r="C27" s="108"/>
      <c r="D27" s="108"/>
      <c r="E27" s="109"/>
      <c r="F27" s="109"/>
      <c r="G27" s="109"/>
      <c r="H27" s="109"/>
    </row>
    <row r="28" spans="2:8" ht="15.75" x14ac:dyDescent="0.25">
      <c r="B28" s="77"/>
      <c r="C28" s="109"/>
      <c r="D28" s="109"/>
      <c r="E28" s="109"/>
      <c r="F28" s="109"/>
      <c r="G28" s="109"/>
      <c r="H28" s="109"/>
    </row>
    <row r="29" spans="2:8" ht="15.75" x14ac:dyDescent="0.25">
      <c r="B29" s="77"/>
      <c r="C29" s="109"/>
      <c r="D29" s="109"/>
      <c r="E29" s="109"/>
      <c r="F29" s="109"/>
      <c r="G29" s="109"/>
      <c r="H29" s="109"/>
    </row>
    <row r="30" spans="2:8" ht="15.75" x14ac:dyDescent="0.25">
      <c r="B30" s="77"/>
      <c r="C30" s="494" t="s">
        <v>151</v>
      </c>
      <c r="D30" s="494"/>
      <c r="E30" s="109"/>
      <c r="F30" s="196" t="s">
        <v>53</v>
      </c>
      <c r="G30" s="109"/>
      <c r="H30" s="109"/>
    </row>
    <row r="31" spans="2:8" ht="15.75" x14ac:dyDescent="0.25">
      <c r="B31" s="77"/>
      <c r="C31" s="109"/>
      <c r="D31" s="109"/>
      <c r="E31" s="109"/>
      <c r="F31" s="109"/>
      <c r="G31" s="109"/>
      <c r="H31" s="109"/>
    </row>
    <row r="32" spans="2:8" ht="15.75" x14ac:dyDescent="0.25">
      <c r="B32" s="77"/>
      <c r="C32" s="109"/>
      <c r="D32" s="109"/>
      <c r="E32" s="109"/>
      <c r="F32" s="109"/>
      <c r="G32" s="109"/>
      <c r="H32" s="109"/>
    </row>
    <row r="33" spans="3:7" x14ac:dyDescent="0.25">
      <c r="C33" s="26"/>
      <c r="D33" s="26"/>
      <c r="E33" s="26"/>
      <c r="F33" s="26"/>
      <c r="G33" s="26"/>
    </row>
  </sheetData>
  <mergeCells count="5">
    <mergeCell ref="C5:G5"/>
    <mergeCell ref="C6:G6"/>
    <mergeCell ref="C30:D30"/>
    <mergeCell ref="C3:G3"/>
    <mergeCell ref="C4:G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zoomScale="60" zoomScaleNormal="60" workbookViewId="0">
      <selection activeCell="F10" sqref="F10"/>
    </sheetView>
  </sheetViews>
  <sheetFormatPr baseColWidth="10" defaultColWidth="11.42578125" defaultRowHeight="12.75" x14ac:dyDescent="0.2"/>
  <cols>
    <col min="1" max="1" width="11.42578125" style="17"/>
    <col min="2" max="2" width="5.85546875" style="17" customWidth="1"/>
    <col min="3" max="3" width="28.7109375" style="17" customWidth="1"/>
    <col min="4" max="4" width="11.42578125" style="17"/>
    <col min="5" max="5" width="12.140625" style="17" customWidth="1"/>
    <col min="6" max="16384" width="11.42578125" style="17"/>
  </cols>
  <sheetData>
    <row r="2" spans="2:9" ht="18" x14ac:dyDescent="0.25">
      <c r="B2" s="78" t="s">
        <v>152</v>
      </c>
      <c r="C2" s="79"/>
      <c r="D2" s="79"/>
    </row>
    <row r="4" spans="2:9" x14ac:dyDescent="0.2">
      <c r="D4" s="80"/>
      <c r="E4" s="80"/>
      <c r="F4" s="80"/>
      <c r="G4" s="80"/>
    </row>
    <row r="5" spans="2:9" x14ac:dyDescent="0.2">
      <c r="C5" s="483" t="s">
        <v>45</v>
      </c>
      <c r="D5" s="484"/>
      <c r="E5" s="484"/>
      <c r="F5" s="484"/>
      <c r="G5" s="484"/>
    </row>
    <row r="6" spans="2:9" x14ac:dyDescent="0.2">
      <c r="C6" s="426" t="s">
        <v>153</v>
      </c>
      <c r="D6" s="427"/>
      <c r="E6" s="427"/>
      <c r="F6" s="427"/>
      <c r="G6" s="427"/>
    </row>
    <row r="7" spans="2:9" x14ac:dyDescent="0.2">
      <c r="C7" s="428" t="s">
        <v>154</v>
      </c>
      <c r="D7" s="429"/>
      <c r="E7" s="429"/>
      <c r="F7" s="429"/>
      <c r="G7" s="429"/>
    </row>
    <row r="8" spans="2:9" x14ac:dyDescent="0.2">
      <c r="C8" s="81" t="s">
        <v>155</v>
      </c>
      <c r="D8" s="81" t="s">
        <v>156</v>
      </c>
      <c r="E8" s="81" t="s">
        <v>157</v>
      </c>
      <c r="F8" s="81" t="s">
        <v>158</v>
      </c>
      <c r="G8" s="81" t="s">
        <v>159</v>
      </c>
    </row>
    <row r="9" spans="2:9" x14ac:dyDescent="0.2">
      <c r="C9" s="82" t="s">
        <v>160</v>
      </c>
      <c r="D9" s="237">
        <f>E9/6</f>
        <v>2916.6666666666665</v>
      </c>
      <c r="E9" s="237">
        <f>F9/4</f>
        <v>17500</v>
      </c>
      <c r="F9" s="237">
        <v>70000</v>
      </c>
      <c r="G9" s="237">
        <f>F9*12</f>
        <v>840000</v>
      </c>
    </row>
    <row r="10" spans="2:9" x14ac:dyDescent="0.2">
      <c r="C10" s="82"/>
      <c r="D10" s="237"/>
      <c r="E10" s="237"/>
      <c r="F10" s="237"/>
      <c r="G10" s="237"/>
    </row>
    <row r="11" spans="2:9" x14ac:dyDescent="0.2">
      <c r="C11" s="83" t="s">
        <v>23</v>
      </c>
      <c r="D11" s="310">
        <f>SUM(D9:D10)</f>
        <v>2916.6666666666665</v>
      </c>
      <c r="E11" s="310">
        <f t="shared" ref="E11:G11" si="0">SUM(E9:E10)</f>
        <v>17500</v>
      </c>
      <c r="F11" s="310">
        <f t="shared" si="0"/>
        <v>70000</v>
      </c>
      <c r="G11" s="310">
        <f t="shared" si="0"/>
        <v>840000</v>
      </c>
    </row>
    <row r="14" spans="2:9" x14ac:dyDescent="0.2">
      <c r="C14" s="76" t="s">
        <v>161</v>
      </c>
      <c r="D14" s="495"/>
      <c r="E14" s="495"/>
      <c r="F14" s="495"/>
      <c r="G14" s="495"/>
    </row>
    <row r="15" spans="2:9" x14ac:dyDescent="0.2">
      <c r="C15" s="84" t="s">
        <v>162</v>
      </c>
      <c r="D15" s="502" t="s">
        <v>163</v>
      </c>
      <c r="E15" s="503"/>
      <c r="F15" s="502" t="s">
        <v>164</v>
      </c>
      <c r="G15" s="503"/>
      <c r="H15" s="500" t="s">
        <v>165</v>
      </c>
      <c r="I15" s="501"/>
    </row>
    <row r="16" spans="2:9" x14ac:dyDescent="0.2">
      <c r="C16" s="85" t="s">
        <v>166</v>
      </c>
      <c r="D16" s="311"/>
      <c r="E16" s="312">
        <v>400</v>
      </c>
      <c r="F16" s="311"/>
      <c r="G16" s="312">
        <v>2800</v>
      </c>
      <c r="H16" s="313"/>
      <c r="I16" s="314">
        <f>G16-E16</f>
        <v>2400</v>
      </c>
    </row>
    <row r="17" spans="3:9" x14ac:dyDescent="0.2">
      <c r="D17" s="315"/>
      <c r="E17" s="315"/>
      <c r="F17" s="315"/>
      <c r="G17" s="315"/>
      <c r="H17" s="315"/>
      <c r="I17" s="315"/>
    </row>
    <row r="18" spans="3:9" x14ac:dyDescent="0.2">
      <c r="C18" s="84" t="s">
        <v>167</v>
      </c>
      <c r="D18" s="496" t="s">
        <v>163</v>
      </c>
      <c r="E18" s="497"/>
      <c r="F18" s="496" t="s">
        <v>164</v>
      </c>
      <c r="G18" s="497"/>
      <c r="H18" s="498" t="s">
        <v>165</v>
      </c>
      <c r="I18" s="499"/>
    </row>
    <row r="19" spans="3:9" x14ac:dyDescent="0.2">
      <c r="C19" s="85" t="s">
        <v>166</v>
      </c>
      <c r="D19" s="311"/>
      <c r="E19" s="312">
        <f>E16*6</f>
        <v>2400</v>
      </c>
      <c r="F19" s="311"/>
      <c r="G19" s="312">
        <f>G16*6</f>
        <v>16800</v>
      </c>
      <c r="H19" s="313"/>
      <c r="I19" s="314">
        <f>G19-E19</f>
        <v>14400</v>
      </c>
    </row>
    <row r="20" spans="3:9" x14ac:dyDescent="0.2">
      <c r="D20" s="315"/>
      <c r="E20" s="315"/>
      <c r="F20" s="315"/>
      <c r="G20" s="315"/>
      <c r="H20" s="315"/>
      <c r="I20" s="315"/>
    </row>
    <row r="21" spans="3:9" x14ac:dyDescent="0.2">
      <c r="C21" s="84" t="s">
        <v>168</v>
      </c>
      <c r="D21" s="496" t="s">
        <v>163</v>
      </c>
      <c r="E21" s="497"/>
      <c r="F21" s="496" t="s">
        <v>164</v>
      </c>
      <c r="G21" s="497"/>
      <c r="H21" s="498" t="s">
        <v>165</v>
      </c>
      <c r="I21" s="499"/>
    </row>
    <row r="22" spans="3:9" x14ac:dyDescent="0.2">
      <c r="C22" s="85" t="s">
        <v>166</v>
      </c>
      <c r="D22" s="311"/>
      <c r="E22" s="312">
        <f>E19*4</f>
        <v>9600</v>
      </c>
      <c r="F22" s="311"/>
      <c r="G22" s="312">
        <f>G19*4</f>
        <v>67200</v>
      </c>
      <c r="H22" s="313"/>
      <c r="I22" s="314">
        <f>G22-E22</f>
        <v>57600</v>
      </c>
    </row>
    <row r="23" spans="3:9" x14ac:dyDescent="0.2">
      <c r="D23" s="315"/>
      <c r="E23" s="315"/>
      <c r="F23" s="315"/>
      <c r="G23" s="315"/>
      <c r="H23" s="315"/>
      <c r="I23" s="315"/>
    </row>
    <row r="24" spans="3:9" x14ac:dyDescent="0.2">
      <c r="C24" s="84" t="s">
        <v>169</v>
      </c>
      <c r="D24" s="496" t="s">
        <v>163</v>
      </c>
      <c r="E24" s="497"/>
      <c r="F24" s="496" t="s">
        <v>164</v>
      </c>
      <c r="G24" s="497"/>
      <c r="H24" s="498" t="s">
        <v>165</v>
      </c>
      <c r="I24" s="499"/>
    </row>
    <row r="25" spans="3:9" x14ac:dyDescent="0.2">
      <c r="C25" s="85" t="s">
        <v>166</v>
      </c>
      <c r="D25" s="311"/>
      <c r="E25" s="312">
        <f>E22*12</f>
        <v>115200</v>
      </c>
      <c r="F25" s="311"/>
      <c r="G25" s="312">
        <f>G22*12</f>
        <v>806400</v>
      </c>
      <c r="H25" s="313"/>
      <c r="I25" s="314">
        <f>G25-E25</f>
        <v>691200</v>
      </c>
    </row>
  </sheetData>
  <mergeCells count="17">
    <mergeCell ref="D24:E24"/>
    <mergeCell ref="F24:G24"/>
    <mergeCell ref="H24:I24"/>
    <mergeCell ref="H15:I15"/>
    <mergeCell ref="D18:E18"/>
    <mergeCell ref="F18:G18"/>
    <mergeCell ref="H18:I18"/>
    <mergeCell ref="D21:E21"/>
    <mergeCell ref="F21:G21"/>
    <mergeCell ref="H21:I21"/>
    <mergeCell ref="D15:E15"/>
    <mergeCell ref="F15:G15"/>
    <mergeCell ref="C5:G5"/>
    <mergeCell ref="C6:G6"/>
    <mergeCell ref="C7:G7"/>
    <mergeCell ref="D14:E14"/>
    <mergeCell ref="F14:G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topLeftCell="A58" zoomScale="115" zoomScaleNormal="115" workbookViewId="0">
      <selection activeCell="D65" sqref="D65"/>
    </sheetView>
  </sheetViews>
  <sheetFormatPr baseColWidth="10" defaultColWidth="11.42578125" defaultRowHeight="12.75" x14ac:dyDescent="0.2"/>
  <cols>
    <col min="1" max="1" width="11.42578125" style="17"/>
    <col min="2" max="2" width="29.140625" style="17" customWidth="1"/>
    <col min="3" max="3" width="17.5703125" style="17" customWidth="1"/>
    <col min="4" max="4" width="16" style="17" customWidth="1"/>
    <col min="5" max="5" width="17.28515625" style="17" customWidth="1"/>
    <col min="6" max="6" width="16.5703125" style="17" customWidth="1"/>
    <col min="7" max="7" width="15.28515625" style="17" customWidth="1"/>
    <col min="8" max="8" width="15.140625" style="17" customWidth="1"/>
    <col min="9" max="9" width="14.28515625" style="17" customWidth="1"/>
    <col min="10" max="10" width="14.7109375" style="17" customWidth="1"/>
    <col min="11" max="11" width="19.42578125" style="17" customWidth="1"/>
    <col min="12" max="12" width="15" style="17" customWidth="1"/>
    <col min="13" max="13" width="13.5703125" style="17" customWidth="1"/>
    <col min="14" max="14" width="16.42578125" style="17" customWidth="1"/>
    <col min="15" max="16384" width="11.42578125" style="17"/>
  </cols>
  <sheetData>
    <row r="1" spans="1:10" ht="20.25" x14ac:dyDescent="0.3">
      <c r="A1" s="76" t="s">
        <v>170</v>
      </c>
      <c r="B1" s="86" t="s">
        <v>61</v>
      </c>
    </row>
    <row r="3" spans="1:10" x14ac:dyDescent="0.2">
      <c r="B3" s="488" t="s">
        <v>45</v>
      </c>
      <c r="C3" s="488"/>
      <c r="D3" s="488"/>
      <c r="E3" s="488"/>
      <c r="F3" s="488"/>
      <c r="G3" s="87"/>
      <c r="H3" s="29"/>
    </row>
    <row r="4" spans="1:10" x14ac:dyDescent="0.2">
      <c r="B4" s="488" t="s">
        <v>349</v>
      </c>
      <c r="C4" s="488"/>
      <c r="D4" s="488"/>
      <c r="E4" s="488"/>
      <c r="F4" s="488"/>
    </row>
    <row r="5" spans="1:10" x14ac:dyDescent="0.2">
      <c r="B5" s="488" t="s">
        <v>17</v>
      </c>
      <c r="C5" s="488"/>
      <c r="D5" s="488"/>
      <c r="E5" s="488"/>
      <c r="F5" s="488"/>
    </row>
    <row r="6" spans="1:10" ht="25.5" x14ac:dyDescent="0.2">
      <c r="B6" s="30" t="s">
        <v>61</v>
      </c>
      <c r="C6" s="30" t="s">
        <v>19</v>
      </c>
      <c r="D6" s="30" t="s">
        <v>62</v>
      </c>
      <c r="E6" s="30" t="s">
        <v>20</v>
      </c>
      <c r="F6" s="30" t="s">
        <v>63</v>
      </c>
    </row>
    <row r="7" spans="1:10" ht="12.75" customHeight="1" x14ac:dyDescent="0.2">
      <c r="B7" s="31" t="s">
        <v>65</v>
      </c>
      <c r="C7" s="32">
        <f>'CAPITAL DE TRABAJO'!C8</f>
        <v>26</v>
      </c>
      <c r="D7" s="32" t="str">
        <f>'CAPITAL DE TRABAJO'!D8</f>
        <v>qq</v>
      </c>
      <c r="E7" s="33">
        <f>'CAPITAL DE TRABAJO'!E8</f>
        <v>265</v>
      </c>
      <c r="F7" s="33">
        <f>'CAPITAL DE TRABAJO'!F8</f>
        <v>6890</v>
      </c>
      <c r="G7" s="87"/>
      <c r="H7" s="504" t="s">
        <v>171</v>
      </c>
      <c r="I7" s="504"/>
      <c r="J7" s="504"/>
    </row>
    <row r="8" spans="1:10" ht="12.75" customHeight="1" x14ac:dyDescent="0.2">
      <c r="B8" s="31" t="s">
        <v>67</v>
      </c>
      <c r="C8" s="32">
        <f>'CAPITAL DE TRABAJO'!C9</f>
        <v>18</v>
      </c>
      <c r="D8" s="32" t="str">
        <f>'CAPITAL DE TRABAJO'!D9</f>
        <v>qq</v>
      </c>
      <c r="E8" s="33">
        <f>'CAPITAL DE TRABAJO'!E9</f>
        <v>210</v>
      </c>
      <c r="F8" s="33">
        <f>'CAPITAL DE TRABAJO'!F9</f>
        <v>3780</v>
      </c>
      <c r="G8" s="87"/>
      <c r="H8" s="504" t="s">
        <v>172</v>
      </c>
      <c r="I8" s="504"/>
      <c r="J8" s="504"/>
    </row>
    <row r="9" spans="1:10" x14ac:dyDescent="0.2">
      <c r="B9" s="31" t="s">
        <v>68</v>
      </c>
      <c r="C9" s="32">
        <f>'CAPITAL DE TRABAJO'!C10</f>
        <v>600</v>
      </c>
      <c r="D9" s="32" t="str">
        <f>'CAPITAL DE TRABAJO'!D10</f>
        <v>kilos</v>
      </c>
      <c r="E9" s="33">
        <f>'CAPITAL DE TRABAJO'!E10</f>
        <v>12</v>
      </c>
      <c r="F9" s="33">
        <f>'CAPITAL DE TRABAJO'!F10</f>
        <v>7200</v>
      </c>
      <c r="G9" s="87"/>
      <c r="H9" s="505" t="s">
        <v>64</v>
      </c>
      <c r="I9" s="505"/>
      <c r="J9" s="505"/>
    </row>
    <row r="10" spans="1:10" x14ac:dyDescent="0.2">
      <c r="B10" s="31" t="s">
        <v>70</v>
      </c>
      <c r="C10" s="32">
        <f>'CAPITAL DE TRABAJO'!C11</f>
        <v>10</v>
      </c>
      <c r="D10" s="32" t="str">
        <f>'CAPITAL DE TRABAJO'!D11</f>
        <v>kilos</v>
      </c>
      <c r="E10" s="33">
        <f>'CAPITAL DE TRABAJO'!E11</f>
        <v>1</v>
      </c>
      <c r="F10" s="33">
        <f>'CAPITAL DE TRABAJO'!F11</f>
        <v>10</v>
      </c>
      <c r="G10" s="87"/>
      <c r="H10" s="34"/>
    </row>
    <row r="11" spans="1:10" x14ac:dyDescent="0.2">
      <c r="B11" s="31" t="s">
        <v>71</v>
      </c>
      <c r="C11" s="32">
        <f>'CAPITAL DE TRABAJO'!C12</f>
        <v>220</v>
      </c>
      <c r="D11" s="32" t="str">
        <f>'CAPITAL DE TRABAJO'!D12</f>
        <v>kilos</v>
      </c>
      <c r="E11" s="33">
        <f>'CAPITAL DE TRABAJO'!E12</f>
        <v>18</v>
      </c>
      <c r="F11" s="33">
        <f>'CAPITAL DE TRABAJO'!F12</f>
        <v>3960</v>
      </c>
      <c r="G11" s="87"/>
      <c r="H11" s="34"/>
    </row>
    <row r="12" spans="1:10" x14ac:dyDescent="0.2">
      <c r="B12" s="31" t="s">
        <v>72</v>
      </c>
      <c r="C12" s="32">
        <f>'CAPITAL DE TRABAJO'!C13</f>
        <v>3</v>
      </c>
      <c r="D12" s="32" t="str">
        <f>'CAPITAL DE TRABAJO'!D13</f>
        <v>qq</v>
      </c>
      <c r="E12" s="33">
        <f>'CAPITAL DE TRABAJO'!E13</f>
        <v>165</v>
      </c>
      <c r="F12" s="33">
        <f>'CAPITAL DE TRABAJO'!F13</f>
        <v>495</v>
      </c>
      <c r="G12" s="87"/>
      <c r="H12" s="34"/>
    </row>
    <row r="13" spans="1:10" x14ac:dyDescent="0.2">
      <c r="B13" s="31" t="s">
        <v>73</v>
      </c>
      <c r="C13" s="239">
        <f>'CAPITAL DE TRABAJO'!C14</f>
        <v>2800</v>
      </c>
      <c r="D13" s="32" t="str">
        <f>'CAPITAL DE TRABAJO'!D14</f>
        <v>unidades</v>
      </c>
      <c r="E13" s="33">
        <f>'CAPITAL DE TRABAJO'!E14</f>
        <v>1</v>
      </c>
      <c r="F13" s="33">
        <f>'CAPITAL DE TRABAJO'!F14</f>
        <v>2800</v>
      </c>
      <c r="G13" s="87"/>
      <c r="H13" s="506" t="s">
        <v>173</v>
      </c>
      <c r="I13" s="506"/>
      <c r="J13" s="506"/>
    </row>
    <row r="14" spans="1:10" ht="12.75" customHeight="1" x14ac:dyDescent="0.2">
      <c r="B14" s="31" t="s">
        <v>75</v>
      </c>
      <c r="C14" s="32">
        <f>'CAPITAL DE TRABAJO'!C15</f>
        <v>45</v>
      </c>
      <c r="D14" s="32" t="str">
        <f>'CAPITAL DE TRABAJO'!D15</f>
        <v>Kilos</v>
      </c>
      <c r="E14" s="33">
        <f>'CAPITAL DE TRABAJO'!E15</f>
        <v>23</v>
      </c>
      <c r="F14" s="33">
        <f>'CAPITAL DE TRABAJO'!F15</f>
        <v>1035</v>
      </c>
      <c r="H14" s="88" t="s">
        <v>174</v>
      </c>
      <c r="I14" s="37">
        <f>I17*10</f>
        <v>3.7385714285714284</v>
      </c>
    </row>
    <row r="15" spans="1:10" x14ac:dyDescent="0.2">
      <c r="B15" s="31"/>
      <c r="C15" s="32"/>
      <c r="D15" s="32"/>
      <c r="E15" s="33"/>
      <c r="F15" s="33"/>
    </row>
    <row r="16" spans="1:10" ht="12" customHeight="1" x14ac:dyDescent="0.2">
      <c r="B16" s="507" t="s">
        <v>21</v>
      </c>
      <c r="C16" s="507"/>
      <c r="D16" s="507"/>
      <c r="E16" s="507"/>
      <c r="F16" s="317">
        <f>'CAPITAL DE TRABAJO'!F17</f>
        <v>26170</v>
      </c>
      <c r="H16" s="508" t="s">
        <v>175</v>
      </c>
      <c r="I16" s="508"/>
      <c r="J16" s="508"/>
    </row>
    <row r="17" spans="1:18" x14ac:dyDescent="0.2">
      <c r="B17" s="425" t="s">
        <v>77</v>
      </c>
      <c r="C17" s="425"/>
      <c r="D17" s="425"/>
      <c r="E17" s="35"/>
      <c r="F17" s="36">
        <f>'CAPITAL DE TRABAJO'!F18</f>
        <v>78510</v>
      </c>
      <c r="H17" s="88" t="s">
        <v>174</v>
      </c>
      <c r="I17" s="44">
        <f>F16/70000</f>
        <v>0.37385714285714283</v>
      </c>
    </row>
    <row r="18" spans="1:18" ht="15" x14ac:dyDescent="0.2">
      <c r="B18" s="509" t="s">
        <v>24</v>
      </c>
      <c r="C18" s="509"/>
      <c r="D18" s="38"/>
      <c r="E18" s="38"/>
      <c r="F18" s="39"/>
      <c r="G18" s="38"/>
      <c r="H18" s="29"/>
    </row>
    <row r="20" spans="1:18" ht="20.25" x14ac:dyDescent="0.3">
      <c r="A20" s="76" t="s">
        <v>176</v>
      </c>
      <c r="B20" s="86" t="s">
        <v>177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1:18" x14ac:dyDescent="0.2">
      <c r="B21" s="89" t="s">
        <v>178</v>
      </c>
    </row>
    <row r="22" spans="1:18" x14ac:dyDescent="0.2">
      <c r="B22" s="488" t="s">
        <v>45</v>
      </c>
      <c r="C22" s="488"/>
      <c r="D22" s="488"/>
      <c r="E22" s="488"/>
      <c r="F22" s="488"/>
      <c r="G22" s="488"/>
      <c r="H22" s="488"/>
      <c r="I22" s="488"/>
      <c r="J22" s="488"/>
      <c r="K22" s="488"/>
      <c r="L22" s="488"/>
      <c r="M22" s="488"/>
    </row>
    <row r="23" spans="1:18" ht="12.75" customHeight="1" x14ac:dyDescent="0.2">
      <c r="B23" s="488" t="s">
        <v>179</v>
      </c>
      <c r="C23" s="488"/>
      <c r="D23" s="488"/>
      <c r="E23" s="488"/>
      <c r="F23" s="488"/>
      <c r="G23" s="488"/>
      <c r="H23" s="488"/>
      <c r="I23" s="488"/>
      <c r="J23" s="488"/>
      <c r="K23" s="488"/>
      <c r="L23" s="488"/>
      <c r="M23" s="488"/>
    </row>
    <row r="24" spans="1:18" ht="12.75" customHeight="1" x14ac:dyDescent="0.2">
      <c r="B24" s="490" t="s">
        <v>17</v>
      </c>
      <c r="C24" s="490"/>
      <c r="D24" s="490"/>
      <c r="E24" s="490"/>
      <c r="F24" s="490"/>
      <c r="G24" s="490"/>
      <c r="H24" s="490"/>
      <c r="I24" s="490"/>
      <c r="J24" s="490"/>
      <c r="K24" s="490"/>
      <c r="L24" s="490"/>
      <c r="M24" s="490"/>
    </row>
    <row r="25" spans="1:18" ht="12.75" customHeight="1" x14ac:dyDescent="0.2">
      <c r="B25" s="510" t="s">
        <v>95</v>
      </c>
      <c r="C25" s="511" t="s">
        <v>180</v>
      </c>
      <c r="D25" s="511" t="s">
        <v>181</v>
      </c>
      <c r="E25" s="511" t="s">
        <v>182</v>
      </c>
      <c r="F25" s="511" t="s">
        <v>183</v>
      </c>
      <c r="G25" s="512" t="s">
        <v>184</v>
      </c>
      <c r="H25" s="512"/>
      <c r="I25" s="512"/>
      <c r="J25" s="512"/>
      <c r="K25" s="511" t="s">
        <v>185</v>
      </c>
      <c r="L25" s="511" t="s">
        <v>186</v>
      </c>
      <c r="M25" s="466" t="s">
        <v>96</v>
      </c>
    </row>
    <row r="26" spans="1:18" ht="12.75" customHeight="1" x14ac:dyDescent="0.2">
      <c r="B26" s="510"/>
      <c r="C26" s="511"/>
      <c r="D26" s="511"/>
      <c r="E26" s="511"/>
      <c r="F26" s="511"/>
      <c r="G26" s="90">
        <v>0.1</v>
      </c>
      <c r="H26" s="91">
        <v>1.7100000000000001E-2</v>
      </c>
      <c r="I26" s="92">
        <v>5.0000000000000001E-3</v>
      </c>
      <c r="J26" s="92">
        <v>5.0000000000000001E-3</v>
      </c>
      <c r="K26" s="511"/>
      <c r="L26" s="511"/>
      <c r="M26" s="467"/>
    </row>
    <row r="27" spans="1:18" ht="37.5" customHeight="1" x14ac:dyDescent="0.2">
      <c r="B27" s="510"/>
      <c r="C27" s="511"/>
      <c r="D27" s="511"/>
      <c r="E27" s="511"/>
      <c r="F27" s="511"/>
      <c r="G27" s="28" t="s">
        <v>187</v>
      </c>
      <c r="H27" s="28" t="s">
        <v>188</v>
      </c>
      <c r="I27" s="28" t="s">
        <v>189</v>
      </c>
      <c r="J27" s="28" t="s">
        <v>190</v>
      </c>
      <c r="K27" s="511"/>
      <c r="L27" s="511"/>
      <c r="M27" s="479"/>
    </row>
    <row r="28" spans="1:18" ht="15" x14ac:dyDescent="0.2">
      <c r="B28" s="40" t="str">
        <f>'CAPITAL DE TRABAJO'!B77</f>
        <v>PANADERO</v>
      </c>
      <c r="C28" s="93">
        <v>44075</v>
      </c>
      <c r="D28" s="281">
        <f>'CAPITAL DE TRABAJO'!E77</f>
        <v>2450</v>
      </c>
      <c r="E28" s="41">
        <f>2362*3*0.05</f>
        <v>354.3</v>
      </c>
      <c r="F28" s="41">
        <f>D28+E28</f>
        <v>2804.3</v>
      </c>
      <c r="G28" s="41">
        <f>F28*$G$26</f>
        <v>280.43</v>
      </c>
      <c r="H28" s="41">
        <f>F28*$H$26</f>
        <v>47.953530000000008</v>
      </c>
      <c r="I28" s="94">
        <f>F28*$I$26</f>
        <v>14.021500000000001</v>
      </c>
      <c r="J28" s="94">
        <f>F28*$J$26</f>
        <v>14.021500000000001</v>
      </c>
      <c r="K28" s="95">
        <f>SUM(G28:J28)</f>
        <v>356.42653000000001</v>
      </c>
      <c r="L28" s="95">
        <f>F28-K28</f>
        <v>2447.87347</v>
      </c>
      <c r="M28" s="95">
        <f>L28</f>
        <v>2447.87347</v>
      </c>
    </row>
    <row r="29" spans="1:18" ht="15" x14ac:dyDescent="0.2">
      <c r="B29" s="40" t="str">
        <f>'CAPITAL DE TRABAJO'!B78</f>
        <v>AYUDANTE</v>
      </c>
      <c r="C29" s="93">
        <v>44076</v>
      </c>
      <c r="D29" s="281">
        <f>'CAPITAL DE TRABAJO'!E78</f>
        <v>2362</v>
      </c>
      <c r="E29" s="41">
        <f>2362*3*0.05</f>
        <v>354.3</v>
      </c>
      <c r="F29" s="41">
        <f>D29+E29</f>
        <v>2716.3</v>
      </c>
      <c r="G29" s="41">
        <f>F29*$G$26</f>
        <v>271.63000000000005</v>
      </c>
      <c r="H29" s="41">
        <f>F29*$H$26</f>
        <v>46.448730000000005</v>
      </c>
      <c r="I29" s="94">
        <f>F29*$I$26</f>
        <v>13.581500000000002</v>
      </c>
      <c r="J29" s="94">
        <f>F29*$J$26</f>
        <v>13.581500000000002</v>
      </c>
      <c r="K29" s="95">
        <f>SUM(G29:J29)</f>
        <v>345.24173000000008</v>
      </c>
      <c r="L29" s="95">
        <f>F29-K29</f>
        <v>2371.05827</v>
      </c>
      <c r="M29" s="95">
        <f>L29</f>
        <v>2371.05827</v>
      </c>
    </row>
    <row r="30" spans="1:18" ht="15" x14ac:dyDescent="0.2">
      <c r="B30" s="40" t="str">
        <f>'CAPITAL DE TRABAJO'!B94</f>
        <v>PANADERO</v>
      </c>
      <c r="C30" s="93">
        <v>45170</v>
      </c>
      <c r="D30" s="281">
        <f>'CAPITAL DE TRABAJO'!E94</f>
        <v>1000</v>
      </c>
      <c r="E30" s="41">
        <v>0</v>
      </c>
      <c r="F30" s="41">
        <f>D30+E30</f>
        <v>1000</v>
      </c>
      <c r="G30" s="41">
        <v>0</v>
      </c>
      <c r="H30" s="41">
        <v>0</v>
      </c>
      <c r="I30" s="94">
        <v>0</v>
      </c>
      <c r="J30" s="94">
        <v>0</v>
      </c>
      <c r="K30" s="95">
        <f>SUM(G30:J30)</f>
        <v>0</v>
      </c>
      <c r="L30" s="95">
        <f>F30-K30</f>
        <v>1000</v>
      </c>
      <c r="M30" s="95">
        <f>L30</f>
        <v>1000</v>
      </c>
    </row>
    <row r="31" spans="1:18" ht="15" x14ac:dyDescent="0.2">
      <c r="B31" s="40"/>
      <c r="C31" s="41"/>
      <c r="D31" s="41"/>
      <c r="E31" s="41"/>
      <c r="F31" s="41"/>
      <c r="G31" s="41"/>
      <c r="H31" s="41"/>
      <c r="I31" s="82"/>
      <c r="J31" s="82"/>
      <c r="K31" s="82"/>
      <c r="L31" s="82"/>
      <c r="M31" s="82"/>
    </row>
    <row r="32" spans="1:18" x14ac:dyDescent="0.2">
      <c r="B32" s="513" t="s">
        <v>21</v>
      </c>
      <c r="C32" s="514"/>
      <c r="D32" s="42">
        <f t="shared" ref="D32:L32" si="0">SUM(D28:D30)</f>
        <v>5812</v>
      </c>
      <c r="E32" s="42">
        <f t="shared" si="0"/>
        <v>708.6</v>
      </c>
      <c r="F32" s="42">
        <f t="shared" si="0"/>
        <v>6520.6</v>
      </c>
      <c r="G32" s="42">
        <f t="shared" si="0"/>
        <v>552.06000000000006</v>
      </c>
      <c r="H32" s="42">
        <f t="shared" si="0"/>
        <v>94.402260000000012</v>
      </c>
      <c r="I32" s="42">
        <f t="shared" si="0"/>
        <v>27.603000000000002</v>
      </c>
      <c r="J32" s="42">
        <f t="shared" si="0"/>
        <v>27.603000000000002</v>
      </c>
      <c r="K32" s="42">
        <f t="shared" si="0"/>
        <v>701.66826000000015</v>
      </c>
      <c r="L32" s="42">
        <f t="shared" si="0"/>
        <v>5818.93174</v>
      </c>
      <c r="M32" s="42">
        <f>SUM(M28:M30)</f>
        <v>5818.93174</v>
      </c>
    </row>
    <row r="33" spans="1:14" x14ac:dyDescent="0.2">
      <c r="B33" s="509" t="s">
        <v>24</v>
      </c>
      <c r="C33" s="509"/>
    </row>
    <row r="34" spans="1:14" ht="12.75" customHeight="1" x14ac:dyDescent="0.2"/>
    <row r="35" spans="1:14" x14ac:dyDescent="0.2"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4" ht="20.25" customHeight="1" x14ac:dyDescent="0.3">
      <c r="A36" s="76" t="s">
        <v>191</v>
      </c>
      <c r="B36" s="86" t="s">
        <v>79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4" ht="12.75" customHeight="1" x14ac:dyDescent="0.2"/>
    <row r="38" spans="1:14" s="366" customFormat="1" ht="12.75" customHeight="1" x14ac:dyDescent="0.2">
      <c r="B38" s="447" t="s">
        <v>45</v>
      </c>
      <c r="C38" s="448"/>
      <c r="D38" s="448"/>
      <c r="E38" s="448"/>
      <c r="F38" s="448"/>
      <c r="G38" s="448"/>
      <c r="H38" s="173"/>
      <c r="I38" s="210"/>
      <c r="J38" s="210"/>
      <c r="K38" s="210"/>
      <c r="L38" s="210"/>
      <c r="M38" s="210"/>
      <c r="N38" s="210"/>
    </row>
    <row r="39" spans="1:14" s="366" customFormat="1" ht="12.75" customHeight="1" x14ac:dyDescent="0.2">
      <c r="B39" s="447" t="s">
        <v>374</v>
      </c>
      <c r="C39" s="448"/>
      <c r="D39" s="448"/>
      <c r="E39" s="448"/>
      <c r="F39" s="448"/>
      <c r="G39" s="448"/>
      <c r="H39" s="173"/>
      <c r="I39" s="210"/>
      <c r="J39" s="210"/>
      <c r="K39" s="210"/>
      <c r="L39" s="210"/>
      <c r="M39" s="210"/>
      <c r="N39" s="210"/>
    </row>
    <row r="40" spans="1:14" s="366" customFormat="1" ht="12.75" customHeight="1" x14ac:dyDescent="0.2">
      <c r="B40" s="449" t="s">
        <v>17</v>
      </c>
      <c r="C40" s="450"/>
      <c r="D40" s="450"/>
      <c r="E40" s="450"/>
      <c r="F40" s="450"/>
      <c r="G40" s="450"/>
      <c r="H40" s="173"/>
      <c r="I40" s="210"/>
      <c r="J40" s="210"/>
      <c r="K40" s="210"/>
      <c r="L40" s="210"/>
      <c r="M40" s="210"/>
      <c r="N40" s="210"/>
    </row>
    <row r="41" spans="1:14" s="366" customFormat="1" ht="38.25" x14ac:dyDescent="0.2">
      <c r="B41" s="116" t="s">
        <v>18</v>
      </c>
      <c r="C41" s="116" t="s">
        <v>371</v>
      </c>
      <c r="D41" s="116" t="s">
        <v>372</v>
      </c>
      <c r="E41" s="116" t="s">
        <v>62</v>
      </c>
      <c r="F41" s="116" t="s">
        <v>80</v>
      </c>
      <c r="G41" s="116" t="s">
        <v>81</v>
      </c>
      <c r="H41" s="116" t="s">
        <v>82</v>
      </c>
      <c r="I41" s="210"/>
      <c r="J41" s="210"/>
      <c r="K41" s="210"/>
      <c r="L41" s="210"/>
      <c r="M41" s="210"/>
      <c r="N41" s="210"/>
    </row>
    <row r="42" spans="1:14" s="366" customFormat="1" ht="15" customHeight="1" x14ac:dyDescent="0.2">
      <c r="B42" s="375" t="str">
        <f>'CAPITAL DE TRABAJO'!B38</f>
        <v>Energía eléctrica</v>
      </c>
      <c r="C42" s="356">
        <f>'CAPITAL DE TRABAJO'!C38</f>
        <v>0.8</v>
      </c>
      <c r="D42" s="376">
        <f>'CAPITAL DE TRABAJO'!D38</f>
        <v>168</v>
      </c>
      <c r="E42" s="349" t="str">
        <f>'CAPITAL DE TRABAJO'!E38</f>
        <v>k/w</v>
      </c>
      <c r="F42" s="349">
        <f>'CAPITAL DE TRABAJO'!F38</f>
        <v>0.84</v>
      </c>
      <c r="G42" s="349">
        <f>'CAPITAL DE TRABAJO'!G38</f>
        <v>141.12</v>
      </c>
      <c r="H42" s="349">
        <f>'CAPITAL DE TRABAJO'!H38</f>
        <v>1693.44</v>
      </c>
      <c r="I42" s="210"/>
      <c r="J42" s="210"/>
      <c r="K42" s="210"/>
      <c r="L42" s="210"/>
      <c r="M42" s="210"/>
      <c r="N42" s="210"/>
    </row>
    <row r="43" spans="1:14" s="366" customFormat="1" ht="15" customHeight="1" x14ac:dyDescent="0.2">
      <c r="B43" s="375" t="str">
        <f>'CAPITAL DE TRABAJO'!B39</f>
        <v>Gas</v>
      </c>
      <c r="C43" s="356">
        <f>'CAPITAL DE TRABAJO'!C39</f>
        <v>0.9</v>
      </c>
      <c r="D43" s="376">
        <f>'CAPITAL DE TRABAJO'!D39</f>
        <v>5.4</v>
      </c>
      <c r="E43" s="349" t="str">
        <f>'CAPITAL DE TRABAJO'!E39</f>
        <v>m3</v>
      </c>
      <c r="F43" s="349">
        <f>'CAPITAL DE TRABAJO'!F39</f>
        <v>10</v>
      </c>
      <c r="G43" s="349">
        <f>'CAPITAL DE TRABAJO'!G39</f>
        <v>54</v>
      </c>
      <c r="H43" s="349">
        <f>'CAPITAL DE TRABAJO'!H39</f>
        <v>648</v>
      </c>
      <c r="I43" s="210"/>
      <c r="J43" s="210"/>
      <c r="K43" s="210"/>
      <c r="L43" s="210"/>
      <c r="M43" s="210"/>
      <c r="N43" s="210"/>
    </row>
    <row r="44" spans="1:14" s="366" customFormat="1" ht="15" customHeight="1" x14ac:dyDescent="0.2">
      <c r="B44" s="375" t="str">
        <f>'CAPITAL DE TRABAJO'!B40</f>
        <v>Agua</v>
      </c>
      <c r="C44" s="356">
        <f>'CAPITAL DE TRABAJO'!C40</f>
        <v>0.8</v>
      </c>
      <c r="D44" s="376">
        <f>'CAPITAL DE TRABAJO'!D40</f>
        <v>6.4</v>
      </c>
      <c r="E44" s="349" t="str">
        <f>'CAPITAL DE TRABAJO'!E40</f>
        <v>m3</v>
      </c>
      <c r="F44" s="349">
        <f>'CAPITAL DE TRABAJO'!F40</f>
        <v>2.4</v>
      </c>
      <c r="G44" s="349">
        <f>'CAPITAL DE TRABAJO'!G40</f>
        <v>15.36</v>
      </c>
      <c r="H44" s="349">
        <f>'CAPITAL DE TRABAJO'!H40</f>
        <v>184.32</v>
      </c>
      <c r="I44" s="210"/>
      <c r="J44" s="210"/>
      <c r="K44" s="210"/>
      <c r="L44" s="210"/>
      <c r="M44" s="210"/>
      <c r="N44" s="210"/>
    </row>
    <row r="45" spans="1:14" s="366" customFormat="1" ht="15" customHeight="1" x14ac:dyDescent="0.2">
      <c r="B45" s="377"/>
      <c r="C45" s="378"/>
      <c r="D45" s="379"/>
      <c r="E45" s="380"/>
      <c r="F45" s="381"/>
      <c r="G45" s="349"/>
      <c r="H45" s="349"/>
      <c r="I45" s="210"/>
      <c r="J45" s="210"/>
      <c r="K45" s="210"/>
      <c r="L45" s="210"/>
      <c r="M45" s="210"/>
      <c r="N45" s="210"/>
    </row>
    <row r="46" spans="1:14" s="366" customFormat="1" ht="15" customHeight="1" x14ac:dyDescent="0.2">
      <c r="B46" s="422" t="s">
        <v>21</v>
      </c>
      <c r="C46" s="423"/>
      <c r="D46" s="423"/>
      <c r="E46" s="423"/>
      <c r="F46" s="424"/>
      <c r="G46" s="354">
        <f>SUM(G42:G44)</f>
        <v>210.48000000000002</v>
      </c>
      <c r="H46" s="354">
        <f>SUM(H42:H44)</f>
        <v>2525.7600000000002</v>
      </c>
      <c r="I46" s="210"/>
      <c r="J46" s="210"/>
      <c r="K46" s="210"/>
      <c r="L46" s="210"/>
      <c r="M46" s="210"/>
      <c r="N46" s="210"/>
    </row>
    <row r="47" spans="1:14" s="366" customFormat="1" x14ac:dyDescent="0.2">
      <c r="B47" s="509" t="s">
        <v>24</v>
      </c>
      <c r="C47" s="509"/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</row>
    <row r="48" spans="1:14" s="366" customFormat="1" ht="12.75" customHeight="1" x14ac:dyDescent="0.2">
      <c r="B48" s="210"/>
      <c r="C48" s="210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</row>
    <row r="50" spans="1:16" ht="20.25" x14ac:dyDescent="0.3">
      <c r="A50" s="76" t="s">
        <v>191</v>
      </c>
      <c r="B50" s="86" t="s">
        <v>192</v>
      </c>
      <c r="C50" s="44"/>
      <c r="D50" s="44"/>
    </row>
    <row r="52" spans="1:16" x14ac:dyDescent="0.2">
      <c r="B52" s="488" t="s">
        <v>45</v>
      </c>
      <c r="C52" s="488"/>
      <c r="D52" s="488"/>
      <c r="E52" s="488"/>
      <c r="F52" s="488"/>
      <c r="G52" s="488"/>
    </row>
    <row r="53" spans="1:16" ht="12.75" customHeight="1" x14ac:dyDescent="0.2">
      <c r="B53" s="488" t="s">
        <v>192</v>
      </c>
      <c r="C53" s="488"/>
      <c r="D53" s="488"/>
      <c r="E53" s="488"/>
      <c r="F53" s="488"/>
      <c r="G53" s="488"/>
    </row>
    <row r="54" spans="1:16" x14ac:dyDescent="0.2">
      <c r="B54" s="490" t="s">
        <v>17</v>
      </c>
      <c r="C54" s="490"/>
      <c r="D54" s="490"/>
      <c r="E54" s="490"/>
      <c r="F54" s="490"/>
      <c r="G54" s="490"/>
    </row>
    <row r="55" spans="1:16" ht="45.75" customHeight="1" x14ac:dyDescent="0.2">
      <c r="B55" s="97" t="s">
        <v>18</v>
      </c>
      <c r="C55" s="97" t="s">
        <v>193</v>
      </c>
      <c r="D55" s="97" t="s">
        <v>194</v>
      </c>
      <c r="E55" s="97" t="s">
        <v>195</v>
      </c>
      <c r="F55" s="97" t="s">
        <v>196</v>
      </c>
      <c r="G55" s="97" t="s">
        <v>197</v>
      </c>
    </row>
    <row r="56" spans="1:16" x14ac:dyDescent="0.2">
      <c r="B56" s="82" t="s">
        <v>160</v>
      </c>
      <c r="C56" s="95">
        <f>F16</f>
        <v>26170</v>
      </c>
      <c r="D56" s="95">
        <f>D32</f>
        <v>5812</v>
      </c>
      <c r="E56" s="94">
        <f>G46</f>
        <v>210.48000000000002</v>
      </c>
      <c r="F56" s="95">
        <f>SUM(C56:E56)</f>
        <v>32192.48</v>
      </c>
      <c r="G56" s="95">
        <f>F56*12</f>
        <v>386309.76</v>
      </c>
    </row>
    <row r="57" spans="1:16" x14ac:dyDescent="0.2">
      <c r="B57" s="82"/>
      <c r="C57" s="82"/>
      <c r="D57" s="82"/>
      <c r="E57" s="82"/>
      <c r="F57" s="82"/>
      <c r="G57" s="82"/>
    </row>
    <row r="58" spans="1:16" ht="15" x14ac:dyDescent="0.2">
      <c r="B58" s="98" t="s">
        <v>23</v>
      </c>
      <c r="C58" s="99">
        <f t="shared" ref="C58:F58" si="1">C56</f>
        <v>26170</v>
      </c>
      <c r="D58" s="99">
        <f t="shared" si="1"/>
        <v>5812</v>
      </c>
      <c r="E58" s="99">
        <f t="shared" si="1"/>
        <v>210.48000000000002</v>
      </c>
      <c r="F58" s="99">
        <f t="shared" si="1"/>
        <v>32192.48</v>
      </c>
      <c r="G58" s="99">
        <f>G56</f>
        <v>386309.76</v>
      </c>
      <c r="L58" s="173"/>
      <c r="M58" s="173"/>
      <c r="N58" s="173"/>
      <c r="O58" s="173"/>
      <c r="P58" s="173"/>
    </row>
    <row r="59" spans="1:16" x14ac:dyDescent="0.2">
      <c r="B59" s="509" t="s">
        <v>24</v>
      </c>
      <c r="C59" s="509"/>
    </row>
    <row r="61" spans="1:16" x14ac:dyDescent="0.2">
      <c r="B61" s="488" t="s">
        <v>45</v>
      </c>
      <c r="C61" s="488"/>
      <c r="D61" s="488"/>
      <c r="E61" s="488"/>
      <c r="F61" s="44"/>
    </row>
    <row r="62" spans="1:16" x14ac:dyDescent="0.2">
      <c r="B62" s="488" t="s">
        <v>80</v>
      </c>
      <c r="C62" s="488"/>
      <c r="D62" s="488"/>
      <c r="E62" s="488"/>
      <c r="F62" s="44"/>
    </row>
    <row r="63" spans="1:16" x14ac:dyDescent="0.2">
      <c r="B63" s="488" t="s">
        <v>17</v>
      </c>
      <c r="C63" s="488"/>
      <c r="D63" s="488"/>
      <c r="E63" s="488"/>
      <c r="F63" s="44"/>
    </row>
    <row r="64" spans="1:16" ht="41.25" customHeight="1" x14ac:dyDescent="0.2">
      <c r="B64" s="30" t="s">
        <v>18</v>
      </c>
      <c r="C64" s="100" t="s">
        <v>192</v>
      </c>
      <c r="D64" s="30" t="s">
        <v>19</v>
      </c>
      <c r="E64" s="30" t="s">
        <v>80</v>
      </c>
    </row>
    <row r="65" spans="2:5" x14ac:dyDescent="0.2">
      <c r="B65" s="82" t="s">
        <v>160</v>
      </c>
      <c r="C65" s="95">
        <f>F58</f>
        <v>32192.48</v>
      </c>
      <c r="D65" s="237">
        <v>75000</v>
      </c>
      <c r="E65" s="95">
        <f>C65/D65</f>
        <v>0.42923306666666666</v>
      </c>
    </row>
    <row r="66" spans="2:5" x14ac:dyDescent="0.2">
      <c r="B66" s="82"/>
      <c r="C66" s="82"/>
      <c r="D66" s="237"/>
      <c r="E66" s="82"/>
    </row>
    <row r="67" spans="2:5" x14ac:dyDescent="0.2">
      <c r="B67" s="98" t="s">
        <v>23</v>
      </c>
      <c r="C67" s="101">
        <f>C65</f>
        <v>32192.48</v>
      </c>
      <c r="D67" s="238">
        <f t="shared" ref="D67:E67" si="2">D65</f>
        <v>75000</v>
      </c>
      <c r="E67" s="101">
        <f t="shared" si="2"/>
        <v>0.42923306666666666</v>
      </c>
    </row>
    <row r="68" spans="2:5" x14ac:dyDescent="0.2">
      <c r="B68" s="509" t="s">
        <v>24</v>
      </c>
      <c r="C68" s="509"/>
    </row>
    <row r="70" spans="2:5" x14ac:dyDescent="0.2">
      <c r="B70" s="488" t="s">
        <v>45</v>
      </c>
      <c r="C70" s="488"/>
      <c r="D70" s="488"/>
      <c r="E70" s="488"/>
    </row>
    <row r="71" spans="2:5" x14ac:dyDescent="0.2">
      <c r="B71" s="488" t="s">
        <v>198</v>
      </c>
      <c r="C71" s="488"/>
      <c r="D71" s="488"/>
      <c r="E71" s="488"/>
    </row>
    <row r="72" spans="2:5" x14ac:dyDescent="0.2">
      <c r="B72" s="488" t="s">
        <v>17</v>
      </c>
      <c r="C72" s="488"/>
      <c r="D72" s="488"/>
      <c r="E72" s="488"/>
    </row>
    <row r="73" spans="2:5" ht="25.5" x14ac:dyDescent="0.2">
      <c r="B73" s="30" t="s">
        <v>18</v>
      </c>
      <c r="C73" s="30" t="s">
        <v>80</v>
      </c>
      <c r="D73" s="30" t="s">
        <v>199</v>
      </c>
      <c r="E73" s="30" t="s">
        <v>198</v>
      </c>
    </row>
    <row r="74" spans="2:5" x14ac:dyDescent="0.2">
      <c r="B74" s="82" t="s">
        <v>160</v>
      </c>
      <c r="C74" s="95">
        <f>E67</f>
        <v>0.42923306666666666</v>
      </c>
      <c r="D74" s="94">
        <v>0.9</v>
      </c>
      <c r="E74" s="95">
        <f>C74*(1+D74)</f>
        <v>0.81554282666666666</v>
      </c>
    </row>
    <row r="75" spans="2:5" x14ac:dyDescent="0.2">
      <c r="B75" s="82"/>
      <c r="C75" s="82"/>
      <c r="D75" s="82"/>
      <c r="E75" s="82"/>
    </row>
    <row r="76" spans="2:5" x14ac:dyDescent="0.2">
      <c r="B76" s="98" t="s">
        <v>23</v>
      </c>
      <c r="C76" s="101">
        <f>C74</f>
        <v>0.42923306666666666</v>
      </c>
      <c r="D76" s="101">
        <f t="shared" ref="D76" si="3">D74</f>
        <v>0.9</v>
      </c>
      <c r="E76" s="101">
        <f>E74</f>
        <v>0.81554282666666666</v>
      </c>
    </row>
    <row r="77" spans="2:5" x14ac:dyDescent="0.2">
      <c r="B77" s="509" t="s">
        <v>24</v>
      </c>
      <c r="C77" s="509"/>
    </row>
    <row r="79" spans="2:5" x14ac:dyDescent="0.2">
      <c r="B79" s="488" t="s">
        <v>45</v>
      </c>
      <c r="C79" s="488"/>
      <c r="D79" s="488"/>
      <c r="E79" s="488"/>
    </row>
    <row r="80" spans="2:5" x14ac:dyDescent="0.2">
      <c r="B80" s="488" t="s">
        <v>200</v>
      </c>
      <c r="C80" s="488"/>
      <c r="D80" s="488"/>
      <c r="E80" s="488"/>
    </row>
    <row r="81" spans="2:6" x14ac:dyDescent="0.2">
      <c r="B81" s="488" t="s">
        <v>17</v>
      </c>
      <c r="C81" s="488"/>
      <c r="D81" s="488"/>
      <c r="E81" s="488"/>
    </row>
    <row r="82" spans="2:6" ht="25.5" x14ac:dyDescent="0.2">
      <c r="B82" s="30" t="s">
        <v>18</v>
      </c>
      <c r="C82" s="30" t="s">
        <v>198</v>
      </c>
      <c r="D82" s="30" t="s">
        <v>201</v>
      </c>
      <c r="E82" s="30" t="s">
        <v>200</v>
      </c>
    </row>
    <row r="83" spans="2:6" x14ac:dyDescent="0.2">
      <c r="B83" s="82" t="s">
        <v>160</v>
      </c>
      <c r="C83" s="95">
        <f>E76</f>
        <v>0.81554282666666666</v>
      </c>
      <c r="D83" s="82">
        <v>0.14940000000000001</v>
      </c>
      <c r="E83" s="95">
        <f>C83*(1+D83)</f>
        <v>0.93738492497066661</v>
      </c>
    </row>
    <row r="84" spans="2:6" x14ac:dyDescent="0.2">
      <c r="B84" s="82"/>
      <c r="C84" s="82"/>
      <c r="D84" s="82"/>
      <c r="E84" s="82"/>
    </row>
    <row r="85" spans="2:6" x14ac:dyDescent="0.2">
      <c r="B85" s="98" t="s">
        <v>23</v>
      </c>
      <c r="C85" s="101">
        <f>C83</f>
        <v>0.81554282666666666</v>
      </c>
      <c r="D85" s="102">
        <f>D83</f>
        <v>0.14940000000000001</v>
      </c>
      <c r="E85" s="101">
        <f t="shared" ref="E85" si="4">E83</f>
        <v>0.93738492497066661</v>
      </c>
    </row>
    <row r="86" spans="2:6" x14ac:dyDescent="0.2">
      <c r="B86" s="509" t="s">
        <v>24</v>
      </c>
      <c r="C86" s="509"/>
    </row>
    <row r="88" spans="2:6" x14ac:dyDescent="0.2">
      <c r="B88" s="488" t="s">
        <v>45</v>
      </c>
      <c r="C88" s="488"/>
      <c r="D88" s="488"/>
      <c r="E88" s="488"/>
      <c r="F88" s="488"/>
    </row>
    <row r="89" spans="2:6" x14ac:dyDescent="0.2">
      <c r="B89" s="488" t="s">
        <v>202</v>
      </c>
      <c r="C89" s="488"/>
      <c r="D89" s="488"/>
      <c r="E89" s="488"/>
      <c r="F89" s="488"/>
    </row>
    <row r="90" spans="2:6" x14ac:dyDescent="0.2">
      <c r="B90" s="488" t="s">
        <v>17</v>
      </c>
      <c r="C90" s="488"/>
      <c r="D90" s="488"/>
      <c r="E90" s="488"/>
      <c r="F90" s="488"/>
    </row>
    <row r="91" spans="2:6" ht="25.5" x14ac:dyDescent="0.2">
      <c r="B91" s="30" t="s">
        <v>18</v>
      </c>
      <c r="C91" s="30" t="s">
        <v>200</v>
      </c>
      <c r="D91" s="30" t="s">
        <v>19</v>
      </c>
      <c r="E91" s="30" t="s">
        <v>203</v>
      </c>
      <c r="F91" s="30" t="s">
        <v>204</v>
      </c>
    </row>
    <row r="92" spans="2:6" x14ac:dyDescent="0.2">
      <c r="B92" s="82" t="s">
        <v>160</v>
      </c>
      <c r="C92" s="95">
        <f>E85</f>
        <v>0.93738492497066661</v>
      </c>
      <c r="D92" s="237">
        <f>D65</f>
        <v>75000</v>
      </c>
      <c r="E92" s="95">
        <f>D92*C92</f>
        <v>70303.869372799993</v>
      </c>
      <c r="F92" s="95">
        <f>E92*12</f>
        <v>843646.43247359991</v>
      </c>
    </row>
    <row r="93" spans="2:6" x14ac:dyDescent="0.2">
      <c r="B93" s="82"/>
      <c r="C93" s="82"/>
      <c r="D93" s="237"/>
      <c r="E93" s="95"/>
      <c r="F93" s="95"/>
    </row>
    <row r="94" spans="2:6" ht="13.5" thickBot="1" x14ac:dyDescent="0.25">
      <c r="B94" s="98" t="s">
        <v>23</v>
      </c>
      <c r="C94" s="101">
        <f>C92</f>
        <v>0.93738492497066661</v>
      </c>
      <c r="D94" s="238">
        <f t="shared" ref="D94:F94" si="5">D92</f>
        <v>75000</v>
      </c>
      <c r="E94" s="318">
        <f t="shared" si="5"/>
        <v>70303.869372799993</v>
      </c>
      <c r="F94" s="103">
        <f t="shared" si="5"/>
        <v>843646.43247359991</v>
      </c>
    </row>
    <row r="95" spans="2:6" x14ac:dyDescent="0.2">
      <c r="B95" s="509" t="s">
        <v>24</v>
      </c>
      <c r="C95" s="509"/>
    </row>
  </sheetData>
  <mergeCells count="50">
    <mergeCell ref="B79:E79"/>
    <mergeCell ref="B53:G53"/>
    <mergeCell ref="B54:G54"/>
    <mergeCell ref="B59:C59"/>
    <mergeCell ref="B61:E61"/>
    <mergeCell ref="B62:E62"/>
    <mergeCell ref="B63:E63"/>
    <mergeCell ref="B68:C68"/>
    <mergeCell ref="B70:E70"/>
    <mergeCell ref="B71:E71"/>
    <mergeCell ref="B72:E72"/>
    <mergeCell ref="B77:C77"/>
    <mergeCell ref="B95:C95"/>
    <mergeCell ref="B80:E80"/>
    <mergeCell ref="B81:E81"/>
    <mergeCell ref="B86:C86"/>
    <mergeCell ref="B88:F88"/>
    <mergeCell ref="B89:F89"/>
    <mergeCell ref="B90:F90"/>
    <mergeCell ref="B52:G52"/>
    <mergeCell ref="B32:C32"/>
    <mergeCell ref="B33:C33"/>
    <mergeCell ref="B47:C47"/>
    <mergeCell ref="B38:G38"/>
    <mergeCell ref="B39:G39"/>
    <mergeCell ref="B40:G40"/>
    <mergeCell ref="B46:F46"/>
    <mergeCell ref="B23:M23"/>
    <mergeCell ref="B24:M24"/>
    <mergeCell ref="B25:B27"/>
    <mergeCell ref="C25:C27"/>
    <mergeCell ref="D25:D27"/>
    <mergeCell ref="E25:E27"/>
    <mergeCell ref="F25:F27"/>
    <mergeCell ref="G25:J25"/>
    <mergeCell ref="K25:K27"/>
    <mergeCell ref="L25:L27"/>
    <mergeCell ref="M25:M27"/>
    <mergeCell ref="B22:M22"/>
    <mergeCell ref="B3:F3"/>
    <mergeCell ref="B4:F4"/>
    <mergeCell ref="B5:F5"/>
    <mergeCell ref="H7:J7"/>
    <mergeCell ref="H8:J8"/>
    <mergeCell ref="H9:J9"/>
    <mergeCell ref="H13:J13"/>
    <mergeCell ref="B16:E16"/>
    <mergeCell ref="H16:J16"/>
    <mergeCell ref="B17:D17"/>
    <mergeCell ref="B18:C18"/>
  </mergeCells>
  <pageMargins left="0.7" right="0.7" top="0.75" bottom="0.75" header="0.3" footer="0.3"/>
  <pageSetup paperSize="345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I158"/>
  <sheetViews>
    <sheetView topLeftCell="A130" zoomScale="71" zoomScaleNormal="71" workbookViewId="0">
      <selection activeCell="D155" sqref="D155"/>
    </sheetView>
  </sheetViews>
  <sheetFormatPr baseColWidth="10" defaultColWidth="11.42578125" defaultRowHeight="14.25" x14ac:dyDescent="0.2"/>
  <cols>
    <col min="1" max="1" width="11.42578125" style="115"/>
    <col min="2" max="2" width="31" style="115" customWidth="1"/>
    <col min="3" max="3" width="33.140625" style="115" customWidth="1"/>
    <col min="4" max="4" width="20.28515625" style="115" customWidth="1"/>
    <col min="5" max="6" width="20.85546875" style="115" customWidth="1"/>
    <col min="7" max="8" width="18.140625" style="115" customWidth="1"/>
    <col min="9" max="9" width="19.85546875" style="115" customWidth="1"/>
    <col min="10" max="10" width="18" style="115" customWidth="1"/>
    <col min="11" max="11" width="17.7109375" style="115" customWidth="1"/>
    <col min="12" max="12" width="18.140625" style="115" customWidth="1"/>
    <col min="13" max="13" width="14.28515625" style="115" customWidth="1"/>
    <col min="14" max="15" width="15" style="115" customWidth="1"/>
    <col min="16" max="16" width="13.42578125" style="115" customWidth="1"/>
    <col min="17" max="17" width="16.140625" style="115" customWidth="1"/>
    <col min="18" max="18" width="15.7109375" style="115" customWidth="1"/>
    <col min="19" max="19" width="11.42578125" style="115"/>
    <col min="20" max="20" width="19.140625" style="115" customWidth="1"/>
    <col min="21" max="21" width="17.7109375" style="115" customWidth="1"/>
    <col min="22" max="23" width="14.42578125" style="115" customWidth="1"/>
    <col min="24" max="27" width="11.42578125" style="115"/>
    <col min="28" max="28" width="17" style="115" customWidth="1"/>
    <col min="29" max="29" width="17.42578125" style="115" customWidth="1"/>
    <col min="30" max="30" width="24.7109375" style="115" customWidth="1"/>
    <col min="31" max="31" width="21.28515625" style="115" customWidth="1"/>
    <col min="32" max="32" width="19.85546875" style="115" customWidth="1"/>
    <col min="33" max="33" width="11.42578125" style="115" customWidth="1"/>
    <col min="34" max="36" width="11.42578125" style="115"/>
    <col min="37" max="37" width="17" style="115" customWidth="1"/>
    <col min="38" max="38" width="16" style="115" customWidth="1"/>
    <col min="39" max="39" width="14" style="115" customWidth="1"/>
    <col min="40" max="40" width="13.5703125" style="115" customWidth="1"/>
    <col min="41" max="41" width="13.7109375" style="115" customWidth="1"/>
    <col min="42" max="44" width="11.42578125" style="115"/>
    <col min="45" max="134" width="0" style="115" hidden="1" customWidth="1"/>
    <col min="135" max="135" width="11.42578125" style="115" customWidth="1"/>
    <col min="136" max="136" width="31.42578125" style="115" hidden="1" customWidth="1"/>
    <col min="137" max="334" width="0" style="115" hidden="1" customWidth="1"/>
    <col min="335" max="349" width="11.42578125" style="115" hidden="1" customWidth="1"/>
    <col min="350" max="350" width="4.28515625" style="115" hidden="1" customWidth="1"/>
    <col min="351" max="373" width="11.42578125" style="115" hidden="1" customWidth="1"/>
    <col min="374" max="703" width="0" style="115" hidden="1" customWidth="1"/>
    <col min="704" max="16384" width="11.42578125" style="115"/>
  </cols>
  <sheetData>
    <row r="2" spans="1:41" ht="20.25" customHeight="1" x14ac:dyDescent="0.2">
      <c r="A2" s="526" t="s">
        <v>212</v>
      </c>
      <c r="B2" s="526"/>
      <c r="C2" s="526"/>
      <c r="D2" s="526"/>
      <c r="AA2" s="526"/>
      <c r="AB2" s="526"/>
      <c r="AC2" s="526"/>
      <c r="AD2" s="526"/>
    </row>
    <row r="4" spans="1:41" ht="23.25" x14ac:dyDescent="0.35">
      <c r="A4" s="76" t="s">
        <v>170</v>
      </c>
      <c r="B4" s="206" t="s">
        <v>213</v>
      </c>
      <c r="C4" s="206"/>
      <c r="D4" s="198"/>
      <c r="E4" s="198"/>
      <c r="F4" s="198"/>
      <c r="AA4" s="225" t="s">
        <v>267</v>
      </c>
      <c r="AB4" s="206" t="s">
        <v>265</v>
      </c>
      <c r="AC4" s="206"/>
      <c r="AJ4" s="225" t="s">
        <v>276</v>
      </c>
      <c r="AK4" s="206" t="s">
        <v>275</v>
      </c>
      <c r="AL4" s="206"/>
    </row>
    <row r="5" spans="1:41" ht="23.25" x14ac:dyDescent="0.35">
      <c r="B5" s="207" t="s">
        <v>236</v>
      </c>
      <c r="C5" s="208"/>
      <c r="D5" s="121"/>
      <c r="E5" s="121"/>
      <c r="F5" s="121"/>
      <c r="G5" s="121"/>
      <c r="H5" s="121"/>
      <c r="AB5" s="197" t="s">
        <v>268</v>
      </c>
      <c r="AK5" s="197" t="s">
        <v>277</v>
      </c>
    </row>
    <row r="6" spans="1:41" ht="15.75" x14ac:dyDescent="0.25">
      <c r="B6" s="202" t="s">
        <v>177</v>
      </c>
      <c r="C6" s="17"/>
      <c r="D6" s="17"/>
      <c r="E6" s="17"/>
      <c r="F6" s="17"/>
      <c r="G6" s="17"/>
      <c r="H6" s="17"/>
      <c r="I6" s="17"/>
      <c r="J6" s="17"/>
      <c r="K6" s="17"/>
      <c r="L6" s="17"/>
      <c r="AB6" s="202"/>
    </row>
    <row r="7" spans="1:41" ht="15.75" x14ac:dyDescent="0.25">
      <c r="B7" s="202"/>
      <c r="C7" s="17"/>
      <c r="D7" s="17"/>
      <c r="E7" s="17"/>
      <c r="F7" s="17"/>
      <c r="G7" s="17"/>
      <c r="H7" s="17"/>
      <c r="I7" s="17"/>
      <c r="J7" s="17"/>
      <c r="K7" s="17"/>
      <c r="L7" s="17"/>
      <c r="AB7" s="486" t="s">
        <v>45</v>
      </c>
      <c r="AC7" s="486"/>
      <c r="AD7" s="486"/>
      <c r="AE7" s="486"/>
      <c r="AF7" s="486"/>
      <c r="AK7" s="486" t="s">
        <v>45</v>
      </c>
      <c r="AL7" s="486"/>
      <c r="AM7" s="486"/>
      <c r="AN7" s="486"/>
      <c r="AO7" s="210"/>
    </row>
    <row r="8" spans="1:41" x14ac:dyDescent="0.2">
      <c r="B8" s="488" t="s">
        <v>45</v>
      </c>
      <c r="C8" s="488"/>
      <c r="D8" s="488"/>
      <c r="E8" s="488"/>
      <c r="F8" s="488"/>
      <c r="G8" s="488"/>
      <c r="H8" s="488"/>
      <c r="I8" s="488"/>
      <c r="J8" s="488"/>
      <c r="K8" s="488"/>
      <c r="L8" s="488"/>
      <c r="M8" s="488"/>
      <c r="N8" s="488"/>
      <c r="O8" s="488"/>
      <c r="P8" s="488"/>
      <c r="Q8" s="488"/>
      <c r="R8" s="488"/>
      <c r="S8" s="488"/>
      <c r="T8" s="488"/>
      <c r="U8" s="488"/>
      <c r="V8" s="488"/>
      <c r="W8" s="488"/>
      <c r="AB8" s="486" t="s">
        <v>201</v>
      </c>
      <c r="AC8" s="486"/>
      <c r="AD8" s="486"/>
      <c r="AE8" s="486"/>
      <c r="AF8" s="486"/>
      <c r="AK8" s="486" t="s">
        <v>123</v>
      </c>
      <c r="AL8" s="486"/>
      <c r="AM8" s="486"/>
      <c r="AN8" s="486"/>
      <c r="AO8" s="210"/>
    </row>
    <row r="9" spans="1:41" ht="14.25" customHeight="1" x14ac:dyDescent="0.2">
      <c r="B9" s="488" t="s">
        <v>389</v>
      </c>
      <c r="C9" s="488"/>
      <c r="D9" s="488"/>
      <c r="E9" s="488"/>
      <c r="F9" s="488"/>
      <c r="G9" s="488"/>
      <c r="H9" s="488"/>
      <c r="I9" s="488"/>
      <c r="J9" s="488"/>
      <c r="K9" s="488"/>
      <c r="L9" s="488"/>
      <c r="M9" s="488"/>
      <c r="N9" s="488"/>
      <c r="O9" s="488"/>
      <c r="P9" s="488"/>
      <c r="Q9" s="488"/>
      <c r="R9" s="488"/>
      <c r="S9" s="488"/>
      <c r="T9" s="488"/>
      <c r="U9" s="488"/>
      <c r="V9" s="488"/>
      <c r="W9" s="488"/>
      <c r="AB9" s="535" t="s">
        <v>17</v>
      </c>
      <c r="AC9" s="535"/>
      <c r="AD9" s="535"/>
      <c r="AE9" s="535"/>
      <c r="AF9" s="535"/>
      <c r="AK9" s="535" t="s">
        <v>17</v>
      </c>
      <c r="AL9" s="535"/>
      <c r="AM9" s="535"/>
      <c r="AN9" s="535"/>
    </row>
    <row r="10" spans="1:41" ht="14.25" customHeight="1" x14ac:dyDescent="0.2">
      <c r="B10" s="527" t="s">
        <v>17</v>
      </c>
      <c r="C10" s="527"/>
      <c r="D10" s="527"/>
      <c r="E10" s="527"/>
      <c r="F10" s="527"/>
      <c r="G10" s="527"/>
      <c r="H10" s="527"/>
      <c r="I10" s="527"/>
      <c r="J10" s="527"/>
      <c r="K10" s="527"/>
      <c r="L10" s="527"/>
      <c r="M10" s="527"/>
      <c r="N10" s="527"/>
      <c r="O10" s="527"/>
      <c r="P10" s="527"/>
      <c r="Q10" s="527"/>
      <c r="R10" s="527"/>
      <c r="S10" s="527"/>
      <c r="T10" s="527"/>
      <c r="U10" s="527"/>
      <c r="V10" s="527"/>
      <c r="W10" s="527"/>
      <c r="AB10" s="536" t="s">
        <v>269</v>
      </c>
      <c r="AC10" s="190" t="s">
        <v>271</v>
      </c>
      <c r="AD10" s="190" t="s">
        <v>272</v>
      </c>
      <c r="AE10" s="536" t="s">
        <v>270</v>
      </c>
      <c r="AF10" s="536" t="s">
        <v>273</v>
      </c>
      <c r="AK10" s="541" t="s">
        <v>159</v>
      </c>
      <c r="AL10" s="536" t="s">
        <v>104</v>
      </c>
      <c r="AM10" s="541" t="s">
        <v>105</v>
      </c>
      <c r="AN10" s="541" t="s">
        <v>123</v>
      </c>
    </row>
    <row r="11" spans="1:41" ht="14.25" customHeight="1" x14ac:dyDescent="0.2">
      <c r="B11" s="534" t="s">
        <v>224</v>
      </c>
      <c r="C11" s="534" t="s">
        <v>95</v>
      </c>
      <c r="D11" s="512" t="s">
        <v>225</v>
      </c>
      <c r="E11" s="512" t="s">
        <v>180</v>
      </c>
      <c r="F11" s="512" t="s">
        <v>221</v>
      </c>
      <c r="G11" s="468" t="s">
        <v>222</v>
      </c>
      <c r="H11" s="515" t="s">
        <v>229</v>
      </c>
      <c r="I11" s="515" t="s">
        <v>230</v>
      </c>
      <c r="J11" s="515" t="s">
        <v>231</v>
      </c>
      <c r="K11" s="515" t="s">
        <v>181</v>
      </c>
      <c r="L11" s="515" t="s">
        <v>182</v>
      </c>
      <c r="M11" s="530" t="s">
        <v>223</v>
      </c>
      <c r="N11" s="531"/>
      <c r="O11" s="515" t="s">
        <v>183</v>
      </c>
      <c r="P11" s="468" t="s">
        <v>184</v>
      </c>
      <c r="Q11" s="469"/>
      <c r="R11" s="469"/>
      <c r="S11" s="470"/>
      <c r="T11" s="515" t="s">
        <v>185</v>
      </c>
      <c r="U11" s="515" t="s">
        <v>186</v>
      </c>
      <c r="V11" s="515" t="s">
        <v>96</v>
      </c>
      <c r="W11" s="277"/>
      <c r="AB11" s="537"/>
      <c r="AC11" s="224">
        <v>0.13</v>
      </c>
      <c r="AD11" s="224">
        <v>0.03</v>
      </c>
      <c r="AE11" s="537"/>
      <c r="AF11" s="537"/>
      <c r="AK11" s="542"/>
      <c r="AL11" s="537"/>
      <c r="AM11" s="542"/>
      <c r="AN11" s="542"/>
    </row>
    <row r="12" spans="1:41" x14ac:dyDescent="0.2">
      <c r="B12" s="534"/>
      <c r="C12" s="534"/>
      <c r="D12" s="512"/>
      <c r="E12" s="512"/>
      <c r="F12" s="512"/>
      <c r="G12" s="468"/>
      <c r="H12" s="516"/>
      <c r="I12" s="516"/>
      <c r="J12" s="516"/>
      <c r="K12" s="516"/>
      <c r="L12" s="516"/>
      <c r="M12" s="532"/>
      <c r="N12" s="533"/>
      <c r="O12" s="516"/>
      <c r="P12" s="90">
        <v>0.1</v>
      </c>
      <c r="Q12" s="91">
        <v>1.7100000000000001E-2</v>
      </c>
      <c r="R12" s="92">
        <v>5.0000000000000001E-3</v>
      </c>
      <c r="S12" s="92">
        <v>5.0000000000000001E-3</v>
      </c>
      <c r="T12" s="516"/>
      <c r="U12" s="516"/>
      <c r="V12" s="516"/>
      <c r="W12" s="277"/>
      <c r="AB12" s="209">
        <f>'COSTO DE PRODUCCIÓN - INGRESOS'!F94</f>
        <v>843646.43247359991</v>
      </c>
      <c r="AC12" s="209">
        <f>AB12*13%</f>
        <v>109674.03622156799</v>
      </c>
      <c r="AD12" s="209">
        <f>AB12*3%</f>
        <v>25309.392974207996</v>
      </c>
      <c r="AE12" s="209">
        <f>SUM(AC12:AD12)</f>
        <v>134983.429195776</v>
      </c>
      <c r="AF12" s="209">
        <f>AB12-AE12</f>
        <v>708663.00327782391</v>
      </c>
      <c r="AK12" s="403">
        <v>0</v>
      </c>
      <c r="AL12" s="244">
        <f>'INVERSIÓN Y FINANCIAMIENTO'!I7</f>
        <v>9506</v>
      </c>
      <c r="AM12" s="244">
        <f>'INVERSIÓN Y FINANCIAMIENTO'!J7</f>
        <v>0</v>
      </c>
      <c r="AN12" s="244">
        <f>'INVERSIÓN Y FINANCIAMIENTO'!K7</f>
        <v>0</v>
      </c>
    </row>
    <row r="13" spans="1:41" ht="24" customHeight="1" x14ac:dyDescent="0.25">
      <c r="B13" s="534"/>
      <c r="C13" s="534"/>
      <c r="D13" s="512"/>
      <c r="E13" s="512"/>
      <c r="F13" s="515"/>
      <c r="G13" s="518"/>
      <c r="H13" s="517"/>
      <c r="I13" s="517"/>
      <c r="J13" s="517"/>
      <c r="K13" s="517"/>
      <c r="L13" s="517"/>
      <c r="M13" s="243" t="s">
        <v>232</v>
      </c>
      <c r="N13" s="243" t="s">
        <v>233</v>
      </c>
      <c r="O13" s="517"/>
      <c r="P13" s="242" t="s">
        <v>187</v>
      </c>
      <c r="Q13" s="242" t="s">
        <v>188</v>
      </c>
      <c r="R13" s="242" t="s">
        <v>189</v>
      </c>
      <c r="S13" s="242" t="s">
        <v>190</v>
      </c>
      <c r="T13" s="517"/>
      <c r="U13" s="517"/>
      <c r="V13" s="517"/>
      <c r="W13" s="277"/>
      <c r="AB13" s="223" t="s">
        <v>24</v>
      </c>
      <c r="AC13" s="223"/>
      <c r="AK13" s="404">
        <v>1</v>
      </c>
      <c r="AL13" s="244">
        <f>'INVERSIÓN Y FINANCIAMIENTO'!I8</f>
        <v>7604.8</v>
      </c>
      <c r="AM13" s="244">
        <f>'INVERSIÓN Y FINANCIAMIENTO'!J8</f>
        <v>1901.2</v>
      </c>
      <c r="AN13" s="244">
        <f>'INVERSIÓN Y FINANCIAMIENTO'!K8</f>
        <v>665.42000000000007</v>
      </c>
    </row>
    <row r="14" spans="1:41" ht="14.25" customHeight="1" x14ac:dyDescent="0.25">
      <c r="B14" s="522" t="s">
        <v>94</v>
      </c>
      <c r="C14" s="522"/>
      <c r="D14" s="522"/>
      <c r="E14" s="522"/>
      <c r="F14" s="522"/>
      <c r="G14" s="522"/>
      <c r="H14" s="522"/>
      <c r="I14" s="522"/>
      <c r="J14" s="522"/>
      <c r="K14" s="522"/>
      <c r="L14" s="522"/>
      <c r="M14" s="522"/>
      <c r="N14" s="522"/>
      <c r="O14" s="522"/>
      <c r="P14" s="522"/>
      <c r="Q14" s="522"/>
      <c r="R14" s="522"/>
      <c r="S14" s="522"/>
      <c r="T14" s="522"/>
      <c r="U14" s="522"/>
      <c r="V14" s="523"/>
      <c r="W14" s="277"/>
      <c r="AK14" s="404">
        <v>2</v>
      </c>
      <c r="AL14" s="244">
        <f>'INVERSIÓN Y FINANCIAMIENTO'!I9</f>
        <v>5703.6</v>
      </c>
      <c r="AM14" s="244">
        <f>'INVERSIÓN Y FINANCIAMIENTO'!J9</f>
        <v>1901.2</v>
      </c>
      <c r="AN14" s="244">
        <f>'INVERSIÓN Y FINANCIAMIENTO'!K9</f>
        <v>532.33600000000001</v>
      </c>
    </row>
    <row r="15" spans="1:41" s="250" customFormat="1" ht="15" customHeight="1" x14ac:dyDescent="0.3">
      <c r="B15" s="229" t="s">
        <v>226</v>
      </c>
      <c r="C15" s="229" t="str">
        <f>'CAPITAL DE TRABAJO'!B77</f>
        <v>PANADERO</v>
      </c>
      <c r="D15" s="229" t="str">
        <f>'CAPITAL DE TRABAJO'!C77</f>
        <v>DE PLANTA</v>
      </c>
      <c r="E15" s="382">
        <f>'CAPITAL DE TRABAJO'!D77</f>
        <v>44075</v>
      </c>
      <c r="F15" s="279">
        <v>8</v>
      </c>
      <c r="G15" s="240">
        <v>24</v>
      </c>
      <c r="H15" s="280">
        <f ca="1">DATEDIF(E15,TODAY(),"y")</f>
        <v>3</v>
      </c>
      <c r="I15" s="251">
        <f>K15/G15</f>
        <v>102.08333333333333</v>
      </c>
      <c r="J15" s="251">
        <f>I15/F15</f>
        <v>12.760416666666666</v>
      </c>
      <c r="K15" s="281">
        <f>'CAPITAL DE TRABAJO'!E77</f>
        <v>2450</v>
      </c>
      <c r="L15" s="251">
        <f>2362*3*0.05</f>
        <v>354.3</v>
      </c>
      <c r="M15" s="279">
        <v>6</v>
      </c>
      <c r="N15" s="251">
        <f>I15*M15</f>
        <v>612.5</v>
      </c>
      <c r="O15" s="230">
        <f>K15+L15+N15</f>
        <v>3416.8</v>
      </c>
      <c r="P15" s="230">
        <f>$O$15*P12</f>
        <v>341.68000000000006</v>
      </c>
      <c r="Q15" s="230">
        <f t="shared" ref="Q15:R15" si="0">$O$15*Q12</f>
        <v>58.427280000000003</v>
      </c>
      <c r="R15" s="230">
        <f t="shared" si="0"/>
        <v>17.084</v>
      </c>
      <c r="S15" s="230">
        <f>$O$15*S12</f>
        <v>17.084</v>
      </c>
      <c r="T15" s="230">
        <f>SUM(P15:S15)</f>
        <v>434.27528000000007</v>
      </c>
      <c r="U15" s="230">
        <f>O15-T15</f>
        <v>2982.5247200000003</v>
      </c>
      <c r="V15" s="230">
        <f>U15</f>
        <v>2982.5247200000003</v>
      </c>
      <c r="W15" s="282"/>
      <c r="AB15" s="197" t="s">
        <v>274</v>
      </c>
      <c r="AK15" s="404">
        <v>3</v>
      </c>
      <c r="AL15" s="244">
        <f>'INVERSIÓN Y FINANCIAMIENTO'!I10</f>
        <v>3802.4000000000005</v>
      </c>
      <c r="AM15" s="244">
        <f>'INVERSIÓN Y FINANCIAMIENTO'!J10</f>
        <v>1901.2</v>
      </c>
      <c r="AN15" s="244">
        <f>'INVERSIÓN Y FINANCIAMIENTO'!K10</f>
        <v>399.25200000000007</v>
      </c>
    </row>
    <row r="16" spans="1:41" x14ac:dyDescent="0.2">
      <c r="B16" s="263" t="s">
        <v>227</v>
      </c>
      <c r="C16" s="229" t="str">
        <f>'CAPITAL DE TRABAJO'!B78</f>
        <v>AYUDANTE</v>
      </c>
      <c r="D16" s="229" t="str">
        <f>'CAPITAL DE TRABAJO'!C78</f>
        <v>DE PLANTA</v>
      </c>
      <c r="E16" s="382">
        <f>'CAPITAL DE TRABAJO'!D78</f>
        <v>44076</v>
      </c>
      <c r="F16" s="264">
        <v>8</v>
      </c>
      <c r="G16" s="265">
        <v>24</v>
      </c>
      <c r="H16" s="266">
        <f ca="1">DATEDIF(E16,TODAY(),"y")</f>
        <v>3</v>
      </c>
      <c r="I16" s="251">
        <f>K16/G16</f>
        <v>98.416666666666671</v>
      </c>
      <c r="J16" s="267">
        <f>I16/F16</f>
        <v>12.302083333333334</v>
      </c>
      <c r="K16" s="281">
        <f>'CAPITAL DE TRABAJO'!E78</f>
        <v>2362</v>
      </c>
      <c r="L16" s="251">
        <f>2362*3*0.05</f>
        <v>354.3</v>
      </c>
      <c r="M16" s="264">
        <v>6</v>
      </c>
      <c r="N16" s="267">
        <f>I16*M16</f>
        <v>590.5</v>
      </c>
      <c r="O16" s="268">
        <f>K16+L16+N16</f>
        <v>3306.8</v>
      </c>
      <c r="P16" s="268">
        <f>$O$16*P12</f>
        <v>330.68000000000006</v>
      </c>
      <c r="Q16" s="268">
        <f t="shared" ref="Q16:R16" si="1">$O$16*Q12</f>
        <v>56.546280000000003</v>
      </c>
      <c r="R16" s="268">
        <f t="shared" si="1"/>
        <v>16.534000000000002</v>
      </c>
      <c r="S16" s="268">
        <f>$O$16*S12</f>
        <v>16.534000000000002</v>
      </c>
      <c r="T16" s="268">
        <f>SUM(P16:S16)</f>
        <v>420.29428000000007</v>
      </c>
      <c r="U16" s="95">
        <f t="shared" ref="U16" si="2">O16-T16</f>
        <v>2886.5057200000001</v>
      </c>
      <c r="V16" s="268">
        <f>U16</f>
        <v>2886.5057200000001</v>
      </c>
      <c r="W16" s="277"/>
      <c r="AB16" s="486" t="s">
        <v>45</v>
      </c>
      <c r="AC16" s="486"/>
      <c r="AD16" s="486"/>
      <c r="AE16" s="486"/>
      <c r="AF16" s="486"/>
      <c r="AK16" s="403">
        <v>4</v>
      </c>
      <c r="AL16" s="244">
        <f>'INVERSIÓN Y FINANCIAMIENTO'!I11</f>
        <v>1901.2000000000005</v>
      </c>
      <c r="AM16" s="244">
        <f>'INVERSIÓN Y FINANCIAMIENTO'!J11</f>
        <v>1901.2</v>
      </c>
      <c r="AN16" s="244">
        <f>'INVERSIÓN Y FINANCIAMIENTO'!K11</f>
        <v>266.16800000000006</v>
      </c>
    </row>
    <row r="17" spans="2:42" ht="15" x14ac:dyDescent="0.25">
      <c r="B17" s="461" t="s">
        <v>320</v>
      </c>
      <c r="C17" s="461"/>
      <c r="D17" s="461"/>
      <c r="E17" s="462"/>
      <c r="F17" s="82"/>
      <c r="G17" s="199"/>
      <c r="H17" s="82"/>
      <c r="I17" s="82"/>
      <c r="J17" s="82"/>
      <c r="K17" s="203">
        <f>SUM(K15:K16)</f>
        <v>4812</v>
      </c>
      <c r="L17" s="203">
        <f>SUM(L15:L16)</f>
        <v>708.6</v>
      </c>
      <c r="M17" s="82"/>
      <c r="N17" s="323">
        <f t="shared" ref="N17:V17" si="3">SUM(N15:N16)</f>
        <v>1203</v>
      </c>
      <c r="O17" s="120">
        <f t="shared" si="3"/>
        <v>6723.6</v>
      </c>
      <c r="P17" s="120">
        <f t="shared" si="3"/>
        <v>672.36000000000013</v>
      </c>
      <c r="Q17" s="120">
        <f t="shared" si="3"/>
        <v>114.97356000000001</v>
      </c>
      <c r="R17" s="120">
        <f t="shared" si="3"/>
        <v>33.618000000000002</v>
      </c>
      <c r="S17" s="120">
        <f t="shared" si="3"/>
        <v>33.618000000000002</v>
      </c>
      <c r="T17" s="120">
        <f t="shared" si="3"/>
        <v>854.56956000000014</v>
      </c>
      <c r="U17" s="120">
        <f t="shared" si="3"/>
        <v>5869.0304400000005</v>
      </c>
      <c r="V17" s="120">
        <f t="shared" si="3"/>
        <v>5869.0304400000005</v>
      </c>
      <c r="W17" s="277"/>
      <c r="AB17" s="486" t="s">
        <v>395</v>
      </c>
      <c r="AC17" s="486"/>
      <c r="AD17" s="486"/>
      <c r="AE17" s="486"/>
      <c r="AF17" s="486"/>
      <c r="AK17" s="404">
        <v>5</v>
      </c>
      <c r="AL17" s="244">
        <f>'INVERSIÓN Y FINANCIAMIENTO'!I12</f>
        <v>0</v>
      </c>
      <c r="AM17" s="244">
        <f>'INVERSIÓN Y FINANCIAMIENTO'!J12</f>
        <v>1901.2</v>
      </c>
      <c r="AN17" s="244">
        <f>'INVERSIÓN Y FINANCIAMIENTO'!K12</f>
        <v>133.08400000000006</v>
      </c>
    </row>
    <row r="18" spans="2:42" ht="15" x14ac:dyDescent="0.25">
      <c r="B18" s="524" t="s">
        <v>99</v>
      </c>
      <c r="C18" s="524"/>
      <c r="D18" s="524"/>
      <c r="E18" s="524"/>
      <c r="F18" s="524"/>
      <c r="G18" s="524"/>
      <c r="H18" s="524"/>
      <c r="I18" s="524"/>
      <c r="J18" s="524"/>
      <c r="K18" s="524"/>
      <c r="L18" s="524"/>
      <c r="M18" s="524"/>
      <c r="N18" s="524"/>
      <c r="O18" s="524"/>
      <c r="P18" s="524"/>
      <c r="Q18" s="524"/>
      <c r="R18" s="524"/>
      <c r="S18" s="524"/>
      <c r="T18" s="524"/>
      <c r="U18" s="524"/>
      <c r="V18" s="525"/>
      <c r="W18" s="277"/>
      <c r="AB18" s="535" t="s">
        <v>17</v>
      </c>
      <c r="AC18" s="535"/>
      <c r="AD18" s="535"/>
      <c r="AE18" s="535"/>
      <c r="AF18" s="535"/>
      <c r="AJ18" s="260"/>
      <c r="AK18" s="276"/>
      <c r="AL18" s="320"/>
      <c r="AM18" s="320"/>
      <c r="AN18" s="405">
        <f>'INVERSIÓN Y FINANCIAMIENTO'!K13</f>
        <v>1996.2600000000004</v>
      </c>
      <c r="AO18" s="276"/>
      <c r="AP18"/>
    </row>
    <row r="19" spans="2:42" ht="15" x14ac:dyDescent="0.25">
      <c r="B19" s="115" t="s">
        <v>390</v>
      </c>
      <c r="C19" s="82" t="str">
        <f>'CAPITAL DE TRABAJO'!B80</f>
        <v>CONTADOR</v>
      </c>
      <c r="D19" s="82" t="str">
        <f>'CAPITAL DE TRABAJO'!C80</f>
        <v>DE PLANTA</v>
      </c>
      <c r="E19" s="322">
        <f>'CAPITAL DE TRABAJO'!D80</f>
        <v>44075</v>
      </c>
      <c r="F19" s="261">
        <v>8</v>
      </c>
      <c r="G19" s="262">
        <v>24</v>
      </c>
      <c r="H19" s="261">
        <f ca="1">DATEDIF(E19,TODAY(),"y")</f>
        <v>3</v>
      </c>
      <c r="I19" s="94">
        <f>K19/G19</f>
        <v>98.416666666666671</v>
      </c>
      <c r="J19" s="94">
        <f>I19/F19</f>
        <v>12.302083333333334</v>
      </c>
      <c r="K19" s="255">
        <f>'CAPITAL DE TRABAJO'!E80</f>
        <v>2362</v>
      </c>
      <c r="L19" s="254">
        <f t="shared" ref="L19:L20" si="4">2362*3*0.05</f>
        <v>354.3</v>
      </c>
      <c r="M19" s="261">
        <v>0</v>
      </c>
      <c r="N19" s="94">
        <f>I19*M19</f>
        <v>0</v>
      </c>
      <c r="O19" s="255">
        <f>K19+L19+N19</f>
        <v>2716.3</v>
      </c>
      <c r="P19" s="255">
        <f>$O$19*P12</f>
        <v>271.63000000000005</v>
      </c>
      <c r="Q19" s="255">
        <f>$O$19*Q12</f>
        <v>46.448730000000005</v>
      </c>
      <c r="R19" s="255">
        <f>$O$19*R12</f>
        <v>13.581500000000002</v>
      </c>
      <c r="S19" s="255">
        <f>$O$19*S12</f>
        <v>13.581500000000002</v>
      </c>
      <c r="T19" s="95">
        <f>SUM(P19:S19)</f>
        <v>345.24173000000008</v>
      </c>
      <c r="U19" s="255">
        <f t="shared" ref="U19" si="5">O19-T19</f>
        <v>2371.05827</v>
      </c>
      <c r="V19" s="95">
        <f>U19</f>
        <v>2371.05827</v>
      </c>
      <c r="W19" s="319"/>
      <c r="AB19" s="297" t="s">
        <v>18</v>
      </c>
      <c r="AC19" s="297" t="s">
        <v>19</v>
      </c>
      <c r="AD19" s="297" t="s">
        <v>80</v>
      </c>
      <c r="AE19" s="297" t="s">
        <v>81</v>
      </c>
      <c r="AF19" s="297" t="s">
        <v>82</v>
      </c>
      <c r="AJ19" s="260"/>
      <c r="AK19" s="320"/>
      <c r="AL19" s="320"/>
      <c r="AM19" s="320"/>
      <c r="AN19" s="320"/>
      <c r="AO19" s="320"/>
      <c r="AP19" s="321"/>
    </row>
    <row r="20" spans="2:42" ht="15.75" customHeight="1" thickBot="1" x14ac:dyDescent="0.3">
      <c r="B20" s="82" t="s">
        <v>353</v>
      </c>
      <c r="C20" s="82" t="str">
        <f>'CAPITAL DE TRABAJO'!B81</f>
        <v>SECRETARIA</v>
      </c>
      <c r="D20" s="82" t="str">
        <f>'CAPITAL DE TRABAJO'!C81</f>
        <v>DE PLANTA</v>
      </c>
      <c r="E20" s="322">
        <f>'CAPITAL DE TRABAJO'!D81</f>
        <v>44075</v>
      </c>
      <c r="F20" s="261">
        <v>8</v>
      </c>
      <c r="G20" s="262">
        <v>24</v>
      </c>
      <c r="H20" s="261">
        <f ca="1">DATEDIF(E20,TODAY(),"y")</f>
        <v>3</v>
      </c>
      <c r="I20" s="94">
        <f>K20/G20</f>
        <v>98.416666666666671</v>
      </c>
      <c r="J20" s="94">
        <f>I20/F20</f>
        <v>12.302083333333334</v>
      </c>
      <c r="K20" s="255">
        <f>'CAPITAL DE TRABAJO'!E81</f>
        <v>2362</v>
      </c>
      <c r="L20" s="254">
        <f t="shared" si="4"/>
        <v>354.3</v>
      </c>
      <c r="M20" s="261">
        <v>0</v>
      </c>
      <c r="N20" s="94">
        <f>I20*M20</f>
        <v>0</v>
      </c>
      <c r="O20" s="255">
        <f>K20+L20+N20</f>
        <v>2716.3</v>
      </c>
      <c r="P20" s="255">
        <f>$O$20*P12</f>
        <v>271.63000000000005</v>
      </c>
      <c r="Q20" s="255">
        <f>$O$20*Q12</f>
        <v>46.448730000000005</v>
      </c>
      <c r="R20" s="255">
        <f>$O$20*R12</f>
        <v>13.581500000000002</v>
      </c>
      <c r="S20" s="255">
        <f>$O$20*S12</f>
        <v>13.581500000000002</v>
      </c>
      <c r="T20" s="95">
        <f>SUM(P20:S20)</f>
        <v>345.24173000000008</v>
      </c>
      <c r="U20" s="255">
        <f t="shared" ref="U20" si="6">O20-T20</f>
        <v>2371.05827</v>
      </c>
      <c r="V20" s="95">
        <f>U20</f>
        <v>2371.05827</v>
      </c>
      <c r="W20" s="277"/>
      <c r="AB20" s="204" t="s">
        <v>396</v>
      </c>
      <c r="AC20" s="118">
        <v>500</v>
      </c>
      <c r="AD20" s="209">
        <v>0.1</v>
      </c>
      <c r="AE20" s="209">
        <f>AD20*AC20</f>
        <v>50</v>
      </c>
      <c r="AF20" s="209">
        <f>AE20*12</f>
        <v>600</v>
      </c>
      <c r="AL20" s="241"/>
      <c r="AM20" s="241"/>
      <c r="AN20" s="287"/>
      <c r="AO20" s="287"/>
      <c r="AP20"/>
    </row>
    <row r="21" spans="2:42" ht="15" customHeight="1" x14ac:dyDescent="0.2">
      <c r="B21" s="269"/>
      <c r="C21" s="82"/>
      <c r="D21" s="82"/>
      <c r="E21" s="82"/>
      <c r="F21" s="270"/>
      <c r="G21" s="271"/>
      <c r="H21" s="270"/>
      <c r="I21" s="272"/>
      <c r="J21" s="272"/>
      <c r="K21" s="273"/>
      <c r="L21" s="272"/>
      <c r="M21" s="270"/>
      <c r="N21" s="272"/>
      <c r="O21" s="274"/>
      <c r="P21" s="274"/>
      <c r="Q21" s="274"/>
      <c r="R21" s="274"/>
      <c r="S21" s="274"/>
      <c r="T21" s="259"/>
      <c r="U21" s="278"/>
      <c r="V21" s="259"/>
      <c r="W21" s="277"/>
      <c r="AB21" s="204" t="s">
        <v>329</v>
      </c>
      <c r="AC21" s="118">
        <v>1</v>
      </c>
      <c r="AD21" s="209">
        <v>180</v>
      </c>
      <c r="AE21" s="209">
        <f>AD21*AC21</f>
        <v>180</v>
      </c>
      <c r="AF21" s="209">
        <f>AE21*12</f>
        <v>2160</v>
      </c>
    </row>
    <row r="22" spans="2:42" x14ac:dyDescent="0.2">
      <c r="B22" s="543" t="s">
        <v>321</v>
      </c>
      <c r="C22" s="543"/>
      <c r="D22" s="543"/>
      <c r="E22" s="543"/>
      <c r="F22" s="82"/>
      <c r="G22" s="199"/>
      <c r="H22" s="82"/>
      <c r="I22" s="82"/>
      <c r="J22" s="82"/>
      <c r="K22" s="203">
        <f>SUM(K19:K20)</f>
        <v>4724</v>
      </c>
      <c r="L22" s="203">
        <f>SUM(L20:L21)</f>
        <v>354.3</v>
      </c>
      <c r="M22" s="82"/>
      <c r="N22" s="120">
        <f t="shared" ref="N22:V22" si="7">SUM(N20:N21)</f>
        <v>0</v>
      </c>
      <c r="O22" s="120">
        <f t="shared" si="7"/>
        <v>2716.3</v>
      </c>
      <c r="P22" s="120">
        <f t="shared" si="7"/>
        <v>271.63000000000005</v>
      </c>
      <c r="Q22" s="120">
        <f t="shared" si="7"/>
        <v>46.448730000000005</v>
      </c>
      <c r="R22" s="120">
        <f t="shared" si="7"/>
        <v>13.581500000000002</v>
      </c>
      <c r="S22" s="120">
        <f>SUM(S20:S21)</f>
        <v>13.581500000000002</v>
      </c>
      <c r="T22" s="120">
        <f t="shared" si="7"/>
        <v>345.24173000000008</v>
      </c>
      <c r="U22" s="120">
        <f t="shared" si="7"/>
        <v>2371.05827</v>
      </c>
      <c r="V22" s="120">
        <f t="shared" si="7"/>
        <v>2371.05827</v>
      </c>
      <c r="W22" s="277"/>
      <c r="AB22" s="204"/>
      <c r="AC22" s="204"/>
      <c r="AD22" s="209"/>
      <c r="AE22" s="209"/>
      <c r="AF22" s="209"/>
    </row>
    <row r="23" spans="2:42" ht="14.25" customHeight="1" x14ac:dyDescent="0.25">
      <c r="B23" s="543" t="s">
        <v>322</v>
      </c>
      <c r="C23" s="543"/>
      <c r="D23" s="543"/>
      <c r="E23" s="543"/>
      <c r="F23" s="82"/>
      <c r="G23" s="199"/>
      <c r="H23" s="82"/>
      <c r="I23" s="82"/>
      <c r="J23" s="82"/>
      <c r="K23" s="203">
        <f>(K17+K22)*12</f>
        <v>114432</v>
      </c>
      <c r="L23" s="203">
        <f>(L17+L22)*12</f>
        <v>12754.800000000001</v>
      </c>
      <c r="M23" s="82"/>
      <c r="N23" s="120">
        <f t="shared" ref="N23:U23" si="8">(N17+N22)*12</f>
        <v>14436</v>
      </c>
      <c r="O23" s="120">
        <f t="shared" si="8"/>
        <v>113278.80000000002</v>
      </c>
      <c r="P23" s="120">
        <f t="shared" si="8"/>
        <v>11327.880000000003</v>
      </c>
      <c r="Q23" s="120">
        <f t="shared" si="8"/>
        <v>1937.0674800000002</v>
      </c>
      <c r="R23" s="120">
        <f t="shared" si="8"/>
        <v>566.39400000000001</v>
      </c>
      <c r="S23" s="120">
        <f t="shared" si="8"/>
        <v>566.39400000000001</v>
      </c>
      <c r="T23" s="120">
        <f t="shared" si="8"/>
        <v>14397.735480000001</v>
      </c>
      <c r="U23" s="120">
        <f t="shared" si="8"/>
        <v>98881.06452</v>
      </c>
      <c r="V23" s="120">
        <f>(V17+V22)*12</f>
        <v>98881.06452</v>
      </c>
      <c r="W23" s="277"/>
      <c r="AB23" s="213" t="s">
        <v>21</v>
      </c>
      <c r="AC23" s="213"/>
      <c r="AD23" s="220"/>
      <c r="AE23" s="220"/>
      <c r="AF23" s="220">
        <f>SUM(AF20:AF21)</f>
        <v>2760</v>
      </c>
    </row>
    <row r="24" spans="2:42" ht="15" x14ac:dyDescent="0.25"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AL24" s="241"/>
      <c r="AM24" s="241"/>
      <c r="AN24" s="57"/>
      <c r="AO24" s="57"/>
      <c r="AP24"/>
    </row>
    <row r="25" spans="2:42" x14ac:dyDescent="0.2">
      <c r="B25" s="277"/>
      <c r="C25" s="277"/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</row>
    <row r="26" spans="2:42" x14ac:dyDescent="0.2">
      <c r="B26" s="89" t="s">
        <v>214</v>
      </c>
      <c r="C26" s="17"/>
      <c r="D26" s="17"/>
      <c r="E26" s="17"/>
      <c r="F26" s="17"/>
      <c r="G26" s="17"/>
      <c r="H26" s="17"/>
      <c r="I26" s="17"/>
      <c r="J26" s="1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</row>
    <row r="27" spans="2:42" ht="15" x14ac:dyDescent="0.25">
      <c r="B27" s="488" t="s">
        <v>45</v>
      </c>
      <c r="C27" s="488"/>
      <c r="D27" s="488"/>
      <c r="E27" s="488"/>
      <c r="F27" s="488"/>
      <c r="G27" s="488"/>
      <c r="H27" s="488"/>
      <c r="I27" s="488"/>
      <c r="J27" s="488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AK27" s="241"/>
      <c r="AL27" s="241"/>
      <c r="AM27" s="241"/>
      <c r="AN27" s="57"/>
      <c r="AO27" s="57"/>
      <c r="AP27"/>
    </row>
    <row r="28" spans="2:42" x14ac:dyDescent="0.2">
      <c r="B28" s="488" t="s">
        <v>234</v>
      </c>
      <c r="C28" s="488"/>
      <c r="D28" s="488"/>
      <c r="E28" s="488"/>
      <c r="F28" s="488"/>
      <c r="G28" s="488"/>
      <c r="H28" s="488"/>
      <c r="I28" s="488"/>
      <c r="J28" s="488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</row>
    <row r="29" spans="2:42" x14ac:dyDescent="0.2">
      <c r="B29" s="490" t="s">
        <v>17</v>
      </c>
      <c r="C29" s="490"/>
      <c r="D29" s="490"/>
      <c r="E29" s="490"/>
      <c r="F29" s="490"/>
      <c r="G29" s="490"/>
      <c r="H29" s="490"/>
      <c r="I29" s="490"/>
      <c r="J29" s="490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</row>
    <row r="30" spans="2:42" x14ac:dyDescent="0.2">
      <c r="B30" s="519" t="s">
        <v>95</v>
      </c>
      <c r="C30" s="515" t="s">
        <v>183</v>
      </c>
      <c r="D30" s="515" t="s">
        <v>215</v>
      </c>
      <c r="E30" s="515" t="s">
        <v>216</v>
      </c>
      <c r="F30" s="515" t="s">
        <v>217</v>
      </c>
      <c r="G30" s="550" t="s">
        <v>218</v>
      </c>
      <c r="H30" s="528" t="s">
        <v>219</v>
      </c>
      <c r="I30" s="552" t="s">
        <v>220</v>
      </c>
      <c r="J30" s="515" t="s">
        <v>23</v>
      </c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</row>
    <row r="31" spans="2:42" x14ac:dyDescent="0.2">
      <c r="B31" s="520"/>
      <c r="C31" s="516"/>
      <c r="D31" s="517"/>
      <c r="E31" s="517"/>
      <c r="F31" s="517"/>
      <c r="G31" s="551"/>
      <c r="H31" s="529"/>
      <c r="I31" s="553"/>
      <c r="J31" s="516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</row>
    <row r="32" spans="2:42" x14ac:dyDescent="0.2">
      <c r="B32" s="521"/>
      <c r="C32" s="517"/>
      <c r="D32" s="200">
        <v>0.1</v>
      </c>
      <c r="E32" s="200">
        <v>0.03</v>
      </c>
      <c r="F32" s="201">
        <v>1.7100000000000001E-2</v>
      </c>
      <c r="G32" s="200">
        <v>0.02</v>
      </c>
      <c r="H32" s="201">
        <v>8.3299999999999999E-2</v>
      </c>
      <c r="I32" s="201">
        <v>8.3299999999999999E-2</v>
      </c>
      <c r="J32" s="51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</row>
    <row r="33" spans="2:23" s="283" customFormat="1" x14ac:dyDescent="0.2">
      <c r="B33" s="544" t="s">
        <v>323</v>
      </c>
      <c r="C33" s="545"/>
      <c r="D33" s="545"/>
      <c r="E33" s="545"/>
      <c r="F33" s="545"/>
      <c r="G33" s="545"/>
      <c r="H33" s="545"/>
      <c r="I33" s="545"/>
      <c r="J33" s="546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</row>
    <row r="34" spans="2:23" x14ac:dyDescent="0.2">
      <c r="B34" s="117" t="str">
        <f>C15</f>
        <v>PANADERO</v>
      </c>
      <c r="C34" s="119">
        <f>O15</f>
        <v>3416.8</v>
      </c>
      <c r="D34" s="119">
        <f>$C$34*D32</f>
        <v>341.68000000000006</v>
      </c>
      <c r="E34" s="119">
        <f t="shared" ref="E34:I34" si="9">$C$34*E32</f>
        <v>102.504</v>
      </c>
      <c r="F34" s="119">
        <f t="shared" si="9"/>
        <v>58.427280000000003</v>
      </c>
      <c r="G34" s="119">
        <f t="shared" si="9"/>
        <v>68.335999999999999</v>
      </c>
      <c r="H34" s="119">
        <f t="shared" si="9"/>
        <v>284.61944</v>
      </c>
      <c r="I34" s="119">
        <f t="shared" si="9"/>
        <v>284.61944</v>
      </c>
      <c r="J34" s="95">
        <f>SUM(C34:I34)</f>
        <v>4556.9861600000004</v>
      </c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</row>
    <row r="35" spans="2:23" x14ac:dyDescent="0.2">
      <c r="B35" s="256" t="str">
        <f>C16</f>
        <v>AYUDANTE</v>
      </c>
      <c r="C35" s="257">
        <f>O16</f>
        <v>3306.8</v>
      </c>
      <c r="D35" s="257">
        <f t="shared" ref="D35:I35" si="10">$C$35*D32</f>
        <v>330.68000000000006</v>
      </c>
      <c r="E35" s="257">
        <f t="shared" si="10"/>
        <v>99.204000000000008</v>
      </c>
      <c r="F35" s="257">
        <f t="shared" si="10"/>
        <v>56.546280000000003</v>
      </c>
      <c r="G35" s="257">
        <f t="shared" si="10"/>
        <v>66.13600000000001</v>
      </c>
      <c r="H35" s="257">
        <f t="shared" si="10"/>
        <v>275.45643999999999</v>
      </c>
      <c r="I35" s="257">
        <f t="shared" si="10"/>
        <v>275.45643999999999</v>
      </c>
      <c r="J35" s="258">
        <f t="shared" ref="J35:J39" si="11">SUM(C35:I35)</f>
        <v>4410.279160000001</v>
      </c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</row>
    <row r="36" spans="2:23" ht="12" customHeight="1" x14ac:dyDescent="0.2">
      <c r="B36" s="324" t="s">
        <v>325</v>
      </c>
      <c r="C36" s="325">
        <f>SUM(C34:C35)</f>
        <v>6723.6</v>
      </c>
      <c r="D36" s="325">
        <f t="shared" ref="D36:I36" si="12">SUM(D34:D35)</f>
        <v>672.36000000000013</v>
      </c>
      <c r="E36" s="325">
        <f t="shared" si="12"/>
        <v>201.70800000000003</v>
      </c>
      <c r="F36" s="325">
        <f t="shared" si="12"/>
        <v>114.97356000000001</v>
      </c>
      <c r="G36" s="325">
        <f t="shared" si="12"/>
        <v>134.47200000000001</v>
      </c>
      <c r="H36" s="325">
        <f t="shared" si="12"/>
        <v>560.07587999999998</v>
      </c>
      <c r="I36" s="325">
        <f t="shared" si="12"/>
        <v>560.07587999999998</v>
      </c>
      <c r="J36" s="325">
        <f>SUM(J34:J35)</f>
        <v>8967.2653200000022</v>
      </c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</row>
    <row r="37" spans="2:23" hidden="1" x14ac:dyDescent="0.2">
      <c r="B37" s="547" t="s">
        <v>324</v>
      </c>
      <c r="C37" s="548"/>
      <c r="D37" s="548"/>
      <c r="E37" s="548"/>
      <c r="F37" s="548"/>
      <c r="G37" s="548"/>
      <c r="H37" s="548"/>
      <c r="I37" s="548"/>
      <c r="J37" s="549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</row>
    <row r="38" spans="2:23" ht="14.25" hidden="1" customHeight="1" x14ac:dyDescent="0.2">
      <c r="B38" s="117" t="str">
        <f>C20</f>
        <v>SECRETARIA</v>
      </c>
      <c r="C38" s="119">
        <f>O20</f>
        <v>2716.3</v>
      </c>
      <c r="D38" s="257">
        <f t="shared" ref="D38:I38" si="13">$C$38*D32</f>
        <v>271.63000000000005</v>
      </c>
      <c r="E38" s="257">
        <f t="shared" si="13"/>
        <v>81.489000000000004</v>
      </c>
      <c r="F38" s="257">
        <f t="shared" si="13"/>
        <v>46.448730000000005</v>
      </c>
      <c r="G38" s="257">
        <f t="shared" si="13"/>
        <v>54.326000000000008</v>
      </c>
      <c r="H38" s="257">
        <f t="shared" si="13"/>
        <v>226.26779000000002</v>
      </c>
      <c r="I38" s="257">
        <f t="shared" si="13"/>
        <v>226.26779000000002</v>
      </c>
      <c r="J38" s="95">
        <f t="shared" si="11"/>
        <v>3622.7293100000002</v>
      </c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</row>
    <row r="39" spans="2:23" ht="14.25" hidden="1" customHeight="1" x14ac:dyDescent="0.2">
      <c r="B39" s="256" t="str">
        <f>C19</f>
        <v>CONTADOR</v>
      </c>
      <c r="C39" s="257">
        <f>O19</f>
        <v>2716.3</v>
      </c>
      <c r="D39" s="257">
        <f t="shared" ref="D39:I39" si="14">$C$39*D32</f>
        <v>271.63000000000005</v>
      </c>
      <c r="E39" s="257">
        <f t="shared" si="14"/>
        <v>81.489000000000004</v>
      </c>
      <c r="F39" s="257">
        <f t="shared" si="14"/>
        <v>46.448730000000005</v>
      </c>
      <c r="G39" s="257">
        <f t="shared" si="14"/>
        <v>54.326000000000008</v>
      </c>
      <c r="H39" s="257">
        <f t="shared" si="14"/>
        <v>226.26779000000002</v>
      </c>
      <c r="I39" s="257">
        <f t="shared" si="14"/>
        <v>226.26779000000002</v>
      </c>
      <c r="J39" s="258">
        <f t="shared" si="11"/>
        <v>3622.7293100000002</v>
      </c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</row>
    <row r="40" spans="2:23" ht="14.25" customHeight="1" x14ac:dyDescent="0.2">
      <c r="B40" s="544" t="s">
        <v>324</v>
      </c>
      <c r="C40" s="545"/>
      <c r="D40" s="545"/>
      <c r="E40" s="545"/>
      <c r="F40" s="545"/>
      <c r="G40" s="545"/>
      <c r="H40" s="545"/>
      <c r="I40" s="545"/>
      <c r="J40" s="546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</row>
    <row r="41" spans="2:23" ht="14.25" customHeight="1" x14ac:dyDescent="0.2">
      <c r="B41" s="256" t="str">
        <f>C19</f>
        <v>CONTADOR</v>
      </c>
      <c r="C41" s="257">
        <f>O19</f>
        <v>2716.3</v>
      </c>
      <c r="D41" s="257">
        <f>$C$41*D32</f>
        <v>271.63000000000005</v>
      </c>
      <c r="E41" s="257">
        <f t="shared" ref="E41:I41" si="15">$C$41*E32</f>
        <v>81.489000000000004</v>
      </c>
      <c r="F41" s="257">
        <f t="shared" si="15"/>
        <v>46.448730000000005</v>
      </c>
      <c r="G41" s="257">
        <f t="shared" si="15"/>
        <v>54.326000000000008</v>
      </c>
      <c r="H41" s="257">
        <f t="shared" si="15"/>
        <v>226.26779000000002</v>
      </c>
      <c r="I41" s="257">
        <f t="shared" si="15"/>
        <v>226.26779000000002</v>
      </c>
      <c r="J41" s="258">
        <f>SUM(C41:I41)</f>
        <v>3622.7293100000002</v>
      </c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</row>
    <row r="42" spans="2:23" ht="14.25" customHeight="1" x14ac:dyDescent="0.2">
      <c r="B42" s="256" t="str">
        <f>C20</f>
        <v>SECRETARIA</v>
      </c>
      <c r="C42" s="257">
        <f>O20</f>
        <v>2716.3</v>
      </c>
      <c r="D42" s="257">
        <f>$C$42*D32</f>
        <v>271.63000000000005</v>
      </c>
      <c r="E42" s="257">
        <f t="shared" ref="E42:I42" si="16">$C$42*E32</f>
        <v>81.489000000000004</v>
      </c>
      <c r="F42" s="257">
        <f t="shared" si="16"/>
        <v>46.448730000000005</v>
      </c>
      <c r="G42" s="257">
        <f t="shared" si="16"/>
        <v>54.326000000000008</v>
      </c>
      <c r="H42" s="257">
        <f t="shared" si="16"/>
        <v>226.26779000000002</v>
      </c>
      <c r="I42" s="257">
        <f t="shared" si="16"/>
        <v>226.26779000000002</v>
      </c>
      <c r="J42" s="258">
        <f>SUM(C42:I42)</f>
        <v>3622.7293100000002</v>
      </c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</row>
    <row r="43" spans="2:23" ht="14.25" customHeight="1" x14ac:dyDescent="0.2">
      <c r="B43" s="326" t="s">
        <v>326</v>
      </c>
      <c r="C43" s="327">
        <f t="shared" ref="C43:I43" si="17">SUM(C38:C39)</f>
        <v>5432.6</v>
      </c>
      <c r="D43" s="327">
        <f t="shared" si="17"/>
        <v>543.2600000000001</v>
      </c>
      <c r="E43" s="327">
        <f t="shared" si="17"/>
        <v>162.97800000000001</v>
      </c>
      <c r="F43" s="327">
        <f t="shared" si="17"/>
        <v>92.897460000000009</v>
      </c>
      <c r="G43" s="327">
        <f t="shared" si="17"/>
        <v>108.65200000000002</v>
      </c>
      <c r="H43" s="327">
        <f t="shared" si="17"/>
        <v>452.53558000000004</v>
      </c>
      <c r="I43" s="327">
        <f t="shared" si="17"/>
        <v>452.53558000000004</v>
      </c>
      <c r="J43" s="327">
        <f>SUM(J41:J42)</f>
        <v>7245.4586200000003</v>
      </c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</row>
    <row r="44" spans="2:23" s="283" customFormat="1" ht="14.25" customHeight="1" x14ac:dyDescent="0.2">
      <c r="B44" s="328"/>
      <c r="C44" s="329"/>
      <c r="D44" s="329"/>
      <c r="E44" s="329"/>
      <c r="F44" s="329"/>
      <c r="G44" s="329"/>
      <c r="H44" s="329"/>
      <c r="I44" s="329"/>
      <c r="J44" s="329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</row>
    <row r="45" spans="2:23" ht="15" x14ac:dyDescent="0.25">
      <c r="B45" s="218" t="s">
        <v>327</v>
      </c>
      <c r="C45" s="220">
        <f t="shared" ref="C45:I45" si="18">(C36+C43)*12</f>
        <v>145874.40000000002</v>
      </c>
      <c r="D45" s="220">
        <f t="shared" si="18"/>
        <v>14587.440000000004</v>
      </c>
      <c r="E45" s="220">
        <f t="shared" si="18"/>
        <v>4376.232</v>
      </c>
      <c r="F45" s="220">
        <f t="shared" si="18"/>
        <v>2494.4522400000001</v>
      </c>
      <c r="G45" s="220">
        <f t="shared" si="18"/>
        <v>2917.4880000000003</v>
      </c>
      <c r="H45" s="220">
        <f t="shared" si="18"/>
        <v>12151.337520000001</v>
      </c>
      <c r="I45" s="220">
        <f t="shared" si="18"/>
        <v>12151.337520000001</v>
      </c>
      <c r="J45" s="220">
        <f>(J36+J43)*12</f>
        <v>194552.68728000004</v>
      </c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</row>
    <row r="46" spans="2:23" x14ac:dyDescent="0.2">
      <c r="B46" s="277"/>
      <c r="C46" s="277"/>
      <c r="D46" s="277"/>
      <c r="E46" s="277"/>
      <c r="F46" s="284" t="s">
        <v>328</v>
      </c>
      <c r="G46" s="286">
        <f>SUM(D45:G45)</f>
        <v>24375.612240000006</v>
      </c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</row>
    <row r="47" spans="2:23" x14ac:dyDescent="0.2">
      <c r="B47" s="509" t="s">
        <v>24</v>
      </c>
      <c r="C47" s="509"/>
      <c r="D47" s="17"/>
      <c r="E47" s="17"/>
      <c r="F47" s="17"/>
      <c r="G47" s="17"/>
      <c r="H47" s="17"/>
      <c r="I47" s="17"/>
      <c r="J47" s="17"/>
      <c r="K47" s="17"/>
    </row>
    <row r="48" spans="2:23" x14ac:dyDescent="0.2">
      <c r="B48" s="301"/>
      <c r="C48" s="301"/>
      <c r="D48" s="17"/>
      <c r="E48" s="17"/>
      <c r="F48" s="17"/>
      <c r="G48" s="17"/>
      <c r="H48" s="17"/>
      <c r="I48" s="17"/>
      <c r="J48" s="17"/>
      <c r="K48" s="17"/>
    </row>
    <row r="49" spans="2:22" ht="15.75" x14ac:dyDescent="0.2">
      <c r="B49" s="447" t="s">
        <v>45</v>
      </c>
      <c r="C49" s="448"/>
      <c r="D49" s="448"/>
      <c r="E49" s="448"/>
      <c r="F49" s="448"/>
      <c r="G49" s="17"/>
      <c r="H49" s="17"/>
      <c r="I49" s="17"/>
      <c r="J49" s="17"/>
      <c r="K49" s="17"/>
    </row>
    <row r="50" spans="2:22" ht="15.75" customHeight="1" x14ac:dyDescent="0.2">
      <c r="B50" s="447" t="s">
        <v>382</v>
      </c>
      <c r="C50" s="448"/>
      <c r="D50" s="448"/>
      <c r="E50" s="448"/>
      <c r="F50" s="448"/>
      <c r="G50" s="17"/>
      <c r="H50" s="17"/>
      <c r="I50" s="17"/>
      <c r="J50" s="17"/>
      <c r="K50" s="17"/>
    </row>
    <row r="51" spans="2:22" ht="15.75" customHeight="1" x14ac:dyDescent="0.2">
      <c r="B51" s="449" t="s">
        <v>17</v>
      </c>
      <c r="C51" s="450"/>
      <c r="D51" s="450"/>
      <c r="E51" s="450"/>
      <c r="F51" s="450"/>
      <c r="G51" s="17"/>
      <c r="H51" s="17"/>
      <c r="I51" s="17"/>
      <c r="J51" s="17"/>
      <c r="K51" s="17"/>
    </row>
    <row r="52" spans="2:22" ht="30.75" customHeight="1" x14ac:dyDescent="0.2">
      <c r="B52" s="305" t="s">
        <v>95</v>
      </c>
      <c r="C52" s="305" t="s">
        <v>378</v>
      </c>
      <c r="D52" s="305" t="s">
        <v>383</v>
      </c>
      <c r="E52" s="190" t="s">
        <v>391</v>
      </c>
      <c r="F52" s="305" t="s">
        <v>96</v>
      </c>
      <c r="H52" s="17"/>
      <c r="I52" s="17"/>
      <c r="J52" s="17"/>
      <c r="K52" s="17"/>
      <c r="V52" s="17"/>
    </row>
    <row r="53" spans="2:22" x14ac:dyDescent="0.2">
      <c r="B53" s="457" t="s">
        <v>177</v>
      </c>
      <c r="C53" s="458"/>
      <c r="D53" s="458"/>
      <c r="E53" s="458"/>
      <c r="F53" s="458"/>
      <c r="G53" s="17"/>
      <c r="H53" s="17"/>
      <c r="I53" s="17"/>
      <c r="J53" s="17"/>
      <c r="K53" s="17"/>
      <c r="V53" s="17"/>
    </row>
    <row r="54" spans="2:22" x14ac:dyDescent="0.2">
      <c r="B54" s="230" t="str">
        <f>'CAPITAL DE TRABAJO'!B94</f>
        <v>PANADERO</v>
      </c>
      <c r="C54" s="230" t="str">
        <f>'CAPITAL DE TRABAJO'!C94</f>
        <v>POR CONTRATO</v>
      </c>
      <c r="D54" s="230">
        <f>'CAPITAL DE TRABAJO'!D94</f>
        <v>15</v>
      </c>
      <c r="E54" s="230">
        <f>'CAPITAL DE TRABAJO'!E94</f>
        <v>1000</v>
      </c>
      <c r="F54" s="255">
        <f>E54</f>
        <v>1000</v>
      </c>
      <c r="G54" s="17"/>
      <c r="H54" s="17"/>
      <c r="I54" s="17"/>
      <c r="J54" s="17"/>
      <c r="K54" s="17"/>
      <c r="V54" s="17"/>
    </row>
    <row r="55" spans="2:22" x14ac:dyDescent="0.2">
      <c r="B55" s="559" t="s">
        <v>381</v>
      </c>
      <c r="C55" s="560"/>
      <c r="D55" s="560"/>
      <c r="E55" s="560"/>
      <c r="F55" s="560"/>
      <c r="G55" s="17"/>
      <c r="H55" s="17"/>
      <c r="I55" s="384" t="s">
        <v>393</v>
      </c>
      <c r="J55" s="385">
        <f>V23+F60</f>
        <v>132481.06452000001</v>
      </c>
      <c r="K55" s="17"/>
      <c r="V55" s="17"/>
    </row>
    <row r="56" spans="2:22" x14ac:dyDescent="0.2">
      <c r="B56" s="230" t="str">
        <f>'CAPITAL DE TRABAJO'!B96</f>
        <v>CONTADOR</v>
      </c>
      <c r="C56" s="230" t="str">
        <f>'CAPITAL DE TRABAJO'!C96</f>
        <v>POR CONTRATO</v>
      </c>
      <c r="D56" s="230">
        <f>'CAPITAL DE TRABAJO'!D96</f>
        <v>15</v>
      </c>
      <c r="E56" s="230">
        <f>'CAPITAL DE TRABAJO'!E96</f>
        <v>1000</v>
      </c>
      <c r="F56" s="255">
        <f>E56</f>
        <v>1000</v>
      </c>
      <c r="G56" s="17"/>
      <c r="H56" s="17"/>
      <c r="I56" s="17"/>
      <c r="J56" s="17"/>
      <c r="K56" s="17"/>
      <c r="V56" s="17"/>
    </row>
    <row r="57" spans="2:22" x14ac:dyDescent="0.2">
      <c r="B57" s="230" t="str">
        <f>'CAPITAL DE TRABAJO'!B97</f>
        <v>CHOFER</v>
      </c>
      <c r="C57" s="230" t="str">
        <f>'CAPITAL DE TRABAJO'!C97</f>
        <v>POR CONTRATO</v>
      </c>
      <c r="D57" s="230">
        <f>'CAPITAL DE TRABAJO'!D97</f>
        <v>4</v>
      </c>
      <c r="E57" s="230">
        <f>'CAPITAL DE TRABAJO'!E97</f>
        <v>800</v>
      </c>
      <c r="F57" s="255">
        <f>E57</f>
        <v>800</v>
      </c>
      <c r="G57" s="17"/>
      <c r="H57" s="17"/>
      <c r="I57" s="17"/>
      <c r="J57" s="17"/>
      <c r="K57" s="17"/>
      <c r="V57" s="17"/>
    </row>
    <row r="58" spans="2:22" x14ac:dyDescent="0.2">
      <c r="B58" s="229"/>
      <c r="C58" s="255"/>
      <c r="D58" s="279"/>
      <c r="E58" s="251"/>
      <c r="F58" s="82"/>
      <c r="G58" s="17"/>
      <c r="H58" s="17"/>
      <c r="I58" s="17"/>
      <c r="J58" s="17"/>
      <c r="K58" s="17"/>
      <c r="V58" s="17"/>
    </row>
    <row r="59" spans="2:22" x14ac:dyDescent="0.2">
      <c r="B59" s="561" t="s">
        <v>21</v>
      </c>
      <c r="C59" s="562"/>
      <c r="D59" s="562"/>
      <c r="E59" s="563"/>
      <c r="F59" s="383">
        <f>F54+F56+F57</f>
        <v>2800</v>
      </c>
      <c r="G59" s="17"/>
      <c r="H59" s="17"/>
      <c r="I59" s="17"/>
      <c r="J59" s="17"/>
      <c r="K59" s="17"/>
      <c r="V59" s="17"/>
    </row>
    <row r="60" spans="2:22" ht="15" x14ac:dyDescent="0.25">
      <c r="B60" s="556" t="s">
        <v>392</v>
      </c>
      <c r="C60" s="557"/>
      <c r="D60" s="557"/>
      <c r="E60" s="558"/>
      <c r="F60" s="370">
        <f>F59*12</f>
        <v>33600</v>
      </c>
      <c r="G60" s="17"/>
      <c r="H60" s="17"/>
      <c r="I60" s="17"/>
      <c r="J60" s="17"/>
      <c r="K60" s="17"/>
      <c r="V60" s="17"/>
    </row>
    <row r="61" spans="2:22" ht="15.75" x14ac:dyDescent="0.2">
      <c r="B61" s="138" t="s">
        <v>89</v>
      </c>
      <c r="C61" s="122"/>
      <c r="D61" s="122"/>
      <c r="E61" s="122"/>
      <c r="F61" s="17"/>
      <c r="G61" s="17"/>
      <c r="H61" s="17"/>
      <c r="I61" s="17"/>
      <c r="J61" s="17"/>
      <c r="K61" s="17"/>
      <c r="V61" s="17"/>
    </row>
    <row r="62" spans="2:22" x14ac:dyDescent="0.2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2:22" ht="23.25" x14ac:dyDescent="0.35">
      <c r="B63" s="207" t="s">
        <v>256</v>
      </c>
      <c r="C63" s="121"/>
      <c r="D63" s="121"/>
      <c r="F63" s="248"/>
    </row>
    <row r="65" spans="2:9" x14ac:dyDescent="0.2">
      <c r="B65" s="486" t="s">
        <v>45</v>
      </c>
      <c r="C65" s="486"/>
      <c r="D65" s="486"/>
      <c r="E65" s="486"/>
      <c r="F65" s="486"/>
      <c r="G65" s="210"/>
      <c r="H65" s="210"/>
      <c r="I65" s="210"/>
    </row>
    <row r="66" spans="2:9" ht="14.25" customHeight="1" x14ac:dyDescent="0.2">
      <c r="B66" s="486" t="s">
        <v>243</v>
      </c>
      <c r="C66" s="486"/>
      <c r="D66" s="486"/>
      <c r="E66" s="486"/>
      <c r="F66" s="486"/>
      <c r="G66" s="210"/>
      <c r="H66" s="210"/>
      <c r="I66" s="210"/>
    </row>
    <row r="67" spans="2:9" ht="14.25" customHeight="1" x14ac:dyDescent="0.2">
      <c r="B67" s="535" t="s">
        <v>17</v>
      </c>
      <c r="C67" s="535"/>
      <c r="D67" s="535"/>
      <c r="E67" s="535"/>
      <c r="F67" s="535"/>
      <c r="G67" s="210"/>
      <c r="H67" s="210"/>
      <c r="I67" s="210"/>
    </row>
    <row r="68" spans="2:9" ht="36.75" customHeight="1" x14ac:dyDescent="0.2">
      <c r="B68" s="30" t="s">
        <v>18</v>
      </c>
      <c r="C68" s="30" t="s">
        <v>19</v>
      </c>
      <c r="D68" s="30" t="s">
        <v>80</v>
      </c>
      <c r="E68" s="30" t="s">
        <v>81</v>
      </c>
      <c r="F68" s="30" t="s">
        <v>82</v>
      </c>
      <c r="G68" s="210"/>
      <c r="H68" s="210"/>
      <c r="I68" s="210"/>
    </row>
    <row r="69" spans="2:9" x14ac:dyDescent="0.2">
      <c r="B69" s="204" t="s">
        <v>313</v>
      </c>
      <c r="C69" s="252">
        <v>1</v>
      </c>
      <c r="D69" s="209">
        <v>10</v>
      </c>
      <c r="E69" s="209">
        <f>D69*C69</f>
        <v>10</v>
      </c>
      <c r="F69" s="209">
        <f>E69*12</f>
        <v>120</v>
      </c>
      <c r="G69" s="210"/>
      <c r="H69" s="210"/>
      <c r="I69" s="210"/>
    </row>
    <row r="70" spans="2:9" x14ac:dyDescent="0.2">
      <c r="B70" s="204" t="s">
        <v>314</v>
      </c>
      <c r="C70" s="252">
        <v>2</v>
      </c>
      <c r="D70" s="209">
        <v>10</v>
      </c>
      <c r="E70" s="209">
        <f>D70*C70</f>
        <v>20</v>
      </c>
      <c r="F70" s="209">
        <f>E70</f>
        <v>20</v>
      </c>
    </row>
    <row r="71" spans="2:9" hidden="1" x14ac:dyDescent="0.2">
      <c r="B71" s="204"/>
      <c r="C71" s="204"/>
      <c r="D71" s="209"/>
      <c r="E71" s="209"/>
      <c r="F71" s="209"/>
    </row>
    <row r="72" spans="2:9" hidden="1" x14ac:dyDescent="0.2">
      <c r="B72" s="204"/>
      <c r="C72" s="204"/>
      <c r="D72" s="209"/>
      <c r="E72" s="209"/>
      <c r="F72" s="209"/>
    </row>
    <row r="73" spans="2:9" hidden="1" x14ac:dyDescent="0.2">
      <c r="B73" s="204"/>
      <c r="C73" s="204"/>
      <c r="D73" s="209"/>
      <c r="E73" s="209"/>
      <c r="F73" s="209"/>
    </row>
    <row r="74" spans="2:9" hidden="1" x14ac:dyDescent="0.2">
      <c r="B74" s="204"/>
      <c r="C74" s="204"/>
      <c r="D74" s="209"/>
      <c r="E74" s="209"/>
      <c r="F74" s="209"/>
    </row>
    <row r="75" spans="2:9" x14ac:dyDescent="0.2">
      <c r="B75" s="204"/>
      <c r="C75" s="204"/>
      <c r="D75" s="209"/>
      <c r="E75" s="209"/>
      <c r="F75" s="209"/>
    </row>
    <row r="76" spans="2:9" ht="15" x14ac:dyDescent="0.25">
      <c r="B76" s="213" t="s">
        <v>23</v>
      </c>
      <c r="C76" s="213"/>
      <c r="D76" s="214">
        <f>SUM(D69:D75)</f>
        <v>20</v>
      </c>
      <c r="E76" s="214">
        <f>SUM(E69:E75)</f>
        <v>30</v>
      </c>
      <c r="F76" s="214">
        <f>SUM(F69:F75)</f>
        <v>140</v>
      </c>
    </row>
    <row r="77" spans="2:9" x14ac:dyDescent="0.2">
      <c r="B77" s="509" t="s">
        <v>24</v>
      </c>
      <c r="C77" s="509"/>
    </row>
    <row r="80" spans="2:9" ht="23.25" x14ac:dyDescent="0.35">
      <c r="B80" s="207" t="s">
        <v>241</v>
      </c>
      <c r="C80" s="121"/>
      <c r="D80" s="121"/>
      <c r="E80" s="121"/>
      <c r="F80" s="121"/>
      <c r="G80" s="121"/>
      <c r="H80" s="121"/>
    </row>
    <row r="81" spans="2:9" ht="15" x14ac:dyDescent="0.2">
      <c r="B81" s="121"/>
      <c r="C81" s="121"/>
      <c r="D81" s="121"/>
      <c r="E81" s="121"/>
      <c r="F81" s="121"/>
      <c r="G81" s="121"/>
      <c r="H81" s="121"/>
    </row>
    <row r="82" spans="2:9" x14ac:dyDescent="0.2">
      <c r="B82" s="486" t="s">
        <v>45</v>
      </c>
      <c r="C82" s="486"/>
      <c r="D82" s="486"/>
      <c r="E82" s="486"/>
      <c r="F82" s="486"/>
      <c r="G82" s="486"/>
      <c r="H82" s="486"/>
      <c r="I82" s="210"/>
    </row>
    <row r="83" spans="2:9" x14ac:dyDescent="0.2">
      <c r="B83" s="486" t="s">
        <v>242</v>
      </c>
      <c r="C83" s="486"/>
      <c r="D83" s="486"/>
      <c r="E83" s="486"/>
      <c r="F83" s="486"/>
      <c r="G83" s="486"/>
      <c r="H83" s="486"/>
      <c r="I83" s="210"/>
    </row>
    <row r="84" spans="2:9" x14ac:dyDescent="0.2">
      <c r="B84" s="535" t="s">
        <v>17</v>
      </c>
      <c r="C84" s="535"/>
      <c r="D84" s="535"/>
      <c r="E84" s="535"/>
      <c r="F84" s="535"/>
      <c r="G84" s="535"/>
      <c r="H84" s="535"/>
    </row>
    <row r="85" spans="2:9" ht="15.75" x14ac:dyDescent="0.2">
      <c r="B85" s="539" t="s">
        <v>18</v>
      </c>
      <c r="C85" s="539" t="s">
        <v>19</v>
      </c>
      <c r="D85" s="538" t="s">
        <v>237</v>
      </c>
      <c r="E85" s="538"/>
      <c r="F85" s="538"/>
      <c r="G85" s="536" t="s">
        <v>240</v>
      </c>
      <c r="H85" s="536" t="s">
        <v>82</v>
      </c>
    </row>
    <row r="86" spans="2:9" ht="30" x14ac:dyDescent="0.2">
      <c r="B86" s="540"/>
      <c r="C86" s="540"/>
      <c r="D86" s="189" t="s">
        <v>238</v>
      </c>
      <c r="E86" s="189" t="s">
        <v>239</v>
      </c>
      <c r="F86" s="189" t="s">
        <v>80</v>
      </c>
      <c r="G86" s="537"/>
      <c r="H86" s="537"/>
    </row>
    <row r="87" spans="2:9" x14ac:dyDescent="0.2">
      <c r="B87" s="330" t="str">
        <f>'INVERSIÓN Y FINANCIAMIENTO'!B8</f>
        <v>Muebles y enseres</v>
      </c>
      <c r="C87" s="118">
        <v>1</v>
      </c>
      <c r="D87" s="118" t="s">
        <v>315</v>
      </c>
      <c r="E87" s="118"/>
      <c r="F87" s="253">
        <v>25</v>
      </c>
      <c r="G87" s="215">
        <f>F87</f>
        <v>25</v>
      </c>
      <c r="H87" s="215">
        <f>G87*3</f>
        <v>75</v>
      </c>
    </row>
    <row r="88" spans="2:9" x14ac:dyDescent="0.2">
      <c r="B88" s="330" t="str">
        <f>'INVERSIÓN Y FINANCIAMIENTO'!B9</f>
        <v>Maquinaria en general</v>
      </c>
      <c r="C88" s="118">
        <v>1</v>
      </c>
      <c r="D88" s="118" t="s">
        <v>315</v>
      </c>
      <c r="E88" s="118"/>
      <c r="F88" s="253">
        <v>200</v>
      </c>
      <c r="G88" s="215">
        <f>F88</f>
        <v>200</v>
      </c>
      <c r="H88" s="215">
        <f t="shared" ref="H88:H91" si="19">G88*3</f>
        <v>600</v>
      </c>
    </row>
    <row r="89" spans="2:9" x14ac:dyDescent="0.2">
      <c r="B89" s="330" t="str">
        <f>'INVERSIÓN Y FINANCIAMIENTO'!B10</f>
        <v>Herramientas en general</v>
      </c>
      <c r="C89" s="118">
        <v>1</v>
      </c>
      <c r="D89" s="118" t="s">
        <v>315</v>
      </c>
      <c r="E89" s="118" t="s">
        <v>315</v>
      </c>
      <c r="F89" s="253">
        <v>50</v>
      </c>
      <c r="G89" s="215">
        <f>F89</f>
        <v>50</v>
      </c>
      <c r="H89" s="215">
        <f t="shared" si="19"/>
        <v>150</v>
      </c>
    </row>
    <row r="90" spans="2:9" x14ac:dyDescent="0.2">
      <c r="B90" s="330" t="str">
        <f>'INVERSIÓN Y FINANCIAMIENTO'!B11</f>
        <v>Equipo de computación</v>
      </c>
      <c r="C90" s="118">
        <v>1</v>
      </c>
      <c r="D90" s="118" t="s">
        <v>315</v>
      </c>
      <c r="E90" s="118"/>
      <c r="F90" s="253">
        <v>50</v>
      </c>
      <c r="G90" s="215">
        <v>50</v>
      </c>
      <c r="H90" s="215">
        <f t="shared" si="19"/>
        <v>150</v>
      </c>
    </row>
    <row r="91" spans="2:9" x14ac:dyDescent="0.2">
      <c r="B91" s="330" t="str">
        <f>'INVERSIÓN Y FINANCIAMIENTO'!B12</f>
        <v>Equipo de seguridad</v>
      </c>
      <c r="C91" s="118">
        <v>1</v>
      </c>
      <c r="D91" s="118" t="s">
        <v>315</v>
      </c>
      <c r="E91" s="118"/>
      <c r="F91" s="253">
        <v>50</v>
      </c>
      <c r="G91" s="215">
        <f>F91</f>
        <v>50</v>
      </c>
      <c r="H91" s="215">
        <f t="shared" si="19"/>
        <v>150</v>
      </c>
    </row>
    <row r="92" spans="2:9" hidden="1" x14ac:dyDescent="0.2">
      <c r="B92" s="118"/>
      <c r="C92" s="118"/>
      <c r="D92" s="118"/>
      <c r="E92" s="118"/>
      <c r="F92" s="253"/>
      <c r="G92" s="215"/>
      <c r="H92" s="215"/>
    </row>
    <row r="93" spans="2:9" x14ac:dyDescent="0.2">
      <c r="B93" s="118"/>
      <c r="C93" s="118"/>
      <c r="D93" s="118"/>
      <c r="E93" s="118"/>
      <c r="F93" s="253"/>
      <c r="G93" s="215"/>
      <c r="H93" s="215"/>
    </row>
    <row r="94" spans="2:9" hidden="1" x14ac:dyDescent="0.2">
      <c r="B94" s="118"/>
      <c r="C94" s="118"/>
      <c r="D94" s="118"/>
      <c r="E94" s="118"/>
      <c r="F94" s="118"/>
      <c r="G94" s="215"/>
      <c r="H94" s="215"/>
    </row>
    <row r="95" spans="2:9" hidden="1" x14ac:dyDescent="0.2">
      <c r="B95" s="118"/>
      <c r="C95" s="118"/>
      <c r="D95" s="118"/>
      <c r="E95" s="118"/>
      <c r="F95" s="118"/>
      <c r="G95" s="215"/>
      <c r="H95" s="215"/>
    </row>
    <row r="96" spans="2:9" hidden="1" x14ac:dyDescent="0.2">
      <c r="B96" s="118"/>
      <c r="C96" s="118"/>
      <c r="D96" s="118"/>
      <c r="E96" s="118"/>
      <c r="F96" s="118"/>
      <c r="G96" s="215"/>
      <c r="H96" s="215"/>
    </row>
    <row r="97" spans="2:9" hidden="1" x14ac:dyDescent="0.2">
      <c r="B97" s="118"/>
      <c r="C97" s="118"/>
      <c r="D97" s="118"/>
      <c r="E97" s="118"/>
      <c r="F97" s="118"/>
      <c r="G97" s="215"/>
      <c r="H97" s="215"/>
    </row>
    <row r="98" spans="2:9" ht="15" x14ac:dyDescent="0.2">
      <c r="B98" s="211" t="s">
        <v>23</v>
      </c>
      <c r="C98" s="212"/>
      <c r="D98" s="212"/>
      <c r="E98" s="212"/>
      <c r="F98" s="216">
        <f t="shared" ref="F98:G98" si="20">SUM(F87:F97)</f>
        <v>375</v>
      </c>
      <c r="G98" s="216">
        <f t="shared" si="20"/>
        <v>375</v>
      </c>
      <c r="H98" s="285">
        <f>SUM(H87:H97)</f>
        <v>1125</v>
      </c>
    </row>
    <row r="99" spans="2:9" x14ac:dyDescent="0.2">
      <c r="B99" s="509" t="s">
        <v>24</v>
      </c>
      <c r="C99" s="509"/>
    </row>
    <row r="102" spans="2:9" ht="23.25" x14ac:dyDescent="0.35">
      <c r="B102" s="207" t="s">
        <v>257</v>
      </c>
    </row>
    <row r="104" spans="2:9" x14ac:dyDescent="0.2">
      <c r="B104" s="486" t="s">
        <v>45</v>
      </c>
      <c r="C104" s="486"/>
      <c r="D104" s="486"/>
      <c r="E104" s="486"/>
      <c r="F104" s="486"/>
      <c r="G104" s="486"/>
      <c r="H104" s="486"/>
      <c r="I104" s="486"/>
    </row>
    <row r="105" spans="2:9" x14ac:dyDescent="0.2">
      <c r="B105" s="486" t="s">
        <v>90</v>
      </c>
      <c r="C105" s="486"/>
      <c r="D105" s="486"/>
      <c r="E105" s="486"/>
      <c r="F105" s="486"/>
      <c r="G105" s="486"/>
      <c r="H105" s="486"/>
      <c r="I105" s="486"/>
    </row>
    <row r="106" spans="2:9" ht="23.25" customHeight="1" x14ac:dyDescent="0.2">
      <c r="B106" s="535" t="s">
        <v>17</v>
      </c>
      <c r="C106" s="535"/>
      <c r="D106" s="535"/>
      <c r="E106" s="535"/>
      <c r="F106" s="535"/>
      <c r="G106" s="535"/>
      <c r="H106" s="535"/>
      <c r="I106" s="535"/>
    </row>
    <row r="107" spans="2:9" ht="37.5" customHeight="1" x14ac:dyDescent="0.2">
      <c r="B107" s="564" t="s">
        <v>18</v>
      </c>
      <c r="C107" s="565"/>
      <c r="D107" s="296" t="s">
        <v>81</v>
      </c>
      <c r="E107" s="347" t="s">
        <v>360</v>
      </c>
      <c r="F107" s="296" t="s">
        <v>62</v>
      </c>
      <c r="G107" s="296" t="s">
        <v>80</v>
      </c>
      <c r="H107" s="296" t="s">
        <v>81</v>
      </c>
      <c r="I107" s="296" t="s">
        <v>82</v>
      </c>
    </row>
    <row r="108" spans="2:9" ht="14.25" customHeight="1" x14ac:dyDescent="0.2">
      <c r="B108" s="566" t="s">
        <v>354</v>
      </c>
      <c r="C108" s="331" t="s">
        <v>91</v>
      </c>
      <c r="D108" s="209">
        <f>'CAPITAL DE TRABAJO'!G38</f>
        <v>141.12</v>
      </c>
      <c r="E108" s="386">
        <f>'CAPITAL DE TRABAJO'!C38</f>
        <v>0.8</v>
      </c>
      <c r="F108" s="570" t="s">
        <v>358</v>
      </c>
      <c r="G108" s="95">
        <f>'CAPITAL DE TRABAJO'!F38</f>
        <v>0.84</v>
      </c>
      <c r="H108" s="95">
        <f>'CAPITAL DE TRABAJO'!G38</f>
        <v>141.12</v>
      </c>
      <c r="I108" s="209">
        <f>H108*12</f>
        <v>1693.44</v>
      </c>
    </row>
    <row r="109" spans="2:9" s="250" customFormat="1" ht="15" customHeight="1" x14ac:dyDescent="0.2">
      <c r="B109" s="566"/>
      <c r="C109" s="331" t="s">
        <v>92</v>
      </c>
      <c r="D109" s="209">
        <f>'CAPITAL DE TRABAJO'!G49</f>
        <v>17.64</v>
      </c>
      <c r="E109" s="386">
        <f>'CAPITAL DE TRABAJO'!C49</f>
        <v>0.1</v>
      </c>
      <c r="F109" s="571"/>
      <c r="G109" s="95">
        <f>'CAPITAL DE TRABAJO'!F49</f>
        <v>0.84</v>
      </c>
      <c r="H109" s="95">
        <f>'CAPITAL DE TRABAJO'!G49</f>
        <v>17.64</v>
      </c>
      <c r="I109" s="209">
        <f t="shared" ref="I109:I116" si="21">H109*12</f>
        <v>211.68</v>
      </c>
    </row>
    <row r="110" spans="2:9" ht="15" thickBot="1" x14ac:dyDescent="0.25">
      <c r="B110" s="567"/>
      <c r="C110" s="390" t="s">
        <v>355</v>
      </c>
      <c r="D110" s="391">
        <f>'CAPITAL DE TRABAJO'!G60</f>
        <v>17.64</v>
      </c>
      <c r="E110" s="392">
        <f>'CAPITAL DE TRABAJO'!C60</f>
        <v>0.1</v>
      </c>
      <c r="F110" s="572"/>
      <c r="G110" s="398">
        <f>'CAPITAL DE TRABAJO'!F60</f>
        <v>0.84</v>
      </c>
      <c r="H110" s="398">
        <f>'CAPITAL DE TRABAJO'!G60</f>
        <v>17.64</v>
      </c>
      <c r="I110" s="391">
        <f>H110*12</f>
        <v>211.68</v>
      </c>
    </row>
    <row r="111" spans="2:9" x14ac:dyDescent="0.2">
      <c r="B111" s="568" t="s">
        <v>356</v>
      </c>
      <c r="C111" s="394" t="s">
        <v>91</v>
      </c>
      <c r="D111" s="395">
        <f>'CAPITAL DE TRABAJO'!G39</f>
        <v>54</v>
      </c>
      <c r="E111" s="396">
        <f>'CAPITAL DE TRABAJO'!C39</f>
        <v>0.9</v>
      </c>
      <c r="F111" s="573" t="s">
        <v>359</v>
      </c>
      <c r="G111" s="397">
        <f>'CAPITAL DE TRABAJO'!F39</f>
        <v>10</v>
      </c>
      <c r="H111" s="397">
        <f>'CAPITAL DE TRABAJO'!G39</f>
        <v>54</v>
      </c>
      <c r="I111" s="388">
        <f t="shared" si="21"/>
        <v>648</v>
      </c>
    </row>
    <row r="112" spans="2:9" x14ac:dyDescent="0.2">
      <c r="B112" s="566"/>
      <c r="C112" s="331" t="s">
        <v>92</v>
      </c>
      <c r="D112" s="209">
        <f>'CAPITAL DE TRABAJO'!G50</f>
        <v>6.0000000000000009</v>
      </c>
      <c r="E112" s="386">
        <f>'CAPITAL DE TRABAJO'!C50</f>
        <v>0.1</v>
      </c>
      <c r="F112" s="571"/>
      <c r="G112" s="95">
        <f>'CAPITAL DE TRABAJO'!F50</f>
        <v>10</v>
      </c>
      <c r="H112" s="95">
        <f>'CAPITAL DE TRABAJO'!G50</f>
        <v>6.0000000000000009</v>
      </c>
      <c r="I112" s="209">
        <f t="shared" si="21"/>
        <v>72.000000000000014</v>
      </c>
    </row>
    <row r="113" spans="2:21" ht="15" thickBot="1" x14ac:dyDescent="0.25">
      <c r="B113" s="567"/>
      <c r="C113" s="390" t="s">
        <v>355</v>
      </c>
      <c r="D113" s="391">
        <f>'CAPITAL DE TRABAJO'!G61</f>
        <v>0</v>
      </c>
      <c r="E113" s="392">
        <f>'CAPITAL DE TRABAJO'!C61</f>
        <v>0</v>
      </c>
      <c r="F113" s="572"/>
      <c r="G113" s="399">
        <f>'CAPITAL DE TRABAJO'!F61</f>
        <v>10</v>
      </c>
      <c r="H113" s="399">
        <f>'CAPITAL DE TRABAJO'!G61</f>
        <v>0</v>
      </c>
      <c r="I113" s="400">
        <f t="shared" si="21"/>
        <v>0</v>
      </c>
    </row>
    <row r="114" spans="2:21" x14ac:dyDescent="0.2">
      <c r="B114" s="569" t="s">
        <v>357</v>
      </c>
      <c r="C114" s="387" t="s">
        <v>91</v>
      </c>
      <c r="D114" s="393">
        <f>'CAPITAL DE TRABAJO'!G40</f>
        <v>15.36</v>
      </c>
      <c r="E114" s="389">
        <f>'CAPITAL DE TRABAJO'!C40</f>
        <v>0.8</v>
      </c>
      <c r="F114" s="571" t="s">
        <v>359</v>
      </c>
      <c r="G114" s="397">
        <f>'CAPITAL DE TRABAJO'!F40</f>
        <v>2.4</v>
      </c>
      <c r="H114" s="397">
        <f>'CAPITAL DE TRABAJO'!G40</f>
        <v>15.36</v>
      </c>
      <c r="I114" s="388">
        <f t="shared" si="21"/>
        <v>184.32</v>
      </c>
    </row>
    <row r="115" spans="2:21" x14ac:dyDescent="0.2">
      <c r="B115" s="566"/>
      <c r="C115" s="331" t="s">
        <v>92</v>
      </c>
      <c r="D115" s="346">
        <f>'CAPITAL DE TRABAJO'!G51</f>
        <v>1.92</v>
      </c>
      <c r="E115" s="386">
        <f>'CAPITAL DE TRABAJO'!C51</f>
        <v>0.1</v>
      </c>
      <c r="F115" s="571"/>
      <c r="G115" s="95">
        <f>'CAPITAL DE TRABAJO'!F51</f>
        <v>2.4</v>
      </c>
      <c r="H115" s="95">
        <f>'CAPITAL DE TRABAJO'!G51</f>
        <v>1.92</v>
      </c>
      <c r="I115" s="209">
        <f t="shared" si="21"/>
        <v>23.04</v>
      </c>
    </row>
    <row r="116" spans="2:21" x14ac:dyDescent="0.2">
      <c r="B116" s="566"/>
      <c r="C116" s="331" t="s">
        <v>355</v>
      </c>
      <c r="D116" s="346">
        <f>'CAPITAL DE TRABAJO'!G62</f>
        <v>1.92</v>
      </c>
      <c r="E116" s="386">
        <f>'CAPITAL DE TRABAJO'!C62</f>
        <v>0.1</v>
      </c>
      <c r="F116" s="569"/>
      <c r="G116" s="95">
        <f>'CAPITAL DE TRABAJO'!F62</f>
        <v>2.4</v>
      </c>
      <c r="H116" s="95">
        <f>'CAPITAL DE TRABAJO'!G62</f>
        <v>1.92</v>
      </c>
      <c r="I116" s="209">
        <f t="shared" si="21"/>
        <v>23.04</v>
      </c>
    </row>
    <row r="117" spans="2:21" ht="15" customHeight="1" x14ac:dyDescent="0.25">
      <c r="D117" s="276"/>
      <c r="E117" s="276"/>
      <c r="G117" s="554" t="s">
        <v>394</v>
      </c>
      <c r="H117" s="555"/>
      <c r="I117" s="220">
        <f>SUM(I108:I116)</f>
        <v>3067.2000000000003</v>
      </c>
    </row>
    <row r="118" spans="2:21" x14ac:dyDescent="0.2">
      <c r="B118" s="509" t="s">
        <v>24</v>
      </c>
      <c r="C118" s="509"/>
      <c r="D118" s="260"/>
      <c r="E118" s="260"/>
      <c r="F118" s="260"/>
      <c r="G118" s="260"/>
    </row>
    <row r="119" spans="2:21" x14ac:dyDescent="0.2">
      <c r="I119" s="345"/>
      <c r="J119" s="277"/>
      <c r="K119" s="277"/>
      <c r="L119" s="277"/>
      <c r="M119" s="277"/>
      <c r="N119" s="277"/>
      <c r="O119" s="277"/>
      <c r="P119" s="277"/>
      <c r="Q119" s="277"/>
      <c r="R119" s="277"/>
      <c r="S119" s="277"/>
      <c r="T119" s="277"/>
      <c r="U119" s="277"/>
    </row>
    <row r="120" spans="2:21" x14ac:dyDescent="0.2">
      <c r="I120" s="345"/>
      <c r="J120" s="332"/>
      <c r="K120" s="332"/>
      <c r="L120" s="332"/>
      <c r="M120" s="332"/>
      <c r="N120" s="332"/>
      <c r="O120" s="332"/>
      <c r="P120" s="332"/>
      <c r="Q120" s="332"/>
      <c r="R120" s="332"/>
      <c r="S120" s="332"/>
      <c r="T120" s="332"/>
      <c r="U120" s="332"/>
    </row>
    <row r="121" spans="2:21" ht="23.25" x14ac:dyDescent="0.35">
      <c r="B121" s="207" t="s">
        <v>258</v>
      </c>
      <c r="I121" s="333"/>
      <c r="J121" s="334"/>
      <c r="K121" s="334"/>
      <c r="L121" s="335"/>
      <c r="M121" s="336"/>
      <c r="N121" s="334"/>
      <c r="O121" s="334"/>
      <c r="P121" s="335"/>
      <c r="Q121" s="337"/>
      <c r="R121" s="334"/>
      <c r="S121" s="334"/>
      <c r="T121" s="335"/>
      <c r="U121" s="337"/>
    </row>
    <row r="122" spans="2:21" x14ac:dyDescent="0.2">
      <c r="I122" s="338"/>
      <c r="J122" s="338"/>
      <c r="K122" s="339"/>
      <c r="L122" s="338"/>
      <c r="M122" s="340"/>
      <c r="N122" s="338"/>
      <c r="O122" s="339"/>
      <c r="P122" s="338"/>
      <c r="Q122" s="341"/>
      <c r="R122" s="338"/>
      <c r="S122" s="339"/>
      <c r="T122" s="338"/>
      <c r="U122" s="341"/>
    </row>
    <row r="123" spans="2:21" x14ac:dyDescent="0.2">
      <c r="B123" s="486" t="s">
        <v>45</v>
      </c>
      <c r="C123" s="486"/>
      <c r="D123" s="486"/>
      <c r="E123" s="486"/>
      <c r="F123" s="486"/>
      <c r="G123" s="486"/>
      <c r="H123" s="76"/>
      <c r="I123" s="338"/>
      <c r="J123" s="338"/>
      <c r="K123" s="339"/>
      <c r="L123" s="338"/>
      <c r="M123" s="340"/>
      <c r="N123" s="338"/>
      <c r="O123" s="339"/>
      <c r="P123" s="338"/>
      <c r="Q123" s="341"/>
      <c r="R123" s="338"/>
      <c r="S123" s="339"/>
      <c r="T123" s="338"/>
      <c r="U123" s="341"/>
    </row>
    <row r="124" spans="2:21" x14ac:dyDescent="0.2">
      <c r="B124" s="486" t="s">
        <v>248</v>
      </c>
      <c r="C124" s="486"/>
      <c r="D124" s="486"/>
      <c r="E124" s="486"/>
      <c r="F124" s="486"/>
      <c r="G124" s="486"/>
      <c r="I124" s="342"/>
      <c r="J124" s="343"/>
      <c r="K124" s="343"/>
      <c r="L124" s="343"/>
      <c r="M124" s="344"/>
      <c r="N124" s="343"/>
      <c r="O124" s="344"/>
      <c r="P124" s="344"/>
      <c r="Q124" s="344"/>
      <c r="R124" s="343"/>
      <c r="S124" s="344"/>
      <c r="T124" s="344"/>
      <c r="U124" s="344"/>
    </row>
    <row r="125" spans="2:21" x14ac:dyDescent="0.2">
      <c r="B125" s="535" t="s">
        <v>17</v>
      </c>
      <c r="C125" s="535"/>
      <c r="D125" s="535"/>
      <c r="E125" s="535"/>
      <c r="F125" s="535"/>
      <c r="G125" s="535"/>
      <c r="I125" s="342"/>
      <c r="J125" s="344"/>
      <c r="K125" s="343"/>
      <c r="L125" s="343"/>
      <c r="M125" s="344"/>
      <c r="N125" s="343"/>
      <c r="O125" s="344"/>
      <c r="P125" s="344"/>
      <c r="Q125" s="344"/>
      <c r="R125" s="344"/>
      <c r="S125" s="344"/>
      <c r="T125" s="344"/>
      <c r="U125" s="344"/>
    </row>
    <row r="126" spans="2:21" ht="22.5" x14ac:dyDescent="0.2">
      <c r="B126" s="30" t="s">
        <v>244</v>
      </c>
      <c r="C126" s="30" t="s">
        <v>245</v>
      </c>
      <c r="D126" s="97" t="s">
        <v>246</v>
      </c>
      <c r="E126" s="100" t="s">
        <v>247</v>
      </c>
      <c r="F126" s="30" t="s">
        <v>81</v>
      </c>
      <c r="G126" s="189" t="s">
        <v>82</v>
      </c>
    </row>
    <row r="127" spans="2:21" x14ac:dyDescent="0.2">
      <c r="B127" s="204" t="s">
        <v>22</v>
      </c>
      <c r="C127" s="209">
        <v>600</v>
      </c>
      <c r="D127" s="209">
        <v>300</v>
      </c>
      <c r="E127" s="209">
        <v>100</v>
      </c>
      <c r="F127" s="209">
        <f>SUM(C127:E127)</f>
        <v>1000</v>
      </c>
      <c r="G127" s="209">
        <f>F127*12</f>
        <v>12000</v>
      </c>
    </row>
    <row r="128" spans="2:21" x14ac:dyDescent="0.2">
      <c r="B128" s="204"/>
      <c r="C128" s="209"/>
      <c r="D128" s="209"/>
      <c r="E128" s="209"/>
      <c r="F128" s="209"/>
      <c r="G128" s="209"/>
    </row>
    <row r="129" spans="2:7" ht="15" x14ac:dyDescent="0.25">
      <c r="B129" s="218" t="s">
        <v>23</v>
      </c>
      <c r="C129" s="222">
        <f>SUM(C127:C128)</f>
        <v>600</v>
      </c>
      <c r="D129" s="222">
        <f t="shared" ref="D129:G129" si="22">SUM(D127:D128)</f>
        <v>300</v>
      </c>
      <c r="E129" s="222">
        <f t="shared" si="22"/>
        <v>100</v>
      </c>
      <c r="F129" s="222">
        <f t="shared" si="22"/>
        <v>1000</v>
      </c>
      <c r="G129" s="220">
        <f t="shared" si="22"/>
        <v>12000</v>
      </c>
    </row>
    <row r="130" spans="2:7" x14ac:dyDescent="0.2">
      <c r="B130" s="509" t="s">
        <v>24</v>
      </c>
      <c r="C130" s="509"/>
    </row>
    <row r="133" spans="2:7" ht="23.25" x14ac:dyDescent="0.35">
      <c r="B133" s="207" t="s">
        <v>259</v>
      </c>
    </row>
    <row r="135" spans="2:7" x14ac:dyDescent="0.2">
      <c r="B135" s="486" t="s">
        <v>45</v>
      </c>
      <c r="C135" s="486"/>
      <c r="D135" s="486"/>
      <c r="E135" s="486"/>
      <c r="F135" s="486"/>
      <c r="G135" s="486"/>
    </row>
    <row r="136" spans="2:7" x14ac:dyDescent="0.2">
      <c r="B136" s="486" t="s">
        <v>249</v>
      </c>
      <c r="C136" s="486"/>
      <c r="D136" s="486"/>
      <c r="E136" s="486"/>
      <c r="F136" s="486"/>
      <c r="G136" s="486"/>
    </row>
    <row r="137" spans="2:7" x14ac:dyDescent="0.2">
      <c r="B137" s="535" t="s">
        <v>17</v>
      </c>
      <c r="C137" s="535"/>
      <c r="D137" s="535"/>
      <c r="E137" s="535"/>
      <c r="F137" s="535"/>
      <c r="G137" s="535"/>
    </row>
    <row r="138" spans="2:7" ht="30" x14ac:dyDescent="0.2">
      <c r="B138" s="189" t="s">
        <v>250</v>
      </c>
      <c r="C138" s="189" t="s">
        <v>251</v>
      </c>
      <c r="D138" s="189" t="s">
        <v>252</v>
      </c>
      <c r="E138" s="189" t="s">
        <v>253</v>
      </c>
      <c r="F138" s="189" t="s">
        <v>254</v>
      </c>
      <c r="G138" s="189" t="s">
        <v>255</v>
      </c>
    </row>
    <row r="139" spans="2:7" ht="15" x14ac:dyDescent="0.2">
      <c r="B139" s="401" t="str">
        <f>'INVERSIÓN Y FINANCIAMIENTO'!B8</f>
        <v>Muebles y enseres</v>
      </c>
      <c r="C139" s="402">
        <f>'INVERSIÓN Y FINANCIAMIENTO'!C8</f>
        <v>5470</v>
      </c>
      <c r="D139" s="118">
        <v>10</v>
      </c>
      <c r="E139" s="209">
        <f>C139/D139</f>
        <v>547</v>
      </c>
      <c r="F139" s="209">
        <f>E139*5</f>
        <v>2735</v>
      </c>
      <c r="G139" s="209">
        <f>C139-(E139*5)-F139</f>
        <v>0</v>
      </c>
    </row>
    <row r="140" spans="2:7" ht="15" x14ac:dyDescent="0.2">
      <c r="B140" s="401" t="str">
        <f>'INVERSIÓN Y FINANCIAMIENTO'!B9</f>
        <v>Maquinaria en general</v>
      </c>
      <c r="C140" s="402">
        <f>'INVERSIÓN Y FINANCIAMIENTO'!C9</f>
        <v>12260</v>
      </c>
      <c r="D140" s="118">
        <v>8</v>
      </c>
      <c r="E140" s="209">
        <f t="shared" ref="E140:E143" si="23">C140/D140</f>
        <v>1532.5</v>
      </c>
      <c r="F140" s="209">
        <f>E140*3</f>
        <v>4597.5</v>
      </c>
      <c r="G140" s="209">
        <f t="shared" ref="G140:G143" si="24">C140-(E140*5)-F140</f>
        <v>0</v>
      </c>
    </row>
    <row r="141" spans="2:7" ht="15" x14ac:dyDescent="0.2">
      <c r="B141" s="401" t="str">
        <f>'INVERSIÓN Y FINANCIAMIENTO'!B10</f>
        <v>Herramientas en general</v>
      </c>
      <c r="C141" s="402">
        <f>'INVERSIÓN Y FINANCIAMIENTO'!C10</f>
        <v>256</v>
      </c>
      <c r="D141" s="118">
        <v>8</v>
      </c>
      <c r="E141" s="209">
        <f t="shared" si="23"/>
        <v>32</v>
      </c>
      <c r="F141" s="209">
        <f>E141*3</f>
        <v>96</v>
      </c>
      <c r="G141" s="209">
        <f t="shared" si="24"/>
        <v>0</v>
      </c>
    </row>
    <row r="142" spans="2:7" ht="15" x14ac:dyDescent="0.2">
      <c r="B142" s="401" t="str">
        <f>'INVERSIÓN Y FINANCIAMIENTO'!B11</f>
        <v>Equipo de computación</v>
      </c>
      <c r="C142" s="402">
        <f>'INVERSIÓN Y FINANCIAMIENTO'!C11</f>
        <v>1700</v>
      </c>
      <c r="D142" s="118">
        <v>4</v>
      </c>
      <c r="E142" s="209">
        <f>C142/D142</f>
        <v>425</v>
      </c>
      <c r="F142" s="209">
        <v>0</v>
      </c>
      <c r="G142" s="209">
        <v>150</v>
      </c>
    </row>
    <row r="143" spans="2:7" ht="15" x14ac:dyDescent="0.2">
      <c r="B143" s="401" t="str">
        <f>'INVERSIÓN Y FINANCIAMIENTO'!B12</f>
        <v>Equipo de seguridad</v>
      </c>
      <c r="C143" s="402">
        <f>'INVERSIÓN Y FINANCIAMIENTO'!C12</f>
        <v>820</v>
      </c>
      <c r="D143" s="118">
        <v>5</v>
      </c>
      <c r="E143" s="209">
        <f t="shared" si="23"/>
        <v>164</v>
      </c>
      <c r="F143" s="209">
        <f>E143*0</f>
        <v>0</v>
      </c>
      <c r="G143" s="209">
        <f t="shared" si="24"/>
        <v>0</v>
      </c>
    </row>
    <row r="144" spans="2:7" x14ac:dyDescent="0.2">
      <c r="B144" s="204"/>
      <c r="C144" s="209"/>
      <c r="D144" s="204"/>
      <c r="E144" s="209"/>
      <c r="F144" s="209"/>
      <c r="G144" s="209"/>
    </row>
    <row r="145" spans="2:8" ht="15" x14ac:dyDescent="0.25">
      <c r="B145" s="218" t="s">
        <v>21</v>
      </c>
      <c r="C145" s="220">
        <f>SUM(C139:C143)</f>
        <v>20506</v>
      </c>
      <c r="D145" s="218"/>
      <c r="E145" s="220">
        <f>SUM(E139:E144)</f>
        <v>2700.5</v>
      </c>
      <c r="F145" s="220">
        <f t="shared" ref="F145:G145" si="25">SUM(F139:F143)</f>
        <v>7428.5</v>
      </c>
      <c r="G145" s="220">
        <f t="shared" si="25"/>
        <v>150</v>
      </c>
    </row>
    <row r="146" spans="2:8" x14ac:dyDescent="0.2">
      <c r="B146" s="509" t="s">
        <v>24</v>
      </c>
      <c r="C146" s="509"/>
    </row>
    <row r="149" spans="2:8" ht="23.25" x14ac:dyDescent="0.35">
      <c r="B149" s="207" t="s">
        <v>260</v>
      </c>
    </row>
    <row r="151" spans="2:8" x14ac:dyDescent="0.2">
      <c r="B151" s="486" t="s">
        <v>45</v>
      </c>
      <c r="C151" s="486"/>
      <c r="D151" s="486"/>
      <c r="E151" s="486"/>
      <c r="F151" s="210"/>
      <c r="G151" s="210"/>
      <c r="H151" s="210"/>
    </row>
    <row r="152" spans="2:8" x14ac:dyDescent="0.2">
      <c r="B152" s="486" t="s">
        <v>266</v>
      </c>
      <c r="C152" s="486"/>
      <c r="D152" s="486"/>
      <c r="E152" s="486"/>
      <c r="F152" s="210"/>
      <c r="G152" s="210"/>
      <c r="H152" s="210"/>
    </row>
    <row r="153" spans="2:8" x14ac:dyDescent="0.2">
      <c r="B153" s="535" t="s">
        <v>17</v>
      </c>
      <c r="C153" s="535"/>
      <c r="D153" s="535"/>
      <c r="E153" s="535"/>
    </row>
    <row r="154" spans="2:8" ht="44.25" customHeight="1" x14ac:dyDescent="0.2">
      <c r="B154" s="30" t="s">
        <v>18</v>
      </c>
      <c r="C154" s="30" t="s">
        <v>261</v>
      </c>
      <c r="D154" s="30" t="s">
        <v>262</v>
      </c>
      <c r="E154" s="30" t="s">
        <v>263</v>
      </c>
    </row>
    <row r="155" spans="2:8" x14ac:dyDescent="0.2">
      <c r="B155" s="204" t="s">
        <v>264</v>
      </c>
      <c r="C155" s="209">
        <f>'COSTOS DIFERIDOS'!G22</f>
        <v>2098</v>
      </c>
      <c r="D155" s="204">
        <v>4</v>
      </c>
      <c r="E155" s="205">
        <f>C155/D155</f>
        <v>524.5</v>
      </c>
    </row>
    <row r="156" spans="2:8" x14ac:dyDescent="0.2">
      <c r="B156" s="204"/>
      <c r="C156" s="205"/>
      <c r="D156" s="204"/>
      <c r="E156" s="205"/>
    </row>
    <row r="157" spans="2:8" ht="15" x14ac:dyDescent="0.25">
      <c r="B157" s="218" t="s">
        <v>23</v>
      </c>
      <c r="C157" s="219"/>
      <c r="D157" s="218"/>
      <c r="E157" s="219">
        <f>SUM(E155)</f>
        <v>524.5</v>
      </c>
    </row>
    <row r="158" spans="2:8" x14ac:dyDescent="0.2">
      <c r="B158" s="509" t="s">
        <v>24</v>
      </c>
      <c r="C158" s="509"/>
    </row>
  </sheetData>
  <mergeCells count="103">
    <mergeCell ref="G117:H117"/>
    <mergeCell ref="B104:I104"/>
    <mergeCell ref="B105:I105"/>
    <mergeCell ref="B106:I106"/>
    <mergeCell ref="B60:E60"/>
    <mergeCell ref="B53:F53"/>
    <mergeCell ref="B55:F55"/>
    <mergeCell ref="B59:E59"/>
    <mergeCell ref="B49:F49"/>
    <mergeCell ref="B50:F50"/>
    <mergeCell ref="B51:F51"/>
    <mergeCell ref="B107:C107"/>
    <mergeCell ref="B108:B110"/>
    <mergeCell ref="B111:B113"/>
    <mergeCell ref="B114:B116"/>
    <mergeCell ref="F108:F110"/>
    <mergeCell ref="F111:F113"/>
    <mergeCell ref="F114:F116"/>
    <mergeCell ref="B158:C158"/>
    <mergeCell ref="D11:D13"/>
    <mergeCell ref="I11:I13"/>
    <mergeCell ref="J11:J13"/>
    <mergeCell ref="B17:E17"/>
    <mergeCell ref="B23:E23"/>
    <mergeCell ref="B22:E22"/>
    <mergeCell ref="B33:J33"/>
    <mergeCell ref="B37:J37"/>
    <mergeCell ref="B152:E152"/>
    <mergeCell ref="B153:E153"/>
    <mergeCell ref="B99:C99"/>
    <mergeCell ref="B65:F65"/>
    <mergeCell ref="B66:F66"/>
    <mergeCell ref="B67:F67"/>
    <mergeCell ref="B77:C77"/>
    <mergeCell ref="F30:F31"/>
    <mergeCell ref="G30:G31"/>
    <mergeCell ref="B47:C47"/>
    <mergeCell ref="B40:J40"/>
    <mergeCell ref="I30:I31"/>
    <mergeCell ref="B27:J27"/>
    <mergeCell ref="B28:J28"/>
    <mergeCell ref="B29:J29"/>
    <mergeCell ref="AK7:AN7"/>
    <mergeCell ref="AK8:AN8"/>
    <mergeCell ref="AK9:AN9"/>
    <mergeCell ref="AL10:AL11"/>
    <mergeCell ref="AK10:AK11"/>
    <mergeCell ref="AM10:AM11"/>
    <mergeCell ref="AN10:AN11"/>
    <mergeCell ref="AB17:AF17"/>
    <mergeCell ref="AF10:AF11"/>
    <mergeCell ref="AB7:AF7"/>
    <mergeCell ref="AB8:AF8"/>
    <mergeCell ref="AB9:AF9"/>
    <mergeCell ref="AB16:AF16"/>
    <mergeCell ref="AB18:AF18"/>
    <mergeCell ref="AA2:AD2"/>
    <mergeCell ref="AB10:AB11"/>
    <mergeCell ref="AE10:AE11"/>
    <mergeCell ref="B146:C146"/>
    <mergeCell ref="B151:E151"/>
    <mergeCell ref="B124:G124"/>
    <mergeCell ref="B125:G125"/>
    <mergeCell ref="B130:C130"/>
    <mergeCell ref="B135:G135"/>
    <mergeCell ref="B136:G136"/>
    <mergeCell ref="B137:G137"/>
    <mergeCell ref="B118:C118"/>
    <mergeCell ref="B123:G123"/>
    <mergeCell ref="D85:F85"/>
    <mergeCell ref="C85:C86"/>
    <mergeCell ref="B85:B86"/>
    <mergeCell ref="G85:G86"/>
    <mergeCell ref="H85:H86"/>
    <mergeCell ref="B82:H82"/>
    <mergeCell ref="B83:H83"/>
    <mergeCell ref="B84:H84"/>
    <mergeCell ref="D30:D31"/>
    <mergeCell ref="E30:E31"/>
    <mergeCell ref="L11:L13"/>
    <mergeCell ref="F11:F13"/>
    <mergeCell ref="G11:G13"/>
    <mergeCell ref="J30:J32"/>
    <mergeCell ref="B30:B32"/>
    <mergeCell ref="C30:C32"/>
    <mergeCell ref="B14:V14"/>
    <mergeCell ref="B18:V18"/>
    <mergeCell ref="A2:D2"/>
    <mergeCell ref="B8:W8"/>
    <mergeCell ref="B9:W9"/>
    <mergeCell ref="B10:W10"/>
    <mergeCell ref="H30:H31"/>
    <mergeCell ref="H11:H13"/>
    <mergeCell ref="P11:S11"/>
    <mergeCell ref="O11:O13"/>
    <mergeCell ref="M11:N12"/>
    <mergeCell ref="T11:T13"/>
    <mergeCell ref="U11:U13"/>
    <mergeCell ref="V11:V13"/>
    <mergeCell ref="K11:K13"/>
    <mergeCell ref="B11:B13"/>
    <mergeCell ref="C11:C13"/>
    <mergeCell ref="E11:E13"/>
  </mergeCells>
  <phoneticPr fontId="40" type="noConversion"/>
  <pageMargins left="0.7" right="0.7" top="0.75" bottom="0.75" header="0.3" footer="0.3"/>
  <pageSetup paperSize="34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55"/>
  <sheetViews>
    <sheetView topLeftCell="A2" zoomScale="73" zoomScaleNormal="73" workbookViewId="0">
      <selection activeCell="AB46" sqref="AB46:AG46"/>
    </sheetView>
  </sheetViews>
  <sheetFormatPr baseColWidth="10" defaultColWidth="11.42578125" defaultRowHeight="14.25" x14ac:dyDescent="0.2"/>
  <cols>
    <col min="1" max="1" width="11.42578125" style="115"/>
    <col min="2" max="2" width="31.28515625" style="115" customWidth="1"/>
    <col min="3" max="3" width="18.7109375" style="115" customWidth="1"/>
    <col min="4" max="4" width="15.28515625" style="115" customWidth="1"/>
    <col min="5" max="5" width="16.140625" style="115" customWidth="1"/>
    <col min="6" max="6" width="20" style="115" customWidth="1"/>
    <col min="7" max="9" width="11.42578125" style="115"/>
    <col min="10" max="10" width="44.85546875" style="115" customWidth="1"/>
    <col min="11" max="11" width="17.85546875" style="115" customWidth="1"/>
    <col min="12" max="12" width="18.5703125" style="115" customWidth="1"/>
    <col min="13" max="14" width="18.85546875" style="115" customWidth="1"/>
    <col min="15" max="15" width="17.7109375" style="115" customWidth="1"/>
    <col min="16" max="17" width="11.42578125" style="115"/>
    <col min="18" max="18" width="57.140625" style="115" customWidth="1"/>
    <col min="19" max="19" width="14.7109375" style="115" customWidth="1"/>
    <col min="20" max="20" width="16.5703125" style="115" customWidth="1"/>
    <col min="21" max="21" width="17.42578125" style="115" customWidth="1"/>
    <col min="22" max="22" width="17" style="115" customWidth="1"/>
    <col min="23" max="24" width="14.7109375" style="115" bestFit="1" customWidth="1"/>
    <col min="25" max="25" width="11.42578125" style="115"/>
    <col min="26" max="26" width="7.42578125" style="115" customWidth="1"/>
    <col min="27" max="27" width="15.5703125" style="115" customWidth="1"/>
    <col min="28" max="28" width="16.28515625" style="115" customWidth="1"/>
    <col min="29" max="29" width="20.85546875" style="115" customWidth="1"/>
    <col min="30" max="30" width="19.5703125" style="115" customWidth="1"/>
    <col min="31" max="31" width="18.42578125" style="115" customWidth="1"/>
    <col min="32" max="32" width="17.7109375" style="115" customWidth="1"/>
    <col min="33" max="33" width="15.5703125" style="115" customWidth="1"/>
    <col min="34" max="34" width="14.28515625" style="115" customWidth="1"/>
    <col min="35" max="35" width="17" style="115" customWidth="1"/>
    <col min="36" max="36" width="16.5703125" style="115" customWidth="1"/>
    <col min="37" max="16384" width="11.42578125" style="115"/>
  </cols>
  <sheetData>
    <row r="2" spans="2:33" ht="27.75" x14ac:dyDescent="0.4">
      <c r="B2" s="226" t="s">
        <v>290</v>
      </c>
    </row>
    <row r="4" spans="2:33" s="208" customFormat="1" ht="23.25" x14ac:dyDescent="0.35">
      <c r="J4" s="227" t="s">
        <v>291</v>
      </c>
      <c r="R4" s="227" t="s">
        <v>278</v>
      </c>
      <c r="S4" s="227"/>
      <c r="T4" s="227"/>
      <c r="U4" s="227"/>
    </row>
    <row r="5" spans="2:33" ht="15" x14ac:dyDescent="0.25">
      <c r="B5" s="217" t="s">
        <v>312</v>
      </c>
    </row>
    <row r="6" spans="2:33" x14ac:dyDescent="0.2">
      <c r="P6" s="210"/>
    </row>
    <row r="7" spans="2:33" ht="15" customHeight="1" x14ac:dyDescent="0.25">
      <c r="B7" s="579" t="s">
        <v>45</v>
      </c>
      <c r="C7" s="579"/>
      <c r="D7" s="579"/>
      <c r="E7" s="579"/>
      <c r="F7" s="579"/>
      <c r="J7" s="574" t="s">
        <v>45</v>
      </c>
      <c r="K7" s="574"/>
      <c r="L7" s="574"/>
      <c r="M7" s="574"/>
      <c r="N7" s="574"/>
      <c r="O7" s="574"/>
      <c r="P7" s="210"/>
      <c r="R7" s="574" t="s">
        <v>45</v>
      </c>
      <c r="S7" s="574"/>
      <c r="T7" s="574"/>
      <c r="U7" s="574"/>
      <c r="V7" s="574"/>
      <c r="W7" s="574"/>
      <c r="X7" s="574"/>
      <c r="AA7" s="574" t="s">
        <v>45</v>
      </c>
      <c r="AB7" s="574"/>
      <c r="AC7" s="574"/>
      <c r="AD7" s="574"/>
      <c r="AE7" s="407"/>
      <c r="AF7" s="407"/>
    </row>
    <row r="8" spans="2:33" ht="15" customHeight="1" x14ac:dyDescent="0.25">
      <c r="B8" s="579" t="s">
        <v>202</v>
      </c>
      <c r="C8" s="579"/>
      <c r="D8" s="579"/>
      <c r="E8" s="579"/>
      <c r="F8" s="579"/>
      <c r="J8" s="574" t="s">
        <v>291</v>
      </c>
      <c r="K8" s="574"/>
      <c r="L8" s="574"/>
      <c r="M8" s="574"/>
      <c r="N8" s="574"/>
      <c r="O8" s="574"/>
      <c r="R8" s="574" t="s">
        <v>278</v>
      </c>
      <c r="S8" s="574"/>
      <c r="T8" s="574"/>
      <c r="U8" s="574"/>
      <c r="V8" s="574"/>
      <c r="W8" s="574"/>
      <c r="X8" s="574"/>
      <c r="AA8" s="574" t="s">
        <v>397</v>
      </c>
      <c r="AB8" s="574"/>
      <c r="AC8" s="574"/>
      <c r="AD8" s="574"/>
    </row>
    <row r="9" spans="2:33" ht="15.75" x14ac:dyDescent="0.25">
      <c r="B9" s="579" t="s">
        <v>17</v>
      </c>
      <c r="C9" s="579"/>
      <c r="D9" s="579"/>
      <c r="E9" s="579"/>
      <c r="F9" s="579"/>
      <c r="J9" s="438" t="s">
        <v>17</v>
      </c>
      <c r="K9" s="438"/>
      <c r="L9" s="438"/>
      <c r="M9" s="438"/>
      <c r="N9" s="438"/>
      <c r="O9" s="438"/>
      <c r="R9" s="438" t="s">
        <v>17</v>
      </c>
      <c r="S9" s="438"/>
      <c r="T9" s="438"/>
      <c r="U9" s="438"/>
      <c r="V9" s="438"/>
      <c r="W9" s="438"/>
      <c r="X9" s="438"/>
      <c r="AA9" s="438" t="s">
        <v>17</v>
      </c>
      <c r="AB9" s="438"/>
      <c r="AC9" s="438"/>
      <c r="AD9" s="438"/>
    </row>
    <row r="10" spans="2:33" ht="25.5" customHeight="1" x14ac:dyDescent="0.25">
      <c r="B10" s="534" t="s">
        <v>18</v>
      </c>
      <c r="C10" s="512" t="s">
        <v>200</v>
      </c>
      <c r="D10" s="534" t="s">
        <v>19</v>
      </c>
      <c r="E10" s="512" t="s">
        <v>203</v>
      </c>
      <c r="F10" s="512" t="s">
        <v>204</v>
      </c>
      <c r="J10" s="235" t="s">
        <v>18</v>
      </c>
      <c r="K10" s="236">
        <v>2024</v>
      </c>
      <c r="L10" s="236">
        <v>2025</v>
      </c>
      <c r="M10" s="236">
        <v>2026</v>
      </c>
      <c r="N10" s="236">
        <v>2027</v>
      </c>
      <c r="O10" s="236">
        <v>2028</v>
      </c>
      <c r="R10" s="539" t="s">
        <v>18</v>
      </c>
      <c r="S10" s="575">
        <v>2023</v>
      </c>
      <c r="T10" s="575">
        <v>2024</v>
      </c>
      <c r="U10" s="575">
        <v>2025</v>
      </c>
      <c r="V10" s="575">
        <v>2026</v>
      </c>
      <c r="W10" s="575">
        <v>2027</v>
      </c>
      <c r="X10" s="575">
        <v>2028</v>
      </c>
      <c r="AA10" s="577" t="s">
        <v>159</v>
      </c>
      <c r="AB10" s="577" t="s">
        <v>332</v>
      </c>
      <c r="AC10" s="578" t="s">
        <v>333</v>
      </c>
      <c r="AD10" s="578" t="s">
        <v>334</v>
      </c>
    </row>
    <row r="11" spans="2:33" ht="15.75" x14ac:dyDescent="0.25">
      <c r="B11" s="534"/>
      <c r="C11" s="512"/>
      <c r="D11" s="534"/>
      <c r="E11" s="512"/>
      <c r="F11" s="512"/>
      <c r="J11" s="245" t="s">
        <v>316</v>
      </c>
      <c r="K11" s="246">
        <f>F14</f>
        <v>843646.43247359991</v>
      </c>
      <c r="L11" s="246">
        <f>(K11)*(1+0.0195)</f>
        <v>860097.5379068352</v>
      </c>
      <c r="M11" s="246">
        <f t="shared" ref="M11:O11" si="0">(L11)*(1+0.0195)</f>
        <v>876869.43989601859</v>
      </c>
      <c r="N11" s="246">
        <f t="shared" si="0"/>
        <v>893968.39397399104</v>
      </c>
      <c r="O11" s="246">
        <f t="shared" si="0"/>
        <v>911400.77765648393</v>
      </c>
      <c r="R11" s="540"/>
      <c r="S11" s="576"/>
      <c r="T11" s="576"/>
      <c r="U11" s="576"/>
      <c r="V11" s="576"/>
      <c r="W11" s="576"/>
      <c r="X11" s="576"/>
      <c r="AA11" s="577"/>
      <c r="AB11" s="577"/>
      <c r="AC11" s="578"/>
      <c r="AD11" s="578"/>
      <c r="AG11" s="248"/>
    </row>
    <row r="12" spans="2:33" ht="15.75" customHeight="1" x14ac:dyDescent="0.25">
      <c r="B12" s="229" t="s">
        <v>160</v>
      </c>
      <c r="C12" s="230">
        <f>'COSTO DE PRODUCCIÓN - INGRESOS'!C92</f>
        <v>0.93738492497066661</v>
      </c>
      <c r="D12" s="415">
        <f>'COSTO DE PRODUCCIÓN - INGRESOS'!D92</f>
        <v>75000</v>
      </c>
      <c r="E12" s="230">
        <f>D12*C12</f>
        <v>70303.869372799993</v>
      </c>
      <c r="F12" s="230">
        <f>E12*12</f>
        <v>843646.43247359991</v>
      </c>
      <c r="I12" s="217" t="s">
        <v>317</v>
      </c>
      <c r="J12" s="232" t="s">
        <v>292</v>
      </c>
      <c r="K12" s="247">
        <f>'COSTO DE PRODUCCIÓN - INGRESOS'!G58</f>
        <v>386309.76</v>
      </c>
      <c r="L12" s="414">
        <f t="shared" ref="L12:O12" si="1">(K12)*(1+0.0195)</f>
        <v>393842.80032000004</v>
      </c>
      <c r="M12" s="414">
        <f t="shared" si="1"/>
        <v>401522.73492624005</v>
      </c>
      <c r="N12" s="414">
        <f t="shared" si="1"/>
        <v>409352.42825730174</v>
      </c>
      <c r="O12" s="414">
        <f t="shared" si="1"/>
        <v>417334.80060831917</v>
      </c>
      <c r="Q12" s="217"/>
      <c r="R12" s="228" t="s">
        <v>279</v>
      </c>
      <c r="S12" s="17"/>
      <c r="T12" s="290">
        <f>K29</f>
        <v>118876.69147782389</v>
      </c>
      <c r="U12" s="290">
        <f>L29</f>
        <v>121194.78696164145</v>
      </c>
      <c r="V12" s="290">
        <f>M29</f>
        <v>123558.08530739347</v>
      </c>
      <c r="W12" s="290">
        <f>N29</f>
        <v>125967.46797088765</v>
      </c>
      <c r="X12" s="290">
        <f>O29</f>
        <v>128423.83359631996</v>
      </c>
      <c r="AA12" s="204">
        <v>2023</v>
      </c>
      <c r="AB12" s="209">
        <f>S25</f>
        <v>-138963.94484000001</v>
      </c>
      <c r="AC12" s="209"/>
      <c r="AD12" s="209"/>
    </row>
    <row r="13" spans="2:33" ht="15.75" x14ac:dyDescent="0.25">
      <c r="B13" s="229"/>
      <c r="C13" s="230"/>
      <c r="D13" s="415"/>
      <c r="E13" s="230"/>
      <c r="F13" s="230"/>
      <c r="J13" s="232" t="s">
        <v>293</v>
      </c>
      <c r="K13" s="247">
        <f>K11-K12</f>
        <v>457336.6724735999</v>
      </c>
      <c r="L13" s="414">
        <f t="shared" ref="L13:O13" si="2">(K13)*(1+0.0195)</f>
        <v>466254.73758683511</v>
      </c>
      <c r="M13" s="414">
        <f t="shared" si="2"/>
        <v>475346.70496977842</v>
      </c>
      <c r="N13" s="414">
        <f t="shared" si="2"/>
        <v>484615.96571668913</v>
      </c>
      <c r="O13" s="414">
        <f t="shared" si="2"/>
        <v>494065.97704816458</v>
      </c>
      <c r="Q13" s="217" t="s">
        <v>319</v>
      </c>
      <c r="R13" s="233" t="s">
        <v>280</v>
      </c>
      <c r="S13" s="82"/>
      <c r="T13" s="290">
        <f>'GASTOS OPERATIVOS'!E145</f>
        <v>2700.5</v>
      </c>
      <c r="U13" s="290">
        <f>T13</f>
        <v>2700.5</v>
      </c>
      <c r="V13" s="290">
        <f t="shared" ref="V13:X13" si="3">U13</f>
        <v>2700.5</v>
      </c>
      <c r="W13" s="290">
        <f t="shared" si="3"/>
        <v>2700.5</v>
      </c>
      <c r="X13" s="290">
        <f t="shared" si="3"/>
        <v>2700.5</v>
      </c>
      <c r="AA13" s="204">
        <v>2024</v>
      </c>
      <c r="AB13" s="209">
        <f>T25</f>
        <v>-7617.4813916320854</v>
      </c>
      <c r="AC13" s="209">
        <f>AB13/(1+6.36%)^1</f>
        <v>-7161.9794957052318</v>
      </c>
      <c r="AD13" s="209">
        <f>AC13</f>
        <v>-7161.9794957052318</v>
      </c>
    </row>
    <row r="14" spans="2:33" ht="15.75" customHeight="1" x14ac:dyDescent="0.25">
      <c r="B14" s="324" t="s">
        <v>23</v>
      </c>
      <c r="C14" s="325">
        <f>C12</f>
        <v>0.93738492497066661</v>
      </c>
      <c r="D14" s="416">
        <f t="shared" ref="D14:F14" si="4">D12</f>
        <v>75000</v>
      </c>
      <c r="E14" s="325">
        <f t="shared" si="4"/>
        <v>70303.869372799993</v>
      </c>
      <c r="F14" s="325">
        <f t="shared" si="4"/>
        <v>843646.43247359991</v>
      </c>
      <c r="I14" s="217" t="s">
        <v>317</v>
      </c>
      <c r="J14" s="228" t="s">
        <v>212</v>
      </c>
      <c r="K14" s="249">
        <f>K15+K26</f>
        <v>338459.98099577602</v>
      </c>
      <c r="L14" s="246">
        <f t="shared" ref="L14:O14" si="5">(K14)*(1+0.0195)</f>
        <v>345059.95062519365</v>
      </c>
      <c r="M14" s="246">
        <f t="shared" si="5"/>
        <v>351788.61966238497</v>
      </c>
      <c r="N14" s="246">
        <f t="shared" si="5"/>
        <v>358648.49774580152</v>
      </c>
      <c r="O14" s="246">
        <f t="shared" si="5"/>
        <v>365642.14345184469</v>
      </c>
      <c r="Q14" s="217" t="s">
        <v>319</v>
      </c>
      <c r="R14" s="232" t="s">
        <v>281</v>
      </c>
      <c r="S14" s="82"/>
      <c r="T14" s="291">
        <f>'GASTOS OPERATIVOS'!E157</f>
        <v>524.5</v>
      </c>
      <c r="U14" s="291">
        <f>T14</f>
        <v>524.5</v>
      </c>
      <c r="V14" s="291">
        <f t="shared" ref="V14:W14" si="6">U14</f>
        <v>524.5</v>
      </c>
      <c r="W14" s="291">
        <f t="shared" si="6"/>
        <v>524.5</v>
      </c>
      <c r="X14" s="291" t="s">
        <v>235</v>
      </c>
      <c r="AA14" s="204">
        <v>2025</v>
      </c>
      <c r="AB14" s="209">
        <f>U25</f>
        <v>69121.09022123109</v>
      </c>
      <c r="AC14" s="209">
        <f t="shared" ref="AC14:AC17" si="7">AB14/(1+6.36%)^1</f>
        <v>64987.862186189435</v>
      </c>
      <c r="AD14" s="209">
        <f>AD13+AC14</f>
        <v>57825.882690484206</v>
      </c>
    </row>
    <row r="15" spans="2:33" ht="15.75" customHeight="1" x14ac:dyDescent="0.25">
      <c r="I15" s="217" t="s">
        <v>317</v>
      </c>
      <c r="J15" s="234" t="s">
        <v>294</v>
      </c>
      <c r="K15" s="249">
        <f>SUM(K16:K25)</f>
        <v>200716.55180000004</v>
      </c>
      <c r="L15" s="246">
        <f t="shared" ref="L15:O15" si="8">(K15)*(1+0.0195)</f>
        <v>204630.52456010005</v>
      </c>
      <c r="M15" s="246">
        <f t="shared" si="8"/>
        <v>208620.819789022</v>
      </c>
      <c r="N15" s="246">
        <f t="shared" si="8"/>
        <v>212688.92577490796</v>
      </c>
      <c r="O15" s="246">
        <f t="shared" si="8"/>
        <v>216836.35982751867</v>
      </c>
      <c r="Q15" s="217"/>
      <c r="R15" s="232" t="s">
        <v>282</v>
      </c>
      <c r="S15" s="82"/>
      <c r="T15" s="290">
        <f>SUM(T12:T14)</f>
        <v>122101.69147782389</v>
      </c>
      <c r="U15" s="290">
        <f t="shared" ref="U15:X15" si="9">SUM(U12:U14)</f>
        <v>124419.78696164145</v>
      </c>
      <c r="V15" s="290">
        <f t="shared" si="9"/>
        <v>126783.08530739347</v>
      </c>
      <c r="W15" s="290">
        <f t="shared" si="9"/>
        <v>129192.46797088765</v>
      </c>
      <c r="X15" s="290">
        <f t="shared" si="9"/>
        <v>131124.33359631995</v>
      </c>
      <c r="AA15" s="204">
        <v>2026</v>
      </c>
      <c r="AB15" s="209">
        <f>V25</f>
        <v>80893.563980545106</v>
      </c>
      <c r="AC15" s="209">
        <f t="shared" si="7"/>
        <v>76056.378319429394</v>
      </c>
      <c r="AD15" s="209">
        <f>AD14+AC15</f>
        <v>133882.26100991361</v>
      </c>
    </row>
    <row r="16" spans="2:33" ht="15.75" x14ac:dyDescent="0.25">
      <c r="B16" s="250" t="s">
        <v>24</v>
      </c>
      <c r="C16" s="250"/>
      <c r="D16" s="250"/>
      <c r="E16" s="250"/>
      <c r="F16" s="250"/>
      <c r="J16" s="233" t="s">
        <v>295</v>
      </c>
      <c r="K16" s="247">
        <f>'GASTOS OPERATIVOS'!J55</f>
        <v>132481.06452000001</v>
      </c>
      <c r="L16" s="414">
        <f t="shared" ref="L16:O16" si="10">(K16)*(1+0.0195)</f>
        <v>135064.44527814002</v>
      </c>
      <c r="M16" s="414">
        <f t="shared" si="10"/>
        <v>137698.20196106375</v>
      </c>
      <c r="N16" s="414">
        <f t="shared" si="10"/>
        <v>140383.31689930451</v>
      </c>
      <c r="O16" s="414">
        <f t="shared" si="10"/>
        <v>143120.79157884096</v>
      </c>
      <c r="Q16" s="217" t="s">
        <v>317</v>
      </c>
      <c r="R16" s="233" t="s">
        <v>283</v>
      </c>
      <c r="S16" s="82"/>
      <c r="T16" s="290">
        <f>T12*25%</f>
        <v>29719.172869455972</v>
      </c>
      <c r="U16" s="290">
        <f t="shared" ref="U16:X16" si="11">U12*25%</f>
        <v>30298.696740410363</v>
      </c>
      <c r="V16" s="290">
        <f t="shared" si="11"/>
        <v>30889.521326848368</v>
      </c>
      <c r="W16" s="290">
        <f t="shared" si="11"/>
        <v>31491.866992721913</v>
      </c>
      <c r="X16" s="290">
        <f t="shared" si="11"/>
        <v>32105.958399079991</v>
      </c>
      <c r="AA16" s="204">
        <v>2027</v>
      </c>
      <c r="AB16" s="209">
        <f>W25</f>
        <v>92700.600978165734</v>
      </c>
      <c r="AC16" s="209">
        <f t="shared" si="7"/>
        <v>87157.390915913624</v>
      </c>
      <c r="AD16" s="209">
        <f>AD15+AC16</f>
        <v>221039.65192582723</v>
      </c>
    </row>
    <row r="17" spans="2:35" ht="15.75" x14ac:dyDescent="0.25">
      <c r="B17" s="250"/>
      <c r="C17" s="250"/>
      <c r="D17" s="250"/>
      <c r="E17" s="250"/>
      <c r="F17" s="250"/>
      <c r="J17" s="233" t="s">
        <v>296</v>
      </c>
      <c r="K17" s="247">
        <f>'GASTOS OPERATIVOS'!H45</f>
        <v>12151.337520000001</v>
      </c>
      <c r="L17" s="414">
        <f t="shared" ref="L17:O17" si="12">(K17)*(1+0.0195)</f>
        <v>12388.288601640003</v>
      </c>
      <c r="M17" s="414">
        <f t="shared" si="12"/>
        <v>12629.860229371983</v>
      </c>
      <c r="N17" s="414">
        <f t="shared" si="12"/>
        <v>12876.142503844738</v>
      </c>
      <c r="O17" s="414">
        <f t="shared" si="12"/>
        <v>13127.227282669712</v>
      </c>
      <c r="Q17" s="217"/>
      <c r="R17" s="233"/>
      <c r="S17" s="82"/>
      <c r="T17" s="292"/>
      <c r="U17" s="292"/>
      <c r="V17" s="292"/>
      <c r="W17" s="292"/>
      <c r="X17" s="292"/>
      <c r="AA17" s="204">
        <v>2028</v>
      </c>
      <c r="AB17" s="209">
        <f>X25</f>
        <v>101296.87519723996</v>
      </c>
      <c r="AC17" s="209">
        <f t="shared" si="7"/>
        <v>95239.634446445983</v>
      </c>
      <c r="AD17" s="209">
        <f>AD16+AC17</f>
        <v>316279.28637227323</v>
      </c>
      <c r="AE17" s="260"/>
    </row>
    <row r="18" spans="2:35" ht="15.75" x14ac:dyDescent="0.25">
      <c r="J18" s="233" t="s">
        <v>297</v>
      </c>
      <c r="K18" s="247">
        <f>'GASTOS OPERATIVOS'!I45</f>
        <v>12151.337520000001</v>
      </c>
      <c r="L18" s="414">
        <f t="shared" ref="L18:O18" si="13">(K18)*(1+0.0195)</f>
        <v>12388.288601640003</v>
      </c>
      <c r="M18" s="414">
        <f t="shared" si="13"/>
        <v>12629.860229371983</v>
      </c>
      <c r="N18" s="414">
        <f t="shared" si="13"/>
        <v>12876.142503844738</v>
      </c>
      <c r="O18" s="414">
        <f t="shared" si="13"/>
        <v>13127.227282669712</v>
      </c>
      <c r="Q18" s="217"/>
      <c r="R18" s="228" t="s">
        <v>330</v>
      </c>
      <c r="S18" s="82"/>
      <c r="T18" s="289">
        <f>T15-T16</f>
        <v>92382.518608367915</v>
      </c>
      <c r="U18" s="289">
        <f t="shared" ref="U18:X18" si="14">U15-U16</f>
        <v>94121.09022123109</v>
      </c>
      <c r="V18" s="289">
        <f t="shared" si="14"/>
        <v>95893.563980545106</v>
      </c>
      <c r="W18" s="289">
        <f t="shared" si="14"/>
        <v>97700.600978165734</v>
      </c>
      <c r="X18" s="289">
        <f t="shared" si="14"/>
        <v>99018.375197239962</v>
      </c>
      <c r="AB18" s="248"/>
      <c r="AC18" s="410">
        <f>SUM(AC13:AC17)</f>
        <v>316279.28637227323</v>
      </c>
      <c r="AD18" s="248"/>
    </row>
    <row r="19" spans="2:35" ht="15.75" x14ac:dyDescent="0.25">
      <c r="J19" s="233" t="s">
        <v>298</v>
      </c>
      <c r="K19" s="247">
        <f>'GASTOS OPERATIVOS'!G46</f>
        <v>24375.612240000006</v>
      </c>
      <c r="L19" s="414">
        <f t="shared" ref="L19:O19" si="15">(K19)*(1+0.0195)</f>
        <v>24850.936678680009</v>
      </c>
      <c r="M19" s="414">
        <f t="shared" si="15"/>
        <v>25335.529943914273</v>
      </c>
      <c r="N19" s="414">
        <f t="shared" si="15"/>
        <v>25829.572777820602</v>
      </c>
      <c r="O19" s="414">
        <f t="shared" si="15"/>
        <v>26333.249446988106</v>
      </c>
      <c r="Q19" s="217"/>
      <c r="R19" s="228" t="s">
        <v>331</v>
      </c>
      <c r="S19" s="82"/>
      <c r="T19" s="292"/>
      <c r="U19" s="292"/>
      <c r="V19" s="292"/>
      <c r="W19" s="292"/>
      <c r="X19" s="292"/>
      <c r="AA19" s="231" t="s">
        <v>24</v>
      </c>
    </row>
    <row r="20" spans="2:35" ht="15.75" x14ac:dyDescent="0.25">
      <c r="J20" s="233" t="s">
        <v>299</v>
      </c>
      <c r="K20" s="247">
        <f>'GASTOS OPERATIVOS'!F76</f>
        <v>140</v>
      </c>
      <c r="L20" s="414">
        <f t="shared" ref="L20:O20" si="16">(K20)*(1+0.0195)</f>
        <v>142.73000000000002</v>
      </c>
      <c r="M20" s="414">
        <f t="shared" si="16"/>
        <v>145.51323500000004</v>
      </c>
      <c r="N20" s="414">
        <f t="shared" si="16"/>
        <v>148.35074308250006</v>
      </c>
      <c r="O20" s="414">
        <f t="shared" si="16"/>
        <v>151.24358257260883</v>
      </c>
      <c r="Q20" s="217" t="s">
        <v>317</v>
      </c>
      <c r="R20" s="233" t="s">
        <v>284</v>
      </c>
      <c r="S20" s="95">
        <f>'INVERSIÓN Y FINANCIAMIENTO'!C7</f>
        <v>20506</v>
      </c>
      <c r="T20" s="292"/>
      <c r="U20" s="292"/>
      <c r="V20" s="292"/>
      <c r="W20" s="292"/>
      <c r="X20" s="292"/>
    </row>
    <row r="21" spans="2:35" ht="15.75" x14ac:dyDescent="0.25">
      <c r="J21" s="233" t="s">
        <v>300</v>
      </c>
      <c r="K21" s="247">
        <f>'GASTOS OPERATIVOS'!H98</f>
        <v>1125</v>
      </c>
      <c r="L21" s="414">
        <f t="shared" ref="L21:O21" si="17">(K21)*(1+0.0195)</f>
        <v>1146.9375</v>
      </c>
      <c r="M21" s="414">
        <f t="shared" si="17"/>
        <v>1169.3027812500002</v>
      </c>
      <c r="N21" s="414">
        <f t="shared" si="17"/>
        <v>1192.1041854843752</v>
      </c>
      <c r="O21" s="414">
        <f t="shared" si="17"/>
        <v>1215.3502171013206</v>
      </c>
      <c r="Q21" s="217" t="s">
        <v>317</v>
      </c>
      <c r="R21" s="233" t="s">
        <v>285</v>
      </c>
      <c r="S21" s="95">
        <f>'INVERSIÓN Y FINANCIAMIENTO'!C13</f>
        <v>2098</v>
      </c>
      <c r="T21" s="292"/>
      <c r="U21" s="292"/>
      <c r="V21" s="292"/>
      <c r="W21" s="292"/>
      <c r="X21" s="292"/>
      <c r="AA21" s="574" t="s">
        <v>45</v>
      </c>
      <c r="AB21" s="574"/>
      <c r="AC21" s="574"/>
      <c r="AD21" s="574"/>
      <c r="AE21" s="574"/>
    </row>
    <row r="22" spans="2:35" ht="15.75" x14ac:dyDescent="0.25">
      <c r="J22" s="233" t="s">
        <v>301</v>
      </c>
      <c r="K22" s="247">
        <f>'GASTOS OPERATIVOS'!I117</f>
        <v>3067.2000000000003</v>
      </c>
      <c r="L22" s="414">
        <f t="shared" ref="L22:O22" si="18">(K22)*(1+0.0195)</f>
        <v>3127.0104000000006</v>
      </c>
      <c r="M22" s="414">
        <f t="shared" si="18"/>
        <v>3187.9871028000007</v>
      </c>
      <c r="N22" s="414">
        <f t="shared" si="18"/>
        <v>3250.152851304601</v>
      </c>
      <c r="O22" s="414">
        <f t="shared" si="18"/>
        <v>3313.5308319050409</v>
      </c>
      <c r="Q22" s="217" t="s">
        <v>317</v>
      </c>
      <c r="R22" s="233" t="s">
        <v>286</v>
      </c>
      <c r="S22" s="95">
        <f>'INVERSIÓN Y FINANCIAMIENTO'!C15</f>
        <v>116359.94484000001</v>
      </c>
      <c r="T22" s="95">
        <v>100000</v>
      </c>
      <c r="U22" s="290">
        <v>25000</v>
      </c>
      <c r="V22" s="290">
        <v>15000</v>
      </c>
      <c r="W22" s="290">
        <v>5000</v>
      </c>
      <c r="X22" s="290">
        <v>5000</v>
      </c>
      <c r="AA22" s="574" t="s">
        <v>336</v>
      </c>
      <c r="AB22" s="574"/>
      <c r="AC22" s="574"/>
      <c r="AD22" s="574"/>
      <c r="AE22" s="574"/>
    </row>
    <row r="23" spans="2:35" ht="15.75" x14ac:dyDescent="0.25">
      <c r="J23" s="233" t="s">
        <v>302</v>
      </c>
      <c r="K23" s="247">
        <f>'GASTOS OPERATIVOS'!G129</f>
        <v>12000</v>
      </c>
      <c r="L23" s="414">
        <f t="shared" ref="L23:O23" si="19">(K23)*(1+0.0195)</f>
        <v>12234</v>
      </c>
      <c r="M23" s="414">
        <f t="shared" si="19"/>
        <v>12472.563</v>
      </c>
      <c r="N23" s="414">
        <f t="shared" si="19"/>
        <v>12715.7779785</v>
      </c>
      <c r="O23" s="414">
        <f t="shared" si="19"/>
        <v>12963.735649080751</v>
      </c>
      <c r="Q23" s="217" t="s">
        <v>319</v>
      </c>
      <c r="R23" s="233" t="s">
        <v>287</v>
      </c>
      <c r="S23" s="82"/>
      <c r="T23" s="292"/>
      <c r="U23" s="292"/>
      <c r="V23" s="292"/>
      <c r="W23" s="292"/>
      <c r="X23" s="290">
        <f>'GASTOS OPERATIVOS'!F145</f>
        <v>7428.5</v>
      </c>
      <c r="AA23" s="438" t="s">
        <v>17</v>
      </c>
      <c r="AB23" s="438"/>
      <c r="AC23" s="438"/>
      <c r="AD23" s="438"/>
      <c r="AE23" s="438"/>
    </row>
    <row r="24" spans="2:35" ht="15.75" x14ac:dyDescent="0.25">
      <c r="I24" s="217" t="s">
        <v>317</v>
      </c>
      <c r="J24" s="233" t="s">
        <v>318</v>
      </c>
      <c r="K24" s="288">
        <f>'GASTOS OPERATIVOS'!E145</f>
        <v>2700.5</v>
      </c>
      <c r="L24" s="288">
        <f>K24</f>
        <v>2700.5</v>
      </c>
      <c r="M24" s="288">
        <f t="shared" ref="M24:O25" si="20">L24</f>
        <v>2700.5</v>
      </c>
      <c r="N24" s="288">
        <f t="shared" si="20"/>
        <v>2700.5</v>
      </c>
      <c r="O24" s="288">
        <f t="shared" si="20"/>
        <v>2700.5</v>
      </c>
      <c r="Q24" s="217" t="s">
        <v>317</v>
      </c>
      <c r="R24" s="233" t="s">
        <v>288</v>
      </c>
      <c r="S24" s="82"/>
      <c r="T24" s="292"/>
      <c r="U24" s="292"/>
      <c r="V24" s="292"/>
      <c r="W24" s="292"/>
      <c r="X24" s="290">
        <f>'GASTOS OPERATIVOS'!G145</f>
        <v>150</v>
      </c>
      <c r="AA24" s="577" t="s">
        <v>335</v>
      </c>
      <c r="AB24" s="577"/>
      <c r="AC24" s="577" t="s">
        <v>333</v>
      </c>
      <c r="AD24" s="577"/>
      <c r="AE24" s="297" t="s">
        <v>336</v>
      </c>
      <c r="AI24" s="294"/>
    </row>
    <row r="25" spans="2:35" ht="15.75" x14ac:dyDescent="0.25">
      <c r="J25" s="233" t="s">
        <v>303</v>
      </c>
      <c r="K25" s="247">
        <f>'GASTOS OPERATIVOS'!E157</f>
        <v>524.5</v>
      </c>
      <c r="L25" s="247">
        <f>K25</f>
        <v>524.5</v>
      </c>
      <c r="M25" s="247">
        <f t="shared" si="20"/>
        <v>524.5</v>
      </c>
      <c r="N25" s="247">
        <f t="shared" si="20"/>
        <v>524.5</v>
      </c>
      <c r="O25" s="406">
        <v>0</v>
      </c>
      <c r="Q25" s="217"/>
      <c r="R25" s="228" t="s">
        <v>289</v>
      </c>
      <c r="S25" s="293">
        <f>SUM(S20:S22)*(-1)</f>
        <v>-138963.94484000001</v>
      </c>
      <c r="T25" s="290">
        <f>T18-T22</f>
        <v>-7617.4813916320854</v>
      </c>
      <c r="U25" s="290">
        <f>U18-U22</f>
        <v>69121.09022123109</v>
      </c>
      <c r="V25" s="290">
        <f t="shared" ref="V25:W25" si="21">V18-V22</f>
        <v>80893.563980545106</v>
      </c>
      <c r="W25" s="290">
        <f t="shared" si="21"/>
        <v>92700.600978165734</v>
      </c>
      <c r="X25" s="290">
        <f>X18-X22+X23-X24</f>
        <v>101296.87519723996</v>
      </c>
      <c r="AA25" s="580">
        <f>AB12</f>
        <v>-138963.94484000001</v>
      </c>
      <c r="AB25" s="580"/>
      <c r="AC25" s="581">
        <f>AC18</f>
        <v>316279.28637227323</v>
      </c>
      <c r="AD25" s="581"/>
      <c r="AE25" s="409">
        <f>AA25+AC25</f>
        <v>177315.34153227322</v>
      </c>
      <c r="AG25" s="248"/>
    </row>
    <row r="26" spans="2:35" ht="18.75" customHeight="1" x14ac:dyDescent="0.25">
      <c r="G26" s="250"/>
      <c r="H26" s="250"/>
      <c r="J26" s="234" t="s">
        <v>304</v>
      </c>
      <c r="K26" s="249">
        <f>SUM(K27:K28)</f>
        <v>137743.429195776</v>
      </c>
      <c r="L26" s="249">
        <f>SUM(L27:L28)</f>
        <v>140429.42606509366</v>
      </c>
      <c r="M26" s="249">
        <f t="shared" ref="M26:O26" si="22">SUM(M27:M28)</f>
        <v>143167.79987336299</v>
      </c>
      <c r="N26" s="249">
        <f t="shared" si="22"/>
        <v>145959.57197089359</v>
      </c>
      <c r="O26" s="249">
        <f t="shared" si="22"/>
        <v>148805.78362432605</v>
      </c>
      <c r="R26" s="231" t="s">
        <v>24</v>
      </c>
      <c r="AA26" s="231" t="s">
        <v>24</v>
      </c>
      <c r="AH26" s="294"/>
    </row>
    <row r="27" spans="2:35" ht="15.75" customHeight="1" x14ac:dyDescent="0.2">
      <c r="G27" s="250"/>
      <c r="H27" s="250"/>
      <c r="J27" s="233" t="s">
        <v>305</v>
      </c>
      <c r="K27" s="247">
        <f>'GASTOS OPERATIVOS'!AE12</f>
        <v>134983.429195776</v>
      </c>
      <c r="L27" s="247">
        <f>(K27)*(1+0.0195)</f>
        <v>137615.60606509366</v>
      </c>
      <c r="M27" s="247">
        <f t="shared" ref="M27:O27" si="23">(L27)*(1+0.0195)</f>
        <v>140299.110383363</v>
      </c>
      <c r="N27" s="247">
        <f t="shared" si="23"/>
        <v>143034.9430358386</v>
      </c>
      <c r="O27" s="247">
        <f t="shared" si="23"/>
        <v>145824.12442503747</v>
      </c>
    </row>
    <row r="28" spans="2:35" ht="15.75" x14ac:dyDescent="0.2">
      <c r="G28" s="250"/>
      <c r="H28" s="250"/>
      <c r="J28" s="233" t="s">
        <v>306</v>
      </c>
      <c r="K28" s="247">
        <f>'GASTOS OPERATIVOS'!AF23</f>
        <v>2760</v>
      </c>
      <c r="L28" s="247">
        <f t="shared" ref="L28:O28" si="24">(K28)*(1+0.0195)</f>
        <v>2813.82</v>
      </c>
      <c r="M28" s="247">
        <f t="shared" si="24"/>
        <v>2868.6894900000002</v>
      </c>
      <c r="N28" s="247">
        <f t="shared" si="24"/>
        <v>2924.6289350550005</v>
      </c>
      <c r="O28" s="247">
        <f t="shared" si="24"/>
        <v>2981.6591992885733</v>
      </c>
      <c r="AA28" s="574" t="s">
        <v>45</v>
      </c>
      <c r="AB28" s="574"/>
      <c r="AC28" s="574"/>
      <c r="AD28" s="574"/>
      <c r="AE28" s="574"/>
      <c r="AF28" s="574"/>
    </row>
    <row r="29" spans="2:35" ht="15.75" x14ac:dyDescent="0.25">
      <c r="B29" s="250"/>
      <c r="C29" s="250"/>
      <c r="D29" s="250"/>
      <c r="E29" s="250"/>
      <c r="F29" s="250"/>
      <c r="G29" s="250"/>
      <c r="H29" s="250"/>
      <c r="I29" s="217" t="s">
        <v>317</v>
      </c>
      <c r="J29" s="204" t="s">
        <v>279</v>
      </c>
      <c r="K29" s="249">
        <f>K13-K14</f>
        <v>118876.69147782389</v>
      </c>
      <c r="L29" s="249">
        <f t="shared" ref="L29:O29" si="25">(K29)*(1+0.0195)</f>
        <v>121194.78696164145</v>
      </c>
      <c r="M29" s="249">
        <f t="shared" si="25"/>
        <v>123558.08530739347</v>
      </c>
      <c r="N29" s="249">
        <f t="shared" si="25"/>
        <v>125967.46797088765</v>
      </c>
      <c r="O29" s="249">
        <f t="shared" si="25"/>
        <v>128423.83359631996</v>
      </c>
      <c r="AA29" s="574" t="s">
        <v>342</v>
      </c>
      <c r="AB29" s="574"/>
      <c r="AC29" s="574"/>
      <c r="AD29" s="574"/>
      <c r="AE29" s="574"/>
      <c r="AF29" s="574"/>
    </row>
    <row r="30" spans="2:35" ht="15.75" x14ac:dyDescent="0.25">
      <c r="B30" s="250"/>
      <c r="C30" s="250"/>
      <c r="D30" s="250"/>
      <c r="E30" s="250"/>
      <c r="F30" s="250"/>
      <c r="G30" s="250"/>
      <c r="H30" s="250"/>
      <c r="J30" s="234" t="s">
        <v>307</v>
      </c>
      <c r="K30" s="249">
        <f>SUM(K31)</f>
        <v>665.42000000000007</v>
      </c>
      <c r="L30" s="249">
        <f t="shared" ref="L30:O30" si="26">SUM(L31)</f>
        <v>532.33600000000001</v>
      </c>
      <c r="M30" s="249">
        <f t="shared" si="26"/>
        <v>399.25200000000007</v>
      </c>
      <c r="N30" s="249">
        <f t="shared" si="26"/>
        <v>266.16800000000006</v>
      </c>
      <c r="O30" s="249">
        <f t="shared" si="26"/>
        <v>133.08400000000006</v>
      </c>
      <c r="AA30" s="438" t="s">
        <v>17</v>
      </c>
      <c r="AB30" s="438"/>
      <c r="AC30" s="438"/>
      <c r="AD30" s="438"/>
      <c r="AE30" s="438"/>
      <c r="AF30" s="438"/>
    </row>
    <row r="31" spans="2:35" ht="30" x14ac:dyDescent="0.25">
      <c r="B31" s="250"/>
      <c r="C31" s="250"/>
      <c r="D31" s="250"/>
      <c r="E31" s="250"/>
      <c r="F31" s="250"/>
      <c r="G31" s="250"/>
      <c r="H31" s="250"/>
      <c r="I31" s="217" t="s">
        <v>317</v>
      </c>
      <c r="J31" s="233" t="s">
        <v>308</v>
      </c>
      <c r="K31" s="247">
        <f>'GASTOS OPERATIVOS'!AN13</f>
        <v>665.42000000000007</v>
      </c>
      <c r="L31" s="247">
        <f>'GASTOS OPERATIVOS'!AN14</f>
        <v>532.33600000000001</v>
      </c>
      <c r="M31" s="247">
        <f>'GASTOS OPERATIVOS'!AN15</f>
        <v>399.25200000000007</v>
      </c>
      <c r="N31" s="247">
        <f>'GASTOS OPERATIVOS'!AN16</f>
        <v>266.16800000000006</v>
      </c>
      <c r="O31" s="247">
        <f>'GASTOS OPERATIVOS'!AN17</f>
        <v>133.08400000000006</v>
      </c>
      <c r="AA31" s="298" t="s">
        <v>335</v>
      </c>
      <c r="AB31" s="297" t="s">
        <v>337</v>
      </c>
      <c r="AC31" s="297" t="s">
        <v>338</v>
      </c>
      <c r="AD31" s="297" t="s">
        <v>339</v>
      </c>
      <c r="AE31" s="297" t="s">
        <v>340</v>
      </c>
      <c r="AF31" s="297" t="s">
        <v>341</v>
      </c>
    </row>
    <row r="32" spans="2:35" ht="15.75" x14ac:dyDescent="0.25">
      <c r="B32" s="250"/>
      <c r="C32" s="250"/>
      <c r="D32" s="250"/>
      <c r="E32" s="250"/>
      <c r="F32" s="250"/>
      <c r="G32" s="250"/>
      <c r="H32" s="250"/>
      <c r="J32" s="228" t="s">
        <v>309</v>
      </c>
      <c r="K32" s="247">
        <f>K29-K30</f>
        <v>118211.27147782389</v>
      </c>
      <c r="L32" s="247">
        <f t="shared" ref="L32:O32" si="27">L29-L30</f>
        <v>120662.45096164146</v>
      </c>
      <c r="M32" s="247">
        <f t="shared" si="27"/>
        <v>123158.83330739348</v>
      </c>
      <c r="N32" s="247">
        <f t="shared" si="27"/>
        <v>125701.29997088765</v>
      </c>
      <c r="O32" s="247">
        <f t="shared" si="27"/>
        <v>128290.74959631996</v>
      </c>
      <c r="AA32" s="411">
        <f>AA25</f>
        <v>-138963.94484000001</v>
      </c>
      <c r="AB32" s="209">
        <f>AB13</f>
        <v>-7617.4813916320854</v>
      </c>
      <c r="AC32" s="209">
        <f>AB14</f>
        <v>69121.09022123109</v>
      </c>
      <c r="AD32" s="209">
        <f>AB15</f>
        <v>80893.563980545106</v>
      </c>
      <c r="AE32" s="209">
        <f>AB16</f>
        <v>92700.600978165734</v>
      </c>
      <c r="AF32" s="209">
        <f>AB17</f>
        <v>101296.87519723996</v>
      </c>
    </row>
    <row r="33" spans="2:34" ht="15.75" x14ac:dyDescent="0.25">
      <c r="B33" s="250"/>
      <c r="C33" s="250"/>
      <c r="D33" s="250"/>
      <c r="E33" s="250"/>
      <c r="F33" s="250"/>
      <c r="G33" s="250"/>
      <c r="H33" s="250"/>
      <c r="J33" s="233"/>
      <c r="K33" s="247"/>
      <c r="L33" s="247"/>
      <c r="M33" s="247"/>
      <c r="N33" s="247"/>
      <c r="O33" s="247"/>
      <c r="AA33" s="297" t="s">
        <v>342</v>
      </c>
      <c r="AB33" s="412">
        <f>IRR(AA32:AF32)</f>
        <v>0.27962949502078938</v>
      </c>
    </row>
    <row r="34" spans="2:34" ht="15" x14ac:dyDescent="0.2">
      <c r="B34" s="250"/>
      <c r="C34" s="250"/>
      <c r="D34" s="250"/>
      <c r="E34" s="250"/>
      <c r="F34" s="250"/>
      <c r="G34" s="250"/>
      <c r="H34" s="250"/>
      <c r="I34" s="294">
        <v>0.25</v>
      </c>
      <c r="J34" s="233" t="s">
        <v>310</v>
      </c>
      <c r="K34" s="247">
        <f>K32*25%</f>
        <v>29552.817869455972</v>
      </c>
      <c r="L34" s="247">
        <f t="shared" ref="L34:O34" si="28">L32*25%</f>
        <v>30165.612740410364</v>
      </c>
      <c r="M34" s="247">
        <f t="shared" si="28"/>
        <v>30789.708326848369</v>
      </c>
      <c r="N34" s="247">
        <f t="shared" si="28"/>
        <v>31425.324992721911</v>
      </c>
      <c r="O34" s="247">
        <f t="shared" si="28"/>
        <v>32072.68739907999</v>
      </c>
      <c r="AC34" s="294"/>
    </row>
    <row r="35" spans="2:34" ht="15.75" x14ac:dyDescent="0.25">
      <c r="B35" s="250"/>
      <c r="C35" s="250"/>
      <c r="D35" s="250"/>
      <c r="E35" s="250"/>
      <c r="F35" s="250"/>
      <c r="G35" s="250"/>
      <c r="H35" s="250"/>
      <c r="J35" s="228" t="s">
        <v>311</v>
      </c>
      <c r="K35" s="249">
        <f>K32-K34</f>
        <v>88658.453608367912</v>
      </c>
      <c r="L35" s="249">
        <f t="shared" ref="L35:O35" si="29">L32-L34</f>
        <v>90496.838221231097</v>
      </c>
      <c r="M35" s="249">
        <f t="shared" si="29"/>
        <v>92369.124980545108</v>
      </c>
      <c r="N35" s="249">
        <f t="shared" si="29"/>
        <v>94275.97497816573</v>
      </c>
      <c r="O35" s="249">
        <f t="shared" si="29"/>
        <v>96218.062197239968</v>
      </c>
      <c r="AA35" s="231" t="s">
        <v>24</v>
      </c>
    </row>
    <row r="36" spans="2:34" ht="15" x14ac:dyDescent="0.2">
      <c r="J36" s="231" t="s">
        <v>24</v>
      </c>
      <c r="K36" s="121"/>
      <c r="L36" s="121"/>
      <c r="M36" s="121"/>
      <c r="N36" s="121"/>
      <c r="O36" s="121"/>
    </row>
    <row r="37" spans="2:34" ht="15.75" x14ac:dyDescent="0.2">
      <c r="J37" s="121"/>
      <c r="K37" s="121"/>
      <c r="L37" s="121"/>
      <c r="M37" s="121"/>
      <c r="N37" s="121"/>
      <c r="O37" s="121"/>
      <c r="AG37" s="407"/>
    </row>
    <row r="38" spans="2:34" ht="15.75" x14ac:dyDescent="0.2">
      <c r="J38" s="121"/>
      <c r="K38" s="121"/>
      <c r="L38" s="121"/>
      <c r="M38" s="121"/>
      <c r="N38" s="121"/>
      <c r="O38" s="121"/>
      <c r="AA38" s="574" t="s">
        <v>45</v>
      </c>
      <c r="AB38" s="574"/>
      <c r="AC38" s="574"/>
      <c r="AD38" s="407"/>
      <c r="AE38" s="407"/>
      <c r="AF38" s="407"/>
      <c r="AG38" s="407"/>
    </row>
    <row r="39" spans="2:34" ht="15.75" x14ac:dyDescent="0.2">
      <c r="J39" s="121"/>
      <c r="K39" s="121"/>
      <c r="L39" s="121"/>
      <c r="M39" s="121"/>
      <c r="N39" s="121"/>
      <c r="O39" s="121"/>
      <c r="AA39" s="574" t="s">
        <v>402</v>
      </c>
      <c r="AB39" s="574"/>
      <c r="AC39" s="574"/>
      <c r="AD39" s="407"/>
      <c r="AE39" s="407"/>
      <c r="AF39" s="407"/>
      <c r="AG39" s="408"/>
    </row>
    <row r="40" spans="2:34" ht="15.75" x14ac:dyDescent="0.2">
      <c r="J40" s="121"/>
      <c r="K40" s="121"/>
      <c r="L40" s="121"/>
      <c r="M40" s="121"/>
      <c r="N40" s="121"/>
      <c r="O40" s="121"/>
      <c r="AA40" s="438" t="s">
        <v>17</v>
      </c>
      <c r="AB40" s="438"/>
      <c r="AC40" s="438"/>
      <c r="AD40" s="408"/>
      <c r="AE40" s="408"/>
      <c r="AF40" s="408"/>
    </row>
    <row r="41" spans="2:34" ht="15.75" customHeight="1" x14ac:dyDescent="0.2">
      <c r="J41" s="121"/>
      <c r="K41" s="121"/>
      <c r="L41" s="121"/>
      <c r="M41" s="121"/>
      <c r="N41" s="121"/>
      <c r="O41" s="121"/>
      <c r="AA41" s="417" t="s">
        <v>333</v>
      </c>
      <c r="AB41" s="417" t="s">
        <v>400</v>
      </c>
      <c r="AC41" s="417" t="s">
        <v>401</v>
      </c>
      <c r="AD41" s="260"/>
      <c r="AE41" s="260"/>
      <c r="AF41" s="260"/>
      <c r="AH41" s="248"/>
    </row>
    <row r="42" spans="2:34" ht="15.75" customHeight="1" x14ac:dyDescent="0.2">
      <c r="J42" s="121"/>
      <c r="K42" s="121"/>
      <c r="L42" s="121"/>
      <c r="M42" s="121"/>
      <c r="N42" s="121"/>
      <c r="O42" s="121"/>
      <c r="AA42" s="418">
        <f>-AC25</f>
        <v>-316279.28637227323</v>
      </c>
      <c r="AB42" s="418">
        <f>AA25</f>
        <v>-138963.94484000001</v>
      </c>
      <c r="AC42" s="419">
        <f>AA42/AB42</f>
        <v>2.275980915311739</v>
      </c>
    </row>
    <row r="43" spans="2:34" ht="15.75" customHeight="1" x14ac:dyDescent="0.2">
      <c r="J43" s="121"/>
      <c r="K43" s="121"/>
      <c r="L43" s="121"/>
      <c r="M43" s="121"/>
      <c r="N43" s="121"/>
      <c r="O43" s="121"/>
      <c r="AA43" s="231" t="s">
        <v>24</v>
      </c>
    </row>
    <row r="44" spans="2:34" ht="15" customHeight="1" x14ac:dyDescent="0.2"/>
    <row r="45" spans="2:34" ht="15" customHeight="1" x14ac:dyDescent="0.2">
      <c r="AB45" s="574" t="s">
        <v>45</v>
      </c>
      <c r="AC45" s="574"/>
      <c r="AD45" s="574"/>
      <c r="AE45" s="574"/>
      <c r="AF45" s="574"/>
      <c r="AG45" s="574"/>
    </row>
    <row r="46" spans="2:34" ht="15" customHeight="1" x14ac:dyDescent="0.2">
      <c r="AB46" s="574" t="s">
        <v>399</v>
      </c>
      <c r="AC46" s="574"/>
      <c r="AD46" s="574"/>
      <c r="AE46" s="574"/>
      <c r="AF46" s="574"/>
      <c r="AG46" s="574"/>
    </row>
    <row r="47" spans="2:34" ht="15.75" x14ac:dyDescent="0.2">
      <c r="AB47" s="585" t="s">
        <v>17</v>
      </c>
      <c r="AC47" s="585"/>
      <c r="AD47" s="585"/>
      <c r="AE47" s="585"/>
      <c r="AF47" s="585"/>
      <c r="AG47" s="585"/>
    </row>
    <row r="48" spans="2:34" ht="15" x14ac:dyDescent="0.25">
      <c r="AC48" s="577" t="s">
        <v>398</v>
      </c>
      <c r="AD48" s="577"/>
      <c r="AE48" s="577"/>
      <c r="AF48" s="577"/>
      <c r="AG48" s="577"/>
    </row>
    <row r="49" spans="27:33" ht="15" x14ac:dyDescent="0.25">
      <c r="AB49" s="409">
        <f>AE25</f>
        <v>177315.34153227322</v>
      </c>
      <c r="AC49" s="299">
        <f>C14</f>
        <v>0.93738492497066661</v>
      </c>
      <c r="AD49" s="299">
        <f>AC49-0.02</f>
        <v>0.91738492497066659</v>
      </c>
      <c r="AE49" s="299">
        <f t="shared" ref="AE49:AG49" si="30">AD49-0.02</f>
        <v>0.89738492497066658</v>
      </c>
      <c r="AF49" s="299">
        <f t="shared" si="30"/>
        <v>0.87738492497066656</v>
      </c>
      <c r="AG49" s="299">
        <f t="shared" si="30"/>
        <v>0.85738492497066654</v>
      </c>
    </row>
    <row r="50" spans="27:33" x14ac:dyDescent="0.2">
      <c r="AA50" s="582" t="s">
        <v>19</v>
      </c>
      <c r="AB50" s="413">
        <f>D14</f>
        <v>75000</v>
      </c>
      <c r="AC50" s="209">
        <f t="dataTable" ref="AC50:AG54" dt2D="1" dtr="1" r1="C12" r2="D12" ca="1"/>
        <v>177315.34153227322</v>
      </c>
      <c r="AD50" s="209">
        <v>111327.81219226911</v>
      </c>
      <c r="AE50" s="209">
        <v>-20647.246487739059</v>
      </c>
      <c r="AF50" s="209">
        <v>-218609.83450775174</v>
      </c>
      <c r="AG50" s="209">
        <v>-482559.95186776808</v>
      </c>
    </row>
    <row r="51" spans="27:33" x14ac:dyDescent="0.2">
      <c r="AA51" s="583"/>
      <c r="AB51" s="413">
        <f t="shared" ref="AB51:AB54" si="31">AB50-5000</f>
        <v>70000</v>
      </c>
      <c r="AC51" s="209">
        <v>-644753.9831056965</v>
      </c>
      <c r="AD51" s="209">
        <v>-706342.34382303373</v>
      </c>
      <c r="AE51" s="209">
        <v>-829519.06525770796</v>
      </c>
      <c r="AF51" s="209">
        <v>-1014284.1474097199</v>
      </c>
      <c r="AG51" s="209">
        <v>-1260637.5902790686</v>
      </c>
    </row>
    <row r="52" spans="27:33" x14ac:dyDescent="0.2">
      <c r="AA52" s="583"/>
      <c r="AB52" s="413">
        <f t="shared" si="31"/>
        <v>65000</v>
      </c>
      <c r="AC52" s="209">
        <v>-1497042.280301587</v>
      </c>
      <c r="AD52" s="209">
        <v>-1549832.3037735901</v>
      </c>
      <c r="AE52" s="209">
        <v>-1655412.3507175969</v>
      </c>
      <c r="AF52" s="209">
        <v>-1813782.4211336067</v>
      </c>
      <c r="AG52" s="209">
        <v>-2024942.5150216201</v>
      </c>
    </row>
    <row r="53" spans="27:33" x14ac:dyDescent="0.2">
      <c r="AA53" s="583"/>
      <c r="AB53" s="413">
        <f t="shared" si="31"/>
        <v>60000</v>
      </c>
      <c r="AC53" s="209">
        <v>-2247574.4913753886</v>
      </c>
      <c r="AD53" s="209">
        <v>-2287167.0089793918</v>
      </c>
      <c r="AE53" s="209">
        <v>-2366352.0441873963</v>
      </c>
      <c r="AF53" s="209">
        <v>-2485129.596999404</v>
      </c>
      <c r="AG53" s="209">
        <v>-2643499.6674154131</v>
      </c>
    </row>
    <row r="54" spans="27:33" x14ac:dyDescent="0.2">
      <c r="AA54" s="584"/>
      <c r="AB54" s="413">
        <f t="shared" si="31"/>
        <v>55000</v>
      </c>
      <c r="AC54" s="209">
        <v>-2764375.5576470951</v>
      </c>
      <c r="AD54" s="209">
        <v>-2786371.4007604294</v>
      </c>
      <c r="AE54" s="209">
        <v>-2830363.0869870987</v>
      </c>
      <c r="AF54" s="209">
        <v>-2896350.6163271028</v>
      </c>
      <c r="AG54" s="209">
        <v>-2984333.9887804422</v>
      </c>
    </row>
    <row r="55" spans="27:33" x14ac:dyDescent="0.2">
      <c r="AB55" s="231" t="s">
        <v>24</v>
      </c>
    </row>
  </sheetData>
  <mergeCells count="46">
    <mergeCell ref="AC48:AG48"/>
    <mergeCell ref="AA50:AA54"/>
    <mergeCell ref="AB45:AG45"/>
    <mergeCell ref="AB46:AG46"/>
    <mergeCell ref="AB47:AG47"/>
    <mergeCell ref="AA28:AF28"/>
    <mergeCell ref="AA29:AF29"/>
    <mergeCell ref="AA30:AF30"/>
    <mergeCell ref="R7:X7"/>
    <mergeCell ref="R8:X8"/>
    <mergeCell ref="R9:X9"/>
    <mergeCell ref="AA7:AD7"/>
    <mergeCell ref="AA8:AD8"/>
    <mergeCell ref="AA9:AD9"/>
    <mergeCell ref="AD10:AD11"/>
    <mergeCell ref="AA24:AB24"/>
    <mergeCell ref="AA25:AB25"/>
    <mergeCell ref="AC24:AD24"/>
    <mergeCell ref="AC25:AD25"/>
    <mergeCell ref="AA21:AE21"/>
    <mergeCell ref="AA22:AE22"/>
    <mergeCell ref="F10:F11"/>
    <mergeCell ref="R10:R11"/>
    <mergeCell ref="B7:F7"/>
    <mergeCell ref="B8:F8"/>
    <mergeCell ref="B9:F9"/>
    <mergeCell ref="B10:B11"/>
    <mergeCell ref="C10:C11"/>
    <mergeCell ref="D10:D11"/>
    <mergeCell ref="E10:E11"/>
    <mergeCell ref="AA38:AC38"/>
    <mergeCell ref="AA39:AC39"/>
    <mergeCell ref="AA40:AC40"/>
    <mergeCell ref="J7:O7"/>
    <mergeCell ref="J8:O8"/>
    <mergeCell ref="J9:O9"/>
    <mergeCell ref="S10:S11"/>
    <mergeCell ref="T10:T11"/>
    <mergeCell ref="U10:U11"/>
    <mergeCell ref="V10:V11"/>
    <mergeCell ref="AA23:AE23"/>
    <mergeCell ref="W10:W11"/>
    <mergeCell ref="X10:X11"/>
    <mergeCell ref="AA10:AA11"/>
    <mergeCell ref="AB10:AB11"/>
    <mergeCell ref="AC10:AC11"/>
  </mergeCells>
  <conditionalFormatting sqref="AC50:AG54">
    <cfRule type="cellIs" dxfId="3" priority="1" operator="lessThan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paperSize="9" orientation="portrait" r:id="rId1"/>
  <ignoredErrors>
    <ignoredError sqref="L31:N3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CARÁTULA</vt:lpstr>
      <vt:lpstr>ACTIVOS FIJOS</vt:lpstr>
      <vt:lpstr>COSTOS DIFERIDOS</vt:lpstr>
      <vt:lpstr>CAPITAL DE TRABAJO</vt:lpstr>
      <vt:lpstr>INVERSIÓN Y FINANCIAMIENTO</vt:lpstr>
      <vt:lpstr>BALANCE DE APERTURA</vt:lpstr>
      <vt:lpstr>PRODUCCIÓN</vt:lpstr>
      <vt:lpstr>COSTO DE PRODUCCIÓN - INGRESOS</vt:lpstr>
      <vt:lpstr>GASTOS OPERATIVOS</vt:lpstr>
      <vt:lpstr>ANÁLISIS FINANCIERO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</dc:creator>
  <cp:lastModifiedBy>Usuario</cp:lastModifiedBy>
  <dcterms:created xsi:type="dcterms:W3CDTF">2023-09-25T01:05:40Z</dcterms:created>
  <dcterms:modified xsi:type="dcterms:W3CDTF">2023-10-30T21:39:34Z</dcterms:modified>
</cp:coreProperties>
</file>