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comments5.xml" ContentType="application/vnd.openxmlformats-officedocument.spreadsheetml.comments+xml"/>
  <Override PartName="/xl/drawings/drawing4.xml" ContentType="application/vnd.openxmlformats-officedocument.drawing+xml"/>
  <Override PartName="/xl/comments6.xml" ContentType="application/vnd.openxmlformats-officedocument.spreadsheetml.comments+xml"/>
  <Override PartName="/xl/drawings/drawing5.xml" ContentType="application/vnd.openxmlformats-officedocument.drawing+xml"/>
  <Override PartName="/xl/comments7.xml" ContentType="application/vnd.openxmlformats-officedocument.spreadsheetml.comments+xml"/>
  <Override PartName="/xl/charts/chart2.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omments8.xml" ContentType="application/vnd.openxmlformats-officedocument.spreadsheetml.comments+xml"/>
  <Override PartName="/xl/drawings/drawing8.xml" ContentType="application/vnd.openxmlformats-officedocument.drawing+xml"/>
  <Override PartName="/xl/comments9.xml" ContentType="application/vnd.openxmlformats-officedocument.spreadsheetml.comments+xml"/>
  <Override PartName="/xl/drawings/drawing9.xml" ContentType="application/vnd.openxmlformats-officedocument.drawing+xml"/>
  <Override PartName="/xl/comments10.xml" ContentType="application/vnd.openxmlformats-officedocument.spreadsheetml.comments+xml"/>
  <Override PartName="/xl/drawings/drawing10.xml" ContentType="application/vnd.openxmlformats-officedocument.drawing+xml"/>
  <Override PartName="/xl/comments11.xml" ContentType="application/vnd.openxmlformats-officedocument.spreadsheetml.comments+xml"/>
  <Override PartName="/xl/drawings/drawing11.xml" ContentType="application/vnd.openxmlformats-officedocument.drawing+xml"/>
  <Override PartName="/xl/comments12.xml" ContentType="application/vnd.openxmlformats-officedocument.spreadsheetml.comments+xml"/>
  <Override PartName="/xl/drawings/drawing12.xml" ContentType="application/vnd.openxmlformats-officedocument.drawing+xml"/>
  <Override PartName="/xl/comments13.xml" ContentType="application/vnd.openxmlformats-officedocument.spreadsheetml.comments+xml"/>
  <Override PartName="/xl/drawings/drawing13.xml" ContentType="application/vnd.openxmlformats-officedocument.drawing+xml"/>
  <Override PartName="/xl/comments14.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4.xml" ContentType="application/vnd.openxmlformats-officedocument.drawing+xml"/>
  <Override PartName="/xl/comments15.xml" ContentType="application/vnd.openxmlformats-officedocument.spreadsheetml.comments+xml"/>
  <Override PartName="/xl/drawings/drawing15.xml" ContentType="application/vnd.openxmlformats-officedocument.drawing+xml"/>
  <Override PartName="/xl/charts/chart5.xml" ContentType="application/vnd.openxmlformats-officedocument.drawingml.chart+xml"/>
  <Override PartName="/xl/comments16.xml" ContentType="application/vnd.openxmlformats-officedocument.spreadsheetml.comments+xml"/>
  <Override PartName="/xl/drawings/drawing16.xml" ContentType="application/vnd.openxmlformats-officedocument.drawing+xml"/>
  <Override PartName="/xl/comments17.xml" ContentType="application/vnd.openxmlformats-officedocument.spreadsheetml.comments+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mc:AlternateContent xmlns:mc="http://schemas.openxmlformats.org/markup-compatibility/2006">
    <mc:Choice Requires="x15">
      <x15ac:absPath xmlns:x15ac="http://schemas.microsoft.com/office/spreadsheetml/2010/11/ac" url="C:\Users\Bradley\Documents\GitHub\CougSat1-Hardware\CougSat1-RadioBoard\Documentation\Native\"/>
    </mc:Choice>
  </mc:AlternateContent>
  <xr:revisionPtr revIDLastSave="0" documentId="13_ncr:1_{9C2C27B7-0CB1-46C2-A530-BE47918517C5}" xr6:coauthVersionLast="45" xr6:coauthVersionMax="45" xr10:uidLastSave="{00000000-0000-0000-0000-000000000000}"/>
  <bookViews>
    <workbookView xWindow="28485" yWindow="1155" windowWidth="19695" windowHeight="15885" tabRatio="671" firstSheet="9" activeTab="11" xr2:uid="{00000000-000D-0000-FFFF-FFFF00000000}"/>
  </bookViews>
  <sheets>
    <sheet name="Title Page" sheetId="4" r:id="rId1"/>
    <sheet name="I.I.R.R." sheetId="19" r:id="rId2"/>
    <sheet name="Orbit &amp; Frequency" sheetId="1" r:id="rId3"/>
    <sheet name="Transmitters" sheetId="14" r:id="rId4"/>
    <sheet name="Receivers" sheetId="15" r:id="rId5"/>
    <sheet name="Antenna Gain" sheetId="9" r:id="rId6"/>
    <sheet name="Antenna Pointing Losses" sheetId="12" r:id="rId7"/>
    <sheet name="Polarization Loss" sheetId="7" r:id="rId8"/>
    <sheet name="Atmos. &amp; Ionos. Losses" sheetId="8" r:id="rId9"/>
    <sheet name="Modulation-Demodulation Method" sheetId="6" r:id="rId10"/>
    <sheet name="Uplink Budget" sheetId="5" r:id="rId11"/>
    <sheet name="Downlink Budget" sheetId="3" r:id="rId12"/>
    <sheet name="System Peformance Summary" sheetId="16" r:id="rId13"/>
    <sheet name="Antenna Patterns" sheetId="13" r:id="rId14"/>
    <sheet name="Beam Roll-Off Tool" sheetId="10" r:id="rId15"/>
    <sheet name="Beam Roll-Off Plot" sheetId="11" r:id="rId16"/>
    <sheet name="Line Loss Tools &amp; Tables" sheetId="17" r:id="rId17"/>
    <sheet name="VSWR Loss Tool" sheetId="18" r:id="rId18"/>
    <sheet name="Orbit Shape Data" sheetId="2" r:id="rId19"/>
  </sheets>
  <definedNames>
    <definedName name="boltzmann">1.38E-23</definedName>
    <definedName name="lightspeed">299792458</definedName>
    <definedName name="pathloss">20*LOG10(4*PI()*distance/wavelength)</definedName>
    <definedName name="r_1">'Polarization Loss'!$F$6</definedName>
    <definedName name="r_2">'Polarization Loss'!$F$8</definedName>
    <definedName name="theta">'Polarization Loss'!$F$10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7" i="7" l="1"/>
  <c r="Q59" i="9"/>
  <c r="Q14" i="9"/>
  <c r="J57" i="15"/>
  <c r="T126" i="15" l="1"/>
  <c r="T137" i="15"/>
  <c r="T141" i="15" s="1"/>
  <c r="T128" i="15"/>
  <c r="U63" i="15"/>
  <c r="J134" i="15"/>
  <c r="F53" i="7"/>
  <c r="F33" i="7"/>
  <c r="J41" i="12"/>
  <c r="K78" i="12"/>
  <c r="H78" i="12"/>
  <c r="E78" i="12"/>
  <c r="P78" i="12"/>
  <c r="K58" i="12"/>
  <c r="H58" i="12"/>
  <c r="E58" i="12"/>
  <c r="N61" i="9"/>
  <c r="G96" i="12"/>
  <c r="N13" i="9"/>
  <c r="Q13" i="9" s="1"/>
  <c r="J38" i="12" s="1"/>
  <c r="N14" i="9"/>
  <c r="G39" i="12" s="1"/>
  <c r="H13" i="9"/>
  <c r="B29" i="3"/>
  <c r="J116" i="15"/>
  <c r="J117" i="15"/>
  <c r="J118" i="15"/>
  <c r="J121" i="15"/>
  <c r="J142" i="15"/>
  <c r="N37" i="1"/>
  <c r="G60" i="14" s="1"/>
  <c r="C217" i="13"/>
  <c r="D217" i="13"/>
  <c r="D19" i="13"/>
  <c r="D18" i="13"/>
  <c r="D17" i="13"/>
  <c r="D16" i="13"/>
  <c r="D15" i="13"/>
  <c r="D14" i="13"/>
  <c r="D13" i="13"/>
  <c r="D12" i="13"/>
  <c r="D11" i="13"/>
  <c r="D10" i="13"/>
  <c r="D9" i="13"/>
  <c r="D20" i="13"/>
  <c r="D21" i="13"/>
  <c r="D22" i="13"/>
  <c r="D23" i="13"/>
  <c r="D24" i="13"/>
  <c r="D25" i="13"/>
  <c r="D26" i="13"/>
  <c r="D27" i="13"/>
  <c r="B22" i="1"/>
  <c r="B23" i="1" s="1"/>
  <c r="B27" i="1" s="1"/>
  <c r="E31" i="1"/>
  <c r="E32" i="1"/>
  <c r="C12" i="10"/>
  <c r="D12" i="10"/>
  <c r="E12" i="10" s="1"/>
  <c r="F12" i="10" s="1"/>
  <c r="N31" i="1"/>
  <c r="J43" i="15" s="1"/>
  <c r="I58" i="14"/>
  <c r="I60" i="14"/>
  <c r="I69" i="14" s="1"/>
  <c r="I64" i="14"/>
  <c r="G51" i="14"/>
  <c r="I51" i="14" s="1"/>
  <c r="I23" i="14"/>
  <c r="I25" i="14" s="1"/>
  <c r="I29" i="14"/>
  <c r="G16" i="14"/>
  <c r="L1" i="16"/>
  <c r="G1" i="16"/>
  <c r="D1" i="3"/>
  <c r="D1" i="5"/>
  <c r="G1" i="6"/>
  <c r="E1" i="6"/>
  <c r="M1" i="8"/>
  <c r="H1" i="8"/>
  <c r="N1" i="7"/>
  <c r="J1" i="7"/>
  <c r="K1" i="12"/>
  <c r="G1" i="12"/>
  <c r="L1" i="9"/>
  <c r="G1" i="9"/>
  <c r="K1" i="15"/>
  <c r="H1" i="15"/>
  <c r="J1" i="14"/>
  <c r="F1" i="14"/>
  <c r="E1" i="1"/>
  <c r="M1" i="19"/>
  <c r="J1" i="19"/>
  <c r="B6" i="3"/>
  <c r="B7" i="3" s="1"/>
  <c r="B8" i="3" s="1"/>
  <c r="B10" i="3"/>
  <c r="O35" i="16" s="1"/>
  <c r="E72" i="12"/>
  <c r="K81" i="12" s="1"/>
  <c r="B13" i="3" s="1"/>
  <c r="K72" i="12"/>
  <c r="R76" i="12" s="1"/>
  <c r="K91" i="12"/>
  <c r="R75" i="12"/>
  <c r="F55" i="7"/>
  <c r="F59" i="7" s="1"/>
  <c r="F60" i="7" s="1"/>
  <c r="E38" i="1"/>
  <c r="D21" i="8"/>
  <c r="D23" i="8" s="1"/>
  <c r="B16" i="5" s="1"/>
  <c r="B17" i="3"/>
  <c r="E42" i="8" s="1"/>
  <c r="E91" i="12"/>
  <c r="J96" i="12"/>
  <c r="D216" i="13"/>
  <c r="C177" i="13"/>
  <c r="D176" i="13"/>
  <c r="R77" i="12"/>
  <c r="P58" i="12"/>
  <c r="R54" i="12"/>
  <c r="V20" i="18"/>
  <c r="V18" i="18"/>
  <c r="H32" i="6"/>
  <c r="B41" i="3" s="1"/>
  <c r="O96" i="16" s="1"/>
  <c r="B6" i="5"/>
  <c r="B7" i="5" s="1"/>
  <c r="B8" i="5" s="1"/>
  <c r="B10" i="5"/>
  <c r="G76" i="16" s="1"/>
  <c r="E36" i="12"/>
  <c r="F35" i="7"/>
  <c r="F39" i="7" s="1"/>
  <c r="F40" i="7" s="1"/>
  <c r="B14" i="5" s="1"/>
  <c r="F37" i="7"/>
  <c r="B17" i="5"/>
  <c r="E29" i="8" s="1"/>
  <c r="R55" i="12"/>
  <c r="K61" i="12" s="1"/>
  <c r="E52" i="12"/>
  <c r="K52" i="12"/>
  <c r="R56" i="12" s="1"/>
  <c r="K36" i="12"/>
  <c r="B50" i="5"/>
  <c r="J45" i="15"/>
  <c r="J46" i="15"/>
  <c r="J47" i="15"/>
  <c r="O54" i="16" s="1"/>
  <c r="J50" i="15"/>
  <c r="J63" i="15"/>
  <c r="B23" i="5"/>
  <c r="B29" i="5"/>
  <c r="H5" i="6"/>
  <c r="B41" i="5" s="1"/>
  <c r="G21" i="16" s="1"/>
  <c r="L128" i="17"/>
  <c r="L124" i="17"/>
  <c r="H84" i="17"/>
  <c r="L106" i="17"/>
  <c r="L102" i="17"/>
  <c r="H90" i="17"/>
  <c r="H89" i="17"/>
  <c r="H88" i="17"/>
  <c r="H87" i="17"/>
  <c r="H86" i="17"/>
  <c r="H82" i="17"/>
  <c r="H85" i="17"/>
  <c r="L85" i="17" s="1"/>
  <c r="H83" i="17"/>
  <c r="L81" i="17"/>
  <c r="H81" i="17"/>
  <c r="H79" i="17"/>
  <c r="H78" i="17"/>
  <c r="H69" i="17"/>
  <c r="H63" i="17"/>
  <c r="H68" i="17"/>
  <c r="H67" i="17"/>
  <c r="H66" i="17"/>
  <c r="H65" i="17"/>
  <c r="H64" i="17"/>
  <c r="L64" i="17" s="1"/>
  <c r="H61" i="17"/>
  <c r="H62" i="17"/>
  <c r="L60" i="17"/>
  <c r="H60" i="17"/>
  <c r="H58" i="17"/>
  <c r="H57" i="17"/>
  <c r="H40" i="17"/>
  <c r="H43" i="17"/>
  <c r="L43" i="17" s="1"/>
  <c r="L39" i="17"/>
  <c r="H47" i="17"/>
  <c r="H46" i="17"/>
  <c r="H45" i="17"/>
  <c r="H44" i="17"/>
  <c r="H41" i="17"/>
  <c r="H39" i="17"/>
  <c r="H37" i="17"/>
  <c r="H36" i="17"/>
  <c r="Q36" i="18"/>
  <c r="H10" i="18"/>
  <c r="K10" i="18" s="1"/>
  <c r="K12" i="18"/>
  <c r="H12" i="18"/>
  <c r="H14" i="18"/>
  <c r="F59" i="16"/>
  <c r="O56" i="16"/>
  <c r="N57" i="16"/>
  <c r="L105" i="16"/>
  <c r="B33" i="3"/>
  <c r="N101" i="16" s="1"/>
  <c r="B32" i="3"/>
  <c r="N7" i="16" s="1"/>
  <c r="B35" i="3"/>
  <c r="O93" i="16" s="1"/>
  <c r="O88" i="16"/>
  <c r="G77" i="16"/>
  <c r="O75" i="16"/>
  <c r="O71" i="16"/>
  <c r="O69" i="16"/>
  <c r="O48" i="16"/>
  <c r="O62" i="16"/>
  <c r="O59" i="16"/>
  <c r="O36" i="16"/>
  <c r="O29" i="16"/>
  <c r="N27" i="16"/>
  <c r="O26" i="16"/>
  <c r="O24" i="16"/>
  <c r="O22" i="16"/>
  <c r="O20" i="16"/>
  <c r="N10" i="16"/>
  <c r="L5" i="16"/>
  <c r="N3" i="16"/>
  <c r="O18" i="16"/>
  <c r="O14" i="16" s="1"/>
  <c r="O16" i="16" s="1"/>
  <c r="G67" i="16"/>
  <c r="D10" i="16"/>
  <c r="B33" i="5"/>
  <c r="F107" i="16" s="1"/>
  <c r="B32" i="5"/>
  <c r="F20" i="16" s="1"/>
  <c r="B35" i="5"/>
  <c r="G18" i="16" s="1"/>
  <c r="F3" i="16"/>
  <c r="G25" i="16"/>
  <c r="G39" i="16"/>
  <c r="G45" i="16"/>
  <c r="G47" i="16"/>
  <c r="G53" i="16"/>
  <c r="G58" i="16"/>
  <c r="G55" i="16"/>
  <c r="G66" i="16"/>
  <c r="G84" i="16"/>
  <c r="F88" i="16"/>
  <c r="G87" i="16"/>
  <c r="G90" i="16"/>
  <c r="G93" i="16"/>
  <c r="G95" i="16"/>
  <c r="G97" i="16"/>
  <c r="D109" i="16"/>
  <c r="F11" i="9"/>
  <c r="F36" i="12" s="1"/>
  <c r="F56" i="9"/>
  <c r="F91" i="12" s="1"/>
  <c r="B39" i="5"/>
  <c r="B37" i="5"/>
  <c r="F30" i="6"/>
  <c r="B39" i="3"/>
  <c r="B37" i="3"/>
  <c r="B48" i="8"/>
  <c r="B35" i="8"/>
  <c r="R74" i="12"/>
  <c r="H45" i="9"/>
  <c r="H29" i="9"/>
  <c r="R57" i="12"/>
  <c r="J94" i="12"/>
  <c r="N58" i="9"/>
  <c r="Q58" i="9" s="1"/>
  <c r="J93" i="12" s="1"/>
  <c r="G41" i="12"/>
  <c r="F41" i="9"/>
  <c r="F72" i="12" s="1"/>
  <c r="U59" i="15"/>
  <c r="I16" i="14"/>
  <c r="D85" i="13"/>
  <c r="D84" i="13"/>
  <c r="D82" i="13"/>
  <c r="D81" i="13"/>
  <c r="D63" i="13"/>
  <c r="D62" i="13"/>
  <c r="D60" i="13"/>
  <c r="D59" i="13"/>
  <c r="C51" i="13"/>
  <c r="D51" i="13" s="1"/>
  <c r="D50" i="13"/>
  <c r="E171" i="13"/>
  <c r="D171" i="13"/>
  <c r="C100" i="13"/>
  <c r="E99" i="13"/>
  <c r="D99" i="13"/>
  <c r="F25" i="9"/>
  <c r="F52" i="12" s="1"/>
  <c r="J39" i="12"/>
  <c r="G38" i="12"/>
  <c r="E40" i="1"/>
  <c r="E34" i="1"/>
  <c r="N59" i="9"/>
  <c r="G94" i="12" s="1"/>
  <c r="J3" i="10"/>
  <c r="F7" i="10"/>
  <c r="S7" i="10" s="1"/>
  <c r="I73" i="10" s="1"/>
  <c r="C98" i="10"/>
  <c r="D98" i="10"/>
  <c r="E98" i="10"/>
  <c r="F98" i="10" s="1"/>
  <c r="C97" i="10"/>
  <c r="D97" i="10" s="1"/>
  <c r="E97" i="10" s="1"/>
  <c r="F97" i="10"/>
  <c r="C96" i="10"/>
  <c r="D96" i="10" s="1"/>
  <c r="E96" i="10" s="1"/>
  <c r="F96" i="10" s="1"/>
  <c r="C95" i="10"/>
  <c r="D95" i="10" s="1"/>
  <c r="E95" i="10" s="1"/>
  <c r="F95" i="10" s="1"/>
  <c r="C94" i="10"/>
  <c r="D94" i="10"/>
  <c r="E94" i="10" s="1"/>
  <c r="F94" i="10" s="1"/>
  <c r="C93" i="10"/>
  <c r="D93" i="10" s="1"/>
  <c r="E93" i="10" s="1"/>
  <c r="F93" i="10"/>
  <c r="C92" i="10"/>
  <c r="D92" i="10" s="1"/>
  <c r="E92" i="10" s="1"/>
  <c r="F92" i="10" s="1"/>
  <c r="C91" i="10"/>
  <c r="D91" i="10" s="1"/>
  <c r="E91" i="10" s="1"/>
  <c r="F91" i="10" s="1"/>
  <c r="C90" i="10"/>
  <c r="D90" i="10"/>
  <c r="E90" i="10" s="1"/>
  <c r="F90" i="10" s="1"/>
  <c r="C89" i="10"/>
  <c r="D89" i="10" s="1"/>
  <c r="E89" i="10" s="1"/>
  <c r="F89" i="10" s="1"/>
  <c r="C88" i="10"/>
  <c r="D88" i="10" s="1"/>
  <c r="E88" i="10" s="1"/>
  <c r="F88" i="10" s="1"/>
  <c r="C87" i="10"/>
  <c r="D87" i="10" s="1"/>
  <c r="E87" i="10" s="1"/>
  <c r="F87" i="10" s="1"/>
  <c r="C86" i="10"/>
  <c r="D86" i="10" s="1"/>
  <c r="E86" i="10" s="1"/>
  <c r="F86" i="10" s="1"/>
  <c r="C85" i="10"/>
  <c r="D85" i="10" s="1"/>
  <c r="E85" i="10"/>
  <c r="F85" i="10" s="1"/>
  <c r="C84" i="10"/>
  <c r="D84" i="10" s="1"/>
  <c r="E84" i="10" s="1"/>
  <c r="F84" i="10" s="1"/>
  <c r="C83" i="10"/>
  <c r="D83" i="10" s="1"/>
  <c r="E83" i="10" s="1"/>
  <c r="F83" i="10" s="1"/>
  <c r="C82" i="10"/>
  <c r="D82" i="10" s="1"/>
  <c r="E82" i="10" s="1"/>
  <c r="F82" i="10" s="1"/>
  <c r="C81" i="10"/>
  <c r="D81" i="10"/>
  <c r="E81" i="10" s="1"/>
  <c r="F81" i="10" s="1"/>
  <c r="C80" i="10"/>
  <c r="D80" i="10"/>
  <c r="E80" i="10"/>
  <c r="F80" i="10" s="1"/>
  <c r="C79" i="10"/>
  <c r="D79" i="10"/>
  <c r="E79" i="10" s="1"/>
  <c r="F79" i="10" s="1"/>
  <c r="C78" i="10"/>
  <c r="D78" i="10" s="1"/>
  <c r="E78" i="10" s="1"/>
  <c r="F78" i="10" s="1"/>
  <c r="I77" i="10"/>
  <c r="C77" i="10"/>
  <c r="D77" i="10"/>
  <c r="E77" i="10" s="1"/>
  <c r="F77" i="10" s="1"/>
  <c r="C76" i="10"/>
  <c r="D76" i="10" s="1"/>
  <c r="E76" i="10" s="1"/>
  <c r="F76" i="10"/>
  <c r="C75" i="10"/>
  <c r="D75" i="10" s="1"/>
  <c r="E75" i="10" s="1"/>
  <c r="F75" i="10" s="1"/>
  <c r="C74" i="10"/>
  <c r="D74" i="10" s="1"/>
  <c r="E74" i="10"/>
  <c r="F74" i="10" s="1"/>
  <c r="C73" i="10"/>
  <c r="D73" i="10"/>
  <c r="E73" i="10"/>
  <c r="F73" i="10" s="1"/>
  <c r="C72" i="10"/>
  <c r="D72" i="10"/>
  <c r="E72" i="10"/>
  <c r="F72" i="10" s="1"/>
  <c r="C71" i="10"/>
  <c r="D71" i="10"/>
  <c r="E71" i="10"/>
  <c r="F71" i="10" s="1"/>
  <c r="C70" i="10"/>
  <c r="D70" i="10" s="1"/>
  <c r="E70" i="10" s="1"/>
  <c r="F70" i="10" s="1"/>
  <c r="C69" i="10"/>
  <c r="D69" i="10" s="1"/>
  <c r="E69" i="10" s="1"/>
  <c r="F69" i="10" s="1"/>
  <c r="C68" i="10"/>
  <c r="D68" i="10"/>
  <c r="E68" i="10" s="1"/>
  <c r="F68" i="10" s="1"/>
  <c r="C67" i="10"/>
  <c r="D67" i="10" s="1"/>
  <c r="E67" i="10" s="1"/>
  <c r="F67" i="10" s="1"/>
  <c r="C66" i="10"/>
  <c r="D66" i="10" s="1"/>
  <c r="E66" i="10" s="1"/>
  <c r="F66" i="10" s="1"/>
  <c r="C65" i="10"/>
  <c r="D65" i="10"/>
  <c r="E65" i="10"/>
  <c r="F65" i="10"/>
  <c r="C64" i="10"/>
  <c r="D64" i="10"/>
  <c r="E64" i="10"/>
  <c r="F64" i="10" s="1"/>
  <c r="C63" i="10"/>
  <c r="D63" i="10"/>
  <c r="E63" i="10" s="1"/>
  <c r="F63" i="10" s="1"/>
  <c r="C62" i="10"/>
  <c r="D62" i="10"/>
  <c r="E62" i="10" s="1"/>
  <c r="F62" i="10" s="1"/>
  <c r="I61" i="10"/>
  <c r="C61" i="10"/>
  <c r="D61" i="10" s="1"/>
  <c r="E61" i="10" s="1"/>
  <c r="F61" i="10" s="1"/>
  <c r="C60" i="10"/>
  <c r="D60" i="10" s="1"/>
  <c r="E60" i="10" s="1"/>
  <c r="F60" i="10" s="1"/>
  <c r="C59" i="10"/>
  <c r="D59" i="10"/>
  <c r="E59" i="10" s="1"/>
  <c r="F59" i="10" s="1"/>
  <c r="C58" i="10"/>
  <c r="D58" i="10" s="1"/>
  <c r="E58" i="10" s="1"/>
  <c r="F58" i="10" s="1"/>
  <c r="C57" i="10"/>
  <c r="D57" i="10"/>
  <c r="E57" i="10"/>
  <c r="F57" i="10" s="1"/>
  <c r="C56" i="10"/>
  <c r="D56" i="10"/>
  <c r="E56" i="10"/>
  <c r="F56" i="10" s="1"/>
  <c r="C55" i="10"/>
  <c r="D55" i="10"/>
  <c r="E55" i="10"/>
  <c r="F55" i="10" s="1"/>
  <c r="C54" i="10"/>
  <c r="D54" i="10"/>
  <c r="E54" i="10"/>
  <c r="F54" i="10" s="1"/>
  <c r="C53" i="10"/>
  <c r="D53" i="10" s="1"/>
  <c r="E53" i="10" s="1"/>
  <c r="F53" i="10" s="1"/>
  <c r="C52" i="10"/>
  <c r="D52" i="10"/>
  <c r="E52" i="10" s="1"/>
  <c r="F52" i="10" s="1"/>
  <c r="C51" i="10"/>
  <c r="D51" i="10" s="1"/>
  <c r="E51" i="10" s="1"/>
  <c r="F51" i="10"/>
  <c r="C50" i="10"/>
  <c r="D50" i="10" s="1"/>
  <c r="E50" i="10" s="1"/>
  <c r="F50" i="10" s="1"/>
  <c r="C49" i="10"/>
  <c r="D49" i="10"/>
  <c r="E49" i="10" s="1"/>
  <c r="F49" i="10" s="1"/>
  <c r="C48" i="10"/>
  <c r="D48" i="10"/>
  <c r="E48" i="10"/>
  <c r="F48" i="10" s="1"/>
  <c r="C47" i="10"/>
  <c r="D47" i="10"/>
  <c r="E47" i="10" s="1"/>
  <c r="F47" i="10" s="1"/>
  <c r="C46" i="10"/>
  <c r="D46" i="10"/>
  <c r="E46" i="10" s="1"/>
  <c r="F46" i="10" s="1"/>
  <c r="C45" i="10"/>
  <c r="D45" i="10"/>
  <c r="E45" i="10" s="1"/>
  <c r="F45" i="10" s="1"/>
  <c r="C44" i="10"/>
  <c r="D44" i="10" s="1"/>
  <c r="E44" i="10" s="1"/>
  <c r="F44" i="10" s="1"/>
  <c r="C43" i="10"/>
  <c r="D43" i="10"/>
  <c r="E43" i="10" s="1"/>
  <c r="F43" i="10" s="1"/>
  <c r="C42" i="10"/>
  <c r="D42" i="10" s="1"/>
  <c r="E42" i="10"/>
  <c r="F42" i="10"/>
  <c r="I41" i="10"/>
  <c r="C41" i="10"/>
  <c r="D41" i="10"/>
  <c r="E41" i="10"/>
  <c r="F41" i="10" s="1"/>
  <c r="C40" i="10"/>
  <c r="D40" i="10"/>
  <c r="E40" i="10"/>
  <c r="F40" i="10"/>
  <c r="C39" i="10"/>
  <c r="D39" i="10"/>
  <c r="E39" i="10"/>
  <c r="F39" i="10" s="1"/>
  <c r="C38" i="10"/>
  <c r="D38" i="10"/>
  <c r="E38" i="10" s="1"/>
  <c r="F38" i="10" s="1"/>
  <c r="C37" i="10"/>
  <c r="D37" i="10" s="1"/>
  <c r="E37" i="10" s="1"/>
  <c r="F37" i="10"/>
  <c r="C36" i="10"/>
  <c r="D36" i="10"/>
  <c r="E36" i="10" s="1"/>
  <c r="F36" i="10" s="1"/>
  <c r="C35" i="10"/>
  <c r="D35" i="10" s="1"/>
  <c r="E35" i="10" s="1"/>
  <c r="F35" i="10" s="1"/>
  <c r="I34" i="10"/>
  <c r="C34" i="10"/>
  <c r="D34" i="10" s="1"/>
  <c r="E34" i="10" s="1"/>
  <c r="F34" i="10" s="1"/>
  <c r="C33" i="10"/>
  <c r="D33" i="10"/>
  <c r="E33" i="10"/>
  <c r="F33" i="10" s="1"/>
  <c r="C32" i="10"/>
  <c r="D32" i="10"/>
  <c r="E32" i="10"/>
  <c r="F32" i="10" s="1"/>
  <c r="C31" i="10"/>
  <c r="D31" i="10"/>
  <c r="E31" i="10"/>
  <c r="F31" i="10"/>
  <c r="C30" i="10"/>
  <c r="D30" i="10"/>
  <c r="E30" i="10" s="1"/>
  <c r="F30" i="10" s="1"/>
  <c r="I29" i="10"/>
  <c r="C29" i="10"/>
  <c r="D29" i="10" s="1"/>
  <c r="E29" i="10" s="1"/>
  <c r="F29" i="10" s="1"/>
  <c r="C28" i="10"/>
  <c r="D28" i="10" s="1"/>
  <c r="E28" i="10"/>
  <c r="F28" i="10"/>
  <c r="C27" i="10"/>
  <c r="D27" i="10" s="1"/>
  <c r="E27" i="10" s="1"/>
  <c r="F27" i="10" s="1"/>
  <c r="C26" i="10"/>
  <c r="D26" i="10"/>
  <c r="E26" i="10"/>
  <c r="F26" i="10" s="1"/>
  <c r="C25" i="10"/>
  <c r="D25" i="10"/>
  <c r="E25" i="10" s="1"/>
  <c r="F25" i="10" s="1"/>
  <c r="I24" i="10"/>
  <c r="C24" i="10"/>
  <c r="D24" i="10" s="1"/>
  <c r="E24" i="10" s="1"/>
  <c r="F24" i="10" s="1"/>
  <c r="C23" i="10"/>
  <c r="D23" i="10" s="1"/>
  <c r="E23" i="10" s="1"/>
  <c r="F23" i="10"/>
  <c r="I22" i="10"/>
  <c r="C22" i="10"/>
  <c r="D22" i="10" s="1"/>
  <c r="E22" i="10" s="1"/>
  <c r="F22" i="10" s="1"/>
  <c r="C21" i="10"/>
  <c r="D21" i="10"/>
  <c r="E21" i="10" s="1"/>
  <c r="F21" i="10" s="1"/>
  <c r="C20" i="10"/>
  <c r="D20" i="10"/>
  <c r="E20" i="10" s="1"/>
  <c r="F20" i="10" s="1"/>
  <c r="C19" i="10"/>
  <c r="D19" i="10"/>
  <c r="E19" i="10" s="1"/>
  <c r="F19" i="10" s="1"/>
  <c r="C18" i="10"/>
  <c r="D18" i="10" s="1"/>
  <c r="E18" i="10" s="1"/>
  <c r="F18" i="10"/>
  <c r="I17" i="10"/>
  <c r="C17" i="10"/>
  <c r="D17" i="10" s="1"/>
  <c r="E17" i="10" s="1"/>
  <c r="F17" i="10" s="1"/>
  <c r="C16" i="10"/>
  <c r="D16" i="10"/>
  <c r="E16" i="10"/>
  <c r="F16" i="10" s="1"/>
  <c r="C15" i="10"/>
  <c r="D15" i="10"/>
  <c r="E15" i="10"/>
  <c r="F15" i="10" s="1"/>
  <c r="C14" i="10"/>
  <c r="D14" i="10"/>
  <c r="E14" i="10" s="1"/>
  <c r="F14" i="10" s="1"/>
  <c r="C13" i="10"/>
  <c r="D13" i="10" s="1"/>
  <c r="E13" i="10" s="1"/>
  <c r="F13" i="10" s="1"/>
  <c r="I12" i="10"/>
  <c r="C11" i="10"/>
  <c r="D11" i="10" s="1"/>
  <c r="E11" i="10" s="1"/>
  <c r="F5" i="10"/>
  <c r="F3" i="6"/>
  <c r="E39" i="1"/>
  <c r="E33" i="1"/>
  <c r="E37" i="1"/>
  <c r="A1" i="3"/>
  <c r="D2" i="3"/>
  <c r="F2" i="3"/>
  <c r="F1" i="3"/>
  <c r="A2" i="1"/>
  <c r="K1" i="1"/>
  <c r="I1" i="1"/>
  <c r="B13" i="1"/>
  <c r="B12" i="1"/>
  <c r="B18" i="1" s="1"/>
  <c r="E40" i="2"/>
  <c r="F4" i="2"/>
  <c r="F5" i="2"/>
  <c r="E4" i="2" s="1"/>
  <c r="C4" i="2"/>
  <c r="B3" i="2"/>
  <c r="F43" i="2"/>
  <c r="E43" i="2" s="1"/>
  <c r="F44" i="2"/>
  <c r="E44" i="2" s="1"/>
  <c r="E42" i="2"/>
  <c r="E41" i="2"/>
  <c r="C43" i="2"/>
  <c r="C44" i="2" s="1"/>
  <c r="B43" i="2"/>
  <c r="B42" i="2"/>
  <c r="A1" i="5"/>
  <c r="D2" i="5"/>
  <c r="F2" i="5"/>
  <c r="R38" i="12"/>
  <c r="K43" i="12" s="1"/>
  <c r="B13" i="5" s="1"/>
  <c r="F45" i="2"/>
  <c r="E45" i="2" s="1"/>
  <c r="C5" i="2"/>
  <c r="B4" i="2"/>
  <c r="B19" i="1"/>
  <c r="C101" i="13"/>
  <c r="D100" i="13"/>
  <c r="E100" i="13"/>
  <c r="E3" i="2"/>
  <c r="I84" i="10"/>
  <c r="I80" i="10"/>
  <c r="I76" i="10"/>
  <c r="I52" i="10"/>
  <c r="I48" i="10"/>
  <c r="I44" i="10"/>
  <c r="I87" i="10"/>
  <c r="I83" i="10"/>
  <c r="I79" i="10"/>
  <c r="I55" i="10"/>
  <c r="I51" i="10"/>
  <c r="I47" i="10"/>
  <c r="I23" i="10"/>
  <c r="I19" i="10"/>
  <c r="I15" i="10"/>
  <c r="I82" i="10"/>
  <c r="I93" i="10"/>
  <c r="O65" i="16"/>
  <c r="G51" i="16"/>
  <c r="N95" i="16"/>
  <c r="F104" i="16"/>
  <c r="C178" i="13"/>
  <c r="C179" i="13" s="1"/>
  <c r="D179" i="13" s="1"/>
  <c r="D177" i="13"/>
  <c r="C218" i="13"/>
  <c r="B5" i="2"/>
  <c r="C6" i="2"/>
  <c r="D178" i="13"/>
  <c r="C219" i="13"/>
  <c r="D218" i="13"/>
  <c r="F46" i="2"/>
  <c r="E46" i="2" s="1"/>
  <c r="C220" i="13"/>
  <c r="D220" i="13" s="1"/>
  <c r="D219" i="13"/>
  <c r="C180" i="13"/>
  <c r="D180" i="13" s="1"/>
  <c r="C7" i="2"/>
  <c r="C8" i="2" s="1"/>
  <c r="C9" i="2" s="1"/>
  <c r="B6" i="2"/>
  <c r="B7" i="2"/>
  <c r="C221" i="13"/>
  <c r="B8" i="2"/>
  <c r="B9" i="2"/>
  <c r="C10" i="2"/>
  <c r="C11" i="2" s="1"/>
  <c r="B10" i="2"/>
  <c r="T139" i="15" l="1"/>
  <c r="J128" i="15" s="1"/>
  <c r="F14" i="16"/>
  <c r="F44" i="7"/>
  <c r="F45" i="7" s="1"/>
  <c r="F43" i="7"/>
  <c r="B49" i="3"/>
  <c r="B23" i="3"/>
  <c r="O47" i="16" s="1"/>
  <c r="B24" i="1"/>
  <c r="D221" i="13"/>
  <c r="C222" i="13"/>
  <c r="C45" i="2"/>
  <c r="B44" i="2"/>
  <c r="I57" i="10"/>
  <c r="C52" i="13"/>
  <c r="C102" i="13"/>
  <c r="E101" i="13"/>
  <c r="D101" i="13"/>
  <c r="I66" i="10"/>
  <c r="B14" i="3"/>
  <c r="C12" i="2"/>
  <c r="B11" i="2"/>
  <c r="C181" i="13"/>
  <c r="I50" i="10"/>
  <c r="F64" i="7"/>
  <c r="F65" i="7" s="1"/>
  <c r="F63" i="7"/>
  <c r="I45" i="10"/>
  <c r="B22" i="5"/>
  <c r="B49" i="5"/>
  <c r="O23" i="18"/>
  <c r="F47" i="2"/>
  <c r="G93" i="12"/>
  <c r="I78" i="10"/>
  <c r="I62" i="10"/>
  <c r="I46" i="10"/>
  <c r="I30" i="10"/>
  <c r="I25" i="10"/>
  <c r="I20" i="10"/>
  <c r="I72" i="10"/>
  <c r="I40" i="10"/>
  <c r="I75" i="10"/>
  <c r="I43" i="10"/>
  <c r="I11" i="10"/>
  <c r="I97" i="10"/>
  <c r="I69" i="10"/>
  <c r="I53" i="10"/>
  <c r="I37" i="10"/>
  <c r="I18" i="10"/>
  <c r="I13" i="10"/>
  <c r="I68" i="10"/>
  <c r="I36" i="10"/>
  <c r="I71" i="10"/>
  <c r="I39" i="10"/>
  <c r="I98" i="10"/>
  <c r="I89" i="10"/>
  <c r="I74" i="10"/>
  <c r="I58" i="10"/>
  <c r="I42" i="10"/>
  <c r="I28" i="10"/>
  <c r="I96" i="10"/>
  <c r="I64" i="10"/>
  <c r="I32" i="10"/>
  <c r="I67" i="10"/>
  <c r="I35" i="10"/>
  <c r="I94" i="10"/>
  <c r="I81" i="10"/>
  <c r="I65" i="10"/>
  <c r="I49" i="10"/>
  <c r="I33" i="10"/>
  <c r="I26" i="10"/>
  <c r="I21" i="10"/>
  <c r="I16" i="10"/>
  <c r="I92" i="10"/>
  <c r="I60" i="10"/>
  <c r="I95" i="10"/>
  <c r="I63" i="10"/>
  <c r="I31" i="10"/>
  <c r="I90" i="10"/>
  <c r="I85" i="10"/>
  <c r="I70" i="10"/>
  <c r="I54" i="10"/>
  <c r="I38" i="10"/>
  <c r="I14" i="10"/>
  <c r="I88" i="10"/>
  <c r="I56" i="10"/>
  <c r="I91" i="10"/>
  <c r="I59" i="10"/>
  <c r="I27" i="10"/>
  <c r="I86" i="10"/>
  <c r="R93" i="12"/>
  <c r="K98" i="12" s="1"/>
  <c r="B22" i="3" s="1"/>
  <c r="F6" i="2"/>
  <c r="F38" i="9"/>
  <c r="F53" i="9" s="1"/>
  <c r="F88" i="12" s="1"/>
  <c r="J124" i="15"/>
  <c r="B24" i="3" s="1"/>
  <c r="J126" i="15"/>
  <c r="B50" i="3"/>
  <c r="J53" i="15"/>
  <c r="G61" i="16"/>
  <c r="I34" i="14"/>
  <c r="G82" i="16" s="1"/>
  <c r="O31" i="16"/>
  <c r="B9" i="3"/>
  <c r="B11" i="3" s="1"/>
  <c r="O38" i="16" s="1"/>
  <c r="B9" i="5"/>
  <c r="B11" i="5" s="1"/>
  <c r="G74" i="16" s="1"/>
  <c r="I71" i="14"/>
  <c r="H39" i="1"/>
  <c r="H37" i="1"/>
  <c r="H38" i="1"/>
  <c r="H31" i="1"/>
  <c r="H40" i="1"/>
  <c r="B15" i="3" s="1"/>
  <c r="H34" i="1"/>
  <c r="H32" i="1"/>
  <c r="B15" i="5" s="1"/>
  <c r="G69" i="16" s="1"/>
  <c r="H33" i="1"/>
  <c r="K53" i="9"/>
  <c r="Q60" i="9"/>
  <c r="J95" i="12" s="1"/>
  <c r="N60" i="9"/>
  <c r="G95" i="12" s="1"/>
  <c r="B20" i="1"/>
  <c r="J114" i="15"/>
  <c r="G25" i="14"/>
  <c r="F70" i="12"/>
  <c r="K38" i="9"/>
  <c r="K70" i="12" s="1"/>
  <c r="B16" i="3"/>
  <c r="F8" i="9"/>
  <c r="J147" i="15" l="1"/>
  <c r="B51" i="3" s="1"/>
  <c r="B48" i="3"/>
  <c r="I36" i="14"/>
  <c r="F48" i="2"/>
  <c r="E47" i="2"/>
  <c r="C182" i="13"/>
  <c r="D181" i="13"/>
  <c r="D102" i="13"/>
  <c r="C103" i="13"/>
  <c r="E102" i="13"/>
  <c r="C13" i="2"/>
  <c r="B12" i="2"/>
  <c r="F7" i="2"/>
  <c r="E5" i="2"/>
  <c r="B45" i="2"/>
  <c r="C46" i="2"/>
  <c r="C53" i="13"/>
  <c r="D52" i="13"/>
  <c r="C223" i="13"/>
  <c r="D222" i="13"/>
  <c r="B51" i="5"/>
  <c r="B24" i="5"/>
  <c r="G49" i="16"/>
  <c r="J55" i="15"/>
  <c r="J68" i="15" s="1"/>
  <c r="O67" i="16"/>
  <c r="U61" i="9"/>
  <c r="U58" i="9"/>
  <c r="K88" i="12"/>
  <c r="U59" i="9"/>
  <c r="Q15" i="9"/>
  <c r="J40" i="12" s="1"/>
  <c r="N15" i="9"/>
  <c r="G40" i="12" s="1"/>
  <c r="K8" i="9"/>
  <c r="F33" i="12"/>
  <c r="F22" i="9"/>
  <c r="F72" i="16"/>
  <c r="N41" i="16"/>
  <c r="O43" i="16"/>
  <c r="B19" i="3"/>
  <c r="B19" i="5"/>
  <c r="B25" i="3" l="1"/>
  <c r="B26" i="3" s="1"/>
  <c r="B27" i="3" s="1"/>
  <c r="B30" i="3" s="1"/>
  <c r="C54" i="13"/>
  <c r="D53" i="13"/>
  <c r="D103" i="13"/>
  <c r="C104" i="13"/>
  <c r="E103" i="13"/>
  <c r="C183" i="13"/>
  <c r="D182" i="13"/>
  <c r="E6" i="2"/>
  <c r="F8" i="2"/>
  <c r="E48" i="2"/>
  <c r="F49" i="2"/>
  <c r="C47" i="2"/>
  <c r="B46" i="2"/>
  <c r="C224" i="13"/>
  <c r="D223" i="13"/>
  <c r="C14" i="2"/>
  <c r="B13" i="2"/>
  <c r="B52" i="5"/>
  <c r="B59" i="5" s="1"/>
  <c r="B25" i="5"/>
  <c r="G36" i="16" s="1"/>
  <c r="B58" i="3"/>
  <c r="B52" i="3"/>
  <c r="B55" i="5"/>
  <c r="U16" i="9"/>
  <c r="U13" i="9"/>
  <c r="K33" i="12"/>
  <c r="U14" i="9"/>
  <c r="B54" i="3"/>
  <c r="K22" i="9"/>
  <c r="K50" i="12" s="1"/>
  <c r="F50" i="12"/>
  <c r="B60" i="3" l="1"/>
  <c r="L109" i="16" s="1"/>
  <c r="B61" i="5"/>
  <c r="B65" i="5" s="1"/>
  <c r="F7" i="16" s="1"/>
  <c r="G7" i="16" s="1"/>
  <c r="B53" i="5"/>
  <c r="C184" i="13"/>
  <c r="D183" i="13"/>
  <c r="C15" i="2"/>
  <c r="B14" i="2"/>
  <c r="C225" i="13"/>
  <c r="D224" i="13"/>
  <c r="B47" i="2"/>
  <c r="C48" i="2"/>
  <c r="D104" i="13"/>
  <c r="C105" i="13"/>
  <c r="E104" i="13"/>
  <c r="E49" i="2"/>
  <c r="F50" i="2"/>
  <c r="F9" i="2"/>
  <c r="E7" i="2"/>
  <c r="C55" i="13"/>
  <c r="D54" i="13"/>
  <c r="B26" i="5"/>
  <c r="B43" i="3"/>
  <c r="O107" i="16" s="1"/>
  <c r="P107" i="16" s="1"/>
  <c r="L107" i="16"/>
  <c r="B64" i="3" l="1"/>
  <c r="O109" i="16" s="1"/>
  <c r="P109" i="16" s="1"/>
  <c r="C7" i="16"/>
  <c r="B48" i="2"/>
  <c r="C49" i="2"/>
  <c r="D55" i="13"/>
  <c r="C56" i="13"/>
  <c r="B15" i="2"/>
  <c r="C16" i="2"/>
  <c r="E8" i="2"/>
  <c r="F10" i="2"/>
  <c r="D225" i="13"/>
  <c r="C226" i="13"/>
  <c r="E105" i="13"/>
  <c r="D105" i="13"/>
  <c r="C106" i="13"/>
  <c r="E50" i="2"/>
  <c r="F51" i="2"/>
  <c r="D184" i="13"/>
  <c r="C185" i="13"/>
  <c r="G34" i="16"/>
  <c r="B27" i="5"/>
  <c r="B30" i="5" s="1"/>
  <c r="F52" i="2" l="1"/>
  <c r="E51" i="2"/>
  <c r="D56" i="13"/>
  <c r="C57" i="13"/>
  <c r="C17" i="2"/>
  <c r="B16" i="2"/>
  <c r="F11" i="2"/>
  <c r="E9" i="2"/>
  <c r="C227" i="13"/>
  <c r="D226" i="13"/>
  <c r="C50" i="2"/>
  <c r="B49" i="2"/>
  <c r="D106" i="13"/>
  <c r="C107" i="13"/>
  <c r="E106" i="13"/>
  <c r="C186" i="13"/>
  <c r="D185" i="13"/>
  <c r="B43" i="5"/>
  <c r="F5" i="16" s="1"/>
  <c r="G5" i="16" s="1"/>
  <c r="C5" i="16"/>
  <c r="F12" i="2" l="1"/>
  <c r="E10" i="2"/>
  <c r="D107" i="13"/>
  <c r="E107" i="13"/>
  <c r="C108" i="13"/>
  <c r="B17" i="2"/>
  <c r="C18" i="2"/>
  <c r="C187" i="13"/>
  <c r="D186" i="13"/>
  <c r="C58" i="13"/>
  <c r="D57" i="13"/>
  <c r="C51" i="2"/>
  <c r="B50" i="2"/>
  <c r="C228" i="13"/>
  <c r="D227" i="13"/>
  <c r="F53" i="2"/>
  <c r="E52" i="2"/>
  <c r="C229" i="13" l="1"/>
  <c r="D228" i="13"/>
  <c r="E53" i="2"/>
  <c r="F54" i="2"/>
  <c r="C188" i="13"/>
  <c r="D187" i="13"/>
  <c r="C19" i="2"/>
  <c r="B18" i="2"/>
  <c r="C109" i="13"/>
  <c r="E108" i="13"/>
  <c r="D108" i="13"/>
  <c r="B51" i="2"/>
  <c r="C52" i="2"/>
  <c r="D58" i="13"/>
  <c r="C61" i="13"/>
  <c r="C64" i="13" s="1"/>
  <c r="F13" i="2"/>
  <c r="E11" i="2"/>
  <c r="D188" i="13" l="1"/>
  <c r="C189" i="13"/>
  <c r="F14" i="2"/>
  <c r="E12" i="2"/>
  <c r="E54" i="2"/>
  <c r="F55" i="2"/>
  <c r="C20" i="2"/>
  <c r="B19" i="2"/>
  <c r="C65" i="13"/>
  <c r="D64" i="13"/>
  <c r="C53" i="2"/>
  <c r="B52" i="2"/>
  <c r="C110" i="13"/>
  <c r="D109" i="13"/>
  <c r="E109" i="13"/>
  <c r="C230" i="13"/>
  <c r="D229" i="13"/>
  <c r="D65" i="13" l="1"/>
  <c r="C66" i="13"/>
  <c r="C231" i="13"/>
  <c r="D230" i="13"/>
  <c r="C21" i="2"/>
  <c r="B20" i="2"/>
  <c r="E55" i="2"/>
  <c r="F56" i="2"/>
  <c r="E110" i="13"/>
  <c r="D110" i="13"/>
  <c r="C111" i="13"/>
  <c r="C54" i="2"/>
  <c r="B53" i="2"/>
  <c r="F15" i="2"/>
  <c r="E13" i="2"/>
  <c r="C190" i="13"/>
  <c r="D189" i="13"/>
  <c r="C191" i="13" l="1"/>
  <c r="D190" i="13"/>
  <c r="B21" i="2"/>
  <c r="C22" i="2"/>
  <c r="E56" i="2"/>
  <c r="F57" i="2"/>
  <c r="C55" i="2"/>
  <c r="B54" i="2"/>
  <c r="C112" i="13"/>
  <c r="E111" i="13"/>
  <c r="D111" i="13"/>
  <c r="D231" i="13"/>
  <c r="C232" i="13"/>
  <c r="E14" i="2"/>
  <c r="F16" i="2"/>
  <c r="D66" i="13"/>
  <c r="C67" i="13"/>
  <c r="C23" i="2" l="1"/>
  <c r="B22" i="2"/>
  <c r="B55" i="2"/>
  <c r="C56" i="2"/>
  <c r="C233" i="13"/>
  <c r="D232" i="13"/>
  <c r="F17" i="2"/>
  <c r="E15" i="2"/>
  <c r="F58" i="2"/>
  <c r="E57" i="2"/>
  <c r="C68" i="13"/>
  <c r="D67" i="13"/>
  <c r="D112" i="13"/>
  <c r="C113" i="13"/>
  <c r="E112" i="13"/>
  <c r="D191" i="13"/>
  <c r="C192" i="13"/>
  <c r="C24" i="2" l="1"/>
  <c r="B23" i="2"/>
  <c r="E58" i="2"/>
  <c r="F59" i="2"/>
  <c r="C234" i="13"/>
  <c r="D233" i="13"/>
  <c r="C69" i="13"/>
  <c r="D68" i="13"/>
  <c r="D192" i="13"/>
  <c r="C193" i="13"/>
  <c r="E16" i="2"/>
  <c r="F18" i="2"/>
  <c r="E113" i="13"/>
  <c r="D113" i="13"/>
  <c r="C114" i="13"/>
  <c r="C57" i="2"/>
  <c r="B56" i="2"/>
  <c r="C58" i="2" l="1"/>
  <c r="B57" i="2"/>
  <c r="D69" i="13"/>
  <c r="C70" i="13"/>
  <c r="D234" i="13"/>
  <c r="C235" i="13"/>
  <c r="C115" i="13"/>
  <c r="E114" i="13"/>
  <c r="D114" i="13"/>
  <c r="F19" i="2"/>
  <c r="E17" i="2"/>
  <c r="F60" i="2"/>
  <c r="E59" i="2"/>
  <c r="C194" i="13"/>
  <c r="D193" i="13"/>
  <c r="C25" i="2"/>
  <c r="B24" i="2"/>
  <c r="D70" i="13" l="1"/>
  <c r="C71" i="13"/>
  <c r="B25" i="2"/>
  <c r="C26" i="2"/>
  <c r="D115" i="13"/>
  <c r="C116" i="13"/>
  <c r="E115" i="13"/>
  <c r="C236" i="13"/>
  <c r="D235" i="13"/>
  <c r="D194" i="13"/>
  <c r="C195" i="13"/>
  <c r="F61" i="2"/>
  <c r="E60" i="2"/>
  <c r="F20" i="2"/>
  <c r="E18" i="2"/>
  <c r="C59" i="2"/>
  <c r="B58" i="2"/>
  <c r="E61" i="2" l="1"/>
  <c r="F62" i="2"/>
  <c r="D195" i="13"/>
  <c r="C196" i="13"/>
  <c r="C237" i="13"/>
  <c r="D236" i="13"/>
  <c r="F21" i="2"/>
  <c r="E19" i="2"/>
  <c r="D116" i="13"/>
  <c r="E116" i="13"/>
  <c r="C117" i="13"/>
  <c r="C27" i="2"/>
  <c r="B26" i="2"/>
  <c r="C72" i="13"/>
  <c r="D71" i="13"/>
  <c r="B59" i="2"/>
  <c r="C60" i="2"/>
  <c r="C28" i="2" l="1"/>
  <c r="B27" i="2"/>
  <c r="E20" i="2"/>
  <c r="F22" i="2"/>
  <c r="D72" i="13"/>
  <c r="C73" i="13"/>
  <c r="D237" i="13"/>
  <c r="C238" i="13"/>
  <c r="C197" i="13"/>
  <c r="D196" i="13"/>
  <c r="D117" i="13"/>
  <c r="C118" i="13"/>
  <c r="E117" i="13"/>
  <c r="E62" i="2"/>
  <c r="F63" i="2"/>
  <c r="C61" i="2"/>
  <c r="B60" i="2"/>
  <c r="E21" i="2" l="1"/>
  <c r="F23" i="2"/>
  <c r="D73" i="13"/>
  <c r="C74" i="13"/>
  <c r="C239" i="13"/>
  <c r="D238" i="13"/>
  <c r="F64" i="2"/>
  <c r="E63" i="2"/>
  <c r="E118" i="13"/>
  <c r="D118" i="13"/>
  <c r="C119" i="13"/>
  <c r="C62" i="2"/>
  <c r="B61" i="2"/>
  <c r="D197" i="13"/>
  <c r="C198" i="13"/>
  <c r="C29" i="2"/>
  <c r="B28" i="2"/>
  <c r="D74" i="13" l="1"/>
  <c r="C75" i="13"/>
  <c r="C30" i="2"/>
  <c r="B29" i="2"/>
  <c r="C199" i="13"/>
  <c r="D198" i="13"/>
  <c r="C240" i="13"/>
  <c r="D239" i="13"/>
  <c r="C120" i="13"/>
  <c r="E119" i="13"/>
  <c r="D119" i="13"/>
  <c r="E64" i="2"/>
  <c r="F65" i="2"/>
  <c r="F24" i="2"/>
  <c r="E22" i="2"/>
  <c r="C63" i="2"/>
  <c r="B62" i="2"/>
  <c r="C64" i="2" l="1"/>
  <c r="B63" i="2"/>
  <c r="F25" i="2"/>
  <c r="E23" i="2"/>
  <c r="C31" i="2"/>
  <c r="B30" i="2"/>
  <c r="C241" i="13"/>
  <c r="D240" i="13"/>
  <c r="C200" i="13"/>
  <c r="D199" i="13"/>
  <c r="D75" i="13"/>
  <c r="C76" i="13"/>
  <c r="E65" i="2"/>
  <c r="F66" i="2"/>
  <c r="D120" i="13"/>
  <c r="E120" i="13"/>
  <c r="C121" i="13"/>
  <c r="E24" i="2" l="1"/>
  <c r="F26" i="2"/>
  <c r="D241" i="13"/>
  <c r="C242" i="13"/>
  <c r="C32" i="2"/>
  <c r="B31" i="2"/>
  <c r="C77" i="13"/>
  <c r="D76" i="13"/>
  <c r="E66" i="2"/>
  <c r="F67" i="2"/>
  <c r="C122" i="13"/>
  <c r="E121" i="13"/>
  <c r="D121" i="13"/>
  <c r="D200" i="13"/>
  <c r="C201" i="13"/>
  <c r="B64" i="2"/>
  <c r="C65" i="2"/>
  <c r="C202" i="13" l="1"/>
  <c r="D201" i="13"/>
  <c r="E122" i="13"/>
  <c r="D122" i="13"/>
  <c r="C123" i="13"/>
  <c r="F68" i="2"/>
  <c r="E67" i="2"/>
  <c r="E25" i="2"/>
  <c r="F27" i="2"/>
  <c r="D77" i="13"/>
  <c r="C78" i="13"/>
  <c r="C33" i="2"/>
  <c r="B32" i="2"/>
  <c r="C243" i="13"/>
  <c r="D242" i="13"/>
  <c r="B65" i="2"/>
  <c r="C66" i="2"/>
  <c r="D243" i="13" l="1"/>
  <c r="C244" i="13"/>
  <c r="C79" i="13"/>
  <c r="D78" i="13"/>
  <c r="F69" i="2"/>
  <c r="E68" i="2"/>
  <c r="C124" i="13"/>
  <c r="D123" i="13"/>
  <c r="E123" i="13"/>
  <c r="B33" i="2"/>
  <c r="C34" i="2"/>
  <c r="C67" i="2"/>
  <c r="B66" i="2"/>
  <c r="E26" i="2"/>
  <c r="F28" i="2"/>
  <c r="D202" i="13"/>
  <c r="C203" i="13"/>
  <c r="B34" i="2" l="1"/>
  <c r="C35" i="2"/>
  <c r="C80" i="13"/>
  <c r="D79" i="13"/>
  <c r="E69" i="2"/>
  <c r="F70" i="2"/>
  <c r="D244" i="13"/>
  <c r="C245" i="13"/>
  <c r="F29" i="2"/>
  <c r="E27" i="2"/>
  <c r="E124" i="13"/>
  <c r="D124" i="13"/>
  <c r="C125" i="13"/>
  <c r="C68" i="2"/>
  <c r="B67" i="2"/>
  <c r="C204" i="13"/>
  <c r="D203" i="13"/>
  <c r="D204" i="13" l="1"/>
  <c r="C205" i="13"/>
  <c r="F71" i="2"/>
  <c r="E70" i="2"/>
  <c r="D80" i="13"/>
  <c r="C83" i="13"/>
  <c r="C86" i="13" s="1"/>
  <c r="C246" i="13"/>
  <c r="D245" i="13"/>
  <c r="C69" i="2"/>
  <c r="B68" i="2"/>
  <c r="C126" i="13"/>
  <c r="D125" i="13"/>
  <c r="E125" i="13"/>
  <c r="B35" i="2"/>
  <c r="C36" i="2"/>
  <c r="F30" i="2"/>
  <c r="E28" i="2"/>
  <c r="F31" i="2" l="1"/>
  <c r="E29" i="2"/>
  <c r="C37" i="2"/>
  <c r="B36" i="2"/>
  <c r="C70" i="2"/>
  <c r="B69" i="2"/>
  <c r="C247" i="13"/>
  <c r="D246" i="13"/>
  <c r="F72" i="2"/>
  <c r="E71" i="2"/>
  <c r="D86" i="13"/>
  <c r="C87" i="13"/>
  <c r="C127" i="13"/>
  <c r="E126" i="13"/>
  <c r="D126" i="13"/>
  <c r="C206" i="13"/>
  <c r="D205" i="13"/>
  <c r="E127" i="13" l="1"/>
  <c r="D127" i="13"/>
  <c r="C128" i="13"/>
  <c r="C207" i="13"/>
  <c r="D206" i="13"/>
  <c r="F73" i="2"/>
  <c r="E72" i="2"/>
  <c r="B37" i="2"/>
  <c r="C38" i="2"/>
  <c r="C248" i="13"/>
  <c r="D247" i="13"/>
  <c r="C71" i="2"/>
  <c r="B70" i="2"/>
  <c r="C88" i="13"/>
  <c r="D87" i="13"/>
  <c r="E30" i="2"/>
  <c r="F32" i="2"/>
  <c r="D88" i="13" l="1"/>
  <c r="C89" i="13"/>
  <c r="E128" i="13"/>
  <c r="C129" i="13"/>
  <c r="D128" i="13"/>
  <c r="F33" i="2"/>
  <c r="E31" i="2"/>
  <c r="F74" i="2"/>
  <c r="E73" i="2"/>
  <c r="C72" i="2"/>
  <c r="B71" i="2"/>
  <c r="D207" i="13"/>
  <c r="C208" i="13"/>
  <c r="C249" i="13"/>
  <c r="D248" i="13"/>
  <c r="C39" i="2"/>
  <c r="B38" i="2"/>
  <c r="E129" i="13" l="1"/>
  <c r="D129" i="13"/>
  <c r="C130" i="13"/>
  <c r="B39" i="2"/>
  <c r="C40" i="2"/>
  <c r="B40" i="2" s="1"/>
  <c r="F34" i="2"/>
  <c r="E32" i="2"/>
  <c r="C209" i="13"/>
  <c r="D208" i="13"/>
  <c r="E74" i="2"/>
  <c r="F75" i="2"/>
  <c r="D249" i="13"/>
  <c r="C250" i="13"/>
  <c r="C73" i="2"/>
  <c r="B72" i="2"/>
  <c r="D89" i="13"/>
  <c r="C90" i="13"/>
  <c r="C131" i="13" l="1"/>
  <c r="E130" i="13"/>
  <c r="D130" i="13"/>
  <c r="C91" i="13"/>
  <c r="D90" i="13"/>
  <c r="C210" i="13"/>
  <c r="D209" i="13"/>
  <c r="C74" i="2"/>
  <c r="B73" i="2"/>
  <c r="F35" i="2"/>
  <c r="E33" i="2"/>
  <c r="C251" i="13"/>
  <c r="D250" i="13"/>
  <c r="E75" i="2"/>
  <c r="F76" i="2"/>
  <c r="B74" i="2" l="1"/>
  <c r="C75" i="2"/>
  <c r="C211" i="13"/>
  <c r="D210" i="13"/>
  <c r="E76" i="2"/>
  <c r="F77" i="2"/>
  <c r="C252" i="13"/>
  <c r="D251" i="13"/>
  <c r="D91" i="13"/>
  <c r="C92" i="13"/>
  <c r="F36" i="2"/>
  <c r="E34" i="2"/>
  <c r="E131" i="13"/>
  <c r="D131" i="13"/>
  <c r="C132" i="13"/>
  <c r="C133" i="13" l="1"/>
  <c r="D132" i="13"/>
  <c r="E132" i="13"/>
  <c r="E77" i="2"/>
  <c r="F78" i="2"/>
  <c r="F37" i="2"/>
  <c r="E35" i="2"/>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211" i="13"/>
  <c r="C212" i="13"/>
  <c r="C93" i="13"/>
  <c r="D92" i="13"/>
  <c r="C76" i="2"/>
  <c r="B75" i="2"/>
  <c r="D133" i="13" l="1"/>
  <c r="C134" i="13"/>
  <c r="E133" i="13"/>
  <c r="B76" i="2"/>
  <c r="C77" i="2"/>
  <c r="E36" i="2"/>
  <c r="F38" i="2"/>
  <c r="E78" i="2"/>
  <c r="F79" i="2"/>
  <c r="E79" i="2" s="1"/>
  <c r="D93" i="13"/>
  <c r="C94" i="13"/>
  <c r="D94" i="13" s="1"/>
  <c r="F39" i="2" l="1"/>
  <c r="E37" i="2"/>
  <c r="C78" i="2"/>
  <c r="B77" i="2"/>
  <c r="C135" i="13"/>
  <c r="E134" i="13"/>
  <c r="D134" i="13"/>
  <c r="E135" i="13" l="1"/>
  <c r="C136" i="13"/>
  <c r="D135" i="13"/>
  <c r="C79" i="2"/>
  <c r="B79" i="2" s="1"/>
  <c r="B78" i="2"/>
  <c r="E38" i="2"/>
  <c r="F40" i="2"/>
  <c r="E39" i="2" s="1"/>
  <c r="D136" i="13" l="1"/>
  <c r="C137" i="13"/>
  <c r="E136" i="13"/>
  <c r="C138" i="13" l="1"/>
  <c r="D137" i="13"/>
  <c r="E137" i="13"/>
  <c r="C139" i="13" l="1"/>
  <c r="D138" i="13"/>
  <c r="E138" i="13"/>
  <c r="D139" i="13" l="1"/>
  <c r="C140" i="13"/>
  <c r="E139" i="13"/>
  <c r="E140" i="13" l="1"/>
  <c r="C141" i="13"/>
  <c r="D140" i="13"/>
  <c r="C142" i="13" l="1"/>
  <c r="D141" i="13"/>
  <c r="E141" i="13"/>
  <c r="E142" i="13" l="1"/>
  <c r="C143" i="13"/>
  <c r="D142" i="13"/>
  <c r="C144" i="13" l="1"/>
  <c r="D143" i="13"/>
  <c r="E143" i="13"/>
  <c r="C145" i="13" l="1"/>
  <c r="D144" i="13"/>
  <c r="E144" i="13"/>
  <c r="D145" i="13" l="1"/>
  <c r="E145" i="13"/>
  <c r="C146" i="13"/>
  <c r="C147" i="13" l="1"/>
  <c r="E146" i="13"/>
  <c r="D146" i="13"/>
  <c r="D147" i="13" l="1"/>
  <c r="E147" i="13"/>
  <c r="C148" i="13"/>
  <c r="C149" i="13" l="1"/>
  <c r="E148" i="13"/>
  <c r="D148" i="13"/>
  <c r="D149" i="13" l="1"/>
  <c r="C150" i="13"/>
  <c r="E149" i="13"/>
  <c r="D150" i="13" l="1"/>
  <c r="C151" i="13"/>
  <c r="E150" i="13"/>
  <c r="D151" i="13" l="1"/>
  <c r="C152" i="13"/>
  <c r="E151" i="13"/>
  <c r="D152" i="13" l="1"/>
  <c r="C153" i="13"/>
  <c r="E152" i="13"/>
  <c r="E153" i="13" l="1"/>
  <c r="D153" i="13"/>
  <c r="C154" i="13"/>
  <c r="C155" i="13" l="1"/>
  <c r="E154" i="13"/>
  <c r="D154" i="13"/>
  <c r="E155" i="13" l="1"/>
  <c r="D155" i="13"/>
  <c r="C156" i="13"/>
  <c r="E156" i="13" l="1"/>
  <c r="D156" i="13"/>
  <c r="C157" i="13"/>
  <c r="E157" i="13" l="1"/>
  <c r="D157" i="13"/>
  <c r="C158" i="13"/>
  <c r="E158" i="13" l="1"/>
  <c r="C159" i="13"/>
  <c r="D158" i="13"/>
  <c r="E159" i="13" l="1"/>
  <c r="D159" i="13"/>
  <c r="C160" i="13"/>
  <c r="D160" i="13" l="1"/>
  <c r="E160" i="13"/>
  <c r="C161" i="13"/>
  <c r="C162" i="13" l="1"/>
  <c r="D161" i="13"/>
  <c r="E161" i="13"/>
  <c r="E162" i="13" l="1"/>
  <c r="D162" i="13"/>
  <c r="C163" i="13"/>
  <c r="E163" i="13" l="1"/>
  <c r="D163" i="13"/>
  <c r="C164" i="13"/>
  <c r="C165" i="13" l="1"/>
  <c r="E164" i="13"/>
  <c r="D164" i="13"/>
  <c r="E165" i="13" l="1"/>
  <c r="C166" i="13"/>
  <c r="D165" i="13"/>
  <c r="C167" i="13" l="1"/>
  <c r="D166" i="13"/>
  <c r="E166" i="13"/>
  <c r="C168" i="13" l="1"/>
  <c r="E167" i="13"/>
  <c r="D167"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rPr>
          <t xml:space="preserve">
</t>
        </r>
        <r>
          <rPr>
            <sz val="10"/>
            <color indexed="81"/>
            <rFont val="Tahoma"/>
            <family val="2"/>
          </rPr>
          <t xml:space="preserve">It is intended that this Link Model can be used as a formal part of the documentation of you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B9" authorId="0" shapeId="0" xr:uid="{00000000-0006-0000-0000-000002000000}">
      <text>
        <r>
          <rPr>
            <sz val="8"/>
            <color indexed="81"/>
            <rFont val="Tahoma"/>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5" authorId="0" shapeId="0" xr:uid="{00000000-0006-0000-0000-000003000000}">
      <text>
        <r>
          <rPr>
            <sz val="8"/>
            <color indexed="81"/>
            <rFont val="Tahoma"/>
          </rPr>
          <t xml:space="preserve">
</t>
        </r>
        <r>
          <rPr>
            <b/>
            <sz val="10"/>
            <color indexed="81"/>
            <rFont val="Tahoma"/>
            <family val="2"/>
          </rPr>
          <t xml:space="preserve">Orbit Type:  </t>
        </r>
        <r>
          <rPr>
            <sz val="10"/>
            <color indexed="81"/>
            <rFont val="Tahoma"/>
            <family val="2"/>
          </rPr>
          <t>Modify this cell to include a very brief but, an exact as possible, description of your orbit.  If the orbit changes you should modify this cell.  Also note that this cell is not linked to any of the data in the "Orbit &amp; Frequency" W/S so, if you change data in that W/S you should change this summary as well.  That must be done manually.</t>
        </r>
      </text>
    </comment>
    <comment ref="B18" authorId="0" shapeId="0" xr:uid="{00000000-0006-0000-0000-000004000000}">
      <text>
        <r>
          <rPr>
            <sz val="8"/>
            <color indexed="81"/>
            <rFont val="Tahoma"/>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2" authorId="0" shapeId="0" xr:uid="{00000000-0006-0000-0000-000005000000}">
      <text>
        <r>
          <rPr>
            <sz val="8"/>
            <color indexed="81"/>
            <rFont val="Tahoma"/>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7" authorId="0" shapeId="0" xr:uid="{00000000-0006-0000-0000-000006000000}">
      <text>
        <r>
          <rPr>
            <sz val="8"/>
            <color indexed="81"/>
            <rFont val="Tahoma"/>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900-000001000000}">
      <text>
        <r>
          <rPr>
            <sz val="8"/>
            <color indexed="81"/>
            <rFont val="Tahoma"/>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5" authorId="0" shapeId="0" xr:uid="{00000000-0006-0000-0900-000002000000}">
      <text>
        <r>
          <rPr>
            <sz val="8"/>
            <color indexed="81"/>
            <rFont val="Tahoma"/>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4" authorId="0" shapeId="0" xr:uid="{00000000-0006-0000-0900-000003000000}">
      <text>
        <r>
          <rPr>
            <sz val="8"/>
            <color indexed="81"/>
            <rFont val="Tahoma"/>
          </rPr>
          <t xml:space="preserve">
</t>
        </r>
        <r>
          <rPr>
            <b/>
            <sz val="8"/>
            <color indexed="81"/>
            <rFont val="Tahoma"/>
            <family val="2"/>
          </rPr>
          <t>Figure 1</t>
        </r>
        <r>
          <rPr>
            <sz val="8"/>
            <color indexed="81"/>
            <rFont val="Tahoma"/>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A00-000001000000}">
      <text>
        <r>
          <rPr>
            <sz val="8"/>
            <color indexed="81"/>
            <rFont val="Tahoma"/>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rPr>
          <t xml:space="preserve">
</t>
        </r>
        <r>
          <rPr>
            <sz val="10"/>
            <color indexed="81"/>
            <rFont val="Tahoma"/>
            <family val="2"/>
          </rPr>
          <t>Once you have reviewed the Uplink data, move on to the "Downlink" W/S.</t>
        </r>
      </text>
    </comment>
    <comment ref="B27" authorId="0" shapeId="0" xr:uid="{00000000-0006-0000-0A00-000002000000}">
      <text>
        <r>
          <rPr>
            <sz val="8"/>
            <color indexed="81"/>
            <rFont val="Tahoma"/>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A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A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A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A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rPr>
          <t xml:space="preserve">
</t>
        </r>
      </text>
    </comment>
    <comment ref="B61" authorId="0" shapeId="0" xr:uid="{00000000-0006-0000-0A00-000007000000}">
      <text>
        <r>
          <rPr>
            <sz val="8"/>
            <color indexed="81"/>
            <rFont val="Tahoma"/>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5" authorId="0" shapeId="0" xr:uid="{00000000-0006-0000-0A00-000008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rPr>
          <t xml:space="preserve">
</t>
        </r>
      </text>
    </comment>
    <comment ref="B27" authorId="0" shapeId="0" xr:uid="{00000000-0006-0000-0B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B00-000003000000}">
      <text>
        <r>
          <rPr>
            <sz val="8"/>
            <color indexed="81"/>
            <rFont val="Tahoma"/>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B60" authorId="0" shapeId="0" xr:uid="{00000000-0006-0000-0B00-000006000000}">
      <text>
        <r>
          <rPr>
            <sz val="8"/>
            <color indexed="81"/>
            <rFont val="Tahoma"/>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4" authorId="0" shapeId="0" xr:uid="{00000000-0006-0000-0B00-000007000000}">
      <text>
        <r>
          <rPr>
            <sz val="8"/>
            <color indexed="81"/>
            <rFont val="Tahoma"/>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00000000-0006-0000-0C00-000001000000}">
      <text>
        <r>
          <rPr>
            <sz val="8"/>
            <color indexed="81"/>
            <rFont val="Tahoma"/>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charset val="2"/>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2" authorId="0" shapeId="0" xr:uid="{00000000-0006-0000-0C00-000002000000}">
      <text>
        <r>
          <rPr>
            <sz val="10"/>
            <color indexed="81"/>
            <rFont val="Tahoma"/>
            <family val="2"/>
          </rPr>
          <t xml:space="preserve">
Operator Enter Transmitter DC to RF Power Efficiency</t>
        </r>
        <r>
          <rPr>
            <sz val="8"/>
            <color indexed="81"/>
            <rFont val="Tahoma"/>
          </rPr>
          <t xml:space="preserve">
</t>
        </r>
      </text>
    </comment>
    <comment ref="O14" authorId="0" shapeId="0" xr:uid="{00000000-0006-0000-0C00-000003000000}">
      <text>
        <r>
          <rPr>
            <sz val="8"/>
            <color indexed="81"/>
            <rFont val="Tahoma"/>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rPr>
          <t xml:space="preserve">
</t>
        </r>
      </text>
    </comment>
    <comment ref="O16" authorId="0" shapeId="0" xr:uid="{00000000-0006-0000-0C00-000004000000}">
      <text>
        <r>
          <rPr>
            <sz val="8"/>
            <color indexed="81"/>
            <rFont val="Tahoma"/>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D00-000001000000}">
      <text>
        <r>
          <rPr>
            <sz val="8"/>
            <color indexed="81"/>
            <rFont val="Tahoma"/>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charset val="2"/>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affected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E00-000001000000}">
      <text>
        <r>
          <rPr>
            <sz val="8"/>
            <color indexed="81"/>
            <rFont val="Tahoma"/>
          </rPr>
          <t xml:space="preserve">
NOTE:  In this case, the frequency should be expressed in GHz.
</t>
        </r>
      </text>
    </comment>
    <comment ref="A6" authorId="0" shapeId="0" xr:uid="{00000000-0006-0000-0E00-000002000000}">
      <text>
        <r>
          <rPr>
            <sz val="9"/>
            <color indexed="81"/>
            <rFont val="Tahoma"/>
            <family val="2"/>
          </rPr>
          <t xml:space="preserve">
The physical diameter of a dish antenna or, alternatively, the diameter of an alternative antenna's effective aperture.</t>
        </r>
        <r>
          <rPr>
            <sz val="8"/>
            <color indexed="81"/>
            <rFont val="Tahoma"/>
          </rPr>
          <t xml:space="preserve">
</t>
        </r>
      </text>
    </comment>
    <comment ref="A7" authorId="0" shapeId="0" xr:uid="{00000000-0006-0000-0E00-000003000000}">
      <text>
        <r>
          <rPr>
            <sz val="9"/>
            <color indexed="81"/>
            <rFont val="Tahoma"/>
            <family val="2"/>
          </rPr>
          <t xml:space="preserve">
The illumination efficiency of the dish.  If you are uncertain about this value use approximately 55%.</t>
        </r>
        <r>
          <rPr>
            <sz val="8"/>
            <color indexed="81"/>
            <rFont val="Tahoma"/>
          </rPr>
          <t xml:space="preserve">
</t>
        </r>
      </text>
    </comment>
    <comment ref="A9" authorId="0" shapeId="0" xr:uid="{00000000-0006-0000-0E00-000004000000}">
      <text>
        <r>
          <rPr>
            <sz val="8"/>
            <color indexed="81"/>
            <rFont val="Tahoma"/>
          </rPr>
          <t xml:space="preserve">
</t>
        </r>
        <r>
          <rPr>
            <sz val="10"/>
            <color indexed="81"/>
            <rFont val="Tahoma"/>
            <family val="2"/>
          </rPr>
          <t>This is a tool for determining the performance of a small (and simple) parabolic reflector.  It uses a sin</t>
        </r>
        <r>
          <rPr>
            <sz val="10"/>
            <color indexed="81"/>
            <rFont val="Arial"/>
          </rPr>
          <t>²θ</t>
        </r>
        <r>
          <rPr>
            <sz val="10"/>
            <color indexed="81"/>
            <rFont val="Tahoma"/>
            <family val="2"/>
          </rPr>
          <t>/</t>
        </r>
        <r>
          <rPr>
            <sz val="10"/>
            <color indexed="81"/>
            <rFont val="Arial"/>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rPr>
          <t>°</t>
        </r>
        <r>
          <rPr>
            <sz val="10"/>
            <color indexed="81"/>
            <rFont val="Tahoma"/>
            <family val="2"/>
          </rPr>
          <t>. = 11.0</t>
        </r>
        <r>
          <rPr>
            <sz val="10"/>
            <color indexed="81"/>
            <rFont val="Arial"/>
          </rPr>
          <t>°)</t>
        </r>
        <r>
          <rPr>
            <sz val="10"/>
            <color indexed="81"/>
            <rFont val="Tahoma"/>
            <family val="2"/>
          </rPr>
          <t xml:space="preserve">. </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000-000001000000}">
      <text>
        <r>
          <rPr>
            <sz val="8"/>
            <color indexed="81"/>
            <rFont val="Tahoma"/>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000-000002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67" authorId="0" shapeId="0" xr:uid="{00000000-0006-0000-1000-000003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88" authorId="0" shapeId="0" xr:uid="{00000000-0006-0000-1000-000004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10" authorId="0" shapeId="0" xr:uid="{00000000-0006-0000-1000-000005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 ref="L132" authorId="0" shapeId="0" xr:uid="{00000000-0006-0000-1000-000006000000}">
      <text>
        <r>
          <rPr>
            <sz val="8"/>
            <color indexed="81"/>
            <rFont val="Tahoma"/>
          </rPr>
          <t xml:space="preserve">
</t>
        </r>
        <r>
          <rPr>
            <sz val="10"/>
            <color indexed="81"/>
            <rFont val="Tahoma"/>
            <family val="2"/>
          </rPr>
          <t>Operator selects band number and cable length.  Result is the cable loss.</t>
        </r>
        <r>
          <rPr>
            <sz val="8"/>
            <color indexed="81"/>
            <rFont val="Tahoma"/>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100-000001000000}">
      <text>
        <r>
          <rPr>
            <sz val="8"/>
            <color indexed="81"/>
            <rFont val="Tahoma"/>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charset val="2"/>
          </rPr>
          <t>W</t>
        </r>
        <r>
          <rPr>
            <sz val="10"/>
            <color indexed="81"/>
            <rFont val="Tahoma"/>
            <family val="2"/>
          </rPr>
          <t xml:space="preserve"> real with no reactance (j</t>
        </r>
        <r>
          <rPr>
            <sz val="10"/>
            <color indexed="81"/>
            <rFont val="Symbol"/>
            <family val="1"/>
            <charset val="2"/>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charset val="2"/>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 [I31].</t>
        </r>
      </text>
    </comment>
    <comment ref="V22" authorId="0" shapeId="0" xr:uid="{00000000-0006-0000-1100-000002000000}">
      <text>
        <r>
          <rPr>
            <sz val="8"/>
            <color indexed="81"/>
            <rFont val="Tahoma"/>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 ever is greater.</t>
        </r>
      </text>
    </comment>
    <comment ref="G42" authorId="0" shapeId="0" xr:uid="{00000000-0006-0000-1100-000003000000}">
      <text>
        <r>
          <rPr>
            <sz val="8"/>
            <color indexed="81"/>
            <rFont val="Tahoma"/>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200-000001000000}">
      <text>
        <r>
          <rPr>
            <sz val="8"/>
            <color indexed="81"/>
            <rFont val="Tahoma"/>
          </rPr>
          <t xml:space="preserve">
This data generates the Figure given in the "Orbit and Frequency" W/S.  It's best to just ignore this W/S.  Thanks! Jan, VK4GEY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rPr>
          <t>This is a test note to see if you can use the instructions to see all of this pop-up note box even though it may extent off of your screen below.
You never know,
…there may be information way down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200-000001000000}">
      <text>
        <r>
          <rPr>
            <sz val="8"/>
            <color indexed="81"/>
            <rFont val="Tahoma"/>
          </rPr>
          <t xml:space="preserve">
</t>
        </r>
        <r>
          <rPr>
            <sz val="10"/>
            <color indexed="81"/>
            <rFont val="Tahoma"/>
            <family val="2"/>
          </rPr>
          <t>This is quite a useful worksheet.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down within this W/S to the "Uplink &amp; Downlink Frequency Choices."</t>
        </r>
      </text>
    </comment>
    <comment ref="B43" authorId="0" shapeId="0" xr:uid="{00000000-0006-0000-0200-000002000000}">
      <text>
        <r>
          <rPr>
            <sz val="8"/>
            <color indexed="81"/>
            <rFont val="Tahoma"/>
          </rPr>
          <t xml:space="preserve">
</t>
        </r>
        <r>
          <rPr>
            <sz val="10"/>
            <color indexed="81"/>
            <rFont val="Tahoma"/>
            <family val="2"/>
          </rPr>
          <t>The link model operator enters the uplink and downlink frequency selection at Cell [M31] and Cell [M37] respectively.  If options 1,2 or 3 are not desired, an operator-defined choice is provded at Cell [C34] and Cell [40].  The path loss for each choice is given in column H.  The data from this W/S is forwarded to other subsequent sheets.
After the frequencies have been selected move on to the "Transmitters" W/S.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300-000001000000}">
      <text>
        <r>
          <rPr>
            <sz val="8"/>
            <color indexed="81"/>
            <rFont val="Tahoma"/>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Philip Zanin Holtzman</author>
  </authors>
  <commentList>
    <comment ref="C6" authorId="0" shapeId="0" xr:uid="{00000000-0006-0000-04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00000000-0006-0000-0400-000002000000}">
      <text>
        <r>
          <rPr>
            <sz val="10"/>
            <color indexed="81"/>
            <rFont val="Tahoma"/>
            <family val="2"/>
          </rPr>
          <t xml:space="preserve">
In the equation used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rPr>
          <t xml:space="preserve">
</t>
        </r>
      </text>
    </comment>
    <comment ref="V52" authorId="0" shapeId="0" xr:uid="{00000000-0006-0000-0400-000003000000}">
      <text>
        <r>
          <rPr>
            <sz val="8"/>
            <color indexed="81"/>
            <rFont val="Tahoma"/>
          </rPr>
          <t xml:space="preserve">
</t>
        </r>
        <r>
          <rPr>
            <sz val="10"/>
            <color indexed="81"/>
            <rFont val="Tahoma"/>
            <family val="2"/>
          </rPr>
          <t>The</t>
        </r>
        <r>
          <rPr>
            <sz val="8"/>
            <color indexed="81"/>
            <rFont val="Tahoma"/>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rPr>
          <t xml:space="preserve"> </t>
        </r>
        <r>
          <rPr>
            <sz val="10"/>
            <color indexed="81"/>
            <rFont val="Tahoma"/>
            <family val="2"/>
          </rPr>
          <t>temperature in</t>
        </r>
        <r>
          <rPr>
            <sz val="8"/>
            <color indexed="81"/>
            <rFont val="Tahoma"/>
          </rPr>
          <t xml:space="preserve"> </t>
        </r>
        <r>
          <rPr>
            <sz val="10"/>
            <color indexed="81"/>
            <rFont val="Arial"/>
          </rPr>
          <t>°</t>
        </r>
        <r>
          <rPr>
            <sz val="10"/>
            <color indexed="81"/>
            <rFont val="Tahoma"/>
            <family val="2"/>
          </rPr>
          <t>K</t>
        </r>
        <r>
          <rPr>
            <sz val="8"/>
            <color indexed="81"/>
            <rFont val="Tahoma"/>
          </rPr>
          <t xml:space="preserve">.  </t>
        </r>
        <r>
          <rPr>
            <sz val="10"/>
            <color indexed="81"/>
            <rFont val="Tahoma"/>
            <family val="2"/>
          </rPr>
          <t>The translation between the two</t>
        </r>
        <r>
          <rPr>
            <sz val="8"/>
            <color indexed="81"/>
            <rFont val="Tahoma"/>
          </rPr>
          <t xml:space="preserve"> </t>
        </r>
        <r>
          <rPr>
            <sz val="10"/>
            <color indexed="81"/>
            <rFont val="Tahoma"/>
            <family val="2"/>
          </rPr>
          <t>depends upon the reference temperature of the</t>
        </r>
        <r>
          <rPr>
            <sz val="8"/>
            <color indexed="81"/>
            <rFont val="Tahoma"/>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J58.
</t>
        </r>
        <r>
          <rPr>
            <sz val="8"/>
            <color indexed="81"/>
            <rFont val="Tahoma"/>
          </rPr>
          <t xml:space="preserve">
</t>
        </r>
        <r>
          <rPr>
            <sz val="10"/>
            <color indexed="81"/>
            <rFont val="Tahoma"/>
            <family val="2"/>
          </rPr>
          <t xml:space="preserve">This calculator allows you to translate from one parmeter to the other, depending upon which parameter is specified to you. </t>
        </r>
      </text>
    </comment>
    <comment ref="G57" authorId="0" shapeId="0" xr:uid="{00000000-0006-0000-04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rPr>
          <t xml:space="preserve">
</t>
        </r>
      </text>
    </comment>
    <comment ref="J65" authorId="1" shapeId="0" xr:uid="{00000000-0006-0000-0400-000005000000}">
      <text>
        <r>
          <rPr>
            <b/>
            <sz val="8"/>
            <color indexed="81"/>
            <rFont val="Tahoma"/>
          </rPr>
          <t xml:space="preserve">Philip Zanin Holtzman:
</t>
        </r>
        <r>
          <rPr>
            <sz val="8"/>
            <color indexed="81"/>
            <rFont val="Tahoma"/>
            <family val="2"/>
          </rPr>
          <t>As this increases to 500 K, the uplink margin decreases by 2 dB
Assumes 3dB excess noise--Richard Grubb</t>
        </r>
      </text>
    </comment>
    <comment ref="I99" authorId="0" shapeId="0" xr:uid="{00000000-0006-0000-0400-000006000000}">
      <text>
        <r>
          <rPr>
            <sz val="8"/>
            <color indexed="81"/>
            <rFont val="Tahoma"/>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rPr>
          <t xml:space="preserve">
</t>
        </r>
      </text>
    </comment>
    <comment ref="H107" authorId="0" shapeId="0" xr:uid="{00000000-0006-0000-0400-000007000000}">
      <text>
        <r>
          <rPr>
            <sz val="8"/>
            <color indexed="81"/>
            <rFont val="Tahoma"/>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J119" authorId="1" shapeId="0" xr:uid="{00000000-0006-0000-0400-000008000000}">
      <text>
        <r>
          <rPr>
            <b/>
            <sz val="8"/>
            <color indexed="81"/>
            <rFont val="Tahoma"/>
          </rPr>
          <t>Philip Zanin Holtzman:</t>
        </r>
        <r>
          <rPr>
            <sz val="8"/>
            <color indexed="81"/>
            <rFont val="Tahoma"/>
          </rPr>
          <t xml:space="preserve">
Do we have this?
Do we need this?!!</t>
        </r>
      </text>
    </comment>
    <comment ref="G128" authorId="0" shapeId="0" xr:uid="{00000000-0006-0000-0400-000009000000}">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J132" authorId="1" shapeId="0" xr:uid="{00000000-0006-0000-0400-00000A000000}">
      <text>
        <r>
          <rPr>
            <b/>
            <sz val="8"/>
            <color indexed="81"/>
            <rFont val="Tahoma"/>
          </rPr>
          <t>Philip Zanin Holtzman:</t>
        </r>
        <r>
          <rPr>
            <sz val="8"/>
            <color indexed="81"/>
            <rFont val="Tahoma"/>
          </rPr>
          <t xml:space="preserve">
Affects the overall downlink budget by a few dB by changing to 500K</t>
        </r>
      </text>
    </comment>
    <comment ref="P135" authorId="0" shapeId="0" xr:uid="{00000000-0006-0000-0400-00000B000000}">
      <text>
        <r>
          <rPr>
            <sz val="8"/>
            <color indexed="81"/>
            <rFont val="Tahoma"/>
          </rPr>
          <t xml:space="preserve">
</t>
        </r>
        <r>
          <rPr>
            <sz val="10"/>
            <color indexed="81"/>
            <rFont val="Tahoma"/>
            <family val="2"/>
          </rPr>
          <t xml:space="preserve">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signal power is considerably above the white noise floor set by the receiver's LNA.  </t>
        </r>
      </text>
    </comment>
    <comment ref="G136" authorId="0" shapeId="0" xr:uid="{00000000-0006-0000-0400-00000C000000}">
      <text>
        <r>
          <rPr>
            <sz val="8"/>
            <color indexed="81"/>
            <rFont val="Tahoma"/>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 first stage of gain.  </t>
        </r>
      </text>
    </comment>
    <comment ref="J144" authorId="1" shapeId="0" xr:uid="{00000000-0006-0000-0400-00000D000000}">
      <text>
        <r>
          <rPr>
            <b/>
            <sz val="8"/>
            <color indexed="81"/>
            <rFont val="Tahoma"/>
          </rPr>
          <t>Philip Zanin Holtzman:</t>
        </r>
        <r>
          <rPr>
            <sz val="8"/>
            <color indexed="81"/>
            <rFont val="Tahoma"/>
          </rPr>
          <t xml:space="preserve">
implies 3 times room temperature, noise figure of 4-5 dB--Richard Grubb
Changing this figure to 200 K only increases the downlink budget by 0.9 dB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500-000001000000}">
      <text>
        <r>
          <rPr>
            <sz val="8"/>
            <color indexed="81"/>
            <rFont val="Tahoma"/>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five options provided.  Option 5 is technically available as a user defined option but, at the moment, the properties for a patch antenna are installed.  This particular antenna design seems to be popular right now, so perhaps it should be kept.  Future releases of this workbook may include a sixth option which is really user defined.  For the spacecraft antennas there are no user definable design parametes.  As these are primarily omni antennas, their designs are fairly fixed.  That's not entirely true for antennas like the quadrifilar helix, however, as the number of fractional turns and the L/D for the antenna does result in different (and very interesting) pattern properties.   The quadrifilar antenna selected here is a half-turn version which gives an excellent hemispherical pattern with a good axial ratio over the entire hemisphere.  In summary, for the spacecraft antennas the operator simply picks an antenna type per your own spacecraft design.   This is done by entering an option number (1-5).
In the end, you will have selected four antennas for your system.  In the case of the ground station you will have "designed" their gain and beamwidth.  Now move on to the next W/S:  "Antenna Pointing Losses." </t>
        </r>
      </text>
    </comment>
    <comment ref="K11" authorId="0" shapeId="0" xr:uid="{00000000-0006-0000-0500-000002000000}">
      <text>
        <r>
          <rPr>
            <sz val="8"/>
            <color indexed="81"/>
            <rFont val="Tahoma"/>
          </rPr>
          <t xml:space="preserve">Operator Enter RHCP, LHCP, Linear 
NOTE:  Linear antennas are discouraged.
</t>
        </r>
      </text>
    </comment>
    <comment ref="K25" authorId="0" shapeId="0" xr:uid="{00000000-0006-0000-0500-000003000000}">
      <text>
        <r>
          <rPr>
            <sz val="8"/>
            <color indexed="81"/>
            <rFont val="Tahoma"/>
          </rPr>
          <t xml:space="preserve">Operator Enter RHCP, LHCP or Linear 
</t>
        </r>
      </text>
    </comment>
    <comment ref="K41" authorId="0" shapeId="0" xr:uid="{00000000-0006-0000-0500-000004000000}">
      <text>
        <r>
          <rPr>
            <sz val="8"/>
            <color indexed="81"/>
            <rFont val="Tahoma"/>
          </rPr>
          <t xml:space="preserve">Operator Enter RHCP, LHCP or Linear 
</t>
        </r>
      </text>
    </comment>
    <comment ref="K56" authorId="0" shapeId="0" xr:uid="{00000000-0006-0000-0500-000005000000}">
      <text>
        <r>
          <rPr>
            <sz val="8"/>
            <color indexed="81"/>
            <rFont val="Tahoma"/>
          </rPr>
          <t xml:space="preserve">Operator Enter RHCP, LHCP or Linear 
NOTE:  Linear antennas are discouraged.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600-000001000000}">
      <text>
        <r>
          <rPr>
            <sz val="8"/>
            <color indexed="81"/>
            <rFont val="Tahoma"/>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think of the orientation of the spacecraft relative to the remote observer as being a pointing "error."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t>
        </r>
      </text>
    </comment>
    <comment ref="B30" authorId="0" shapeId="0" xr:uid="{00000000-0006-0000-0600-000002000000}">
      <text>
        <r>
          <rPr>
            <sz val="8"/>
            <color indexed="81"/>
            <rFont val="Tahoma"/>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 are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rPr>
          <t>θ</t>
        </r>
        <r>
          <rPr>
            <sz val="8"/>
            <color indexed="81"/>
            <rFont val="Tahoma"/>
            <family val="2"/>
          </rPr>
          <t>1</t>
        </r>
        <r>
          <rPr>
            <sz val="10"/>
            <color indexed="81"/>
            <rFont val="Tahoma"/>
            <family val="2"/>
          </rPr>
          <t xml:space="preserve">, </t>
        </r>
        <r>
          <rPr>
            <sz val="10"/>
            <color indexed="81"/>
            <rFont val="Arial"/>
          </rPr>
          <t>θ</t>
        </r>
        <r>
          <rPr>
            <sz val="8"/>
            <color indexed="81"/>
            <rFont val="Tahoma"/>
            <family val="2"/>
          </rPr>
          <t>2</t>
        </r>
        <r>
          <rPr>
            <sz val="10"/>
            <color indexed="81"/>
            <rFont val="Tahoma"/>
            <family val="2"/>
          </rPr>
          <t xml:space="preserve">, </t>
        </r>
        <r>
          <rPr>
            <sz val="10"/>
            <color indexed="81"/>
            <rFont val="Arial"/>
          </rPr>
          <t>θ</t>
        </r>
        <r>
          <rPr>
            <sz val="8"/>
            <color indexed="81"/>
            <rFont val="Tahoma"/>
            <family val="2"/>
          </rPr>
          <t>3</t>
        </r>
        <r>
          <rPr>
            <sz val="10"/>
            <color indexed="81"/>
            <rFont val="Tahoma"/>
            <family val="2"/>
          </rPr>
          <t xml:space="preserve"> and </t>
        </r>
        <r>
          <rPr>
            <sz val="10"/>
            <color indexed="81"/>
            <rFont val="Arial"/>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charset val="2"/>
          </rPr>
          <t>p</t>
        </r>
        <r>
          <rPr>
            <sz val="10"/>
            <color indexed="81"/>
            <rFont val="Tahoma"/>
            <family val="2"/>
          </rPr>
          <t xml:space="preserve"> steradians the link will "close."
Once you have selected the four antenna pointing losses, move on to the "Polarization Loss" W/S.</t>
        </r>
      </text>
    </comment>
    <comment ref="S32" authorId="0" shapeId="0" xr:uid="{00000000-0006-0000-0600-000003000000}">
      <text>
        <r>
          <rPr>
            <b/>
            <sz val="8"/>
            <color indexed="81"/>
            <rFont val="Tahoma"/>
            <family val="2"/>
          </rPr>
          <t xml:space="preserve">Please do not modify numbers or formulas in these columns.
</t>
        </r>
        <r>
          <rPr>
            <sz val="10"/>
            <color indexed="81"/>
            <rFont val="Tahoma"/>
            <family val="2"/>
          </rPr>
          <t xml:space="preserve">This column contains the functional relationships between the angles, </t>
        </r>
        <r>
          <rPr>
            <b/>
            <sz val="10"/>
            <color indexed="81"/>
            <rFont val="Arial"/>
          </rPr>
          <t>θ</t>
        </r>
        <r>
          <rPr>
            <b/>
            <sz val="8"/>
            <color indexed="81"/>
            <rFont val="Tahoma"/>
            <family val="2"/>
          </rPr>
          <t>1</t>
        </r>
        <r>
          <rPr>
            <sz val="10"/>
            <color indexed="81"/>
            <rFont val="Tahoma"/>
            <family val="2"/>
          </rPr>
          <t xml:space="preserve"> thru </t>
        </r>
        <r>
          <rPr>
            <b/>
            <sz val="10"/>
            <color indexed="81"/>
            <rFont val="Arial"/>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58 and/or Cell 78 if you specify your own "User Defined" antenna.  The equation you provide should define the antenna loss as a function of the viewing angle θ and in the appropriate spacecaft plane.</t>
        </r>
        <r>
          <rPr>
            <sz val="8"/>
            <color indexed="81"/>
            <rFont val="Tahoma"/>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700-000001000000}">
      <text>
        <r>
          <rPr>
            <sz val="8"/>
            <color indexed="81"/>
            <rFont val="Tahoma"/>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charset val="2"/>
          </rPr>
          <t>j</t>
        </r>
        <r>
          <rPr>
            <sz val="10"/>
            <color indexed="81"/>
            <rFont val="Symbol"/>
            <family val="1"/>
            <charset val="2"/>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charset val="2"/>
          </rPr>
          <t>j</t>
        </r>
        <r>
          <rPr>
            <sz val="10"/>
            <color indexed="81"/>
            <rFont val="Symbol"/>
            <family val="1"/>
            <charset val="2"/>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rPr>
          <t xml:space="preserve"> and </t>
        </r>
        <r>
          <rPr>
            <b/>
            <sz val="10"/>
            <color indexed="81"/>
            <rFont val="Symbol"/>
            <family val="1"/>
            <charset val="2"/>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charset val="2"/>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700-000002000000}">
      <text>
        <r>
          <rPr>
            <sz val="8"/>
            <color indexed="81"/>
            <rFont val="Tahoma"/>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35" authorId="0" shapeId="0" xr:uid="{00000000-0006-0000-0800-000001000000}">
      <text>
        <r>
          <rPr>
            <sz val="10"/>
            <color indexed="81"/>
            <rFont val="Tahoma"/>
            <family val="2"/>
          </rPr>
          <t xml:space="preserve">
This is a link model operator selected value.  The value is chosen in the Orbit and Frequency W/S at Cell [C34].</t>
        </r>
        <r>
          <rPr>
            <sz val="8"/>
            <color indexed="81"/>
            <rFont val="Tahoma"/>
          </rPr>
          <t xml:space="preserve">
</t>
        </r>
      </text>
    </comment>
    <comment ref="C48" authorId="0" shapeId="0" xr:uid="{00000000-0006-0000-0800-000002000000}">
      <text>
        <r>
          <rPr>
            <sz val="8"/>
            <color indexed="81"/>
            <rFont val="Tahoma"/>
          </rPr>
          <t xml:space="preserve">
</t>
        </r>
        <r>
          <rPr>
            <sz val="10"/>
            <color indexed="81"/>
            <rFont val="Tahoma"/>
            <family val="2"/>
          </rPr>
          <t>This is a link model operator selected value.  The value is chosen in the Orbit and Frequency W/S at Cell [C40].</t>
        </r>
      </text>
    </comment>
  </commentList>
</comments>
</file>

<file path=xl/sharedStrings.xml><?xml version="1.0" encoding="utf-8"?>
<sst xmlns="http://schemas.openxmlformats.org/spreadsheetml/2006/main" count="2330" uniqueCount="949">
  <si>
    <r>
      <t xml:space="preserve">to the model and are considered to be </t>
    </r>
    <r>
      <rPr>
        <i/>
        <sz val="10"/>
        <rFont val="Arial"/>
        <family val="2"/>
      </rPr>
      <t>tools</t>
    </r>
    <r>
      <rPr>
        <sz val="10"/>
        <rFont val="Arial"/>
      </rPr>
      <t xml:space="preserve">.  The important distinction is, that tools </t>
    </r>
    <r>
      <rPr>
        <i/>
        <sz val="10"/>
        <rFont val="Arial"/>
        <family val="2"/>
      </rPr>
      <t>never</t>
    </r>
    <r>
      <rPr>
        <sz val="10"/>
        <rFont val="Arial"/>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</si>
  <si>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</si>
  <si>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</si>
  <si>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</si>
  <si>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</si>
  <si>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</si>
  <si>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</si>
  <si>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</si>
  <si>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</si>
  <si>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</si>
  <si>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</si>
  <si>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</si>
  <si>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</si>
  <si>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</si>
  <si>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</si>
  <si>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</si>
  <si>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</si>
  <si>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</si>
  <si>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</si>
  <si>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</si>
  <si>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Deloraine, E.M., Westman, H.P., Edie, L.C. </t>
    </r>
    <r>
      <rPr>
        <i/>
        <sz val="10"/>
        <rFont val="Arial"/>
        <family val="2"/>
      </rPr>
      <t>Reference Data for Radio Engineers, 3rd Edition</t>
    </r>
    <r>
      <rPr>
        <sz val="10"/>
        <rFont val="Arial"/>
        <family val="2"/>
      </rPr>
      <t>, Federa Telephone &amp; Radio Corp., 1949, pp. 362-396.</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</si>
  <si>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</si>
  <si>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</si>
  <si>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</si>
  <si>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</si>
  <si>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</si>
  <si>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</si>
  <si>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</si>
  <si>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</si>
  <si>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</si>
  <si>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</si>
  <si>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</si>
  <si>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rPr>
      <t xml:space="preserve">; </t>
    </r>
    <r>
      <rPr>
        <sz val="10"/>
        <rFont val="Symbol"/>
        <family val="1"/>
        <charset val="2"/>
      </rPr>
      <t>b</t>
    </r>
    <r>
      <rPr>
        <sz val="10"/>
        <rFont val="Arial"/>
      </rPr>
      <t>-Test Version</t>
    </r>
  </si>
  <si>
    <t>Enter Name of Communications Engineer:</t>
  </si>
  <si>
    <t>Enter Name of Project Manager:</t>
  </si>
  <si>
    <t>Orbit Type:</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</si>
  <si>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</si>
  <si>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</si>
  <si>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</si>
  <si>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</si>
  <si>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</si>
  <si>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</si>
  <si>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</si>
  <si>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</si>
  <si>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</si>
  <si>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</si>
  <si>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</si>
  <si>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charset val="2"/>
      </rPr>
      <t>w):</t>
    </r>
  </si>
  <si>
    <r>
      <t>R.A.A.N. (</t>
    </r>
    <r>
      <rPr>
        <sz val="10"/>
        <rFont val="Symbol"/>
        <family val="1"/>
        <charset val="2"/>
      </rPr>
      <t>W):</t>
    </r>
  </si>
  <si>
    <t>Mean Anomaly (M):</t>
  </si>
  <si>
    <t>Period:</t>
  </si>
  <si>
    <t>minutes</t>
  </si>
  <si>
    <r>
      <t>d</t>
    </r>
    <r>
      <rPr>
        <sz val="10"/>
        <rFont val="Symbol"/>
        <family val="1"/>
        <charset val="2"/>
      </rPr>
      <t>w/</t>
    </r>
    <r>
      <rPr>
        <sz val="10"/>
        <rFont val="Arial"/>
        <family val="2"/>
      </rPr>
      <t>dt:</t>
    </r>
  </si>
  <si>
    <t>deg./day</t>
  </si>
  <si>
    <r>
      <t>d</t>
    </r>
    <r>
      <rPr>
        <sz val="10"/>
        <rFont val="Symbol"/>
        <family val="1"/>
        <charset val="2"/>
      </rPr>
      <t>W</t>
    </r>
    <r>
      <rPr>
        <sz val="10"/>
        <rFont val="Arial"/>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</si>
  <si>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</si>
  <si>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</si>
  <si>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</si>
  <si>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</si>
  <si>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</si>
  <si>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</si>
  <si>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</si>
  <si>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</si>
  <si>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</si>
  <si>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</si>
  <si>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</si>
  <si>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</si>
  <si>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</si>
  <si>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</si>
  <si>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charset val="2"/>
      </rPr>
      <t>d</t>
    </r>
    <r>
      <rPr>
        <sz val="10"/>
        <rFont val="Symbol"/>
        <family val="1"/>
        <charset val="2"/>
      </rPr>
      <t>):</t>
    </r>
  </si>
  <si>
    <t xml:space="preserve">                       Orbit Properties</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</si>
  <si>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</si>
  <si>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</si>
  <si>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</si>
  <si>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</si>
  <si>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</si>
  <si>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</si>
  <si>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</si>
  <si>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</si>
  <si>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</si>
  <si>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</si>
  <si>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charset val="2"/>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</si>
  <si>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</si>
  <si>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</si>
  <si>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</si>
  <si>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</si>
  <si>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</si>
  <si>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</si>
  <si>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</si>
  <si>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</si>
  <si>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</si>
  <si>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</si>
  <si>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</si>
  <si>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</si>
  <si>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</si>
  <si>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</si>
  <si>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</si>
  <si>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</si>
  <si>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</si>
  <si>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</si>
  <si>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</si>
  <si>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</si>
  <si>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</si>
  <si>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</si>
  <si>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</si>
  <si>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</si>
  <si>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</si>
  <si>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</si>
  <si>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</si>
  <si>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</si>
  <si>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</si>
  <si>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</si>
  <si>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</si>
  <si>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</si>
  <si>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</si>
  <si>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</si>
  <si>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</si>
  <si>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</si>
  <si>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</si>
  <si>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</si>
  <si>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</si>
  <si>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</si>
  <si>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</si>
  <si>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</si>
  <si>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</si>
  <si>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</si>
  <si>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</si>
  <si>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</si>
  <si>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t>Atmospheric Loss:</t>
  </si>
  <si>
    <t>Ionospheric Loss:</t>
  </si>
  <si>
    <t>Spacecraft Antenna Gain:</t>
  </si>
  <si>
    <t>Spacecraft Effective Noise Temperature:</t>
  </si>
  <si>
    <t>Spacecraft Figure of Merrit (G/T):</t>
  </si>
  <si>
    <t>S/C Signal-to-Noise Power Density (S/No):</t>
  </si>
  <si>
    <t>From Charlie Brown</t>
  </si>
  <si>
    <t>1/2 sky, 1/2 earth</t>
  </si>
  <si>
    <t>Spacecraft Alternative Signal Analysis Method (SNR Computation):</t>
  </si>
  <si>
    <t>Signal Power at Spacecraft LNA Input:</t>
  </si>
  <si>
    <t>Spacecraft Receiver Bandwidth:</t>
  </si>
  <si>
    <t>dM/dt:</t>
  </si>
  <si>
    <t xml:space="preserve"> Blue</t>
  </si>
  <si>
    <r>
      <t>NOTE:</t>
    </r>
    <r>
      <rPr>
        <sz val="10"/>
        <rFont val="Arial"/>
      </rPr>
      <t xml:space="preserve">  Cells Not Yet Protected</t>
    </r>
  </si>
  <si>
    <t>Spacecraft Transmitter Power Output:</t>
  </si>
  <si>
    <t>=Critical User Data Entry Values</t>
  </si>
  <si>
    <t>Element Reference Epoch:</t>
  </si>
  <si>
    <t>University:</t>
  </si>
  <si>
    <t>Com. System Engineer:</t>
  </si>
  <si>
    <t>Project Manager:</t>
  </si>
  <si>
    <t>Investigation:</t>
  </si>
  <si>
    <t xml:space="preserve">Model Under </t>
  </si>
  <si>
    <t>Last Modified:</t>
  </si>
  <si>
    <t>Project:</t>
  </si>
  <si>
    <t>PICOSATELLITE</t>
  </si>
  <si>
    <r>
      <t>= Computed Values (</t>
    </r>
    <r>
      <rPr>
        <b/>
        <sz val="10"/>
        <rFont val="Arial"/>
        <family val="2"/>
      </rPr>
      <t>No</t>
    </r>
    <r>
      <rPr>
        <sz val="10"/>
        <rFont val="Arial"/>
      </rPr>
      <t xml:space="preserve"> </t>
    </r>
    <r>
      <rPr>
        <b/>
        <sz val="10"/>
        <rFont val="Arial"/>
        <family val="2"/>
      </rPr>
      <t>Data Entry</t>
    </r>
    <r>
      <rPr>
        <sz val="10"/>
        <rFont val="Arial"/>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</si>
  <si>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</si>
  <si>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</si>
  <si>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</si>
  <si>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</si>
  <si>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rPr>
      <t>):</t>
    </r>
  </si>
  <si>
    <r>
      <t>Wavelength (</t>
    </r>
    <r>
      <rPr>
        <b/>
        <u/>
        <sz val="10"/>
        <rFont val="Symbol"/>
        <family val="1"/>
        <charset val="2"/>
      </rPr>
      <t>l</t>
    </r>
    <r>
      <rPr>
        <u/>
        <sz val="10"/>
        <rFont val="Arial"/>
        <family val="2"/>
      </rPr>
      <t>):</t>
    </r>
  </si>
  <si>
    <t>Modulation Type:</t>
  </si>
  <si>
    <t>Option:</t>
  </si>
  <si>
    <t>Coding:</t>
  </si>
  <si>
    <r>
      <t>Developed by:  Jan A. King, W3GEY/VK4GEY         With Editorial Assistance and Support from Ralph Wallio, W</t>
    </r>
    <r>
      <rPr>
        <b/>
        <sz val="10"/>
        <rFont val="Arial"/>
      </rPr>
      <t>Ф</t>
    </r>
    <r>
      <rPr>
        <b/>
        <sz val="10"/>
        <rFont val="Arial"/>
        <family val="2"/>
      </rPr>
      <t>RPK</t>
    </r>
  </si>
  <si>
    <t>Bit Error Rate Spec:</t>
  </si>
  <si>
    <t>Required Eb/No (dB):</t>
  </si>
  <si>
    <t>AFSK/FM</t>
  </si>
  <si>
    <t>None</t>
  </si>
  <si>
    <t>G3RUH FSK</t>
  </si>
  <si>
    <t>Non-Coherent FSK</t>
  </si>
  <si>
    <t>Coherent FSK</t>
  </si>
  <si>
    <t>BPSK</t>
  </si>
  <si>
    <t>QPSK</t>
  </si>
  <si>
    <t>GMSK</t>
  </si>
  <si>
    <t>Convolutional R=1/2, K=7</t>
  </si>
  <si>
    <t>Conv. R=1/2,K=7 &amp; R.S. (255,223)</t>
  </si>
  <si>
    <t>Conv. R=1/6,K=15 &amp; R.S. (255,223)</t>
  </si>
  <si>
    <t>User Defined</t>
  </si>
  <si>
    <t>Modulation, Coding &amp; BER Option:</t>
  </si>
  <si>
    <t>Implementation Loss Estimate:</t>
  </si>
  <si>
    <t>Select Here:</t>
  </si>
  <si>
    <t>Choice Made:</t>
  </si>
  <si>
    <t>[dB]</t>
  </si>
  <si>
    <t>[   ]</t>
  </si>
  <si>
    <t>[degrees]</t>
  </si>
  <si>
    <t>[Radians]</t>
  </si>
  <si>
    <t>Polarization Loss =</t>
  </si>
  <si>
    <t xml:space="preserve">Polarization Loss = </t>
  </si>
  <si>
    <t>Linear</t>
  </si>
  <si>
    <t>John Oakes</t>
  </si>
  <si>
    <t>Enter Name of Lead Systems Engineer</t>
  </si>
  <si>
    <t>Philip Zanin Holtzman</t>
  </si>
  <si>
    <t>Lead Systems Engineer:</t>
  </si>
  <si>
    <t xml:space="preserve">         Elliptical</t>
  </si>
  <si>
    <t xml:space="preserve">           Linear</t>
  </si>
  <si>
    <t>Transmit Antenna</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</si>
  <si>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</si>
  <si>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</si>
  <si>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</si>
  <si>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</si>
  <si>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</si>
  <si>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</si>
  <si>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</si>
  <si>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</si>
  <si>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</si>
  <si>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</si>
  <si>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</si>
  <si>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</si>
  <si>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</si>
  <si>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</si>
  <si>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</si>
  <si>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</si>
  <si>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</si>
  <si>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</si>
  <si>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</si>
  <si>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</si>
  <si>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</si>
  <si>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</si>
  <si>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</si>
  <si>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</si>
  <si>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</si>
  <si>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</si>
  <si>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</si>
  <si>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</si>
  <si>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</si>
  <si>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</si>
  <si>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</si>
  <si>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</si>
  <si>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</si>
  <si>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</si>
  <si>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</si>
  <si>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</si>
  <si>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</si>
  <si>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</si>
  <si>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</si>
  <si>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</si>
  <si>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</si>
  <si>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</si>
  <si>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</si>
  <si>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</si>
  <si>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</si>
  <si>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</si>
  <si>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</si>
  <si>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</si>
  <si>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</si>
  <si>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</si>
  <si>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</si>
  <si>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</si>
  <si>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</si>
  <si>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</si>
  <si>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</si>
  <si>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</si>
  <si>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</si>
  <si>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</si>
  <si>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</si>
  <si>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</si>
  <si>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</si>
  <si>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</si>
  <si>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</si>
  <si>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</si>
  <si>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rPr>
      <t xml:space="preserve"> and F</t>
    </r>
    <r>
      <rPr>
        <sz val="8"/>
        <rFont val="Arial"/>
        <family val="2"/>
      </rPr>
      <t>2</t>
    </r>
    <r>
      <rPr>
        <sz val="10"/>
        <rFont val="Arial"/>
      </rPr>
      <t xml:space="preserve">).  </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</si>
  <si>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</si>
  <si>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</si>
  <si>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</si>
  <si>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</si>
  <si>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</si>
  <si>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</si>
  <si>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</si>
  <si>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</si>
  <si>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</si>
  <si>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</si>
  <si>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</si>
  <si>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</si>
  <si>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</si>
  <si>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</si>
  <si>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</si>
  <si>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</si>
  <si>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</si>
  <si>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</si>
  <si>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</si>
  <si>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</si>
  <si>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</si>
  <si>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</si>
  <si>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</si>
  <si>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</si>
  <si>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=2</t>
    </r>
    <r>
      <rPr>
        <b/>
        <sz val="10"/>
        <rFont val="Symbol"/>
        <family val="1"/>
        <charset val="2"/>
      </rPr>
      <t xml:space="preserve">q </t>
    </r>
    <r>
      <rPr>
        <b/>
        <sz val="10"/>
        <rFont val="Arial"/>
        <family val="2"/>
      </rPr>
      <t>(@ -3dB Roll-off)</t>
    </r>
  </si>
  <si>
    <r>
      <t>Pwr (</t>
    </r>
    <r>
      <rPr>
        <b/>
        <sz val="10"/>
        <rFont val="Symbol"/>
        <family val="1"/>
        <charset val="2"/>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</si>
  <si>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</si>
  <si>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</si>
  <si>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</si>
  <si>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</si>
  <si>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</si>
  <si>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</si>
  <si>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</si>
  <si>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</si>
  <si>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charset val="2"/>
      </rPr>
      <t>l</t>
    </r>
    <r>
      <rPr>
        <sz val="10"/>
        <rFont val="Arial"/>
      </rPr>
      <t>):</t>
    </r>
  </si>
  <si>
    <t>Turns (n):</t>
  </si>
  <si>
    <r>
      <t>Turn Spacing (</t>
    </r>
    <r>
      <rPr>
        <sz val="10"/>
        <rFont val="Symbol"/>
        <charset val="2"/>
      </rPr>
      <t>l</t>
    </r>
    <r>
      <rPr>
        <sz val="10"/>
        <rFont val="Arial"/>
      </rPr>
      <t>):</t>
    </r>
  </si>
  <si>
    <r>
      <t>Loop (</t>
    </r>
    <r>
      <rPr>
        <sz val="10"/>
        <rFont val="Symbol"/>
        <charset val="2"/>
      </rPr>
      <t>l</t>
    </r>
    <r>
      <rPr>
        <sz val="10"/>
        <rFont val="Arial"/>
      </rPr>
      <t>):</t>
    </r>
  </si>
  <si>
    <t xml:space="preserve">    1/2</t>
  </si>
  <si>
    <t>No Radiation in Back Hemisphere</t>
  </si>
  <si>
    <t>Null On Axis; Both Poles</t>
  </si>
  <si>
    <t>Circular Pol. On Axis; RHCP one pole, LHCP Opposite Pole, Linear in Equatorial Plane</t>
  </si>
  <si>
    <t>(typical)</t>
  </si>
  <si>
    <r>
      <t>Boom Length (</t>
    </r>
    <r>
      <rPr>
        <sz val="10"/>
        <rFont val="Symbol"/>
        <charset val="2"/>
      </rPr>
      <t>l</t>
    </r>
    <r>
      <rPr>
        <sz val="10"/>
        <rFont val="Arial"/>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</si>
  <si>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</si>
  <si>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</si>
  <si>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</si>
  <si>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</si>
  <si>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</si>
  <si>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</si>
  <si>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</si>
  <si>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charset val="2"/>
      </rPr>
      <t>l</t>
    </r>
    <r>
      <rPr>
        <sz val="10"/>
        <rFont val="Arial"/>
      </rPr>
      <t>):</t>
    </r>
  </si>
  <si>
    <t>Optimum</t>
  </si>
  <si>
    <t>No. Elements (n):</t>
  </si>
  <si>
    <t>Maximum</t>
  </si>
  <si>
    <t>Gain (dBi):</t>
  </si>
  <si>
    <t>(in V and in H)</t>
  </si>
  <si>
    <t>Wavelength:</t>
  </si>
  <si>
    <t>No Radiation in Back Hemisphere &amp; Null on Axis ("Tip Null")</t>
  </si>
  <si>
    <t xml:space="preserve">      Antenna Length:</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</si>
  <si>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</si>
  <si>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</si>
  <si>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</si>
  <si>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</si>
  <si>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</si>
  <si>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</si>
  <si>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</si>
  <si>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</si>
  <si>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</si>
  <si>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</si>
  <si>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</si>
  <si>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</si>
  <si>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</si>
  <si>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</si>
  <si>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</si>
  <si>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</si>
  <si>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</si>
  <si>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</si>
  <si>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</si>
  <si>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</si>
  <si>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</si>
  <si>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</si>
  <si>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</si>
  <si>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</si>
  <si>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</si>
  <si>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</si>
  <si>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</si>
  <si>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</si>
  <si>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</si>
  <si>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</si>
  <si>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</si>
  <si>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</si>
  <si>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</si>
  <si>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</si>
  <si>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</si>
  <si>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</si>
  <si>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</si>
  <si>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</si>
  <si>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 xml:space="preserve">   Beam Roll-Off &amp; Sidelobe Positions Based on Sin (θ)/ θ Formulation</t>
  </si>
  <si>
    <t>Spacecraft</t>
  </si>
  <si>
    <t>Antenna</t>
  </si>
  <si>
    <t>Ground Station</t>
  </si>
  <si>
    <t>Approx. Antenna Pointing Loss:</t>
  </si>
  <si>
    <r>
      <t>Esimated Pointing Error (</t>
    </r>
    <r>
      <rPr>
        <b/>
        <sz val="10"/>
        <rFont val="Arial"/>
      </rPr>
      <t>θ</t>
    </r>
    <r>
      <rPr>
        <b/>
        <sz val="8"/>
        <rFont val="Arial"/>
        <family val="2"/>
      </rPr>
      <t>1)</t>
    </r>
    <r>
      <rPr>
        <b/>
        <sz val="10"/>
        <rFont val="Arial"/>
        <family val="2"/>
      </rPr>
      <t>:</t>
    </r>
  </si>
  <si>
    <t xml:space="preserve"> °</t>
  </si>
  <si>
    <t>[Type 1,2,3 or 4]</t>
  </si>
  <si>
    <t>Angle between S/C symmetry axis</t>
  </si>
  <si>
    <t xml:space="preserve">      Approx. Antenna</t>
  </si>
  <si>
    <t xml:space="preserve">      Pointing Loss:</t>
  </si>
  <si>
    <t>NOTE:</t>
  </si>
  <si>
    <t>Calculation Formulas</t>
  </si>
  <si>
    <t xml:space="preserve">    Antenna Roll-Off</t>
  </si>
  <si>
    <r>
      <t>and vector from S/C to gnd. station (</t>
    </r>
    <r>
      <rPr>
        <b/>
        <sz val="10"/>
        <rFont val="Arial"/>
      </rPr>
      <t>θ</t>
    </r>
    <r>
      <rPr>
        <b/>
        <sz val="8"/>
        <rFont val="Arial"/>
        <family val="2"/>
      </rPr>
      <t>2</t>
    </r>
    <r>
      <rPr>
        <b/>
        <sz val="10"/>
        <rFont val="Arial"/>
        <family val="2"/>
      </rPr>
      <t>):</t>
    </r>
  </si>
  <si>
    <r>
      <t xml:space="preserve">No Radiation in Back Hemisphere </t>
    </r>
    <r>
      <rPr>
        <b/>
        <sz val="10"/>
        <rFont val="Arial"/>
        <family val="2"/>
      </rPr>
      <t>AND</t>
    </r>
    <r>
      <rPr>
        <sz val="10"/>
        <rFont val="Arial"/>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</si>
  <si>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</si>
  <si>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</si>
  <si>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</si>
  <si>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</si>
  <si>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</si>
  <si>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</si>
  <si>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</si>
  <si>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</si>
  <si>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charset val="2"/>
      </rPr>
      <t>Ð</t>
    </r>
    <r>
      <rPr>
        <sz val="10"/>
        <rFont val="Arial"/>
      </rPr>
      <t xml:space="preserve"> wrt Symmetry Axis (</t>
    </r>
    <r>
      <rPr>
        <sz val="10"/>
        <rFont val="Arial"/>
      </rPr>
      <t>θ)°</t>
    </r>
    <r>
      <rPr>
        <sz val="10"/>
        <rFont val="Arial"/>
      </rPr>
      <t>:</t>
    </r>
  </si>
  <si>
    <t>LHCP</t>
  </si>
  <si>
    <t>Antenna Gain (dBi):</t>
  </si>
  <si>
    <t>Spacecraft Antennas:</t>
  </si>
  <si>
    <t>Uplink Transmitter System (At Ground Station):</t>
  </si>
  <si>
    <t>Downlink Transmitter System (At Spacecraft):</t>
  </si>
  <si>
    <t>Block Diagram:</t>
  </si>
  <si>
    <t>Transmitter Power:</t>
  </si>
  <si>
    <t>Watts  =</t>
  </si>
  <si>
    <t>dBW   =</t>
  </si>
  <si>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</si>
  <si>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</si>
  <si>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</si>
  <si>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</si>
  <si>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</si>
  <si>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</si>
  <si>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r>
      <t>front-end noise temperature:</t>
    </r>
    <r>
      <rPr>
        <sz val="10"/>
        <rFont val="Arial"/>
      </rPr>
      <t xml:space="preserve"> A measure of the thermal noise generated in the first stage of a receiver.</t>
    </r>
  </si>
  <si>
    <r>
      <t xml:space="preserve">Noise factor is  defined as the ratio of the </t>
    </r>
    <r>
      <rPr>
        <b/>
        <i/>
        <sz val="10"/>
        <color indexed="8"/>
        <rFont val="Arial"/>
        <family val="2"/>
      </rPr>
      <t>Carrier Power to Thermal Noise</t>
    </r>
    <r>
      <rPr>
        <sz val="10"/>
        <color indexed="8"/>
        <rFont val="Arial"/>
        <family val="2"/>
      </rPr>
      <t xml:space="preserve"> ratio at the </t>
    </r>
    <r>
      <rPr>
        <u/>
        <sz val="10"/>
        <color indexed="8"/>
        <rFont val="Arial"/>
        <family val="2"/>
      </rPr>
      <t xml:space="preserve">input </t>
    </r>
    <r>
      <rPr>
        <sz val="10"/>
        <color indexed="8"/>
        <rFont val="Arial"/>
        <family val="2"/>
      </rPr>
      <t>of a device to the</t>
    </r>
    <r>
      <rPr>
        <b/>
        <i/>
        <sz val="10"/>
        <color indexed="8"/>
        <rFont val="Arial"/>
        <family val="2"/>
      </rPr>
      <t/>
    </r>
  </si>
  <si>
    <t>Carrier Power to Thermal Noise ratio  at the output of the device. Noise factor is defined by the following ratio.</t>
  </si>
  <si>
    <t>The Noise Figure is the decibel representation of the noise factor.</t>
  </si>
  <si>
    <r>
      <t>NF(db) = 10 * Log</t>
    </r>
    <r>
      <rPr>
        <b/>
        <vertAlign val="subscript"/>
        <sz val="10"/>
        <color indexed="8"/>
        <rFont val="Arial"/>
        <family val="2"/>
      </rPr>
      <t>10</t>
    </r>
    <r>
      <rPr>
        <b/>
        <sz val="10"/>
        <color indexed="8"/>
        <rFont val="Arial"/>
        <family val="2"/>
      </rPr>
      <t xml:space="preserve"> (F)</t>
    </r>
  </si>
  <si>
    <t>Given a noise factor, it is possible to calculate an equivalent noise temperature using the following expression.</t>
  </si>
  <si>
    <t>Where To is 290 degrees Kelvin.</t>
  </si>
  <si>
    <r>
      <t>L</t>
    </r>
    <r>
      <rPr>
        <sz val="10"/>
        <color indexed="8"/>
        <rFont val="Arial"/>
        <family val="2"/>
      </rPr>
      <t xml:space="preserve"> is a ratio in this expression, whereas in practice it will often be given in decibels, and must be converted.</t>
    </r>
  </si>
  <si>
    <t xml:space="preserve">Where series losses (transmission line loss) is present, their impact is expressed as a power ratio of input over output (L), </t>
  </si>
  <si>
    <t>and  included, the noise factor is amended to the following expression.</t>
  </si>
  <si>
    <t>F = (Ci / Ni) / (Co / No)</t>
  </si>
  <si>
    <t>Noise temperature (T) = 290 * (10^(Noise Figure/10)-1)     K</t>
  </si>
  <si>
    <t>to determine the appropriate atmosperic losses.  At millimeter wave frequencies the losses can be much higher.</t>
  </si>
  <si>
    <t>Cable/Guide Type:</t>
  </si>
  <si>
    <t>Filter Insertion Losses:</t>
  </si>
  <si>
    <t>No. of In-Line Connectors:</t>
  </si>
  <si>
    <t>Other In-Line Losses:</t>
  </si>
  <si>
    <t>RG-188/AU</t>
  </si>
  <si>
    <t>cable</t>
  </si>
  <si>
    <t>Cable/Guide Loss/meter:</t>
  </si>
  <si>
    <t>At (freq.)</t>
  </si>
  <si>
    <t>MHz =</t>
  </si>
  <si>
    <t>Other Components in Line:</t>
  </si>
  <si>
    <t>Connectors  X  0.05 dB    =</t>
  </si>
  <si>
    <t>Total Line Losses:</t>
  </si>
  <si>
    <t>System Transmitters &amp; Line Losses:</t>
  </si>
  <si>
    <t>Antenna Mismatch Losses:</t>
  </si>
  <si>
    <t>Antenna Mismatch</t>
  </si>
  <si>
    <t>Connectors  X  0.05 dB/Con.    =</t>
  </si>
  <si>
    <t xml:space="preserve">   Line B</t>
  </si>
  <si>
    <t xml:space="preserve">       Line C</t>
  </si>
  <si>
    <t>Line A Length:</t>
  </si>
  <si>
    <t>Line B Length:</t>
  </si>
  <si>
    <t>Line C Length:</t>
  </si>
  <si>
    <t>Line B</t>
  </si>
  <si>
    <t xml:space="preserve">   Line C</t>
  </si>
  <si>
    <t xml:space="preserve">Line A    </t>
  </si>
  <si>
    <t>Total Line Length (Line A+B+C):</t>
  </si>
  <si>
    <t>Total Line Length (Lines A+B+C):</t>
  </si>
  <si>
    <t>Total Power Delivered to Antenna:</t>
  </si>
  <si>
    <t>Total RF Power Delivered to Antenna:</t>
  </si>
  <si>
    <t>Device:</t>
  </si>
  <si>
    <t>System Receivers and Line Losses:</t>
  </si>
  <si>
    <t>Uplink Receiver System (At Spacecraft):</t>
  </si>
  <si>
    <r>
      <t>System Noise Temperature (T</t>
    </r>
    <r>
      <rPr>
        <sz val="8"/>
        <rFont val="Arial"/>
        <family val="2"/>
      </rPr>
      <t>s</t>
    </r>
    <r>
      <rPr>
        <sz val="10"/>
        <rFont val="Arial"/>
        <family val="2"/>
      </rPr>
      <t>):</t>
    </r>
  </si>
  <si>
    <t>Where:</t>
  </si>
  <si>
    <r>
      <t>L</t>
    </r>
    <r>
      <rPr>
        <sz val="8"/>
        <rFont val="Arial"/>
        <family val="2"/>
      </rPr>
      <t xml:space="preserve">A          </t>
    </r>
  </si>
  <si>
    <r>
      <t xml:space="preserve">       L</t>
    </r>
    <r>
      <rPr>
        <sz val="8"/>
        <rFont val="Arial"/>
        <family val="2"/>
      </rPr>
      <t xml:space="preserve">B   </t>
    </r>
  </si>
  <si>
    <r>
      <t xml:space="preserve">      L</t>
    </r>
    <r>
      <rPr>
        <sz val="8"/>
        <rFont val="Arial"/>
        <family val="2"/>
      </rPr>
      <t>C</t>
    </r>
  </si>
  <si>
    <r>
      <t>T</t>
    </r>
    <r>
      <rPr>
        <sz val="8"/>
        <rFont val="Arial"/>
        <family val="2"/>
      </rPr>
      <t>o</t>
    </r>
  </si>
  <si>
    <r>
      <t xml:space="preserve">      T</t>
    </r>
    <r>
      <rPr>
        <sz val="8"/>
        <rFont val="Arial"/>
        <family val="2"/>
      </rPr>
      <t>o</t>
    </r>
  </si>
  <si>
    <r>
      <t>T</t>
    </r>
    <r>
      <rPr>
        <sz val="8"/>
        <rFont val="Arial"/>
        <family val="2"/>
      </rPr>
      <t>a</t>
    </r>
    <r>
      <rPr>
        <sz val="10"/>
        <rFont val="Arial"/>
      </rPr>
      <t xml:space="preserve"> </t>
    </r>
    <r>
      <rPr>
        <sz val="10"/>
        <rFont val="Symbol"/>
        <family val="1"/>
        <charset val="2"/>
      </rPr>
      <t>º</t>
    </r>
    <r>
      <rPr>
        <sz val="10"/>
        <rFont val="Arial"/>
      </rPr>
      <t xml:space="preserve"> Antenna Temperature or Sky Temperature (</t>
    </r>
    <r>
      <rPr>
        <sz val="10"/>
        <rFont val="Arial"/>
      </rPr>
      <t>°K)</t>
    </r>
  </si>
  <si>
    <r>
      <t>T</t>
    </r>
    <r>
      <rPr>
        <sz val="8"/>
        <rFont val="Arial"/>
        <family val="2"/>
      </rPr>
      <t>o</t>
    </r>
    <r>
      <rPr>
        <sz val="10"/>
        <rFont val="Arial"/>
        <family val="2"/>
      </rPr>
      <t xml:space="preserve"> </t>
    </r>
    <r>
      <rPr>
        <sz val="10"/>
        <rFont val="Symbol"/>
        <family val="1"/>
        <charset val="2"/>
      </rPr>
      <t>º</t>
    </r>
    <r>
      <rPr>
        <sz val="10"/>
        <rFont val="Arial"/>
        <family val="2"/>
      </rPr>
      <t xml:space="preserve"> System Line Temperature (Physical Temperature) (</t>
    </r>
    <r>
      <rPr>
        <sz val="10"/>
        <rFont val="Arial"/>
      </rPr>
      <t>°K)</t>
    </r>
  </si>
  <si>
    <r>
      <t>T</t>
    </r>
    <r>
      <rPr>
        <sz val="8"/>
        <rFont val="Arial"/>
        <family val="2"/>
      </rPr>
      <t>LNA</t>
    </r>
    <r>
      <rPr>
        <sz val="10"/>
        <rFont val="Symbol"/>
        <family val="1"/>
        <charset val="2"/>
      </rPr>
      <t>º</t>
    </r>
    <r>
      <rPr>
        <sz val="10"/>
        <rFont val="Arial"/>
        <family val="2"/>
      </rPr>
      <t xml:space="preserve"> Noise Temperature of the Low Noise Amplifier (</t>
    </r>
    <r>
      <rPr>
        <sz val="10"/>
        <rFont val="Arial"/>
      </rPr>
      <t>°K)</t>
    </r>
  </si>
  <si>
    <r>
      <t>a</t>
    </r>
    <r>
      <rPr>
        <sz val="10"/>
        <rFont val="Arial"/>
      </rPr>
      <t xml:space="preserve"> </t>
    </r>
    <r>
      <rPr>
        <sz val="10"/>
        <rFont val="Symbol"/>
        <family val="1"/>
        <charset val="2"/>
      </rPr>
      <t xml:space="preserve">º </t>
    </r>
    <r>
      <rPr>
        <sz val="10"/>
        <rFont val="Arial"/>
        <family val="2"/>
      </rPr>
      <t xml:space="preserve">Feed Line Coefficient = </t>
    </r>
    <r>
      <rPr>
        <sz val="10"/>
        <rFont val="Arial"/>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</si>
  <si>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T</t>
    </r>
    <r>
      <rPr>
        <sz val="8"/>
        <rFont val="Arial"/>
        <family val="2"/>
      </rPr>
      <t>LNA</t>
    </r>
  </si>
  <si>
    <r>
      <t>T</t>
    </r>
    <r>
      <rPr>
        <b/>
        <sz val="8"/>
        <rFont val="Arial"/>
        <family val="2"/>
      </rPr>
      <t>s</t>
    </r>
    <r>
      <rPr>
        <b/>
        <sz val="10"/>
        <rFont val="Arial"/>
      </rPr>
      <t>= (</t>
    </r>
    <r>
      <rPr>
        <b/>
        <sz val="10"/>
        <rFont val="Symbol"/>
        <family val="1"/>
        <charset val="2"/>
      </rPr>
      <t>a</t>
    </r>
    <r>
      <rPr>
        <b/>
        <sz val="10"/>
        <rFont val="Arial"/>
      </rPr>
      <t>)T</t>
    </r>
    <r>
      <rPr>
        <b/>
        <sz val="8"/>
        <rFont val="Arial"/>
        <family val="2"/>
      </rPr>
      <t>a</t>
    </r>
    <r>
      <rPr>
        <b/>
        <sz val="10"/>
        <rFont val="Arial"/>
        <family val="2"/>
      </rPr>
      <t xml:space="preserve"> + (1-</t>
    </r>
    <r>
      <rPr>
        <b/>
        <sz val="10"/>
        <rFont val="Symbol"/>
        <family val="1"/>
        <charset val="2"/>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2ndStage</t>
    </r>
    <r>
      <rPr>
        <b/>
        <sz val="10"/>
        <rFont val="Arial"/>
        <family val="2"/>
      </rPr>
      <t>/G</t>
    </r>
    <r>
      <rPr>
        <b/>
        <sz val="8"/>
        <rFont val="Arial"/>
        <family val="2"/>
      </rPr>
      <t>LNA</t>
    </r>
  </si>
  <si>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</si>
  <si>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</si>
  <si>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</si>
  <si>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</si>
  <si>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</si>
  <si>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</si>
  <si>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</si>
  <si>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t>
    </r>
    <r>
      <rPr>
        <sz val="10"/>
        <rFont val="Symbol"/>
        <family val="1"/>
        <charset val="2"/>
      </rPr>
      <t>º</t>
    </r>
    <r>
      <rPr>
        <sz val="10"/>
        <rFont val="Arial"/>
        <family val="2"/>
      </rPr>
      <t xml:space="preserve"> All Cable or Waveguide Losses (expressed in dB)</t>
    </r>
  </si>
  <si>
    <r>
      <t>L</t>
    </r>
    <r>
      <rPr>
        <sz val="8"/>
        <rFont val="Arial"/>
        <family val="2"/>
      </rPr>
      <t>BPF</t>
    </r>
    <r>
      <rPr>
        <sz val="10"/>
        <rFont val="Arial"/>
        <family val="2"/>
      </rPr>
      <t xml:space="preserve"> </t>
    </r>
    <r>
      <rPr>
        <sz val="10"/>
        <rFont val="Symbol"/>
        <family val="1"/>
        <charset val="2"/>
      </rPr>
      <t>º</t>
    </r>
    <r>
      <rPr>
        <sz val="10"/>
        <rFont val="Arial"/>
        <family val="2"/>
      </rPr>
      <t xml:space="preserve"> Insertion Loss of any bandpass fiter used in front of LNA (expressed in dB)</t>
    </r>
  </si>
  <si>
    <r>
      <t>L</t>
    </r>
    <r>
      <rPr>
        <sz val="8"/>
        <rFont val="Arial"/>
        <family val="2"/>
      </rPr>
      <t>other</t>
    </r>
    <r>
      <rPr>
        <sz val="10"/>
        <rFont val="Arial"/>
        <family val="2"/>
      </rPr>
      <t xml:space="preserve"> </t>
    </r>
    <r>
      <rPr>
        <sz val="10"/>
        <rFont val="Symbol"/>
        <family val="1"/>
        <charset val="2"/>
      </rPr>
      <t>º</t>
    </r>
    <r>
      <rPr>
        <sz val="10"/>
        <rFont val="Arial"/>
        <family val="2"/>
      </rPr>
      <t xml:space="preserve"> Insertion Loss of any other In-Line device in front of LNA (expressed in dB)</t>
    </r>
  </si>
  <si>
    <r>
      <t>T</t>
    </r>
    <r>
      <rPr>
        <sz val="8"/>
        <rFont val="Arial"/>
        <family val="2"/>
      </rPr>
      <t>2nd Stage</t>
    </r>
  </si>
  <si>
    <r>
      <t>T</t>
    </r>
    <r>
      <rPr>
        <sz val="8"/>
        <rFont val="Arial"/>
        <family val="2"/>
      </rPr>
      <t>2nd Stage</t>
    </r>
    <r>
      <rPr>
        <sz val="10"/>
        <rFont val="Arial"/>
        <family val="2"/>
      </rPr>
      <t xml:space="preserve"> </t>
    </r>
    <r>
      <rPr>
        <sz val="10"/>
        <rFont val="Symbol"/>
        <family val="1"/>
        <charset val="2"/>
      </rPr>
      <t>º</t>
    </r>
    <r>
      <rPr>
        <sz val="10"/>
        <rFont val="Arial"/>
        <family val="2"/>
      </rPr>
      <t xml:space="preserve">  Noise Temperature of Next Stage Amplifier or Mixer (</t>
    </r>
    <r>
      <rPr>
        <sz val="10"/>
        <rFont val="Arial"/>
      </rPr>
      <t>°K)</t>
    </r>
  </si>
  <si>
    <r>
      <t>G</t>
    </r>
    <r>
      <rPr>
        <sz val="8"/>
        <rFont val="Arial"/>
        <family val="2"/>
      </rPr>
      <t>LNA</t>
    </r>
    <r>
      <rPr>
        <sz val="10"/>
        <rFont val="Arial"/>
        <family val="2"/>
      </rPr>
      <t xml:space="preserve"> </t>
    </r>
    <r>
      <rPr>
        <sz val="10"/>
        <rFont val="Symbol"/>
        <family val="1"/>
        <charset val="2"/>
      </rPr>
      <t>º</t>
    </r>
    <r>
      <rPr>
        <sz val="10"/>
        <rFont val="Arial"/>
        <family val="2"/>
      </rPr>
      <t xml:space="preserve"> The gain of the LNA in linear (non-dB) units</t>
    </r>
  </si>
  <si>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</si>
  <si>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</si>
  <si>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</si>
  <si>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rPr>
      <t xml:space="preserve"> = </t>
    </r>
  </si>
  <si>
    <r>
      <t>L</t>
    </r>
    <r>
      <rPr>
        <sz val="8"/>
        <rFont val="Arial"/>
        <family val="2"/>
      </rPr>
      <t>C</t>
    </r>
    <r>
      <rPr>
        <sz val="10"/>
        <rFont val="Arial"/>
        <family val="2"/>
      </rPr>
      <t xml:space="preserve"> = </t>
    </r>
  </si>
  <si>
    <t>Line A Loss:</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</si>
  <si>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</si>
  <si>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</si>
  <si>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</si>
  <si>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</si>
  <si>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</si>
  <si>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</si>
  <si>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</si>
  <si>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</si>
  <si>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</si>
  <si>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</si>
  <si>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</si>
  <si>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</si>
  <si>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</si>
  <si>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</si>
  <si>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</si>
  <si>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2nd Stage Temperature:</t>
  </si>
  <si>
    <t>LNA Gain:</t>
  </si>
  <si>
    <r>
      <t>G</t>
    </r>
    <r>
      <rPr>
        <sz val="8"/>
        <rFont val="Arial"/>
        <family val="2"/>
      </rPr>
      <t>LNA</t>
    </r>
    <r>
      <rPr>
        <sz val="10"/>
        <rFont val="Arial"/>
        <family val="2"/>
      </rPr>
      <t xml:space="preserve"> =</t>
    </r>
  </si>
  <si>
    <r>
      <t>T</t>
    </r>
    <r>
      <rPr>
        <sz val="8"/>
        <rFont val="Arial"/>
        <family val="2"/>
      </rPr>
      <t>2ndStage</t>
    </r>
    <r>
      <rPr>
        <sz val="10"/>
        <rFont val="Arial"/>
        <family val="2"/>
      </rPr>
      <t xml:space="preserve"> =</t>
    </r>
  </si>
  <si>
    <t>System Noise Temperature:</t>
  </si>
  <si>
    <r>
      <t>T</t>
    </r>
    <r>
      <rPr>
        <sz val="8"/>
        <rFont val="Arial"/>
        <family val="2"/>
      </rPr>
      <t>s</t>
    </r>
    <r>
      <rPr>
        <sz val="10"/>
        <rFont val="Arial"/>
        <family val="2"/>
      </rPr>
      <t xml:space="preserve"> =</t>
    </r>
  </si>
  <si>
    <t>or</t>
  </si>
  <si>
    <r>
      <t>NF</t>
    </r>
    <r>
      <rPr>
        <sz val="8"/>
        <rFont val="Arial"/>
        <family val="2"/>
      </rPr>
      <t xml:space="preserve">dB </t>
    </r>
    <r>
      <rPr>
        <sz val="10"/>
        <rFont val="Arial"/>
        <family val="2"/>
      </rPr>
      <t>=</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</si>
  <si>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</si>
  <si>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NF</t>
    </r>
    <r>
      <rPr>
        <sz val="8"/>
        <rFont val="Arial"/>
        <family val="2"/>
      </rPr>
      <t>dB</t>
    </r>
    <r>
      <rPr>
        <sz val="10"/>
        <rFont val="Arial"/>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</si>
  <si>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t>T =</t>
  </si>
  <si>
    <r>
      <t>NF</t>
    </r>
    <r>
      <rPr>
        <sz val="8"/>
        <rFont val="Arial"/>
        <family val="2"/>
      </rPr>
      <t xml:space="preserve">dB  </t>
    </r>
    <r>
      <rPr>
        <sz val="10"/>
        <rFont val="Arial"/>
        <family val="2"/>
      </rPr>
      <t>=</t>
    </r>
  </si>
  <si>
    <t>OR</t>
  </si>
  <si>
    <t>Enter Data Here:</t>
  </si>
  <si>
    <t>Result is Here</t>
  </si>
  <si>
    <t>Downlink Receiver System (At Ground Station):</t>
  </si>
  <si>
    <r>
      <t>T</t>
    </r>
    <r>
      <rPr>
        <sz val="8"/>
        <rFont val="Arial"/>
        <family val="2"/>
      </rPr>
      <t>o</t>
    </r>
    <r>
      <rPr>
        <sz val="10"/>
        <rFont val="Arial"/>
        <family val="2"/>
      </rPr>
      <t xml:space="preserve"> </t>
    </r>
    <r>
      <rPr>
        <sz val="10"/>
        <rFont val="Symbol"/>
        <family val="1"/>
        <charset val="2"/>
      </rPr>
      <t>º</t>
    </r>
    <r>
      <rPr>
        <sz val="10"/>
        <rFont val="Arial"/>
        <family val="2"/>
      </rPr>
      <t xml:space="preserve"> System Line Temperature (Physical Temperature) (</t>
    </r>
    <r>
      <rPr>
        <sz val="10"/>
        <rFont val="Arial"/>
      </rPr>
      <t xml:space="preserve">°K) </t>
    </r>
    <r>
      <rPr>
        <sz val="10"/>
        <rFont val="Symbol"/>
        <family val="1"/>
        <charset val="2"/>
      </rPr>
      <t>º</t>
    </r>
    <r>
      <rPr>
        <sz val="10"/>
        <rFont val="Arial"/>
      </rPr>
      <t xml:space="preserve"> System Reference Temperature</t>
    </r>
  </si>
  <si>
    <t xml:space="preserve">No. of In-Line Connectors: </t>
  </si>
  <si>
    <t>X .05 dB/Con.=</t>
  </si>
  <si>
    <t xml:space="preserve">dB at frequency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</si>
  <si>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</si>
  <si>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</si>
  <si>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</si>
  <si>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</si>
  <si>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</si>
  <si>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</si>
  <si>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</si>
  <si>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</si>
  <si>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</si>
  <si>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x</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</si>
  <si>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</si>
  <si>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</si>
  <si>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</si>
  <si>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</si>
  <si>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</si>
  <si>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</si>
  <si>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Orbit Performance:</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</si>
  <si>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</si>
  <si>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</si>
  <si>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</si>
  <si>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</si>
  <si>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</si>
  <si>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</si>
  <si>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</si>
  <si>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rPr>
      <t>θ</t>
    </r>
    <r>
      <rPr>
        <b/>
        <sz val="8"/>
        <rFont val="Arial"/>
        <family val="2"/>
      </rPr>
      <t>3</t>
    </r>
    <r>
      <rPr>
        <b/>
        <sz val="10"/>
        <rFont val="Arial"/>
        <family val="2"/>
      </rPr>
      <t>):</t>
    </r>
  </si>
  <si>
    <r>
      <t>Esimated Pointing Error (</t>
    </r>
    <r>
      <rPr>
        <b/>
        <sz val="10"/>
        <rFont val="Arial"/>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</si>
  <si>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</si>
  <si>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</si>
  <si>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</si>
  <si>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</si>
  <si>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</si>
  <si>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</si>
  <si>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</si>
  <si>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</si>
  <si>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</si>
  <si>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</si>
  <si>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</si>
  <si>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</si>
  <si>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</si>
  <si>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</si>
  <si>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</si>
  <si>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</si>
  <si>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</si>
  <si>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</si>
  <si>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</si>
  <si>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</si>
  <si>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</si>
  <si>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This value is selected at "Antenna Gain" W/S, Cell [E37]</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</si>
  <si>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</si>
  <si>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</si>
  <si>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</si>
  <si>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</si>
  <si>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</si>
  <si>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"Orbit &amp; Frequency" worksheet is matched against the closest fit from the table and the </t>
  </si>
  <si>
    <t xml:space="preserve">    Loss Determined:</t>
  </si>
  <si>
    <t>link model operator, then the operator must estimate the appropriate ionospheric loss value and manually</t>
  </si>
  <si>
    <t xml:space="preserve">   Loss Determined:</t>
  </si>
  <si>
    <t>Link Losses Resulting from Signals Passing Through Atmospheric Gases:</t>
  </si>
  <si>
    <t>Link Losses Resulting from Signals Passing Through the Ionosphere:</t>
  </si>
  <si>
    <t>This value should be estimated by the link model operator and place into Cell [B18]</t>
  </si>
  <si>
    <t>result is given at Cell [D23] and is automatically inserted into the uplink and downlink budgets.</t>
  </si>
  <si>
    <t>Link Model Operator Estimate Inserted Here.</t>
  </si>
  <si>
    <t>This value is transferred from "Antenna Pointing Losses" W/S, Cell [K96]</t>
  </si>
  <si>
    <t>This value is selected at "Antenna Gain" W/S, Cell [E52]</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</si>
  <si>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</si>
  <si>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</si>
  <si>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</si>
  <si>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</si>
  <si>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rPr>
      <t xml:space="preserve">  This is the data rate, not the symbol rate.</t>
    </r>
  </si>
  <si>
    <t>This is simply = 10log(R); R= data rate</t>
  </si>
  <si>
    <t>The selected value is transferred from the "Modulation-Demodulation W/S, Cells [F33:F50]</t>
  </si>
  <si>
    <t>System Allowed or Specified Bit-Error-Rate:</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</si>
  <si>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</si>
  <si>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</si>
  <si>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</si>
  <si>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</si>
  <si>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</si>
  <si>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</si>
  <si>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</si>
  <si>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</si>
  <si>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</si>
  <si>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</si>
  <si>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</si>
  <si>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</si>
  <si>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</si>
  <si>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</si>
  <si>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</si>
  <si>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</si>
  <si>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</si>
  <si>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</si>
  <si>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</si>
  <si>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</si>
  <si>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</si>
  <si>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</si>
  <si>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RG-8</t>
  </si>
  <si>
    <r>
      <t xml:space="preserve">is clearly referred to as such in the budget </t>
    </r>
    <r>
      <rPr>
        <i/>
        <sz val="10"/>
        <rFont val="Arial"/>
        <family val="2"/>
      </rPr>
      <t>parameter</t>
    </r>
    <r>
      <rPr>
        <sz val="10"/>
        <rFont val="Arial"/>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</si>
  <si>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rPr>
      <t>,</t>
    </r>
  </si>
  <si>
    <r>
      <t xml:space="preserve">in the equations that sum the gains and losses to yield the result, the gains are </t>
    </r>
    <r>
      <rPr>
        <i/>
        <sz val="10"/>
        <rFont val="Arial"/>
        <family val="2"/>
      </rPr>
      <t>added</t>
    </r>
    <r>
      <rPr>
        <sz val="10"/>
        <rFont val="Arial"/>
      </rPr>
      <t xml:space="preserve"> and the losses are </t>
    </r>
    <r>
      <rPr>
        <i/>
        <sz val="10"/>
        <rFont val="Arial"/>
        <family val="2"/>
      </rPr>
      <t>subtracted</t>
    </r>
    <r>
      <rPr>
        <sz val="10"/>
        <rFont val="Arial"/>
      </rPr>
      <t xml:space="preserve">.  For example, </t>
    </r>
  </si>
  <si>
    <t xml:space="preserve">see the equation in Cell [B11] of the "Uplink" W/S. </t>
  </si>
  <si>
    <r>
      <t>calculated or selected in one of the S</t>
    </r>
    <r>
      <rPr>
        <i/>
        <sz val="10"/>
        <rFont val="Arial"/>
        <family val="2"/>
      </rPr>
      <t>peciality</t>
    </r>
    <r>
      <rPr>
        <sz val="10"/>
        <rFont val="Arial"/>
      </rPr>
      <t xml:space="preserve"> W/Ss (e.g., Receivers) becomes just one entry in either the Uplink or the Downlink budget.</t>
    </r>
  </si>
  <si>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</si>
  <si>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</si>
  <si>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</si>
  <si>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</si>
  <si>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</si>
  <si>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</si>
  <si>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</si>
  <si>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</si>
  <si>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</si>
  <si>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</si>
  <si>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rPr>
      <t>+G</t>
    </r>
    <r>
      <rPr>
        <sz val="8"/>
        <rFont val="Arial"/>
        <family val="2"/>
      </rPr>
      <t>a</t>
    </r>
    <r>
      <rPr>
        <sz val="10"/>
        <rFont val="Arial"/>
      </rPr>
      <t>-L</t>
    </r>
    <r>
      <rPr>
        <sz val="8"/>
        <rFont val="Arial"/>
        <family val="2"/>
      </rPr>
      <t>pl</t>
    </r>
    <r>
      <rPr>
        <sz val="10"/>
        <rFont val="Arial"/>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</si>
  <si>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</si>
  <si>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</si>
  <si>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</si>
  <si>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</si>
  <si>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</si>
  <si>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</si>
  <si>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</si>
  <si>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</si>
  <si>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</si>
  <si>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</si>
  <si>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</si>
  <si>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</si>
  <si>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</si>
  <si>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</si>
  <si>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This value is selected at "Antenna Gain" W/S, Cell [E9]</t>
  </si>
  <si>
    <t>Gnd-to-S/C Antenna Polarization Losses:</t>
  </si>
  <si>
    <t>This value is calculated in the "Antenna Pointing Losses" W/S, and trasferred from Cell [K79]</t>
  </si>
  <si>
    <t>This value is calculated in the "Antenna Pointing Losses" W/S, and transferred from Cell [K41]</t>
  </si>
  <si>
    <t>Peak Gain at:</t>
  </si>
  <si>
    <t>Elevation</t>
  </si>
  <si>
    <t>(-3dB gain loss)</t>
  </si>
  <si>
    <t>Outer Ring:</t>
  </si>
  <si>
    <t>(Add this value to 0.0 dB)</t>
  </si>
  <si>
    <t>Azimuth Cut:</t>
  </si>
  <si>
    <t>DIPOLE ELEVATION  PATTERN</t>
  </si>
  <si>
    <t>This value is calculated in the "Polarization Loss" W/S and is transferred from Cell [F40].</t>
  </si>
  <si>
    <r>
      <t>Lp = 22 + 20LOG(D/</t>
    </r>
    <r>
      <rPr>
        <sz val="10"/>
        <rFont val="Symbol"/>
        <charset val="2"/>
      </rPr>
      <t>l</t>
    </r>
    <r>
      <rPr>
        <sz val="10"/>
        <rFont val="Arial"/>
      </rPr>
      <t>); Transferred from "Orbit &amp; Frequency" W/S</t>
    </r>
  </si>
  <si>
    <t>This is the signal level received at the Earth in the vacinity of the ground station using an omnidirectional antenna.</t>
  </si>
  <si>
    <t>This value is transferred from "Antenna Pointing Losses" W/S, Cell [K59]</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</si>
  <si>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</si>
  <si>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</si>
  <si>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</si>
  <si>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</si>
  <si>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</si>
  <si>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</si>
  <si>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</si>
  <si>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</si>
  <si>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</si>
  <si>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</si>
  <si>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</si>
  <si>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</si>
  <si>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This value is selected at "Antenna Gain" W/S, Cell [E22]</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</si>
  <si>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</si>
  <si>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</si>
  <si>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</si>
  <si>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</si>
  <si>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</si>
  <si>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</si>
  <si>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</si>
  <si>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</si>
  <si>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Line A</t>
  </si>
  <si>
    <t>Line C</t>
  </si>
  <si>
    <r>
      <t xml:space="preserve">    P</t>
    </r>
    <r>
      <rPr>
        <sz val="8"/>
        <rFont val="Arial"/>
        <family val="2"/>
      </rPr>
      <t>Tx</t>
    </r>
    <r>
      <rPr>
        <sz val="10"/>
        <rFont val="Arial"/>
        <family val="2"/>
      </rPr>
      <t xml:space="preserve"> =</t>
    </r>
  </si>
  <si>
    <r>
      <t xml:space="preserve">    L</t>
    </r>
    <r>
      <rPr>
        <sz val="8"/>
        <rFont val="Arial"/>
        <family val="2"/>
      </rPr>
      <t xml:space="preserve">A </t>
    </r>
    <r>
      <rPr>
        <sz val="10"/>
        <rFont val="Arial"/>
        <family val="2"/>
      </rPr>
      <t>=</t>
    </r>
  </si>
  <si>
    <r>
      <t xml:space="preserve">    L</t>
    </r>
    <r>
      <rPr>
        <sz val="8"/>
        <rFont val="Arial"/>
        <family val="2"/>
      </rPr>
      <t>B</t>
    </r>
    <r>
      <rPr>
        <sz val="10"/>
        <rFont val="Arial"/>
        <family val="2"/>
      </rPr>
      <t xml:space="preserve"> =</t>
    </r>
  </si>
  <si>
    <r>
      <t xml:space="preserve">    L</t>
    </r>
    <r>
      <rPr>
        <sz val="8"/>
        <rFont val="Arial"/>
        <family val="2"/>
      </rPr>
      <t>C</t>
    </r>
    <r>
      <rPr>
        <sz val="10"/>
        <rFont val="Arial"/>
        <family val="2"/>
      </rPr>
      <t xml:space="preserve"> = </t>
    </r>
  </si>
  <si>
    <t xml:space="preserve">    R = </t>
  </si>
  <si>
    <r>
      <t xml:space="preserve">    L</t>
    </r>
    <r>
      <rPr>
        <sz val="8"/>
        <rFont val="Arial"/>
        <family val="2"/>
      </rPr>
      <t>p</t>
    </r>
    <r>
      <rPr>
        <sz val="10"/>
        <rFont val="Arial"/>
      </rPr>
      <t xml:space="preserve"> =</t>
    </r>
  </si>
  <si>
    <r>
      <t xml:space="preserve">    L</t>
    </r>
    <r>
      <rPr>
        <sz val="8"/>
        <rFont val="Arial"/>
        <family val="2"/>
      </rPr>
      <t>Tbpf =</t>
    </r>
  </si>
  <si>
    <r>
      <t xml:space="preserve">    L</t>
    </r>
    <r>
      <rPr>
        <sz val="8"/>
        <rFont val="Arial"/>
        <family val="2"/>
      </rPr>
      <t>C=</t>
    </r>
  </si>
  <si>
    <r>
      <t xml:space="preserve">    L</t>
    </r>
    <r>
      <rPr>
        <sz val="8"/>
        <rFont val="Arial"/>
        <family val="2"/>
      </rPr>
      <t>B</t>
    </r>
    <r>
      <rPr>
        <sz val="10"/>
        <rFont val="Arial"/>
        <family val="2"/>
      </rPr>
      <t xml:space="preserve"> = </t>
    </r>
  </si>
  <si>
    <r>
      <t xml:space="preserve">    L</t>
    </r>
    <r>
      <rPr>
        <sz val="8"/>
        <rFont val="Arial"/>
        <family val="2"/>
      </rPr>
      <t>A</t>
    </r>
    <r>
      <rPr>
        <sz val="10"/>
        <rFont val="Arial"/>
        <family val="2"/>
      </rPr>
      <t xml:space="preserve"> =</t>
    </r>
  </si>
  <si>
    <r>
      <t xml:space="preserve">   L</t>
    </r>
    <r>
      <rPr>
        <sz val="8"/>
        <rFont val="Arial"/>
        <family val="2"/>
      </rPr>
      <t>Tother =</t>
    </r>
  </si>
  <si>
    <r>
      <t xml:space="preserve">    T</t>
    </r>
    <r>
      <rPr>
        <sz val="8"/>
        <rFont val="Arial"/>
        <family val="2"/>
      </rPr>
      <t>LNA</t>
    </r>
    <r>
      <rPr>
        <sz val="10"/>
        <rFont val="Arial"/>
        <family val="2"/>
      </rPr>
      <t xml:space="preserve"> =</t>
    </r>
    <r>
      <rPr>
        <sz val="8"/>
        <rFont val="Arial"/>
        <family val="2"/>
      </rPr>
      <t xml:space="preserve"> </t>
    </r>
  </si>
  <si>
    <r>
      <t xml:space="preserve">    G</t>
    </r>
    <r>
      <rPr>
        <sz val="8"/>
        <rFont val="Arial"/>
        <family val="2"/>
      </rPr>
      <t>LNA</t>
    </r>
    <r>
      <rPr>
        <sz val="10"/>
        <rFont val="Arial"/>
        <family val="2"/>
      </rPr>
      <t xml:space="preserve"> =</t>
    </r>
  </si>
  <si>
    <r>
      <t>L</t>
    </r>
    <r>
      <rPr>
        <sz val="8"/>
        <rFont val="Arial"/>
        <family val="2"/>
      </rPr>
      <t xml:space="preserve">total line </t>
    </r>
    <r>
      <rPr>
        <sz val="10"/>
        <rFont val="Arial"/>
        <family val="2"/>
      </rPr>
      <t>=</t>
    </r>
    <r>
      <rPr>
        <sz val="10"/>
        <rFont val="Arial"/>
      </rPr>
      <t xml:space="preserve"> </t>
    </r>
  </si>
  <si>
    <r>
      <t>L</t>
    </r>
    <r>
      <rPr>
        <sz val="8"/>
        <rFont val="Arial"/>
        <family val="2"/>
      </rPr>
      <t xml:space="preserve">total line </t>
    </r>
    <r>
      <rPr>
        <sz val="10"/>
        <rFont val="Arial"/>
        <family val="2"/>
      </rPr>
      <t>=</t>
    </r>
  </si>
  <si>
    <r>
      <t>T</t>
    </r>
    <r>
      <rPr>
        <sz val="8"/>
        <rFont val="Arial"/>
        <family val="2"/>
      </rPr>
      <t>2nd Amp</t>
    </r>
    <r>
      <rPr>
        <sz val="10"/>
        <rFont val="Arial"/>
      </rPr>
      <t xml:space="preserve"> =</t>
    </r>
  </si>
  <si>
    <t xml:space="preserve">  Demodulator Type:</t>
  </si>
  <si>
    <t>Link Margin:</t>
  </si>
  <si>
    <r>
      <t xml:space="preserve">    E</t>
    </r>
    <r>
      <rPr>
        <sz val="8"/>
        <rFont val="Arial"/>
        <family val="2"/>
      </rPr>
      <t>b</t>
    </r>
    <r>
      <rPr>
        <sz val="10"/>
        <rFont val="Arial"/>
      </rPr>
      <t>/N</t>
    </r>
    <r>
      <rPr>
        <sz val="8"/>
        <rFont val="Arial"/>
        <family val="2"/>
      </rPr>
      <t>o</t>
    </r>
    <r>
      <rPr>
        <sz val="10"/>
        <rFont val="Arial"/>
      </rPr>
      <t xml:space="preserve"> = </t>
    </r>
  </si>
  <si>
    <t xml:space="preserve">    S/N =</t>
  </si>
  <si>
    <r>
      <t xml:space="preserve">    T</t>
    </r>
    <r>
      <rPr>
        <sz val="8"/>
        <rFont val="Arial"/>
        <family val="2"/>
      </rPr>
      <t>sys</t>
    </r>
    <r>
      <rPr>
        <sz val="10"/>
        <rFont val="Arial"/>
        <family val="2"/>
      </rPr>
      <t xml:space="preserve"> =</t>
    </r>
  </si>
  <si>
    <t xml:space="preserve">    G/T =</t>
  </si>
  <si>
    <r>
      <t xml:space="preserve">    G</t>
    </r>
    <r>
      <rPr>
        <sz val="8"/>
        <rFont val="Arial"/>
        <family val="2"/>
      </rPr>
      <t xml:space="preserve">T </t>
    </r>
    <r>
      <rPr>
        <sz val="10"/>
        <rFont val="Arial"/>
      </rPr>
      <t>=</t>
    </r>
  </si>
  <si>
    <r>
      <t xml:space="preserve">  L</t>
    </r>
    <r>
      <rPr>
        <sz val="8"/>
        <rFont val="Arial"/>
        <family val="2"/>
      </rPr>
      <t>Rbpf</t>
    </r>
    <r>
      <rPr>
        <sz val="10"/>
        <rFont val="Arial"/>
        <family val="2"/>
      </rPr>
      <t xml:space="preserve"> =</t>
    </r>
  </si>
  <si>
    <r>
      <t xml:space="preserve">   G</t>
    </r>
    <r>
      <rPr>
        <sz val="8"/>
        <rFont val="Arial"/>
        <family val="2"/>
      </rPr>
      <t>R</t>
    </r>
    <r>
      <rPr>
        <sz val="10"/>
        <rFont val="Arial"/>
      </rPr>
      <t xml:space="preserve"> =</t>
    </r>
  </si>
  <si>
    <t>Cable/W.Guide Loss/meter:</t>
  </si>
  <si>
    <t>Cable/W. Guide Type:</t>
  </si>
  <si>
    <r>
      <t xml:space="preserve">  EIRP</t>
    </r>
    <r>
      <rPr>
        <sz val="8"/>
        <rFont val="Arial"/>
        <family val="2"/>
      </rPr>
      <t xml:space="preserve">gs </t>
    </r>
    <r>
      <rPr>
        <sz val="10"/>
        <rFont val="Arial"/>
        <family val="2"/>
      </rPr>
      <t>=</t>
    </r>
  </si>
  <si>
    <t xml:space="preserve">  Modulation Method:</t>
  </si>
  <si>
    <r>
      <t xml:space="preserve">   B</t>
    </r>
    <r>
      <rPr>
        <sz val="8"/>
        <rFont val="Arial"/>
        <family val="2"/>
      </rPr>
      <t>Rbpf</t>
    </r>
    <r>
      <rPr>
        <sz val="10"/>
        <rFont val="Arial"/>
      </rPr>
      <t xml:space="preserve"> = </t>
    </r>
  </si>
  <si>
    <t>(Used Only in S/N Calc.)</t>
  </si>
  <si>
    <t>S/N Method:</t>
  </si>
  <si>
    <r>
      <t>E</t>
    </r>
    <r>
      <rPr>
        <sz val="8"/>
        <rFont val="Arial"/>
        <family val="2"/>
      </rPr>
      <t>b</t>
    </r>
    <r>
      <rPr>
        <sz val="10"/>
        <rFont val="Arial"/>
      </rPr>
      <t>/No Method:</t>
    </r>
  </si>
  <si>
    <t>Spec. B.E.R.:</t>
  </si>
  <si>
    <r>
      <t xml:space="preserve">  </t>
    </r>
    <r>
      <rPr>
        <b/>
        <sz val="10"/>
        <rFont val="Arial"/>
        <family val="2"/>
      </rPr>
      <t>UPLINK SYSTEM:</t>
    </r>
  </si>
  <si>
    <t xml:space="preserve">    R =</t>
  </si>
  <si>
    <t>DOWNLINK SYSTEM:</t>
  </si>
  <si>
    <t xml:space="preserve">    Total Link Losses:</t>
  </si>
  <si>
    <t xml:space="preserve">  Polarization:</t>
  </si>
  <si>
    <t xml:space="preserve"> Polarization:</t>
  </si>
  <si>
    <r>
      <t xml:space="preserve">    P</t>
    </r>
    <r>
      <rPr>
        <sz val="8"/>
        <rFont val="Arial"/>
        <family val="2"/>
      </rPr>
      <t xml:space="preserve">Tx </t>
    </r>
    <r>
      <rPr>
        <sz val="10"/>
        <rFont val="Arial"/>
        <family val="2"/>
      </rPr>
      <t>=</t>
    </r>
  </si>
  <si>
    <r>
      <t xml:space="preserve">    h</t>
    </r>
    <r>
      <rPr>
        <sz val="8"/>
        <rFont val="Arial"/>
        <family val="2"/>
      </rPr>
      <t xml:space="preserve">Tx </t>
    </r>
    <r>
      <rPr>
        <sz val="10"/>
        <rFont val="Arial"/>
        <family val="2"/>
      </rPr>
      <t>=</t>
    </r>
  </si>
  <si>
    <t>Tx DC Pwr:</t>
  </si>
  <si>
    <t>Tx Dissipation:</t>
  </si>
  <si>
    <t xml:space="preserve">   Modulation Method:</t>
  </si>
  <si>
    <r>
      <t xml:space="preserve">   L</t>
    </r>
    <r>
      <rPr>
        <sz val="8"/>
        <rFont val="Arial"/>
        <family val="2"/>
      </rPr>
      <t>TXbpf</t>
    </r>
    <r>
      <rPr>
        <sz val="10"/>
        <rFont val="Arial"/>
      </rPr>
      <t xml:space="preserve"> =</t>
    </r>
  </si>
  <si>
    <r>
      <t xml:space="preserve">    L</t>
    </r>
    <r>
      <rPr>
        <sz val="8"/>
        <rFont val="Arial"/>
        <family val="2"/>
      </rPr>
      <t>B</t>
    </r>
    <r>
      <rPr>
        <sz val="10"/>
        <rFont val="Arial"/>
      </rPr>
      <t xml:space="preserve"> =</t>
    </r>
  </si>
  <si>
    <r>
      <t xml:space="preserve">    L</t>
    </r>
    <r>
      <rPr>
        <sz val="8"/>
        <rFont val="Arial"/>
        <family val="2"/>
      </rPr>
      <t>C</t>
    </r>
    <r>
      <rPr>
        <sz val="10"/>
        <rFont val="Arial"/>
      </rPr>
      <t xml:space="preserve"> =</t>
    </r>
  </si>
  <si>
    <r>
      <t xml:space="preserve"> L</t>
    </r>
    <r>
      <rPr>
        <sz val="8"/>
        <rFont val="Arial"/>
        <family val="2"/>
      </rPr>
      <t>total line</t>
    </r>
    <r>
      <rPr>
        <sz val="10"/>
        <rFont val="Arial"/>
      </rPr>
      <t xml:space="preserve"> =</t>
    </r>
  </si>
  <si>
    <r>
      <t xml:space="preserve">    G</t>
    </r>
    <r>
      <rPr>
        <sz val="8"/>
        <rFont val="Arial"/>
        <family val="2"/>
      </rPr>
      <t>T</t>
    </r>
    <r>
      <rPr>
        <sz val="10"/>
        <rFont val="Arial"/>
      </rPr>
      <t xml:space="preserve"> = </t>
    </r>
  </si>
  <si>
    <r>
      <t>EIRP</t>
    </r>
    <r>
      <rPr>
        <sz val="8"/>
        <rFont val="Arial"/>
        <family val="2"/>
      </rPr>
      <t>S/C</t>
    </r>
    <r>
      <rPr>
        <sz val="10"/>
        <rFont val="Arial"/>
      </rPr>
      <t xml:space="preserve"> =</t>
    </r>
  </si>
  <si>
    <r>
      <t xml:space="preserve">   L</t>
    </r>
    <r>
      <rPr>
        <sz val="8"/>
        <rFont val="Arial"/>
        <family val="2"/>
      </rPr>
      <t>Tother</t>
    </r>
    <r>
      <rPr>
        <sz val="10"/>
        <rFont val="Arial"/>
      </rPr>
      <t xml:space="preserve"> =</t>
    </r>
  </si>
  <si>
    <t xml:space="preserve">     Total Link Losses:</t>
  </si>
  <si>
    <r>
      <t xml:space="preserve">    L</t>
    </r>
    <r>
      <rPr>
        <sz val="8"/>
        <rFont val="Arial"/>
        <family val="2"/>
      </rPr>
      <t>P</t>
    </r>
    <r>
      <rPr>
        <sz val="10"/>
        <rFont val="Arial"/>
      </rPr>
      <t xml:space="preserve"> =</t>
    </r>
  </si>
  <si>
    <r>
      <t xml:space="preserve">    G</t>
    </r>
    <r>
      <rPr>
        <sz val="8"/>
        <rFont val="Arial"/>
        <family val="2"/>
      </rPr>
      <t>R</t>
    </r>
    <r>
      <rPr>
        <sz val="10"/>
        <rFont val="Arial"/>
      </rPr>
      <t xml:space="preserve"> =</t>
    </r>
  </si>
  <si>
    <r>
      <t xml:space="preserve">     L</t>
    </r>
    <r>
      <rPr>
        <sz val="8"/>
        <rFont val="Arial"/>
        <family val="2"/>
      </rPr>
      <t>C</t>
    </r>
    <r>
      <rPr>
        <sz val="10"/>
        <rFont val="Arial"/>
      </rPr>
      <t xml:space="preserve"> =</t>
    </r>
  </si>
  <si>
    <r>
      <t xml:space="preserve">    L</t>
    </r>
    <r>
      <rPr>
        <sz val="8"/>
        <rFont val="Arial"/>
        <family val="2"/>
      </rPr>
      <t>B</t>
    </r>
    <r>
      <rPr>
        <sz val="10"/>
        <rFont val="Arial"/>
      </rPr>
      <t xml:space="preserve"> = </t>
    </r>
  </si>
  <si>
    <r>
      <t xml:space="preserve">    L</t>
    </r>
    <r>
      <rPr>
        <sz val="8"/>
        <rFont val="Arial"/>
        <family val="2"/>
      </rPr>
      <t>A</t>
    </r>
    <r>
      <rPr>
        <sz val="10"/>
        <rFont val="Arial"/>
      </rPr>
      <t xml:space="preserve"> =</t>
    </r>
  </si>
  <si>
    <r>
      <t xml:space="preserve">   L</t>
    </r>
    <r>
      <rPr>
        <sz val="8"/>
        <rFont val="Arial"/>
        <family val="2"/>
      </rPr>
      <t xml:space="preserve">Rbpf </t>
    </r>
    <r>
      <rPr>
        <sz val="10"/>
        <rFont val="Arial"/>
        <family val="2"/>
      </rPr>
      <t>=</t>
    </r>
  </si>
  <si>
    <r>
      <t xml:space="preserve">   L</t>
    </r>
    <r>
      <rPr>
        <sz val="8"/>
        <rFont val="Arial"/>
        <family val="2"/>
      </rPr>
      <t>total</t>
    </r>
    <r>
      <rPr>
        <sz val="10"/>
        <rFont val="Arial"/>
      </rPr>
      <t xml:space="preserve"> =</t>
    </r>
  </si>
  <si>
    <r>
      <t xml:space="preserve">    G</t>
    </r>
    <r>
      <rPr>
        <sz val="8"/>
        <rFont val="Arial"/>
        <family val="2"/>
      </rPr>
      <t>LNA</t>
    </r>
    <r>
      <rPr>
        <sz val="10"/>
        <rFont val="Arial"/>
      </rPr>
      <t xml:space="preserve"> =</t>
    </r>
  </si>
  <si>
    <r>
      <t xml:space="preserve">    T</t>
    </r>
    <r>
      <rPr>
        <sz val="8"/>
        <rFont val="Arial"/>
        <family val="2"/>
      </rPr>
      <t>LNA</t>
    </r>
    <r>
      <rPr>
        <sz val="10"/>
        <rFont val="Arial"/>
      </rPr>
      <t xml:space="preserve"> =</t>
    </r>
  </si>
  <si>
    <r>
      <t xml:space="preserve">  T</t>
    </r>
    <r>
      <rPr>
        <sz val="8"/>
        <rFont val="Arial"/>
        <family val="2"/>
      </rPr>
      <t>2nd amp</t>
    </r>
    <r>
      <rPr>
        <sz val="10"/>
        <rFont val="Arial"/>
      </rPr>
      <t xml:space="preserve"> =</t>
    </r>
  </si>
  <si>
    <r>
      <t xml:space="preserve">    B</t>
    </r>
    <r>
      <rPr>
        <sz val="8"/>
        <rFont val="Arial"/>
        <family val="2"/>
      </rPr>
      <t xml:space="preserve">Rbpf  </t>
    </r>
    <r>
      <rPr>
        <sz val="10"/>
        <rFont val="Arial"/>
        <family val="2"/>
      </rPr>
      <t>=</t>
    </r>
  </si>
  <si>
    <t>(Used only in S/N Calc.)</t>
  </si>
  <si>
    <t xml:space="preserve">   F.E.C. Decoder Type:</t>
  </si>
  <si>
    <t xml:space="preserve"> F.E.C. Decoder Type:</t>
  </si>
  <si>
    <t xml:space="preserve">   F.E.C. Encoder Type:</t>
  </si>
  <si>
    <t xml:space="preserve">     F.E.C. Encoder Type:</t>
  </si>
  <si>
    <t xml:space="preserve">     Demodulator Type:</t>
  </si>
  <si>
    <r>
      <t xml:space="preserve"> E</t>
    </r>
    <r>
      <rPr>
        <sz val="8"/>
        <rFont val="Arial"/>
        <family val="2"/>
      </rPr>
      <t>b</t>
    </r>
    <r>
      <rPr>
        <sz val="10"/>
        <rFont val="Arial"/>
      </rPr>
      <t>/N</t>
    </r>
    <r>
      <rPr>
        <sz val="8"/>
        <rFont val="Arial"/>
        <family val="2"/>
      </rPr>
      <t>o</t>
    </r>
    <r>
      <rPr>
        <sz val="10"/>
        <rFont val="Arial"/>
      </rPr>
      <t xml:space="preserve"> Method:</t>
    </r>
  </si>
  <si>
    <t>silver over copper over steel 0.039" (1 mm) dia.  Typically used with SMA or even TNC connectors.  This is a very rugged cable type.</t>
  </si>
  <si>
    <t xml:space="preserve"> S/N Method:</t>
  </si>
  <si>
    <r>
      <t xml:space="preserve">  E</t>
    </r>
    <r>
      <rPr>
        <sz val="8"/>
        <rFont val="Arial"/>
        <family val="2"/>
      </rPr>
      <t>b</t>
    </r>
    <r>
      <rPr>
        <sz val="10"/>
        <rFont val="Arial"/>
      </rPr>
      <t>/N</t>
    </r>
    <r>
      <rPr>
        <sz val="8"/>
        <rFont val="Arial"/>
        <family val="2"/>
      </rPr>
      <t>o</t>
    </r>
    <r>
      <rPr>
        <sz val="10"/>
        <rFont val="Arial"/>
      </rPr>
      <t xml:space="preserve"> =</t>
    </r>
  </si>
  <si>
    <t xml:space="preserve">   S/N =</t>
  </si>
  <si>
    <t xml:space="preserve">Link Margin: </t>
  </si>
  <si>
    <t xml:space="preserve">  Line C</t>
  </si>
  <si>
    <t xml:space="preserve">  Line A</t>
  </si>
  <si>
    <t xml:space="preserve">  Line B</t>
  </si>
  <si>
    <t>none</t>
  </si>
  <si>
    <t>Other In-Line Device Type:</t>
  </si>
  <si>
    <t>(See "VSWR Loss Tool" W/S)</t>
  </si>
  <si>
    <t>Measured or Estimated VSWR:</t>
  </si>
  <si>
    <t>Transmitter Power Output:</t>
  </si>
  <si>
    <t>Power Reflected and Lost:</t>
  </si>
  <si>
    <t>Power Transmitted:</t>
  </si>
  <si>
    <r>
      <t>:</t>
    </r>
    <r>
      <rPr>
        <sz val="10"/>
        <rFont val="Arial"/>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</si>
  <si>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</si>
  <si>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</si>
  <si>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</si>
  <si>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</si>
  <si>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</si>
  <si>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</si>
  <si>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</si>
  <si>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</si>
  <si>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</si>
  <si>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</si>
  <si>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</si>
  <si>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</si>
  <si>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</si>
  <si>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</si>
  <si>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</si>
  <si>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</si>
  <si>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</si>
  <si>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</si>
  <si>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</si>
  <si>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</si>
  <si>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</si>
  <si>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</si>
  <si>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</si>
  <si>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</si>
  <si>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</si>
  <si>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</si>
  <si>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</si>
  <si>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</si>
  <si>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r>
      <t>Gains can also be negative (remember, the gain of an antenna is expressed as 10log(P/P</t>
    </r>
    <r>
      <rPr>
        <sz val="8"/>
        <rFont val="Arial"/>
        <family val="2"/>
      </rPr>
      <t>isotropic</t>
    </r>
    <r>
      <rPr>
        <sz val="10"/>
        <rFont val="Arial"/>
      </rPr>
      <t>).  So, if the gain in a particular direction, is below that of an</t>
    </r>
  </si>
  <si>
    <r>
      <t xml:space="preserve">  L</t>
    </r>
    <r>
      <rPr>
        <sz val="8"/>
        <rFont val="Arial"/>
        <family val="2"/>
      </rPr>
      <t>Rother</t>
    </r>
    <r>
      <rPr>
        <sz val="10"/>
        <rFont val="Arial"/>
      </rPr>
      <t xml:space="preserve"> =</t>
    </r>
  </si>
  <si>
    <r>
      <t xml:space="preserve">  L</t>
    </r>
    <r>
      <rPr>
        <sz val="8"/>
        <rFont val="Arial"/>
        <family val="2"/>
      </rPr>
      <t>Tother</t>
    </r>
    <r>
      <rPr>
        <sz val="10"/>
        <rFont val="Arial"/>
      </rPr>
      <t xml:space="preserve"> = </t>
    </r>
  </si>
  <si>
    <t xml:space="preserve">as being a positive value.  The argument is symantic.  The question could be asked, "Is a positive loss a negative?  And is a negative loss, positive?  </t>
  </si>
  <si>
    <t>Galactic Noise</t>
  </si>
  <si>
    <t>145MHZ</t>
  </si>
  <si>
    <t>435MHz</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</si>
  <si>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</si>
  <si>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</si>
  <si>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</si>
  <si>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</si>
  <si>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</si>
  <si>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</si>
  <si>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</si>
  <si>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</si>
  <si>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</si>
  <si>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</si>
  <si>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</si>
  <si>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</si>
  <si>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</si>
  <si>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</si>
  <si>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rPr>
      <t xml:space="preserve">  An FEP (Teflon) solid covered "clean" cable for general purpose spacecraft transmission lines.</t>
    </r>
  </si>
  <si>
    <t>Can not find data source. Data estimated by VK4GEY.</t>
  </si>
  <si>
    <t>Ground Station Feedline Temperature:</t>
  </si>
  <si>
    <r>
      <t>RG-303 /U:</t>
    </r>
    <r>
      <rPr>
        <sz val="10"/>
        <rFont val="Arial"/>
      </rPr>
      <t xml:space="preserve">  A PTFE (Teflon) solid covered "clean" cable for ruggedized spacecraft transmission line applications.</t>
    </r>
  </si>
  <si>
    <r>
      <t xml:space="preserve">50 </t>
    </r>
    <r>
      <rPr>
        <sz val="10"/>
        <rFont val="Symbol"/>
        <family val="1"/>
        <charset val="2"/>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</si>
  <si>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</si>
  <si>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</si>
  <si>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</si>
  <si>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cable has a solid copper outer conductor (tube).  Some versions are silver plated.  This version has an exterior diameter of 0.86"</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</si>
  <si>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</si>
  <si>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</si>
  <si>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</si>
  <si>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charset val="2"/>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</si>
  <si>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cable has a solid copper outer conductor (tube).  Some versions are silver plated.  This version has an exterior diameter of 0141"</t>
  </si>
  <si>
    <t xml:space="preserve">(3.58 mm) and a solid copper inner conductor.  SMA, SMC or TNC connectors can be used and are easily installed.    </t>
  </si>
  <si>
    <r>
      <t>Data courtesy Storm Products Co. [</t>
    </r>
    <r>
      <rPr>
        <b/>
        <sz val="10"/>
        <rFont val="Arial"/>
        <family val="2"/>
      </rPr>
      <t>Bold Text</t>
    </r>
    <r>
      <rPr>
        <sz val="10"/>
        <rFont val="Arial"/>
      </rPr>
      <t>].</t>
    </r>
  </si>
  <si>
    <r>
      <t>Data courtesy Storm Products Co.[</t>
    </r>
    <r>
      <rPr>
        <b/>
        <sz val="10"/>
        <rFont val="Arial"/>
        <family val="2"/>
      </rPr>
      <t>Bold Text</t>
    </r>
    <r>
      <rPr>
        <sz val="10"/>
        <rFont val="Arial"/>
      </rPr>
      <t>].</t>
    </r>
  </si>
  <si>
    <t>Don't Change These Formulas</t>
  </si>
  <si>
    <t>W</t>
  </si>
  <si>
    <t>TEST 1</t>
  </si>
  <si>
    <t>TEST 2</t>
  </si>
  <si>
    <t>% of Power</t>
  </si>
  <si>
    <t>Manually Enter Results of Test #1 or Test #2 at Cell [H8]</t>
  </si>
  <si>
    <r>
      <t>|Z</t>
    </r>
    <r>
      <rPr>
        <sz val="8"/>
        <rFont val="Arial"/>
        <family val="2"/>
      </rPr>
      <t>tx</t>
    </r>
    <r>
      <rPr>
        <sz val="10"/>
        <rFont val="Arial"/>
      </rPr>
      <t>| =</t>
    </r>
  </si>
  <si>
    <r>
      <t>|Z</t>
    </r>
    <r>
      <rPr>
        <sz val="8"/>
        <rFont val="Arial"/>
        <family val="2"/>
      </rPr>
      <t>sys</t>
    </r>
    <r>
      <rPr>
        <sz val="10"/>
        <rFont val="Arial"/>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</si>
  <si>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</si>
  <si>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</si>
  <si>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</si>
  <si>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</si>
  <si>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</si>
  <si>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</si>
  <si>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</si>
  <si>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</si>
  <si>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</si>
  <si>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</si>
  <si>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</si>
  <si>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</si>
  <si>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</si>
  <si>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</si>
  <si>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</si>
  <si>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</si>
  <si>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</si>
  <si>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</si>
  <si>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</si>
  <si>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</si>
  <si>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</si>
  <si>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</si>
  <si>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</si>
  <si>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</si>
  <si>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</si>
  <si>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r>
      <t xml:space="preserve">         Data Taken from </t>
    </r>
    <r>
      <rPr>
        <i/>
        <sz val="10"/>
        <rFont val="Arial"/>
        <family val="2"/>
      </rPr>
      <t>ARRL Antenna Book</t>
    </r>
  </si>
  <si>
    <t xml:space="preserve">  Command Link</t>
  </si>
  <si>
    <t xml:space="preserve">  Telemetry Link:</t>
  </si>
  <si>
    <t xml:space="preserve">      COMMAND</t>
  </si>
  <si>
    <t xml:space="preserve">        TELEMETRY</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</si>
  <si>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</si>
  <si>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</si>
  <si>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</si>
  <si>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</si>
  <si>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</si>
  <si>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</si>
  <si>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</si>
  <si>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</si>
  <si>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</si>
  <si>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</si>
  <si>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</si>
  <si>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</si>
  <si>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</si>
  <si>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</si>
  <si>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</si>
  <si>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</si>
  <si>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</si>
  <si>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</si>
  <si>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</si>
  <si>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</si>
  <si>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</si>
  <si>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</si>
  <si>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</si>
  <si>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</si>
  <si>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</si>
  <si>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</si>
  <si>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</si>
  <si>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</si>
  <si>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</si>
  <si>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</si>
  <si>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</si>
  <si>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</si>
  <si>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</si>
  <si>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</si>
  <si>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</si>
  <si>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</si>
  <si>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</si>
  <si>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</si>
  <si>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</si>
  <si>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</si>
  <si>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</si>
  <si>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</si>
  <si>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</si>
  <si>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</si>
  <si>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</si>
  <si>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 xml:space="preserve">choice made in the "Orbit &amp; Frequency" worksheet.  If the "User Defined" option is selected by the   </t>
  </si>
  <si>
    <t>2005 June 23</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</si>
  <si>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</si>
  <si>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</si>
  <si>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rPr>
      <t xml:space="preserve">  A</t>
    </r>
  </si>
  <si>
    <t xml:space="preserve">  This is a data entry cell.  The link model operator is expected to enter data.  The blue background means it is a critcal </t>
  </si>
  <si>
    <t>RG-8U</t>
  </si>
  <si>
    <t>Section Verification</t>
  </si>
  <si>
    <t>File Name/Revision</t>
  </si>
  <si>
    <t>Communications Receiver Front End Temperature</t>
  </si>
  <si>
    <t xml:space="preserve">dB/m (at freq.) </t>
  </si>
  <si>
    <t>Isotropic</t>
  </si>
  <si>
    <t>Isotropic antenna, omnidirectional, antenna pattern is added to Link Budget during Matlab analysis</t>
  </si>
  <si>
    <t>38 Element Yagi (738XB 70cm OSCAR BOOMER)</t>
  </si>
  <si>
    <t>22 Element Yagi (22XB 2m OSCAR BOOMER)</t>
  </si>
  <si>
    <t>(worst case)</t>
  </si>
  <si>
    <t>insert it in either Cell [D35] or Cell [D48] accordingly.</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</si>
  <si>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</si>
  <si>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</si>
  <si>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</si>
  <si>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</si>
  <si>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sz val="8"/>
        <rFont val="Arial"/>
        <family val="2"/>
      </rPr>
      <t>ComRcvr</t>
    </r>
  </si>
  <si>
    <r>
      <t>T</t>
    </r>
    <r>
      <rPr>
        <b/>
        <sz val="8"/>
        <rFont val="Arial"/>
        <family val="2"/>
      </rPr>
      <t>s</t>
    </r>
    <r>
      <rPr>
        <b/>
        <sz val="10"/>
        <rFont val="Arial"/>
      </rPr>
      <t>= (</t>
    </r>
    <r>
      <rPr>
        <b/>
        <sz val="10"/>
        <rFont val="Symbol"/>
        <family val="1"/>
        <charset val="2"/>
      </rPr>
      <t>a</t>
    </r>
    <r>
      <rPr>
        <b/>
        <sz val="10"/>
        <rFont val="Arial"/>
      </rPr>
      <t>)T</t>
    </r>
    <r>
      <rPr>
        <b/>
        <sz val="8"/>
        <rFont val="Arial"/>
        <family val="2"/>
      </rPr>
      <t>a</t>
    </r>
    <r>
      <rPr>
        <b/>
        <sz val="10"/>
        <rFont val="Arial"/>
        <family val="2"/>
      </rPr>
      <t xml:space="preserve"> + (1-</t>
    </r>
    <r>
      <rPr>
        <b/>
        <sz val="10"/>
        <rFont val="Symbol"/>
        <family val="1"/>
        <charset val="2"/>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</si>
  <si>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r>
      <t>T</t>
    </r>
    <r>
      <rPr>
        <sz val="8"/>
        <rFont val="Arial"/>
        <family val="2"/>
      </rPr>
      <t>ComRcvr</t>
    </r>
    <r>
      <rPr>
        <sz val="10"/>
        <rFont val="Arial"/>
        <family val="2"/>
      </rPr>
      <t xml:space="preserve"> </t>
    </r>
    <r>
      <rPr>
        <sz val="10"/>
        <rFont val="Symbol"/>
        <family val="1"/>
        <charset val="2"/>
      </rPr>
      <t>º</t>
    </r>
    <r>
      <rPr>
        <sz val="10"/>
        <rFont val="Arial"/>
        <family val="2"/>
      </rPr>
      <t xml:space="preserve">  Noise Temperature of Communications Receiver Front End (</t>
    </r>
    <r>
      <rPr>
        <sz val="10"/>
        <rFont val="Arial"/>
      </rPr>
      <t>°K)</t>
    </r>
  </si>
  <si>
    <t>meteres</t>
  </si>
  <si>
    <t>Cable/Waveguide D Length:</t>
  </si>
  <si>
    <t>Cable/Waveguide D Type:</t>
  </si>
  <si>
    <t>Cable/Waveguide D Loss/meter:</t>
  </si>
  <si>
    <t>Cable/Waveguide D Loss:</t>
  </si>
  <si>
    <r>
      <t>T</t>
    </r>
    <r>
      <rPr>
        <sz val="8"/>
        <rFont val="Arial"/>
        <family val="2"/>
      </rPr>
      <t>ComRcvr</t>
    </r>
    <r>
      <rPr>
        <sz val="10"/>
        <rFont val="Arial"/>
        <family val="2"/>
      </rPr>
      <t xml:space="preserve"> =</t>
    </r>
  </si>
  <si>
    <t>system designers to design and then document fully the RF radio links associated with Command (uplink)  and Telemetry (downlink) equipment.  It is,</t>
  </si>
  <si>
    <t>Helical Antenna</t>
  </si>
  <si>
    <t>Washington State University</t>
  </si>
  <si>
    <t>CougSat-1</t>
  </si>
  <si>
    <t>Bradley Davis</t>
  </si>
  <si>
    <t>Near Circular; Polar; 600 km Altitude</t>
  </si>
  <si>
    <t>Helical High Speed Link</t>
  </si>
  <si>
    <t>Link Budget 1.0.0</t>
  </si>
  <si>
    <t>2020 January 17</t>
  </si>
  <si>
    <t>RF Switch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</si>
</sst>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1">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 &quot;bps&quot;"/>
    <numFmt numFmtId="175" formatCode="0.0\ &quot;watts&quot;"/>
    <numFmt numFmtId="176" formatCode="0.00\ &quot;dB&quot;"/>
    <numFmt numFmtId="177" formatCode="0.000\ &quot;dB&quot;"/>
    <numFmt numFmtId="178" formatCode="0.0\ &quot;dBi&quot;"/>
    <numFmt numFmtId="179" formatCode="0.0\ &quot;dBW&quot;"/>
    <numFmt numFmtId="180" formatCode="0\ &quot;K&quot;"/>
    <numFmt numFmtId="181" formatCode="0.0\ &quot;dB/K&quot;"/>
    <numFmt numFmtId="182" formatCode="0\ &quot;Hz&quot;"/>
    <numFmt numFmtId="183" formatCode="0.00\ &quot;MHz&quot;"/>
    <numFmt numFmtId="184" formatCode="0.0%"/>
    <numFmt numFmtId="185" formatCode="0\ &quot;MHz&quot;"/>
    <numFmt numFmtId="186" formatCode="0.00&quot; m&quot;"/>
    <numFmt numFmtId="187" formatCode="0.0\ &quot;j&quot;"/>
    <numFmt numFmtId="188" formatCode="#,##0.0_ ;\-#,##0.0\ "/>
    <numFmt numFmtId="189" formatCode="#,##0.0"/>
    <numFmt numFmtId="190" formatCode="#,##0.0;\-#,##0.0"/>
    <numFmt numFmtId="191" formatCode="0.00\ &quot;:1&quot;"/>
    <numFmt numFmtId="192" formatCode="0.00\ &quot;dB/m&quot;"/>
    <numFmt numFmtId="193" formatCode="0.00\ &quot;K&quot;"/>
  </numFmts>
  <fonts count="80" x14ac:knownFonts="1">
    <font>
      <sz val="10"/>
      <name val="Arial"/>
    </font>
    <font>
      <sz val="10"/>
      <name val="Arial"/>
    </font>
    <font>
      <u/>
      <sz val="10"/>
      <color indexed="12"/>
      <name val="Arial"/>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charset val="2"/>
    </font>
    <font>
      <b/>
      <sz val="10"/>
      <name val="Symbol"/>
      <family val="1"/>
      <charset val="2"/>
    </font>
    <font>
      <b/>
      <sz val="10"/>
      <name val="Arial"/>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charset val="2"/>
    </font>
    <font>
      <u/>
      <sz val="10"/>
      <name val="Arial"/>
    </font>
    <font>
      <sz val="10"/>
      <color indexed="12"/>
      <name val="Arial"/>
    </font>
    <font>
      <sz val="8"/>
      <name val="Arial"/>
    </font>
    <font>
      <i/>
      <sz val="12"/>
      <name val="Arial"/>
      <family val="2"/>
    </font>
    <font>
      <sz val="12"/>
      <color indexed="12"/>
      <name val="Arial"/>
      <family val="2"/>
    </font>
    <font>
      <sz val="10"/>
      <color indexed="10"/>
      <name val="Arial"/>
    </font>
    <font>
      <sz val="14"/>
      <name val="Arial"/>
      <family val="2"/>
    </font>
    <font>
      <sz val="8"/>
      <name val="Arial"/>
      <family val="2"/>
    </font>
    <font>
      <sz val="14"/>
      <name val="Arial"/>
    </font>
    <font>
      <b/>
      <sz val="10"/>
      <name val="Times New Roman"/>
      <family val="1"/>
    </font>
    <font>
      <sz val="9"/>
      <name val="Arial"/>
    </font>
    <font>
      <b/>
      <sz val="14"/>
      <name val="Arial"/>
      <family val="2"/>
    </font>
    <font>
      <b/>
      <sz val="9"/>
      <name val="Arial"/>
      <family val="2"/>
    </font>
    <font>
      <b/>
      <sz val="8"/>
      <name val="Arial"/>
      <family val="2"/>
    </font>
    <font>
      <sz val="10"/>
      <name val="Symbol"/>
      <charset val="2"/>
    </font>
    <font>
      <sz val="8"/>
      <color indexed="81"/>
      <name val="Tahoma"/>
    </font>
    <font>
      <sz val="12"/>
      <name val="Arial"/>
    </font>
    <font>
      <b/>
      <sz val="12"/>
      <name val="Arial"/>
    </font>
    <font>
      <sz val="10"/>
      <name val="Arial"/>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ont>
    <font>
      <sz val="8"/>
      <color indexed="81"/>
      <name val="Tahoma"/>
      <family val="2"/>
    </font>
    <font>
      <i/>
      <sz val="10"/>
      <color indexed="81"/>
      <name val="Tahoma"/>
      <family val="2"/>
    </font>
    <font>
      <b/>
      <sz val="18"/>
      <name val="Arial"/>
      <family val="2"/>
    </font>
    <font>
      <b/>
      <sz val="12"/>
      <name val="Symbol"/>
      <family val="1"/>
      <charset val="2"/>
    </font>
    <font>
      <sz val="10"/>
      <color indexed="81"/>
      <name val="Symbol"/>
      <family val="1"/>
      <charset val="2"/>
    </font>
    <font>
      <sz val="10"/>
      <color indexed="22"/>
      <name val="Arial"/>
    </font>
    <font>
      <b/>
      <sz val="10"/>
      <color indexed="22"/>
      <name val="Symbol"/>
      <family val="1"/>
      <charset val="2"/>
    </font>
    <font>
      <sz val="10"/>
      <color indexed="22"/>
      <name val="Arial"/>
      <family val="2"/>
    </font>
    <font>
      <sz val="9"/>
      <color indexed="10"/>
      <name val="Arial"/>
    </font>
    <font>
      <b/>
      <sz val="10"/>
      <color indexed="81"/>
      <name val="Tahoma"/>
      <family val="2"/>
    </font>
    <font>
      <sz val="20"/>
      <color indexed="10"/>
      <name val="Symbol"/>
      <family val="1"/>
      <charset val="2"/>
    </font>
    <font>
      <b/>
      <sz val="10"/>
      <color indexed="81"/>
      <name val="Arial"/>
    </font>
    <font>
      <b/>
      <sz val="8"/>
      <color indexed="81"/>
      <name val="Tahoma"/>
      <family val="2"/>
    </font>
    <font>
      <b/>
      <u/>
      <sz val="10"/>
      <color indexed="81"/>
      <name val="Tahoma"/>
      <family val="2"/>
    </font>
    <font>
      <b/>
      <sz val="10"/>
      <color indexed="81"/>
      <name val="Arial"/>
      <family val="2"/>
    </font>
    <font>
      <b/>
      <sz val="10"/>
      <color indexed="81"/>
      <name val="Symbol"/>
      <family val="1"/>
      <charset val="2"/>
    </font>
    <font>
      <sz val="10"/>
      <color indexed="81"/>
      <name val="Arial"/>
      <family val="2"/>
    </font>
    <font>
      <i/>
      <sz val="8"/>
      <color indexed="81"/>
      <name val="Tahoma"/>
      <family val="2"/>
    </font>
    <font>
      <b/>
      <sz val="12"/>
      <color indexed="10"/>
      <name val="Arial"/>
      <family val="2"/>
    </font>
    <font>
      <sz val="10"/>
      <color indexed="9"/>
      <name val="Arial"/>
    </font>
    <font>
      <sz val="6.7"/>
      <color indexed="81"/>
      <name val="Tahoma"/>
      <family val="2"/>
    </font>
    <font>
      <sz val="10"/>
      <color indexed="81"/>
      <name val="Symbol"/>
      <charset val="2"/>
    </font>
    <font>
      <sz val="10"/>
      <color indexed="12"/>
      <name val="Tahoma"/>
      <family val="2"/>
    </font>
    <font>
      <sz val="10"/>
      <color indexed="10"/>
      <name val="Tahoma"/>
      <family val="2"/>
    </font>
    <font>
      <sz val="12"/>
      <color indexed="8"/>
      <name val="Arial"/>
      <family val="2"/>
    </font>
    <font>
      <sz val="10"/>
      <color indexed="8"/>
      <name val="Arial"/>
      <family val="2"/>
    </font>
    <font>
      <b/>
      <i/>
      <sz val="10"/>
      <color indexed="8"/>
      <name val="Arial"/>
      <family val="2"/>
    </font>
    <font>
      <u/>
      <sz val="10"/>
      <color indexed="8"/>
      <name val="Arial"/>
      <family val="2"/>
    </font>
    <font>
      <b/>
      <sz val="10"/>
      <color indexed="8"/>
      <name val="Arial"/>
      <family val="2"/>
    </font>
    <font>
      <b/>
      <vertAlign val="subscript"/>
      <sz val="10"/>
      <color indexed="8"/>
      <name val="Arial"/>
      <family val="2"/>
    </font>
    <font>
      <b/>
      <i/>
      <sz val="11"/>
      <name val="Arial"/>
      <family val="2"/>
    </font>
    <font>
      <b/>
      <sz val="8"/>
      <color indexed="81"/>
      <name val="Tahoma"/>
    </font>
  </fonts>
  <fills count="23">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15"/>
        <bgColor indexed="64"/>
      </patternFill>
    </fill>
    <fill>
      <patternFill patternType="solid">
        <fgColor indexed="46"/>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theme="0" tint="-0.249977111117893"/>
        <bgColor indexed="64"/>
      </patternFill>
    </fill>
    <fill>
      <patternFill patternType="solid">
        <fgColor theme="0"/>
        <bgColor indexed="64"/>
      </patternFill>
    </fill>
  </fills>
  <borders count="4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807">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3" borderId="0" xfId="0" applyFont="1" applyFill="1" applyBorder="1" applyAlignment="1">
      <alignment horizontal="center"/>
    </xf>
    <xf numFmtId="0" fontId="9" fillId="3" borderId="0" xfId="0" applyFont="1" applyFill="1"/>
    <xf numFmtId="0" fontId="10"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8" fillId="3" borderId="0" xfId="0" applyFont="1" applyFill="1"/>
    <xf numFmtId="39" fontId="17" fillId="6" borderId="1" xfId="0" applyNumberFormat="1"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3" fillId="7" borderId="0" xfId="0" applyFont="1" applyFill="1" applyBorder="1" applyAlignment="1">
      <alignment horizontal="center"/>
    </xf>
    <xf numFmtId="0" fontId="18" fillId="2" borderId="0" xfId="0" applyFont="1" applyFill="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165"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0" fontId="0" fillId="3" borderId="9" xfId="0" applyFill="1" applyBorder="1" applyAlignment="1">
      <alignment horizontal="right"/>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165" fontId="12" fillId="0" borderId="0" xfId="0" applyNumberFormat="1" applyFont="1"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4" fillId="3" borderId="0" xfId="0" applyFont="1" applyFill="1"/>
    <xf numFmtId="0" fontId="0" fillId="3" borderId="4" xfId="0" applyFill="1" applyBorder="1"/>
    <xf numFmtId="0" fontId="0" fillId="3" borderId="5" xfId="0" applyFill="1" applyBorder="1"/>
    <xf numFmtId="0" fontId="0" fillId="3" borderId="6" xfId="0" applyFill="1" applyBorder="1"/>
    <xf numFmtId="0" fontId="35" fillId="4" borderId="26" xfId="0" applyFont="1" applyFill="1" applyBorder="1"/>
    <xf numFmtId="0" fontId="32"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14" fillId="0" borderId="0" xfId="0" applyFont="1"/>
    <xf numFmtId="0" fontId="0" fillId="0" borderId="0" xfId="0" applyFill="1"/>
    <xf numFmtId="0" fontId="11" fillId="0" borderId="0" xfId="0" applyFont="1" applyFill="1"/>
    <xf numFmtId="166" fontId="0" fillId="0" borderId="0" xfId="0" applyNumberFormat="1" applyFill="1"/>
    <xf numFmtId="167" fontId="0" fillId="0" borderId="0" xfId="0" applyNumberFormat="1" applyFill="1"/>
    <xf numFmtId="2" fontId="0" fillId="0" borderId="0" xfId="0" applyNumberFormat="1" applyFill="1"/>
    <xf numFmtId="168" fontId="0" fillId="0" borderId="0" xfId="0" applyNumberFormat="1"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0" fontId="0" fillId="11" borderId="26" xfId="0" applyFill="1" applyBorder="1" applyAlignment="1">
      <alignment horizontal="right"/>
    </xf>
    <xf numFmtId="9" fontId="25" fillId="11" borderId="26" xfId="3"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3"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6" borderId="4" xfId="0" applyFill="1" applyBorder="1"/>
    <xf numFmtId="0" fontId="0" fillId="12" borderId="8" xfId="0" applyFill="1" applyBorder="1"/>
    <xf numFmtId="168" fontId="0" fillId="6" borderId="0" xfId="0" applyNumberFormat="1" applyFill="1" applyBorder="1"/>
    <xf numFmtId="0" fontId="0" fillId="9" borderId="26" xfId="0" applyFill="1" applyBorder="1"/>
    <xf numFmtId="0" fontId="25" fillId="6" borderId="26" xfId="0" applyFont="1"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40" fillId="4" borderId="26" xfId="0" applyFont="1" applyFill="1" applyBorder="1"/>
    <xf numFmtId="0" fontId="41"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2" fontId="17" fillId="13" borderId="17" xfId="0" applyNumberFormat="1" applyFont="1" applyFill="1" applyBorder="1"/>
    <xf numFmtId="168" fontId="17" fillId="13" borderId="0" xfId="0" applyNumberFormat="1" applyFont="1" applyFill="1" applyBorder="1"/>
    <xf numFmtId="0" fontId="11" fillId="14" borderId="0" xfId="0" applyFont="1" applyFill="1" applyBorder="1"/>
    <xf numFmtId="0" fontId="0" fillId="14" borderId="18" xfId="0" applyFill="1" applyBorder="1"/>
    <xf numFmtId="2" fontId="6" fillId="8" borderId="0" xfId="0" applyNumberFormat="1" applyFont="1" applyFill="1" applyBorder="1"/>
    <xf numFmtId="168" fontId="6" fillId="15" borderId="17" xfId="0" applyNumberFormat="1" applyFont="1" applyFill="1" applyBorder="1"/>
    <xf numFmtId="168" fontId="6" fillId="15"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5" fillId="8" borderId="0" xfId="0" applyFont="1" applyFill="1" applyBorder="1"/>
    <xf numFmtId="0" fontId="0" fillId="8" borderId="43" xfId="0" applyFill="1" applyBorder="1"/>
    <xf numFmtId="0" fontId="0" fillId="4" borderId="35" xfId="0" applyFill="1" applyBorder="1"/>
    <xf numFmtId="0" fontId="0" fillId="16" borderId="14" xfId="0" applyFill="1" applyBorder="1"/>
    <xf numFmtId="0" fontId="0" fillId="16" borderId="15" xfId="0" applyFill="1" applyBorder="1"/>
    <xf numFmtId="0" fontId="0" fillId="16" borderId="16" xfId="0" applyFill="1" applyBorder="1"/>
    <xf numFmtId="0" fontId="0" fillId="16" borderId="17" xfId="0" applyFill="1" applyBorder="1"/>
    <xf numFmtId="0" fontId="6" fillId="16" borderId="0" xfId="0" applyFont="1" applyFill="1" applyBorder="1"/>
    <xf numFmtId="0" fontId="0" fillId="16" borderId="0" xfId="0" applyFill="1" applyBorder="1"/>
    <xf numFmtId="0" fontId="0" fillId="16" borderId="19" xfId="0" applyFill="1" applyBorder="1"/>
    <xf numFmtId="0" fontId="0" fillId="16" borderId="20" xfId="0" applyFill="1" applyBorder="1"/>
    <xf numFmtId="0" fontId="0" fillId="16" borderId="21" xfId="0" applyFill="1" applyBorder="1"/>
    <xf numFmtId="168" fontId="0" fillId="9" borderId="0" xfId="0" applyNumberFormat="1" applyFill="1" applyBorder="1"/>
    <xf numFmtId="168" fontId="0" fillId="11" borderId="0" xfId="0" applyNumberFormat="1" applyFill="1" applyBorder="1"/>
    <xf numFmtId="0" fontId="1" fillId="9" borderId="26" xfId="0" applyFont="1" applyFill="1" applyBorder="1" applyAlignment="1">
      <alignment horizontal="left"/>
    </xf>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6" borderId="28" xfId="0" applyFill="1" applyBorder="1" applyAlignment="1">
      <alignment horizontal="center"/>
    </xf>
    <xf numFmtId="0" fontId="0" fillId="16" borderId="13" xfId="0" applyFill="1" applyBorder="1"/>
    <xf numFmtId="0" fontId="0" fillId="16" borderId="22" xfId="0" applyFill="1" applyBorder="1"/>
    <xf numFmtId="0" fontId="0" fillId="16" borderId="23" xfId="0" applyFill="1" applyBorder="1"/>
    <xf numFmtId="0" fontId="6" fillId="16" borderId="0" xfId="0" applyFont="1" applyFill="1" applyBorder="1" applyAlignment="1">
      <alignment horizontal="left"/>
    </xf>
    <xf numFmtId="0" fontId="0" fillId="16" borderId="24" xfId="0" applyFill="1" applyBorder="1"/>
    <xf numFmtId="0" fontId="0" fillId="16" borderId="25" xfId="0" applyFill="1" applyBorder="1"/>
    <xf numFmtId="0" fontId="0" fillId="16" borderId="26" xfId="0" applyFill="1" applyBorder="1"/>
    <xf numFmtId="0" fontId="0" fillId="16" borderId="27" xfId="0" applyFill="1" applyBorder="1"/>
    <xf numFmtId="0" fontId="0" fillId="6" borderId="5" xfId="0" applyFill="1" applyBorder="1"/>
    <xf numFmtId="0" fontId="0" fillId="16"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7" borderId="17" xfId="0" applyNumberFormat="1" applyFill="1" applyBorder="1"/>
    <xf numFmtId="0" fontId="0" fillId="17"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25" fillId="11" borderId="0" xfId="0" applyFont="1" applyFill="1" applyBorder="1" applyAlignment="1">
      <alignment horizontal="center"/>
    </xf>
    <xf numFmtId="173" fontId="25" fillId="11" borderId="0" xfId="0" applyNumberFormat="1" applyFont="1" applyFill="1" applyBorder="1" applyAlignment="1">
      <alignment horizontal="center"/>
    </xf>
    <xf numFmtId="0" fontId="25" fillId="11" borderId="0" xfId="0" applyFont="1" applyFill="1" applyBorder="1"/>
    <xf numFmtId="0" fontId="0" fillId="17" borderId="14" xfId="0" applyFill="1" applyBorder="1"/>
    <xf numFmtId="0" fontId="0" fillId="17" borderId="15" xfId="0" applyFill="1" applyBorder="1"/>
    <xf numFmtId="0" fontId="0" fillId="17" borderId="16" xfId="0" applyFill="1" applyBorder="1"/>
    <xf numFmtId="0" fontId="0" fillId="17" borderId="17" xfId="0" applyFill="1" applyBorder="1"/>
    <xf numFmtId="0" fontId="0" fillId="17" borderId="0" xfId="0" applyFill="1" applyBorder="1"/>
    <xf numFmtId="0" fontId="25" fillId="17" borderId="0" xfId="0" applyFont="1" applyFill="1" applyBorder="1" applyAlignment="1">
      <alignment horizontal="center"/>
    </xf>
    <xf numFmtId="0" fontId="0" fillId="17" borderId="0" xfId="0" applyFill="1" applyBorder="1" applyAlignment="1">
      <alignment horizontal="center"/>
    </xf>
    <xf numFmtId="0" fontId="0" fillId="17" borderId="0" xfId="0" applyFill="1" applyBorder="1" applyAlignment="1">
      <alignment horizontal="right"/>
    </xf>
    <xf numFmtId="173" fontId="25" fillId="17" borderId="0" xfId="0" applyNumberFormat="1" applyFont="1" applyFill="1" applyBorder="1" applyAlignment="1">
      <alignment horizontal="center"/>
    </xf>
    <xf numFmtId="0" fontId="25" fillId="17" borderId="0" xfId="0" applyFont="1" applyFill="1" applyBorder="1"/>
    <xf numFmtId="2" fontId="1" fillId="17" borderId="20" xfId="0" applyNumberFormat="1" applyFont="1" applyFill="1" applyBorder="1" applyAlignment="1">
      <alignment horizontal="center"/>
    </xf>
    <xf numFmtId="0" fontId="0" fillId="17" borderId="19" xfId="0" applyFill="1" applyBorder="1"/>
    <xf numFmtId="0" fontId="0" fillId="17" borderId="20" xfId="0" applyFill="1" applyBorder="1"/>
    <xf numFmtId="0" fontId="0" fillId="17" borderId="21" xfId="0" applyFill="1" applyBorder="1"/>
    <xf numFmtId="2" fontId="1" fillId="11" borderId="0" xfId="0" applyNumberFormat="1" applyFont="1" applyFill="1" applyBorder="1" applyAlignment="1">
      <alignment horizontal="center"/>
    </xf>
    <xf numFmtId="2" fontId="29" fillId="6" borderId="9" xfId="0" applyNumberFormat="1" applyFont="1" applyFill="1" applyBorder="1" applyAlignment="1">
      <alignment horizontal="center"/>
    </xf>
    <xf numFmtId="2" fontId="25" fillId="5" borderId="9" xfId="0" applyNumberFormat="1" applyFont="1" applyFill="1" applyBorder="1" applyAlignment="1">
      <alignment horizontal="center"/>
    </xf>
    <xf numFmtId="168" fontId="25" fillId="5" borderId="9" xfId="0" applyNumberFormat="1" applyFont="1" applyFill="1" applyBorder="1" applyAlignment="1">
      <alignment horizontal="center"/>
    </xf>
    <xf numFmtId="0" fontId="6" fillId="17" borderId="17" xfId="0" applyFont="1" applyFill="1" applyBorder="1"/>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15" fillId="17" borderId="0" xfId="0" quotePrefix="1" applyFont="1" applyFill="1" applyBorder="1"/>
    <xf numFmtId="0" fontId="26" fillId="17" borderId="0" xfId="0" applyFont="1" applyFill="1" applyBorder="1"/>
    <xf numFmtId="0" fontId="0" fillId="17" borderId="0" xfId="0" quotePrefix="1" applyFill="1" applyBorder="1"/>
    <xf numFmtId="0" fontId="13" fillId="17" borderId="0" xfId="0" quotePrefix="1" applyFont="1" applyFill="1" applyBorder="1"/>
    <xf numFmtId="0" fontId="12" fillId="17" borderId="0" xfId="0" applyFont="1" applyFill="1" applyBorder="1"/>
    <xf numFmtId="168" fontId="0" fillId="17" borderId="0" xfId="0" applyNumberFormat="1" applyFill="1" applyBorder="1"/>
    <xf numFmtId="0" fontId="6" fillId="17" borderId="14" xfId="0" applyFont="1" applyFill="1" applyBorder="1"/>
    <xf numFmtId="0" fontId="13" fillId="17" borderId="0" xfId="0" applyFont="1" applyFill="1" applyBorder="1"/>
    <xf numFmtId="0" fontId="17" fillId="17" borderId="0" xfId="0" applyFont="1" applyFill="1" applyBorder="1"/>
    <xf numFmtId="168" fontId="17" fillId="6" borderId="9" xfId="0" applyNumberFormat="1" applyFont="1" applyFill="1" applyBorder="1" applyAlignment="1">
      <alignment horizontal="center"/>
    </xf>
    <xf numFmtId="2" fontId="0" fillId="4" borderId="9" xfId="0" applyNumberFormat="1" applyFill="1" applyBorder="1" applyAlignment="1">
      <alignment horizontal="center"/>
    </xf>
    <xf numFmtId="0" fontId="6" fillId="16" borderId="14" xfId="0" applyFont="1" applyFill="1" applyBorder="1"/>
    <xf numFmtId="0" fontId="0" fillId="16" borderId="18" xfId="0" applyFill="1" applyBorder="1"/>
    <xf numFmtId="0" fontId="0" fillId="16" borderId="0" xfId="0" applyFill="1" applyBorder="1" applyAlignment="1">
      <alignment horizontal="center"/>
    </xf>
    <xf numFmtId="0" fontId="0" fillId="16" borderId="0" xfId="0" applyFill="1" applyBorder="1" applyAlignment="1">
      <alignment horizontal="right"/>
    </xf>
    <xf numFmtId="0" fontId="29" fillId="16" borderId="0" xfId="0" applyFont="1" applyFill="1" applyBorder="1"/>
    <xf numFmtId="0" fontId="29" fillId="16" borderId="0" xfId="0" applyFont="1" applyFill="1" applyBorder="1" applyAlignment="1">
      <alignment horizontal="center"/>
    </xf>
    <xf numFmtId="0" fontId="6" fillId="11" borderId="14" xfId="0" applyFont="1" applyFill="1" applyBorder="1"/>
    <xf numFmtId="0" fontId="15" fillId="11" borderId="0" xfId="0" quotePrefix="1"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0" fontId="1" fillId="17" borderId="0" xfId="0" applyFont="1" applyFill="1" applyBorder="1"/>
    <xf numFmtId="168" fontId="1" fillId="11" borderId="0" xfId="0" applyNumberFormat="1" applyFont="1" applyFill="1" applyBorder="1"/>
    <xf numFmtId="0" fontId="0" fillId="5" borderId="6" xfId="0" applyFill="1" applyBorder="1"/>
    <xf numFmtId="0" fontId="6" fillId="16"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1" fontId="29" fillId="6" borderId="4" xfId="0" applyNumberFormat="1" applyFont="1" applyFill="1" applyBorder="1"/>
    <xf numFmtId="0" fontId="1" fillId="6" borderId="6" xfId="0" applyFont="1" applyFill="1" applyBorder="1" applyAlignment="1">
      <alignment horizontal="center"/>
    </xf>
    <xf numFmtId="0" fontId="0" fillId="15" borderId="6" xfId="0" applyFill="1" applyBorder="1" applyAlignment="1">
      <alignment horizontal="center"/>
    </xf>
    <xf numFmtId="1" fontId="17" fillId="15" borderId="4" xfId="0" applyNumberFormat="1" applyFont="1" applyFill="1" applyBorder="1"/>
    <xf numFmtId="0" fontId="26" fillId="16"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50"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7" borderId="9" xfId="0" applyFill="1" applyBorder="1" applyAlignment="1">
      <alignment wrapText="1"/>
    </xf>
    <xf numFmtId="0" fontId="0" fillId="11" borderId="9" xfId="0" applyFill="1" applyBorder="1" applyAlignment="1">
      <alignment wrapText="1"/>
    </xf>
    <xf numFmtId="0" fontId="0" fillId="17"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10" borderId="5" xfId="0" applyFill="1" applyBorder="1"/>
    <xf numFmtId="0" fontId="0" fillId="3" borderId="17" xfId="0" applyFill="1" applyBorder="1"/>
    <xf numFmtId="0" fontId="25" fillId="5" borderId="5" xfId="0" applyFont="1" applyFill="1" applyBorder="1"/>
    <xf numFmtId="0" fontId="0" fillId="10" borderId="5" xfId="0" applyFill="1" applyBorder="1" applyAlignment="1">
      <alignment horizontal="center"/>
    </xf>
    <xf numFmtId="0" fontId="25" fillId="5" borderId="5" xfId="0" applyFont="1"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6"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4" fillId="11" borderId="0" xfId="0" applyFont="1" applyFill="1"/>
    <xf numFmtId="0" fontId="37"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7"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7" fillId="16" borderId="10" xfId="0" applyNumberFormat="1" applyFont="1" applyFill="1" applyBorder="1" applyAlignment="1">
      <alignment horizontal="center"/>
    </xf>
    <xf numFmtId="0" fontId="0" fillId="16" borderId="6" xfId="0" applyFill="1" applyBorder="1" applyAlignment="1">
      <alignment horizontal="center"/>
    </xf>
    <xf numFmtId="0" fontId="37" fillId="16"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28" xfId="0" applyFont="1" applyFill="1" applyBorder="1"/>
    <xf numFmtId="0" fontId="0" fillId="3" borderId="13" xfId="0" applyFill="1" applyBorder="1"/>
    <xf numFmtId="0" fontId="0" fillId="3" borderId="22" xfId="0" applyFill="1" applyBorder="1"/>
    <xf numFmtId="0" fontId="6" fillId="3" borderId="0" xfId="0" applyFont="1" applyFill="1" applyBorder="1"/>
    <xf numFmtId="0" fontId="0" fillId="4" borderId="14" xfId="0" applyFill="1" applyBorder="1"/>
    <xf numFmtId="0" fontId="0" fillId="4" borderId="16" xfId="0" applyFill="1" applyBorder="1"/>
    <xf numFmtId="0" fontId="0" fillId="4" borderId="19" xfId="0" applyFill="1" applyBorder="1"/>
    <xf numFmtId="0" fontId="0" fillId="4" borderId="21" xfId="0" applyFill="1" applyBorder="1"/>
    <xf numFmtId="0" fontId="0" fillId="4" borderId="14" xfId="0" applyFill="1" applyBorder="1" applyAlignment="1">
      <alignment horizontal="left"/>
    </xf>
    <xf numFmtId="0" fontId="0" fillId="4" borderId="16" xfId="0" applyFill="1" applyBorder="1" applyAlignment="1">
      <alignment horizontal="left"/>
    </xf>
    <xf numFmtId="0" fontId="34" fillId="6" borderId="36" xfId="0" applyFont="1" applyFill="1" applyBorder="1"/>
    <xf numFmtId="0" fontId="0" fillId="10" borderId="4" xfId="0" applyFill="1" applyBorder="1"/>
    <xf numFmtId="174" fontId="0" fillId="4" borderId="6" xfId="0" applyNumberFormat="1" applyFill="1" applyBorder="1"/>
    <xf numFmtId="175" fontId="0" fillId="4" borderId="6" xfId="0" applyNumberFormat="1" applyFill="1" applyBorder="1"/>
    <xf numFmtId="173" fontId="0" fillId="4" borderId="6" xfId="0" applyNumberFormat="1" applyFill="1" applyBorder="1"/>
    <xf numFmtId="177" fontId="0" fillId="4" borderId="6" xfId="0" applyNumberFormat="1" applyFill="1" applyBorder="1"/>
    <xf numFmtId="0" fontId="0" fillId="16" borderId="4" xfId="0" applyFill="1" applyBorder="1"/>
    <xf numFmtId="0" fontId="0" fillId="16" borderId="6" xfId="0" applyFill="1" applyBorder="1"/>
    <xf numFmtId="178" fontId="0" fillId="4" borderId="6" xfId="0" applyNumberFormat="1" applyFill="1" applyBorder="1" applyAlignment="1">
      <alignment horizontal="center"/>
    </xf>
    <xf numFmtId="179" fontId="29" fillId="6" borderId="6" xfId="0" applyNumberFormat="1" applyFont="1" applyFill="1" applyBorder="1"/>
    <xf numFmtId="173" fontId="0" fillId="4" borderId="6" xfId="0" applyNumberFormat="1" applyFill="1" applyBorder="1" applyAlignment="1">
      <alignment horizontal="center"/>
    </xf>
    <xf numFmtId="176" fontId="0" fillId="4" borderId="6" xfId="0" applyNumberFormat="1" applyFill="1" applyBorder="1"/>
    <xf numFmtId="176" fontId="29" fillId="4" borderId="6" xfId="0" applyNumberFormat="1" applyFont="1" applyFill="1" applyBorder="1" applyAlignment="1">
      <alignment horizontal="center"/>
    </xf>
    <xf numFmtId="180" fontId="0" fillId="4" borderId="6" xfId="0" applyNumberFormat="1" applyFill="1" applyBorder="1" applyAlignment="1">
      <alignment horizontal="center"/>
    </xf>
    <xf numFmtId="181" fontId="0" fillId="4" borderId="6" xfId="0" applyNumberFormat="1" applyFill="1" applyBorder="1" applyAlignment="1">
      <alignment horizontal="center"/>
    </xf>
    <xf numFmtId="182" fontId="0" fillId="4" borderId="6" xfId="1" applyNumberFormat="1" applyFont="1" applyFill="1" applyBorder="1" applyAlignment="1">
      <alignment horizontal="center"/>
    </xf>
    <xf numFmtId="0" fontId="0" fillId="6" borderId="36" xfId="0" applyFill="1" applyBorder="1"/>
    <xf numFmtId="183" fontId="0" fillId="10" borderId="6" xfId="0" applyNumberFormat="1" applyFill="1" applyBorder="1" applyAlignment="1">
      <alignment horizontal="center"/>
    </xf>
    <xf numFmtId="0" fontId="26" fillId="15" borderId="4" xfId="0" applyFont="1" applyFill="1" applyBorder="1"/>
    <xf numFmtId="173" fontId="0" fillId="15" borderId="6" xfId="0" applyNumberFormat="1" applyFill="1" applyBorder="1" applyAlignment="1">
      <alignment horizontal="center"/>
    </xf>
    <xf numFmtId="0" fontId="0" fillId="15" borderId="4" xfId="0" applyFill="1" applyBorder="1"/>
    <xf numFmtId="11" fontId="0" fillId="15" borderId="6" xfId="0" applyNumberFormat="1" applyFill="1" applyBorder="1" applyAlignment="1">
      <alignment horizontal="center"/>
    </xf>
    <xf numFmtId="0" fontId="10" fillId="12" borderId="6" xfId="0" applyFont="1" applyFill="1" applyBorder="1"/>
    <xf numFmtId="173" fontId="0" fillId="3" borderId="0" xfId="0" applyNumberFormat="1" applyFill="1" applyBorder="1" applyAlignment="1">
      <alignment horizontal="center"/>
    </xf>
    <xf numFmtId="173" fontId="17" fillId="3" borderId="0" xfId="0" applyNumberFormat="1" applyFont="1" applyFill="1" applyBorder="1" applyAlignment="1">
      <alignment horizontal="center"/>
    </xf>
    <xf numFmtId="174" fontId="0" fillId="4" borderId="6" xfId="0" applyNumberFormat="1" applyFill="1" applyBorder="1" applyAlignment="1">
      <alignment horizontal="center"/>
    </xf>
    <xf numFmtId="0" fontId="0" fillId="3" borderId="28" xfId="0" applyFill="1" applyBorder="1"/>
    <xf numFmtId="0" fontId="1" fillId="3" borderId="0" xfId="0" applyFont="1" applyFill="1" applyBorder="1"/>
    <xf numFmtId="178" fontId="0" fillId="15" borderId="6" xfId="0" applyNumberFormat="1" applyFill="1" applyBorder="1" applyAlignment="1">
      <alignment horizontal="center"/>
    </xf>
    <xf numFmtId="0" fontId="51" fillId="5" borderId="4" xfId="0" applyFont="1" applyFill="1" applyBorder="1"/>
    <xf numFmtId="175" fontId="0" fillId="4" borderId="6" xfId="0" applyNumberFormat="1" applyFill="1" applyBorder="1" applyAlignment="1">
      <alignment horizontal="center"/>
    </xf>
    <xf numFmtId="0" fontId="26" fillId="6" borderId="4" xfId="0" applyFont="1" applyFill="1" applyBorder="1"/>
    <xf numFmtId="0" fontId="29" fillId="3" borderId="0" xfId="0" applyFont="1" applyFill="1" applyBorder="1"/>
    <xf numFmtId="175" fontId="17" fillId="6" borderId="6" xfId="0" applyNumberFormat="1" applyFont="1" applyFill="1" applyBorder="1"/>
    <xf numFmtId="184" fontId="25" fillId="5" borderId="6" xfId="3" applyNumberFormat="1" applyFont="1" applyFill="1" applyBorder="1" applyAlignment="1">
      <alignment horizontal="center"/>
    </xf>
    <xf numFmtId="0" fontId="0" fillId="4" borderId="14" xfId="0" applyFill="1" applyBorder="1" applyAlignment="1"/>
    <xf numFmtId="0" fontId="0" fillId="4" borderId="16" xfId="0" applyFill="1" applyBorder="1" applyAlignment="1"/>
    <xf numFmtId="0" fontId="0" fillId="4" borderId="17" xfId="0" applyFill="1" applyBorder="1"/>
    <xf numFmtId="0" fontId="0" fillId="4" borderId="18" xfId="0" applyFill="1" applyBorder="1"/>
    <xf numFmtId="0" fontId="31" fillId="15" borderId="4" xfId="0" applyFont="1" applyFill="1" applyBorder="1"/>
    <xf numFmtId="183" fontId="0" fillId="10" borderId="6" xfId="0" applyNumberFormat="1" applyFill="1" applyBorder="1"/>
    <xf numFmtId="0" fontId="0" fillId="16" borderId="4" xfId="0" applyFill="1" applyBorder="1" applyAlignment="1">
      <alignment horizontal="right"/>
    </xf>
    <xf numFmtId="0" fontId="0" fillId="16" borderId="4" xfId="0" applyFill="1" applyBorder="1" applyAlignment="1">
      <alignment horizontal="left"/>
    </xf>
    <xf numFmtId="178" fontId="0" fillId="4" borderId="16" xfId="0" applyNumberFormat="1" applyFill="1" applyBorder="1" applyAlignment="1">
      <alignment horizontal="center"/>
    </xf>
    <xf numFmtId="179" fontId="29" fillId="6" borderId="6" xfId="0" applyNumberFormat="1" applyFont="1" applyFill="1" applyBorder="1" applyAlignment="1">
      <alignment horizontal="center"/>
    </xf>
    <xf numFmtId="176" fontId="0" fillId="4" borderId="6" xfId="0" applyNumberFormat="1" applyFill="1" applyBorder="1" applyAlignment="1">
      <alignment horizontal="center"/>
    </xf>
    <xf numFmtId="168" fontId="29" fillId="4" borderId="19" xfId="0" applyNumberFormat="1" applyFont="1" applyFill="1" applyBorder="1" applyAlignment="1">
      <alignment horizontal="right"/>
    </xf>
    <xf numFmtId="0" fontId="29" fillId="4" borderId="21" xfId="0" applyFont="1" applyFill="1" applyBorder="1" applyAlignment="1">
      <alignment horizontal="left"/>
    </xf>
    <xf numFmtId="168" fontId="29" fillId="4" borderId="19" xfId="0" applyNumberFormat="1" applyFont="1" applyFill="1" applyBorder="1" applyAlignment="1"/>
    <xf numFmtId="0" fontId="29" fillId="4" borderId="21" xfId="0" applyFont="1" applyFill="1" applyBorder="1" applyAlignment="1"/>
    <xf numFmtId="182" fontId="0" fillId="4" borderId="6" xfId="0" applyNumberFormat="1" applyFill="1" applyBorder="1" applyAlignment="1">
      <alignment horizontal="center"/>
    </xf>
    <xf numFmtId="11" fontId="0" fillId="15" borderId="6" xfId="0" applyNumberFormat="1" applyFill="1" applyBorder="1"/>
    <xf numFmtId="0" fontId="0" fillId="4" borderId="19" xfId="0" applyFill="1" applyBorder="1" applyAlignment="1">
      <alignment horizontal="left"/>
    </xf>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4" fontId="0" fillId="6" borderId="9" xfId="0" applyNumberFormat="1" applyFill="1" applyBorder="1" applyAlignment="1">
      <alignment horizontal="center"/>
    </xf>
    <xf numFmtId="184" fontId="0" fillId="6" borderId="9" xfId="3"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3"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5" fontId="25" fillId="5" borderId="9" xfId="0" applyNumberFormat="1" applyFont="1" applyFill="1" applyBorder="1" applyAlignment="1">
      <alignment horizontal="center"/>
    </xf>
    <xf numFmtId="0" fontId="37" fillId="6" borderId="9" xfId="0" applyFont="1" applyFill="1" applyBorder="1" applyAlignment="1">
      <alignment horizontal="center"/>
    </xf>
    <xf numFmtId="0" fontId="12" fillId="11" borderId="4" xfId="0" applyFont="1" applyFill="1" applyBorder="1"/>
    <xf numFmtId="0" fontId="12" fillId="11" borderId="5" xfId="0" applyFont="1" applyFill="1" applyBorder="1"/>
    <xf numFmtId="0" fontId="43" fillId="4" borderId="28" xfId="0" applyFont="1" applyFill="1" applyBorder="1"/>
    <xf numFmtId="0" fontId="43" fillId="4" borderId="13" xfId="0" applyFont="1" applyFill="1" applyBorder="1"/>
    <xf numFmtId="0" fontId="44" fillId="4" borderId="13" xfId="0" applyFont="1" applyFill="1" applyBorder="1"/>
    <xf numFmtId="0" fontId="43" fillId="4" borderId="22" xfId="0" applyFont="1" applyFill="1" applyBorder="1"/>
    <xf numFmtId="0" fontId="35"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7" fillId="3" borderId="0" xfId="0" applyFont="1" applyFill="1" applyBorder="1"/>
    <xf numFmtId="0" fontId="54" fillId="3" borderId="0" xfId="0" applyFont="1" applyFill="1"/>
    <xf numFmtId="0" fontId="55" fillId="3" borderId="0" xfId="0" applyFont="1" applyFill="1"/>
    <xf numFmtId="164" fontId="55" fillId="3" borderId="0" xfId="0" applyNumberFormat="1" applyFont="1" applyFill="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6"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68" fontId="16" fillId="6" borderId="1" xfId="0" applyNumberFormat="1" applyFont="1" applyFill="1" applyBorder="1" applyAlignment="1">
      <alignment horizontal="center"/>
    </xf>
    <xf numFmtId="178"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2" fillId="5" borderId="26" xfId="0" applyFont="1" applyFill="1" applyBorder="1"/>
    <xf numFmtId="0" fontId="14" fillId="5" borderId="26" xfId="0" applyFont="1" applyFill="1" applyBorder="1"/>
    <xf numFmtId="0" fontId="42"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8" borderId="0" xfId="0" applyFill="1" applyBorder="1"/>
    <xf numFmtId="0" fontId="0" fillId="18" borderId="24" xfId="0" applyFill="1" applyBorder="1"/>
    <xf numFmtId="168" fontId="0" fillId="18" borderId="0" xfId="0" applyNumberFormat="1" applyFill="1" applyBorder="1" applyAlignment="1">
      <alignment horizontal="center"/>
    </xf>
    <xf numFmtId="0" fontId="0" fillId="18" borderId="0" xfId="0" applyFill="1" applyBorder="1" applyAlignment="1">
      <alignment horizontal="center"/>
    </xf>
    <xf numFmtId="0" fontId="0" fillId="18" borderId="26" xfId="0" applyFill="1" applyBorder="1"/>
    <xf numFmtId="168" fontId="0" fillId="18" borderId="26" xfId="0" applyNumberFormat="1" applyFill="1" applyBorder="1" applyAlignment="1">
      <alignment horizontal="center"/>
    </xf>
    <xf numFmtId="0" fontId="0" fillId="18" borderId="26" xfId="0" applyFill="1" applyBorder="1" applyAlignment="1">
      <alignment horizontal="center"/>
    </xf>
    <xf numFmtId="0" fontId="0" fillId="18" borderId="27" xfId="0" applyFill="1" applyBorder="1"/>
    <xf numFmtId="0" fontId="0" fillId="18" borderId="23" xfId="0" applyFill="1" applyBorder="1" applyAlignment="1">
      <alignment horizontal="center"/>
    </xf>
    <xf numFmtId="0" fontId="0" fillId="18" borderId="25" xfId="0" applyFill="1" applyBorder="1" applyAlignment="1">
      <alignment horizontal="center"/>
    </xf>
    <xf numFmtId="0" fontId="0" fillId="5" borderId="0" xfId="0" applyFill="1" applyBorder="1"/>
    <xf numFmtId="185" fontId="0" fillId="10" borderId="9" xfId="0" applyNumberFormat="1" applyFill="1" applyBorder="1" applyAlignment="1">
      <alignment horizontal="center"/>
    </xf>
    <xf numFmtId="186" fontId="25" fillId="5" borderId="9" xfId="0" applyNumberFormat="1" applyFont="1" applyFill="1" applyBorder="1" applyAlignment="1">
      <alignment horizontal="center"/>
    </xf>
    <xf numFmtId="176"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8" borderId="0" xfId="0" applyNumberFormat="1" applyFill="1" applyBorder="1"/>
    <xf numFmtId="2" fontId="0" fillId="18" borderId="0" xfId="0" applyNumberFormat="1" applyFill="1" applyBorder="1" applyAlignment="1">
      <alignment horizontal="center"/>
    </xf>
    <xf numFmtId="2" fontId="6" fillId="18" borderId="0" xfId="0" applyNumberFormat="1" applyFont="1" applyFill="1" applyBorder="1" applyAlignment="1">
      <alignment horizontal="center"/>
    </xf>
    <xf numFmtId="168" fontId="6" fillId="18" borderId="0" xfId="0" applyNumberFormat="1" applyFont="1" applyFill="1" applyBorder="1" applyAlignment="1">
      <alignment horizontal="center"/>
    </xf>
    <xf numFmtId="0" fontId="0" fillId="16" borderId="28" xfId="0" applyFill="1" applyBorder="1"/>
    <xf numFmtId="173" fontId="6" fillId="6" borderId="8" xfId="0" applyNumberFormat="1" applyFont="1" applyFill="1" applyBorder="1" applyAlignment="1">
      <alignment horizontal="center"/>
    </xf>
    <xf numFmtId="0" fontId="56" fillId="3" borderId="0" xfId="0" applyFont="1" applyFill="1" applyBorder="1" applyAlignment="1">
      <alignment horizontal="left"/>
    </xf>
    <xf numFmtId="0" fontId="1" fillId="3" borderId="0" xfId="0" applyFont="1" applyFill="1" applyBorder="1" applyAlignment="1">
      <alignment horizontal="center"/>
    </xf>
    <xf numFmtId="187"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8" borderId="0" xfId="1" applyNumberFormat="1" applyFont="1" applyFill="1" applyBorder="1"/>
    <xf numFmtId="185"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168" fontId="1" fillId="3" borderId="0" xfId="0" applyNumberFormat="1"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20" fillId="4" borderId="1" xfId="0" applyFont="1" applyFill="1" applyBorder="1"/>
    <xf numFmtId="0" fontId="5" fillId="4" borderId="36" xfId="0" applyFont="1" applyFill="1" applyBorder="1" applyAlignment="1">
      <alignment horizontal="left"/>
    </xf>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3"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2" fillId="4" borderId="0" xfId="0" applyFont="1" applyFill="1"/>
    <xf numFmtId="0" fontId="17" fillId="3" borderId="13" xfId="0" applyFont="1" applyFill="1" applyBorder="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7" fillId="3" borderId="9" xfId="0" applyFont="1" applyFill="1" applyBorder="1"/>
    <xf numFmtId="0" fontId="4" fillId="14" borderId="7" xfId="0" applyFont="1" applyFill="1" applyBorder="1"/>
    <xf numFmtId="0" fontId="58" fillId="14" borderId="7" xfId="0" applyFont="1" applyFill="1" applyBorder="1"/>
    <xf numFmtId="0" fontId="4" fillId="14" borderId="7" xfId="0" applyFont="1" applyFill="1" applyBorder="1" applyAlignment="1">
      <alignment horizontal="center"/>
    </xf>
    <xf numFmtId="0" fontId="0" fillId="17"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9" borderId="9" xfId="0" applyFont="1" applyFill="1" applyBorder="1" applyAlignment="1">
      <alignment horizontal="center"/>
    </xf>
    <xf numFmtId="0" fontId="6" fillId="20"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6" borderId="4" xfId="0" applyFont="1" applyFill="1" applyBorder="1"/>
    <xf numFmtId="0" fontId="41" fillId="12" borderId="4" xfId="0" applyFont="1" applyFill="1" applyBorder="1"/>
    <xf numFmtId="0" fontId="42" fillId="12" borderId="6" xfId="0" applyFont="1" applyFill="1" applyBorder="1"/>
    <xf numFmtId="0" fontId="42" fillId="12" borderId="5" xfId="0" applyFont="1" applyFill="1" applyBorder="1"/>
    <xf numFmtId="0" fontId="15" fillId="18" borderId="9" xfId="0" applyFont="1" applyFill="1" applyBorder="1" applyAlignment="1">
      <alignment horizontal="center"/>
    </xf>
    <xf numFmtId="0" fontId="1" fillId="8" borderId="0" xfId="0" applyFont="1" applyFill="1"/>
    <xf numFmtId="0" fontId="42" fillId="8" borderId="0" xfId="0" applyFont="1" applyFill="1"/>
    <xf numFmtId="0" fontId="6" fillId="18" borderId="4" xfId="0" applyFont="1" applyFill="1" applyBorder="1"/>
    <xf numFmtId="0" fontId="0" fillId="18" borderId="5" xfId="0" applyFill="1" applyBorder="1"/>
    <xf numFmtId="0" fontId="0" fillId="18" borderId="6" xfId="0" applyFill="1" applyBorder="1"/>
    <xf numFmtId="0" fontId="0" fillId="8" borderId="6" xfId="0" applyFill="1" applyBorder="1"/>
    <xf numFmtId="0" fontId="6" fillId="18" borderId="5" xfId="0" applyFont="1" applyFill="1" applyBorder="1"/>
    <xf numFmtId="1" fontId="0" fillId="8" borderId="0" xfId="0" applyNumberFormat="1" applyFill="1" applyAlignment="1">
      <alignment horizontal="center"/>
    </xf>
    <xf numFmtId="0" fontId="0" fillId="8" borderId="0" xfId="0" applyFill="1" applyAlignment="1"/>
    <xf numFmtId="0" fontId="11" fillId="8" borderId="9" xfId="0" applyFont="1" applyFill="1" applyBorder="1" applyAlignment="1">
      <alignment horizontal="center"/>
    </xf>
    <xf numFmtId="0" fontId="11" fillId="8" borderId="4" xfId="0" applyFont="1" applyFill="1" applyBorder="1" applyAlignment="1">
      <alignment horizontal="left"/>
    </xf>
    <xf numFmtId="0" fontId="0" fillId="8" borderId="5" xfId="0" applyFill="1" applyBorder="1" applyAlignment="1">
      <alignment horizontal="center"/>
    </xf>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6"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6" fillId="7" borderId="0" xfId="0" applyFont="1" applyFill="1"/>
    <xf numFmtId="0" fontId="6" fillId="4" borderId="0" xfId="0" applyFont="1" applyFill="1" applyBorder="1"/>
    <xf numFmtId="0" fontId="67" fillId="0" borderId="0" xfId="0" applyFont="1"/>
    <xf numFmtId="0" fontId="67"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9" fillId="5" borderId="26" xfId="0" applyFont="1" applyFill="1" applyBorder="1" applyAlignment="1">
      <alignment horizontal="center"/>
    </xf>
    <xf numFmtId="0" fontId="25" fillId="5" borderId="26" xfId="0" applyFont="1" applyFill="1" applyBorder="1"/>
    <xf numFmtId="0" fontId="25" fillId="5" borderId="26" xfId="0" applyFont="1" applyFill="1" applyBorder="1" applyAlignment="1">
      <alignment horizontal="right"/>
    </xf>
    <xf numFmtId="0" fontId="35"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8" fontId="9" fillId="5" borderId="9" xfId="1" applyNumberFormat="1" applyFont="1" applyFill="1" applyBorder="1" applyAlignment="1">
      <alignment horizontal="center"/>
    </xf>
    <xf numFmtId="189" fontId="9" fillId="5" borderId="9" xfId="0" applyNumberFormat="1" applyFont="1" applyFill="1" applyBorder="1" applyAlignment="1">
      <alignment horizontal="center"/>
    </xf>
    <xf numFmtId="190" fontId="12" fillId="3" borderId="0" xfId="1" applyNumberFormat="1" applyFont="1" applyFill="1" applyAlignment="1">
      <alignment horizontal="center"/>
    </xf>
    <xf numFmtId="0" fontId="1" fillId="10" borderId="9" xfId="0" applyNumberFormat="1" applyFont="1" applyFill="1" applyBorder="1" applyAlignment="1">
      <alignment horizontal="center"/>
    </xf>
    <xf numFmtId="0" fontId="25" fillId="5" borderId="4" xfId="0" applyFont="1" applyFill="1" applyBorder="1" applyAlignment="1">
      <alignment horizontal="center"/>
    </xf>
    <xf numFmtId="0" fontId="25" fillId="5" borderId="4" xfId="0" applyFont="1" applyFill="1" applyBorder="1" applyAlignment="1">
      <alignment horizontal="left"/>
    </xf>
    <xf numFmtId="168" fontId="1" fillId="17" borderId="0" xfId="0" applyNumberFormat="1" applyFont="1" applyFill="1" applyBorder="1" applyAlignment="1">
      <alignment horizontal="center"/>
    </xf>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91"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168" fontId="1" fillId="10" borderId="12" xfId="0" applyNumberFormat="1" applyFont="1" applyFill="1" applyBorder="1" applyAlignment="1">
      <alignment horizontal="center"/>
    </xf>
    <xf numFmtId="2" fontId="0" fillId="3" borderId="0" xfId="0" applyNumberFormat="1" applyFill="1" applyBorder="1" applyAlignment="1">
      <alignment horizontal="center"/>
    </xf>
    <xf numFmtId="168" fontId="25" fillId="11" borderId="0" xfId="0" applyNumberFormat="1" applyFont="1" applyFill="1" applyBorder="1"/>
    <xf numFmtId="167" fontId="25" fillId="5" borderId="9" xfId="0" applyNumberFormat="1" applyFont="1" applyFill="1" applyBorder="1"/>
    <xf numFmtId="167" fontId="25" fillId="5" borderId="9" xfId="0" applyNumberFormat="1" applyFon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6" borderId="1" xfId="0" applyFill="1" applyBorder="1" applyAlignment="1">
      <alignment horizontal="center"/>
    </xf>
    <xf numFmtId="0" fontId="9" fillId="0" borderId="9" xfId="0" quotePrefix="1" applyFont="1" applyFill="1" applyBorder="1" applyAlignment="1">
      <alignment horizontal="center"/>
    </xf>
    <xf numFmtId="192" fontId="25" fillId="5" borderId="9" xfId="0" applyNumberFormat="1" applyFont="1" applyFill="1" applyBorder="1" applyAlignment="1">
      <alignment horizontal="center"/>
    </xf>
    <xf numFmtId="0" fontId="5" fillId="3" borderId="0" xfId="0" applyFont="1" applyFill="1"/>
    <xf numFmtId="0" fontId="1" fillId="5" borderId="26" xfId="0" applyFont="1" applyFill="1" applyBorder="1"/>
    <xf numFmtId="172" fontId="25" fillId="5" borderId="26" xfId="0" applyNumberFormat="1" applyFont="1" applyFill="1" applyBorder="1" applyAlignment="1">
      <alignment horizontal="center"/>
    </xf>
    <xf numFmtId="0" fontId="0" fillId="6" borderId="26" xfId="0" applyFill="1" applyBorder="1"/>
    <xf numFmtId="0" fontId="1" fillId="8" borderId="14" xfId="0" applyFont="1" applyFill="1" applyBorder="1"/>
    <xf numFmtId="0" fontId="1" fillId="8" borderId="16" xfId="0" applyFont="1" applyFill="1" applyBorder="1"/>
    <xf numFmtId="0" fontId="1" fillId="8" borderId="17" xfId="0" applyFont="1" applyFill="1" applyBorder="1"/>
    <xf numFmtId="0" fontId="1" fillId="8" borderId="18" xfId="0" applyFont="1" applyFill="1" applyBorder="1"/>
    <xf numFmtId="0" fontId="7" fillId="3" borderId="0" xfId="0" applyFont="1" applyFill="1" applyBorder="1" applyAlignment="1"/>
    <xf numFmtId="193" fontId="0" fillId="11" borderId="0" xfId="0" applyNumberFormat="1" applyFill="1" applyBorder="1"/>
    <xf numFmtId="0" fontId="29" fillId="17" borderId="0" xfId="0" applyFont="1" applyFill="1" applyBorder="1"/>
    <xf numFmtId="0" fontId="72" fillId="0" borderId="0" xfId="0" applyFont="1"/>
    <xf numFmtId="0" fontId="76" fillId="3" borderId="0" xfId="0" applyFont="1" applyFill="1"/>
    <xf numFmtId="0" fontId="73" fillId="3" borderId="0" xfId="0" applyFont="1" applyFill="1"/>
    <xf numFmtId="0" fontId="78" fillId="3" borderId="0" xfId="0" applyFont="1" applyFill="1"/>
    <xf numFmtId="0" fontId="0" fillId="5" borderId="26" xfId="0" applyFont="1" applyFill="1" applyBorder="1"/>
    <xf numFmtId="0" fontId="0" fillId="21" borderId="0" xfId="0" applyFill="1" applyBorder="1"/>
    <xf numFmtId="0" fontId="7" fillId="21" borderId="0" xfId="0" applyFont="1" applyFill="1" applyBorder="1" applyAlignment="1">
      <alignment horizontal="center"/>
    </xf>
    <xf numFmtId="0" fontId="6" fillId="21" borderId="0" xfId="0" applyFont="1" applyFill="1" applyBorder="1" applyAlignment="1">
      <alignment horizontal="center"/>
    </xf>
    <xf numFmtId="0" fontId="5" fillId="21" borderId="0" xfId="0" applyFont="1" applyFill="1" applyBorder="1"/>
    <xf numFmtId="0" fontId="6" fillId="21" borderId="0" xfId="0" applyFont="1" applyFill="1" applyBorder="1"/>
    <xf numFmtId="0" fontId="5" fillId="22" borderId="0" xfId="0" applyFont="1" applyFill="1" applyBorder="1"/>
    <xf numFmtId="0" fontId="0" fillId="22" borderId="0" xfId="0" applyFill="1" applyBorder="1"/>
    <xf numFmtId="0" fontId="6" fillId="22" borderId="0" xfId="0" applyFont="1" applyFill="1" applyBorder="1"/>
    <xf numFmtId="0" fontId="6" fillId="22" borderId="0" xfId="0" applyFont="1" applyFill="1" applyBorder="1" applyAlignment="1">
      <alignment horizontal="center"/>
    </xf>
    <xf numFmtId="0" fontId="7" fillId="4" borderId="36" xfId="0" applyFont="1" applyFill="1" applyBorder="1" applyAlignment="1">
      <alignment horizontal="center"/>
    </xf>
    <xf numFmtId="0" fontId="7" fillId="4" borderId="7" xfId="0" applyFont="1" applyFill="1" applyBorder="1" applyAlignment="1">
      <alignment horizontal="center"/>
    </xf>
    <xf numFmtId="0" fontId="7" fillId="4" borderId="8" xfId="0" applyFont="1" applyFill="1" applyBorder="1" applyAlignment="1">
      <alignment horizontal="center"/>
    </xf>
    <xf numFmtId="0" fontId="7" fillId="21" borderId="0" xfId="0" applyFont="1" applyFill="1" applyBorder="1" applyAlignment="1">
      <alignment horizontal="center"/>
    </xf>
    <xf numFmtId="0" fontId="7" fillId="22" borderId="0" xfId="0" applyFont="1" applyFill="1" applyBorder="1" applyAlignment="1">
      <alignment horizontal="center"/>
    </xf>
  </cellXfs>
  <cellStyles count="4">
    <cellStyle name="Comma" xfId="1" builtinId="3"/>
    <cellStyle name="Hyperlink" xfId="2" builtinId="8"/>
    <cellStyle name="Normal" xfId="0" builtinId="0"/>
    <cellStyle name="Percent" xfId="3" builtinId="5"/>
  </cellStyles>
  <dxfs count="8">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0"/>
        </patternFill>
      </fill>
    </dxf>
    <dxf>
      <font>
        <condense val="0"/>
        <extend val="0"/>
        <color auto="1"/>
      </font>
      <fill>
        <patternFill>
          <bgColor indexed="1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2727285337849196E-2"/>
          <c:y val="2.5000030517615377E-2"/>
          <c:w val="0.96363689832480592"/>
          <c:h val="0.9225011261000074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D3FC-49FB-9E83-0CCE196F8BF5}"/>
            </c:ext>
          </c:extLst>
        </c:ser>
        <c:ser>
          <c:idx val="1"/>
          <c:order val="1"/>
          <c:spPr>
            <a:ln w="25400">
              <a:solidFill>
                <a:srgbClr val="0000FF"/>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D3FC-49FB-9E83-0CCE196F8BF5}"/>
            </c:ext>
          </c:extLst>
        </c:ser>
        <c:dLbls>
          <c:showLegendKey val="0"/>
          <c:showVal val="0"/>
          <c:showCatName val="0"/>
          <c:showSerName val="0"/>
          <c:showPercent val="0"/>
          <c:showBubbleSize val="0"/>
        </c:dLbls>
        <c:axId val="426998768"/>
        <c:axId val="1"/>
      </c:scatterChart>
      <c:valAx>
        <c:axId val="426998768"/>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426998768"/>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90542420027"/>
          <c:y val="7.0028011204481795E-3"/>
        </c:manualLayout>
      </c:layout>
      <c:overlay val="0"/>
      <c:spPr>
        <a:noFill/>
        <a:ln w="25400">
          <a:noFill/>
        </a:ln>
      </c:spPr>
    </c:title>
    <c:autoTitleDeleted val="0"/>
    <c:plotArea>
      <c:layout>
        <c:manualLayout>
          <c:layoutTarget val="inner"/>
          <c:xMode val="edge"/>
          <c:yMode val="edge"/>
          <c:x val="0.28789986091794156"/>
          <c:y val="0.29972029789300197"/>
          <c:w val="0.42559109874826145"/>
          <c:h val="0.42857201474419909"/>
        </c:manualLayout>
      </c:layout>
      <c:radarChart>
        <c:radarStyle val="marker"/>
        <c:varyColors val="0"/>
        <c:ser>
          <c:idx val="1"/>
          <c:order val="0"/>
          <c:tx>
            <c:v>RHCP Gain</c:v>
          </c:tx>
          <c:spPr>
            <a:ln w="38100">
              <a:solidFill>
                <a:srgbClr val="0000FF"/>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CD09-4276-9635-B55A1B98EC92}"/>
            </c:ext>
          </c:extLst>
        </c:ser>
        <c:ser>
          <c:idx val="2"/>
          <c:order val="1"/>
          <c:tx>
            <c:v>LHCP Gain</c:v>
          </c:tx>
          <c:spPr>
            <a:ln w="38100">
              <a:solidFill>
                <a:srgbClr val="FF0000"/>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CD09-4276-9635-B55A1B98EC92}"/>
            </c:ext>
          </c:extLst>
        </c:ser>
        <c:dLbls>
          <c:showLegendKey val="0"/>
          <c:showVal val="0"/>
          <c:showCatName val="0"/>
          <c:showSerName val="0"/>
          <c:showPercent val="0"/>
          <c:showBubbleSize val="0"/>
        </c:dLbls>
        <c:axId val="426219024"/>
        <c:axId val="1"/>
      </c:radarChart>
      <c:catAx>
        <c:axId val="42621902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26219024"/>
        <c:crosses val="autoZero"/>
        <c:crossBetween val="between"/>
        <c:majorUnit val="5"/>
        <c:minorUnit val="1"/>
      </c:valAx>
      <c:spPr>
        <a:solidFill>
          <a:srgbClr val="CCFFCC"/>
        </a:solidFill>
        <a:ln w="25400">
          <a:noFill/>
        </a:ln>
      </c:spPr>
    </c:plotArea>
    <c:legend>
      <c:legendPos val="r"/>
      <c:legendEntry>
        <c:idx val="0"/>
        <c:txPr>
          <a:bodyPr/>
          <a:lstStyle/>
          <a:p>
            <a:pPr>
              <a:defRPr sz="1285" b="0" i="0" u="none" strike="noStrike" baseline="0">
                <a:solidFill>
                  <a:srgbClr val="000000"/>
                </a:solidFill>
                <a:latin typeface="Arial"/>
                <a:ea typeface="Arial"/>
                <a:cs typeface="Arial"/>
              </a:defRPr>
            </a:pPr>
            <a:endParaRPr lang="en-US"/>
          </a:p>
        </c:txPr>
      </c:legendEntry>
      <c:legendEntry>
        <c:idx val="1"/>
        <c:txPr>
          <a:bodyPr/>
          <a:lstStyle/>
          <a:p>
            <a:pPr>
              <a:defRPr sz="1285" b="0" i="0" u="none" strike="noStrike" baseline="0">
                <a:solidFill>
                  <a:srgbClr val="000000"/>
                </a:solidFill>
                <a:latin typeface="Arial"/>
                <a:ea typeface="Arial"/>
                <a:cs typeface="Arial"/>
              </a:defRPr>
            </a:pPr>
            <a:endParaRPr lang="en-US"/>
          </a:p>
        </c:txPr>
      </c:legendEntry>
      <c:layout>
        <c:manualLayout>
          <c:xMode val="edge"/>
          <c:yMode val="edge"/>
          <c:x val="6.954102920723227E-3"/>
          <c:y val="0.89215803906864577"/>
          <c:w val="0.51043115438108488"/>
          <c:h val="4.4817927170868299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75" b="1" i="0" u="none" strike="noStrike" baseline="0">
                <a:solidFill>
                  <a:srgbClr val="000000"/>
                </a:solidFill>
                <a:latin typeface="Arial"/>
                <a:ea typeface="Arial"/>
                <a:cs typeface="Arial"/>
              </a:defRPr>
            </a:pPr>
            <a:r>
              <a:rPr lang="en-US"/>
              <a:t>Turnstyle Gain in RHCP and LHCP
- Elevation Plot -</a:t>
            </a:r>
          </a:p>
        </c:rich>
      </c:tx>
      <c:layout>
        <c:manualLayout>
          <c:xMode val="edge"/>
          <c:yMode val="edge"/>
          <c:x val="0.3430657159460524"/>
          <c:y val="7.6804877238446463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FF"/>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04C3-479D-BB49-F6D3F4391DF4}"/>
            </c:ext>
          </c:extLst>
        </c:ser>
        <c:ser>
          <c:idx val="2"/>
          <c:order val="1"/>
          <c:tx>
            <c:v>LHCP Gain</c:v>
          </c:tx>
          <c:spPr>
            <a:ln w="38100">
              <a:solidFill>
                <a:srgbClr val="FF0000"/>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04C3-479D-BB49-F6D3F4391DF4}"/>
            </c:ext>
          </c:extLst>
        </c:ser>
        <c:dLbls>
          <c:showLegendKey val="0"/>
          <c:showVal val="0"/>
          <c:showCatName val="0"/>
          <c:showSerName val="0"/>
          <c:showPercent val="0"/>
          <c:showBubbleSize val="0"/>
        </c:dLbls>
        <c:axId val="424419864"/>
        <c:axId val="1"/>
      </c:radarChart>
      <c:catAx>
        <c:axId val="424419864"/>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424419864"/>
        <c:crosses val="autoZero"/>
        <c:crossBetween val="between"/>
        <c:majorUnit val="5"/>
        <c:minorUnit val="1"/>
      </c:valAx>
      <c:spPr>
        <a:solidFill>
          <a:srgbClr val="9999FF"/>
        </a:solidFill>
        <a:ln w="25400">
          <a:noFill/>
        </a:ln>
      </c:spPr>
    </c:plotArea>
    <c:legend>
      <c:legendPos val="r"/>
      <c:layout>
        <c:manualLayout>
          <c:xMode val="edge"/>
          <c:yMode val="edge"/>
          <c:x val="1.1470229390266406E-2"/>
          <c:y val="0.92319645170935916"/>
          <c:w val="0.38269027494333407"/>
          <c:h val="4.915528755108145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9599225884"/>
          <c:y val="2.8428052711027704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FF"/>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7BBB-43AD-9E2D-F66DF838CF65}"/>
            </c:ext>
          </c:extLst>
        </c:ser>
        <c:dLbls>
          <c:showLegendKey val="0"/>
          <c:showVal val="0"/>
          <c:showCatName val="0"/>
          <c:showSerName val="0"/>
          <c:showPercent val="0"/>
          <c:showBubbleSize val="0"/>
        </c:dLbls>
        <c:axId val="424422160"/>
        <c:axId val="1"/>
      </c:radarChart>
      <c:catAx>
        <c:axId val="424422160"/>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800080"/>
                </a:solidFill>
                <a:latin typeface="Arial"/>
                <a:ea typeface="Arial"/>
                <a:cs typeface="Arial"/>
              </a:defRPr>
            </a:pPr>
            <a:endParaRPr lang="en-US"/>
          </a:p>
        </c:txPr>
        <c:crossAx val="424422160"/>
        <c:crosses val="autoZero"/>
        <c:crossBetween val="between"/>
      </c:valAx>
      <c:spPr>
        <a:noFill/>
        <a:ln w="25400">
          <a:noFill/>
        </a:ln>
      </c:spPr>
    </c:plotArea>
    <c:legend>
      <c:legendPos val="t"/>
      <c:layout>
        <c:manualLayout>
          <c:xMode val="edge"/>
          <c:yMode val="edge"/>
          <c:x val="0.41983720571180311"/>
          <c:y val="0.1053513388546639"/>
          <c:w val="0.13043491998520712"/>
          <c:h val="4.8495052108123785E-2"/>
        </c:manualLayout>
      </c:layout>
      <c:overlay val="0"/>
      <c:spPr>
        <a:solidFill>
          <a:srgbClr val="FFFFFF"/>
        </a:solidFill>
        <a:ln w="3175">
          <a:solidFill>
            <a:srgbClr val="000000"/>
          </a:solidFill>
          <a:prstDash val="solid"/>
        </a:ln>
      </c:spPr>
      <c:txPr>
        <a:bodyPr/>
        <a:lstStyle/>
        <a:p>
          <a:pPr>
            <a:defRPr sz="138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6350">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042545905"/>
          <c:y val="2.941176470588235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Tool'!$I$11:$I$100</c:f>
              <c:numCache>
                <c:formatCode>0.000</c:formatCode>
                <c:ptCount val="90"/>
                <c:pt idx="0" formatCode="0.0000">
                  <c:v>6.9104952653235296E-6</c:v>
                </c:pt>
                <c:pt idx="1">
                  <c:v>6.9104952653235296E-3</c:v>
                </c:pt>
                <c:pt idx="2">
                  <c:v>0.24186733428632354</c:v>
                </c:pt>
                <c:pt idx="3" formatCode="0.0">
                  <c:v>0.69104952653235296</c:v>
                </c:pt>
                <c:pt idx="4" formatCode="0.0">
                  <c:v>1.7276238163308821</c:v>
                </c:pt>
                <c:pt idx="5" formatCode="0.0">
                  <c:v>2.073148579597059</c:v>
                </c:pt>
                <c:pt idx="6" formatCode="0.0">
                  <c:v>2.7641981061294119</c:v>
                </c:pt>
                <c:pt idx="7" formatCode="0.0">
                  <c:v>3.2479327747020585</c:v>
                </c:pt>
                <c:pt idx="8" formatCode="0.0">
                  <c:v>3.9044298249077944</c:v>
                </c:pt>
                <c:pt idx="9" formatCode="0.0">
                  <c:v>4.146297159194118</c:v>
                </c:pt>
                <c:pt idx="10" formatCode="0.0">
                  <c:v>4.8373466857264704</c:v>
                </c:pt>
                <c:pt idx="11" formatCode="0.0">
                  <c:v>5.5118110236220472</c:v>
                </c:pt>
                <c:pt idx="12" formatCode="0.0">
                  <c:v>5.5283962122588237</c:v>
                </c:pt>
                <c:pt idx="13" formatCode="0.00">
                  <c:v>6.274729700913765</c:v>
                </c:pt>
                <c:pt idx="14" formatCode="0.0">
                  <c:v>6.9104952653235285</c:v>
                </c:pt>
                <c:pt idx="15" formatCode="0.0">
                  <c:v>7.6015447918558827</c:v>
                </c:pt>
                <c:pt idx="16" formatCode="0.0">
                  <c:v>8.292594318388236</c:v>
                </c:pt>
                <c:pt idx="17" formatCode="0.0">
                  <c:v>8.9836438449205875</c:v>
                </c:pt>
                <c:pt idx="18" formatCode="0.0">
                  <c:v>9.6746933714529408</c:v>
                </c:pt>
                <c:pt idx="19" formatCode="0.0">
                  <c:v>10.365742897985294</c:v>
                </c:pt>
                <c:pt idx="20" formatCode="0.0">
                  <c:v>11.056792424517647</c:v>
                </c:pt>
                <c:pt idx="21" formatCode="0.0">
                  <c:v>11.747841951049999</c:v>
                </c:pt>
                <c:pt idx="22" formatCode="0.0">
                  <c:v>12.438891477582352</c:v>
                </c:pt>
                <c:pt idx="23" formatCode="0.0">
                  <c:v>13.129941004114706</c:v>
                </c:pt>
                <c:pt idx="24" formatCode="0.0">
                  <c:v>13.820990530647057</c:v>
                </c:pt>
                <c:pt idx="25" formatCode="0.0">
                  <c:v>14.51204005717941</c:v>
                </c:pt>
                <c:pt idx="26" formatCode="0.0">
                  <c:v>15.203089583711765</c:v>
                </c:pt>
                <c:pt idx="27" formatCode="0.0">
                  <c:v>15.894139110244119</c:v>
                </c:pt>
                <c:pt idx="28" formatCode="0.0">
                  <c:v>16.585188636776472</c:v>
                </c:pt>
                <c:pt idx="29" formatCode="0.0">
                  <c:v>17.276238163308822</c:v>
                </c:pt>
                <c:pt idx="30" formatCode="0.0">
                  <c:v>17.967287689841175</c:v>
                </c:pt>
                <c:pt idx="31" formatCode="0.0">
                  <c:v>18.658337216373528</c:v>
                </c:pt>
                <c:pt idx="32" formatCode="0.0">
                  <c:v>19.349386742905882</c:v>
                </c:pt>
                <c:pt idx="33" formatCode="0.0">
                  <c:v>20.040436269438235</c:v>
                </c:pt>
                <c:pt idx="34" formatCode="0.0">
                  <c:v>20.731485795970588</c:v>
                </c:pt>
                <c:pt idx="35" formatCode="0.0">
                  <c:v>21.422535322502942</c:v>
                </c:pt>
                <c:pt idx="36" formatCode="0.0">
                  <c:v>22.113584849035295</c:v>
                </c:pt>
                <c:pt idx="37" formatCode="0.0">
                  <c:v>22.804634375567648</c:v>
                </c:pt>
                <c:pt idx="38" formatCode="0.0">
                  <c:v>23.495683902099998</c:v>
                </c:pt>
                <c:pt idx="39" formatCode="0.0">
                  <c:v>24.186733428632351</c:v>
                </c:pt>
                <c:pt idx="40" formatCode="0.0">
                  <c:v>24.877782955164705</c:v>
                </c:pt>
                <c:pt idx="41" formatCode="0.0">
                  <c:v>25.568832481697058</c:v>
                </c:pt>
                <c:pt idx="42" formatCode="0.0">
                  <c:v>26.259882008229411</c:v>
                </c:pt>
                <c:pt idx="43" formatCode="0.0">
                  <c:v>26.950931534761764</c:v>
                </c:pt>
                <c:pt idx="44" formatCode="0.0">
                  <c:v>27.641981061294114</c:v>
                </c:pt>
                <c:pt idx="45" formatCode="0.0">
                  <c:v>28.333030587826471</c:v>
                </c:pt>
                <c:pt idx="46" formatCode="0.0">
                  <c:v>29.024080114358821</c:v>
                </c:pt>
                <c:pt idx="47" formatCode="0.0">
                  <c:v>29.715129640891174</c:v>
                </c:pt>
                <c:pt idx="48" formatCode="0.0">
                  <c:v>30.406179167423531</c:v>
                </c:pt>
                <c:pt idx="49" formatCode="0.0">
                  <c:v>31.097228693955881</c:v>
                </c:pt>
                <c:pt idx="50" formatCode="0.0">
                  <c:v>31.788278220488237</c:v>
                </c:pt>
                <c:pt idx="51" formatCode="0.0">
                  <c:v>32.479327747020584</c:v>
                </c:pt>
                <c:pt idx="52" formatCode="0.0">
                  <c:v>33.170377273552944</c:v>
                </c:pt>
                <c:pt idx="53" formatCode="0.0">
                  <c:v>33.86142680008529</c:v>
                </c:pt>
                <c:pt idx="54" formatCode="0.0">
                  <c:v>34.552476326617644</c:v>
                </c:pt>
                <c:pt idx="55" formatCode="0.0">
                  <c:v>35.243525853149997</c:v>
                </c:pt>
                <c:pt idx="56" formatCode="0.0">
                  <c:v>35.93457537968235</c:v>
                </c:pt>
                <c:pt idx="57" formatCode="0.0">
                  <c:v>36.625624906214703</c:v>
                </c:pt>
                <c:pt idx="58" formatCode="0.0">
                  <c:v>37.316674432747057</c:v>
                </c:pt>
                <c:pt idx="59" formatCode="0.0">
                  <c:v>38.00772395927941</c:v>
                </c:pt>
                <c:pt idx="60" formatCode="0.0">
                  <c:v>38.698773485811763</c:v>
                </c:pt>
                <c:pt idx="61" formatCode="0.0">
                  <c:v>39.389823012344117</c:v>
                </c:pt>
                <c:pt idx="62" formatCode="0.0">
                  <c:v>40.08087253887647</c:v>
                </c:pt>
                <c:pt idx="63" formatCode="0.0">
                  <c:v>40.771922065408823</c:v>
                </c:pt>
                <c:pt idx="64" formatCode="0.0">
                  <c:v>41.462971591941177</c:v>
                </c:pt>
                <c:pt idx="65" formatCode="0.0">
                  <c:v>42.15402111847353</c:v>
                </c:pt>
                <c:pt idx="66" formatCode="0.0">
                  <c:v>42.845070645005883</c:v>
                </c:pt>
                <c:pt idx="67" formatCode="0.0">
                  <c:v>43.536120171538229</c:v>
                </c:pt>
                <c:pt idx="68" formatCode="0.0">
                  <c:v>44.22716969807059</c:v>
                </c:pt>
                <c:pt idx="69" formatCode="0.0">
                  <c:v>44.918219224602936</c:v>
                </c:pt>
                <c:pt idx="70" formatCode="0.0">
                  <c:v>46.300318277667643</c:v>
                </c:pt>
                <c:pt idx="71" formatCode="0.0">
                  <c:v>46.991367804199996</c:v>
                </c:pt>
                <c:pt idx="72" formatCode="0.0">
                  <c:v>47.682417330732356</c:v>
                </c:pt>
                <c:pt idx="73" formatCode="0.0">
                  <c:v>48.373466857264702</c:v>
                </c:pt>
                <c:pt idx="74" formatCode="0.0">
                  <c:v>49.064516383797056</c:v>
                </c:pt>
                <c:pt idx="75" formatCode="0.0">
                  <c:v>49.755565910329409</c:v>
                </c:pt>
                <c:pt idx="76" formatCode="0.0">
                  <c:v>50.446615436861762</c:v>
                </c:pt>
                <c:pt idx="77" formatCode="0.0">
                  <c:v>51.137664963394116</c:v>
                </c:pt>
                <c:pt idx="78" formatCode="0.0">
                  <c:v>51.828714489926462</c:v>
                </c:pt>
                <c:pt idx="79" formatCode="0.0">
                  <c:v>52.519764016458822</c:v>
                </c:pt>
                <c:pt idx="80" formatCode="0.0">
                  <c:v>53.210813542991175</c:v>
                </c:pt>
                <c:pt idx="81" formatCode="0.0">
                  <c:v>53.901863069523529</c:v>
                </c:pt>
                <c:pt idx="82" formatCode="0.0">
                  <c:v>54.592912596055882</c:v>
                </c:pt>
                <c:pt idx="83" formatCode="0.0">
                  <c:v>55.283962122588228</c:v>
                </c:pt>
                <c:pt idx="84" formatCode="0.0">
                  <c:v>55.975011649120582</c:v>
                </c:pt>
                <c:pt idx="85" formatCode="0.0">
                  <c:v>56.666061175652942</c:v>
                </c:pt>
                <c:pt idx="86" formatCode="0.0">
                  <c:v>57.357110702185295</c:v>
                </c:pt>
                <c:pt idx="87" formatCode="0.0">
                  <c:v>58.048160228717641</c:v>
                </c:pt>
              </c:numCache>
            </c:numRef>
          </c:xVal>
          <c:yVal>
            <c:numRef>
              <c:f>'Beam Roll-Off Tool'!$F$11:$F$99</c:f>
              <c:numCache>
                <c:formatCode>0.000000</c:formatCode>
                <c:ptCount val="89"/>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-2.2797915411429233</c:v>
                </c:pt>
                <c:pt idx="11" formatCode="0.00">
                  <c:v>-3.0127147753460362</c:v>
                </c:pt>
                <c:pt idx="12" formatCode="0.00">
                  <c:v>-3.032317630156677</c:v>
                </c:pt>
                <c:pt idx="13" formatCode="0.00">
                  <c:v>-4.000110747103232</c:v>
                </c:pt>
                <c:pt idx="14" formatCode="0.0">
                  <c:v>-4.9705178903178053</c:v>
                </c:pt>
                <c:pt idx="15" formatCode="0.0">
                  <c:v>-6.2056844440222871</c:v>
                </c:pt>
                <c:pt idx="16" formatCode="0.0">
                  <c:v>-7.6705593567520101</c:v>
                </c:pt>
                <c:pt idx="17" formatCode="0.0">
                  <c:v>-9.4313347847828624</c:v>
                </c:pt>
                <c:pt idx="18" formatCode="0.0">
                  <c:v>-11.598757848232577</c:v>
                </c:pt>
                <c:pt idx="19" formatCode="0.0">
                  <c:v>-14.379972164109764</c:v>
                </c:pt>
                <c:pt idx="20" formatCode="0.0">
                  <c:v>-18.23891302992466</c:v>
                </c:pt>
                <c:pt idx="21" formatCode="0.0">
                  <c:v>-24.653120897049984</c:v>
                </c:pt>
                <c:pt idx="22" formatCode="0.0">
                  <c:v>-328.17922283873054</c:v>
                </c:pt>
                <c:pt idx="23" formatCode="0.0">
                  <c:v>-25.619214488541079</c:v>
                </c:pt>
                <c:pt idx="24" formatCode="0.0">
                  <c:v>-20.177113290085799</c:v>
                </c:pt>
                <c:pt idx="25" formatCode="0.0">
                  <c:v>-17.302532877674523</c:v>
                </c:pt>
                <c:pt idx="26" formatCode="0.0">
                  <c:v>-15.524650751111944</c:v>
                </c:pt>
                <c:pt idx="27" formatCode="0.0">
                  <c:v>-14.387024458997985</c:v>
                </c:pt>
                <c:pt idx="28" formatCode="0.0">
                  <c:v>-13.691159270031637</c:v>
                </c:pt>
                <c:pt idx="29" formatCode="0.0">
                  <c:v>-13.336630914298537</c:v>
                </c:pt>
                <c:pt idx="30" formatCode="0.0">
                  <c:v>-13.269984849734165</c:v>
                </c:pt>
                <c:pt idx="31" formatCode="0.0">
                  <c:v>-13.464822352896261</c:v>
                </c:pt>
                <c:pt idx="32" formatCode="0.0">
                  <c:v>-13.91367851716219</c:v>
                </c:pt>
                <c:pt idx="33" formatCode="0.0">
                  <c:v>-14.625790698836909</c:v>
                </c:pt>
                <c:pt idx="34" formatCode="0.0">
                  <c:v>-15.629359530192763</c:v>
                </c:pt>
                <c:pt idx="35" formatCode="0.0">
                  <c:v>-16.979701615331578</c:v>
                </c:pt>
                <c:pt idx="36" formatCode="0.0">
                  <c:v>-18.779196701065931</c:v>
                </c:pt>
                <c:pt idx="37" formatCode="0.0">
                  <c:v>-21.228425780553884</c:v>
                </c:pt>
                <c:pt idx="38" formatCode="0.0">
                  <c:v>-24.786091717651274</c:v>
                </c:pt>
                <c:pt idx="39" formatCode="0.0">
                  <c:v>-30.925503356490015</c:v>
                </c:pt>
                <c:pt idx="40" formatCode="0.0">
                  <c:v>-328.17922283873054</c:v>
                </c:pt>
                <c:pt idx="41" formatCode="0.0">
                  <c:v>-31.408176950824426</c:v>
                </c:pt>
                <c:pt idx="42" formatCode="0.0">
                  <c:v>-25.752185309142369</c:v>
                </c:pt>
                <c:pt idx="43" formatCode="0.0">
                  <c:v>-22.679439123526123</c:v>
                </c:pt>
                <c:pt idx="44" formatCode="0.0">
                  <c:v>-20.717396961227067</c:v>
                </c:pt>
                <c:pt idx="45" formatCode="0.0">
                  <c:v>-19.40814487304084</c:v>
                </c:pt>
                <c:pt idx="46" formatCode="0.0">
                  <c:v>-18.551920243757522</c:v>
                </c:pt>
                <c:pt idx="47" formatCode="0.0">
                  <c:v>-18.047199852449516</c:v>
                </c:pt>
                <c:pt idx="48" formatCode="0.0">
                  <c:v>-17.839571420041555</c:v>
                </c:pt>
                <c:pt idx="49" formatCode="0.0">
                  <c:v>-17.90179734522339</c:v>
                </c:pt>
                <c:pt idx="50" formatCode="0.0">
                  <c:v>-18.225674523949287</c:v>
                </c:pt>
                <c:pt idx="51" formatCode="0.0">
                  <c:v>-18.819787899572134</c:v>
                </c:pt>
                <c:pt idx="52" formatCode="0.0">
                  <c:v>-19.711759183311251</c:v>
                </c:pt>
                <c:pt idx="53" formatCode="0.0">
                  <c:v>-20.956389339216408</c:v>
                </c:pt>
                <c:pt idx="54" formatCode="0.0">
                  <c:v>-22.655597221388199</c:v>
                </c:pt>
                <c:pt idx="55" formatCode="0.0">
                  <c:v>-25.009550504954873</c:v>
                </c:pt>
                <c:pt idx="56" formatCode="0.0">
                  <c:v>-28.476580249502152</c:v>
                </c:pt>
                <c:pt idx="57" formatCode="0.0">
                  <c:v>-34.529659861500278</c:v>
                </c:pt>
                <c:pt idx="58" formatCode="0.0">
                  <c:v>-328.17922283873054</c:v>
                </c:pt>
                <c:pt idx="59" formatCode="0.0">
                  <c:v>-34.851396259369409</c:v>
                </c:pt>
                <c:pt idx="60" formatCode="0.0">
                  <c:v>-29.120273916930199</c:v>
                </c:pt>
                <c:pt idx="61" formatCode="0.0">
                  <c:v>-25.975644096445979</c:v>
                </c:pt>
                <c:pt idx="62" formatCode="0.0">
                  <c:v>-23.944757005926558</c:v>
                </c:pt>
                <c:pt idx="63" formatCode="0.0">
                  <c:v>-22.56950797148901</c:v>
                </c:pt>
                <c:pt idx="64" formatCode="0.0">
                  <c:v>-21.64995944347239</c:v>
                </c:pt>
                <c:pt idx="65" formatCode="0.0">
                  <c:v>-21.084427441073128</c:v>
                </c:pt>
                <c:pt idx="66" formatCode="0.0">
                  <c:v>-20.818351680282881</c:v>
                </c:pt>
                <c:pt idx="67" formatCode="0.0">
                  <c:v>-20.82435805878815</c:v>
                </c:pt>
                <c:pt idx="68" formatCode="0.0">
                  <c:v>-21.094117369995548</c:v>
                </c:pt>
                <c:pt idx="69" formatCode="0.0">
                  <c:v>-21.636097873714895</c:v>
                </c:pt>
                <c:pt idx="70" formatCode="0.0">
                  <c:v>-23.673963792662658</c:v>
                </c:pt>
                <c:pt idx="71" formatCode="0.0">
                  <c:v>-25.326375388792549</c:v>
                </c:pt>
                <c:pt idx="72" formatCode="0.0">
                  <c:v>-27.635128797741245</c:v>
                </c:pt>
                <c:pt idx="73" formatCode="0.0">
                  <c:v>-31.058474177091306</c:v>
                </c:pt>
                <c:pt idx="74" formatCode="0.0">
                  <c:v>-37.069309443865997</c:v>
                </c:pt>
                <c:pt idx="75" formatCode="0.0">
                  <c:v>-328.17922283873054</c:v>
                </c:pt>
                <c:pt idx="76" formatCode="0.0">
                  <c:v>-37.310599671893655</c:v>
                </c:pt>
                <c:pt idx="77" formatCode="0.0">
                  <c:v>-31.541147771425713</c:v>
                </c:pt>
                <c:pt idx="78" formatCode="0.0">
                  <c:v>-28.359372250830155</c:v>
                </c:pt>
                <c:pt idx="79" formatCode="0.0">
                  <c:v>-26.292468980283637</c:v>
                </c:pt>
                <c:pt idx="80" formatCode="0.0">
                  <c:v>-24.882282242095762</c:v>
                </c:pt>
                <c:pt idx="81" formatCode="0.0">
                  <c:v>-23.928826489609122</c:v>
                </c:pt>
                <c:pt idx="82" formatCode="0.0">
                  <c:v>-23.330372566666618</c:v>
                </c:pt>
                <c:pt idx="83" formatCode="0.0">
                  <c:v>-23.032317630156676</c:v>
                </c:pt>
                <c:pt idx="84" formatCode="0.0">
                  <c:v>-23.007247447289512</c:v>
                </c:pt>
                <c:pt idx="85" formatCode="0.0">
                  <c:v>-23.246794937992135</c:v>
                </c:pt>
                <c:pt idx="86" formatCode="0.0">
                  <c:v>-23.75939258837926</c:v>
                </c:pt>
                <c:pt idx="87" formatCode="0.0">
                  <c:v>-24.572520157037154</c:v>
                </c:pt>
              </c:numCache>
            </c:numRef>
          </c:yVal>
          <c:smooth val="1"/>
          <c:extLst>
            <c:ext xmlns:c16="http://schemas.microsoft.com/office/drawing/2014/chart" uri="{C3380CC4-5D6E-409C-BE32-E72D297353CC}">
              <c16:uniqueId val="{00000000-4CB7-4177-8914-A4018F33F773}"/>
            </c:ext>
          </c:extLst>
        </c:ser>
        <c:dLbls>
          <c:showLegendKey val="0"/>
          <c:showVal val="0"/>
          <c:showCatName val="0"/>
          <c:showSerName val="0"/>
          <c:showPercent val="0"/>
          <c:showBubbleSize val="0"/>
        </c:dLbls>
        <c:axId val="426228536"/>
        <c:axId val="1"/>
      </c:scatterChart>
      <c:valAx>
        <c:axId val="426228536"/>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3410869514"/>
              <c:y val="0.88627615665688841"/>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55861365953E-2"/>
              <c:y val="0.2764712058051567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426228536"/>
        <c:crosses val="autoZero"/>
        <c:crossBetween val="midCat"/>
        <c:majorUnit val="5"/>
        <c:minorUnit val="1"/>
      </c:valAx>
      <c:spPr>
        <a:solidFill>
          <a:srgbClr val="FFCC99"/>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7.png"/></Relationships>
</file>

<file path=xl/drawings/_rels/drawing1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wmf"/></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24</xdr:row>
      <xdr:rowOff>0</xdr:rowOff>
    </xdr:from>
    <xdr:to>
      <xdr:col>0</xdr:col>
      <xdr:colOff>180975</xdr:colOff>
      <xdr:row>25</xdr:row>
      <xdr:rowOff>38100</xdr:rowOff>
    </xdr:to>
    <xdr:sp macro="" textlink="">
      <xdr:nvSpPr>
        <xdr:cNvPr id="1488" name="Text Box 1">
          <a:extLst>
            <a:ext uri="{FF2B5EF4-FFF2-40B4-BE49-F238E27FC236}">
              <a16:creationId xmlns:a16="http://schemas.microsoft.com/office/drawing/2014/main" id="{20D93FF8-572B-411F-8BDF-534BA79A3B1B}"/>
            </a:ext>
          </a:extLst>
        </xdr:cNvPr>
        <xdr:cNvSpPr txBox="1">
          <a:spLocks noChangeArrowheads="1"/>
        </xdr:cNvSpPr>
      </xdr:nvSpPr>
      <xdr:spPr bwMode="auto">
        <a:xfrm>
          <a:off x="104775" y="41814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0</xdr:col>
      <xdr:colOff>152400</xdr:colOff>
      <xdr:row>20</xdr:row>
      <xdr:rowOff>76200</xdr:rowOff>
    </xdr:from>
    <xdr:to>
      <xdr:col>0</xdr:col>
      <xdr:colOff>228600</xdr:colOff>
      <xdr:row>21</xdr:row>
      <xdr:rowOff>114300</xdr:rowOff>
    </xdr:to>
    <xdr:sp macro="" textlink="">
      <xdr:nvSpPr>
        <xdr:cNvPr id="1489" name="Text Box 4">
          <a:extLst>
            <a:ext uri="{FF2B5EF4-FFF2-40B4-BE49-F238E27FC236}">
              <a16:creationId xmlns:a16="http://schemas.microsoft.com/office/drawing/2014/main" id="{714FA633-B297-4701-86D8-527239BD6F36}"/>
            </a:ext>
          </a:extLst>
        </xdr:cNvPr>
        <xdr:cNvSpPr txBox="1">
          <a:spLocks noChangeArrowheads="1"/>
        </xdr:cNvSpPr>
      </xdr:nvSpPr>
      <xdr:spPr bwMode="auto">
        <a:xfrm>
          <a:off x="152400" y="36099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3</xdr:col>
      <xdr:colOff>9525</xdr:colOff>
      <xdr:row>5</xdr:row>
      <xdr:rowOff>0</xdr:rowOff>
    </xdr:from>
    <xdr:to>
      <xdr:col>16</xdr:col>
      <xdr:colOff>333375</xdr:colOff>
      <xdr:row>28</xdr:row>
      <xdr:rowOff>0</xdr:rowOff>
    </xdr:to>
    <xdr:graphicFrame macro="">
      <xdr:nvGraphicFramePr>
        <xdr:cNvPr id="1490" name="Chart 9">
          <a:extLst>
            <a:ext uri="{FF2B5EF4-FFF2-40B4-BE49-F238E27FC236}">
              <a16:creationId xmlns:a16="http://schemas.microsoft.com/office/drawing/2014/main" id="{A68B7C7E-E527-438D-9989-EEF118FBC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485775</xdr:colOff>
      <xdr:row>8</xdr:row>
      <xdr:rowOff>47625</xdr:rowOff>
    </xdr:from>
    <xdr:to>
      <xdr:col>9</xdr:col>
      <xdr:colOff>485775</xdr:colOff>
      <xdr:row>18</xdr:row>
      <xdr:rowOff>104775</xdr:rowOff>
    </xdr:to>
    <xdr:sp macro="" textlink="">
      <xdr:nvSpPr>
        <xdr:cNvPr id="1491" name="Line 11">
          <a:extLst>
            <a:ext uri="{FF2B5EF4-FFF2-40B4-BE49-F238E27FC236}">
              <a16:creationId xmlns:a16="http://schemas.microsoft.com/office/drawing/2014/main" id="{5CDFA693-B874-45D3-8878-562F01768203}"/>
            </a:ext>
          </a:extLst>
        </xdr:cNvPr>
        <xdr:cNvSpPr>
          <a:spLocks noChangeShapeType="1"/>
        </xdr:cNvSpPr>
      </xdr:nvSpPr>
      <xdr:spPr bwMode="auto">
        <a:xfrm flipH="1">
          <a:off x="7543800" y="1638300"/>
          <a:ext cx="0" cy="167640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485775</xdr:colOff>
      <xdr:row>6</xdr:row>
      <xdr:rowOff>9525</xdr:rowOff>
    </xdr:from>
    <xdr:to>
      <xdr:col>9</xdr:col>
      <xdr:colOff>485775</xdr:colOff>
      <xdr:row>26</xdr:row>
      <xdr:rowOff>114300</xdr:rowOff>
    </xdr:to>
    <xdr:sp macro="" textlink="">
      <xdr:nvSpPr>
        <xdr:cNvPr id="1492" name="Line 12">
          <a:extLst>
            <a:ext uri="{FF2B5EF4-FFF2-40B4-BE49-F238E27FC236}">
              <a16:creationId xmlns:a16="http://schemas.microsoft.com/office/drawing/2014/main" id="{82C4E285-8DC6-4190-B740-553CFB98EE48}"/>
            </a:ext>
          </a:extLst>
        </xdr:cNvPr>
        <xdr:cNvSpPr>
          <a:spLocks noChangeShapeType="1"/>
        </xdr:cNvSpPr>
      </xdr:nvSpPr>
      <xdr:spPr bwMode="auto">
        <a:xfrm>
          <a:off x="7543800" y="1276350"/>
          <a:ext cx="0" cy="3352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219075</xdr:colOff>
      <xdr:row>7</xdr:row>
      <xdr:rowOff>76200</xdr:rowOff>
    </xdr:from>
    <xdr:to>
      <xdr:col>9</xdr:col>
      <xdr:colOff>457200</xdr:colOff>
      <xdr:row>23</xdr:row>
      <xdr:rowOff>19050</xdr:rowOff>
    </xdr:to>
    <xdr:sp macro="" textlink="">
      <xdr:nvSpPr>
        <xdr:cNvPr id="1493" name="Line 15">
          <a:extLst>
            <a:ext uri="{FF2B5EF4-FFF2-40B4-BE49-F238E27FC236}">
              <a16:creationId xmlns:a16="http://schemas.microsoft.com/office/drawing/2014/main" id="{81BC1211-50CA-4307-B575-ED12575F1104}"/>
            </a:ext>
          </a:extLst>
        </xdr:cNvPr>
        <xdr:cNvSpPr>
          <a:spLocks noChangeShapeType="1"/>
        </xdr:cNvSpPr>
      </xdr:nvSpPr>
      <xdr:spPr bwMode="auto">
        <a:xfrm flipV="1">
          <a:off x="3609975" y="1504950"/>
          <a:ext cx="3905250" cy="2533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219075</xdr:colOff>
      <xdr:row>17</xdr:row>
      <xdr:rowOff>66675</xdr:rowOff>
    </xdr:from>
    <xdr:to>
      <xdr:col>7</xdr:col>
      <xdr:colOff>123825</xdr:colOff>
      <xdr:row>23</xdr:row>
      <xdr:rowOff>19050</xdr:rowOff>
    </xdr:to>
    <xdr:sp macro="" textlink="">
      <xdr:nvSpPr>
        <xdr:cNvPr id="1494" name="Line 16">
          <a:extLst>
            <a:ext uri="{FF2B5EF4-FFF2-40B4-BE49-F238E27FC236}">
              <a16:creationId xmlns:a16="http://schemas.microsoft.com/office/drawing/2014/main" id="{46E9FF05-F4EA-4D89-A94D-9CC915B0C1F3}"/>
            </a:ext>
          </a:extLst>
        </xdr:cNvPr>
        <xdr:cNvSpPr>
          <a:spLocks noChangeShapeType="1"/>
        </xdr:cNvSpPr>
      </xdr:nvSpPr>
      <xdr:spPr bwMode="auto">
        <a:xfrm flipV="1">
          <a:off x="3609975" y="3114675"/>
          <a:ext cx="2352675" cy="9239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352425</xdr:colOff>
      <xdr:row>7</xdr:row>
      <xdr:rowOff>57150</xdr:rowOff>
    </xdr:from>
    <xdr:to>
      <xdr:col>9</xdr:col>
      <xdr:colOff>485775</xdr:colOff>
      <xdr:row>7</xdr:row>
      <xdr:rowOff>57150</xdr:rowOff>
    </xdr:to>
    <xdr:sp macro="" textlink="">
      <xdr:nvSpPr>
        <xdr:cNvPr id="1495" name="Line 17">
          <a:extLst>
            <a:ext uri="{FF2B5EF4-FFF2-40B4-BE49-F238E27FC236}">
              <a16:creationId xmlns:a16="http://schemas.microsoft.com/office/drawing/2014/main" id="{144DBC64-8F2A-42F1-8E81-91A084CA70EF}"/>
            </a:ext>
          </a:extLst>
        </xdr:cNvPr>
        <xdr:cNvSpPr>
          <a:spLocks noChangeShapeType="1"/>
        </xdr:cNvSpPr>
      </xdr:nvSpPr>
      <xdr:spPr bwMode="auto">
        <a:xfrm flipH="1" flipV="1">
          <a:off x="6800850" y="1485900"/>
          <a:ext cx="7429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219075</xdr:colOff>
      <xdr:row>23</xdr:row>
      <xdr:rowOff>66675</xdr:rowOff>
    </xdr:from>
    <xdr:to>
      <xdr:col>3</xdr:col>
      <xdr:colOff>476250</xdr:colOff>
      <xdr:row>27</xdr:row>
      <xdr:rowOff>47625</xdr:rowOff>
    </xdr:to>
    <xdr:sp macro="" textlink="">
      <xdr:nvSpPr>
        <xdr:cNvPr id="1496" name="Line 18">
          <a:extLst>
            <a:ext uri="{FF2B5EF4-FFF2-40B4-BE49-F238E27FC236}">
              <a16:creationId xmlns:a16="http://schemas.microsoft.com/office/drawing/2014/main" id="{8DEFF80B-0EE9-4D44-9C65-BC98EB3C8C59}"/>
            </a:ext>
          </a:extLst>
        </xdr:cNvPr>
        <xdr:cNvSpPr>
          <a:spLocks noChangeShapeType="1"/>
        </xdr:cNvSpPr>
      </xdr:nvSpPr>
      <xdr:spPr bwMode="auto">
        <a:xfrm>
          <a:off x="3609975" y="4086225"/>
          <a:ext cx="257175" cy="6477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247650</xdr:colOff>
      <xdr:row>22</xdr:row>
      <xdr:rowOff>123825</xdr:rowOff>
    </xdr:from>
    <xdr:to>
      <xdr:col>3</xdr:col>
      <xdr:colOff>466725</xdr:colOff>
      <xdr:row>24</xdr:row>
      <xdr:rowOff>19050</xdr:rowOff>
    </xdr:to>
    <xdr:sp macro="" textlink="">
      <xdr:nvSpPr>
        <xdr:cNvPr id="1497" name="Rectangle 19">
          <a:extLst>
            <a:ext uri="{FF2B5EF4-FFF2-40B4-BE49-F238E27FC236}">
              <a16:creationId xmlns:a16="http://schemas.microsoft.com/office/drawing/2014/main" id="{488EEB13-84EC-41DF-8494-FB5A01761E57}"/>
            </a:ext>
          </a:extLst>
        </xdr:cNvPr>
        <xdr:cNvSpPr>
          <a:spLocks noChangeArrowheads="1"/>
        </xdr:cNvSpPr>
      </xdr:nvSpPr>
      <xdr:spPr bwMode="auto">
        <a:xfrm rot="-1073483">
          <a:off x="3638550" y="3981450"/>
          <a:ext cx="219075" cy="219075"/>
        </a:xfrm>
        <a:prstGeom prst="rect">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xdr:col>
      <xdr:colOff>190500</xdr:colOff>
      <xdr:row>22</xdr:row>
      <xdr:rowOff>142875</xdr:rowOff>
    </xdr:from>
    <xdr:to>
      <xdr:col>3</xdr:col>
      <xdr:colOff>266700</xdr:colOff>
      <xdr:row>23</xdr:row>
      <xdr:rowOff>57150</xdr:rowOff>
    </xdr:to>
    <xdr:sp macro="" textlink="">
      <xdr:nvSpPr>
        <xdr:cNvPr id="1498" name="Oval 13">
          <a:extLst>
            <a:ext uri="{FF2B5EF4-FFF2-40B4-BE49-F238E27FC236}">
              <a16:creationId xmlns:a16="http://schemas.microsoft.com/office/drawing/2014/main" id="{AF0E04F0-8FC6-468D-A30B-528CA18F3480}"/>
            </a:ext>
          </a:extLst>
        </xdr:cNvPr>
        <xdr:cNvSpPr>
          <a:spLocks noChangeArrowheads="1"/>
        </xdr:cNvSpPr>
      </xdr:nvSpPr>
      <xdr:spPr bwMode="auto">
        <a:xfrm>
          <a:off x="3581400" y="4000500"/>
          <a:ext cx="76200" cy="76200"/>
        </a:xfrm>
        <a:prstGeom prst="ellipse">
          <a:avLst/>
        </a:prstGeom>
        <a:solidFill>
          <a:srgbClr xmlns:mc="http://schemas.openxmlformats.org/markup-compatibility/2006" xmlns:a14="http://schemas.microsoft.com/office/drawing/2010/main" val="FF9900" mc:Ignorable="a14" a14:legacySpreadsheetColorIndex="52"/>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9</xdr:col>
      <xdr:colOff>457200</xdr:colOff>
      <xdr:row>7</xdr:row>
      <xdr:rowOff>9525</xdr:rowOff>
    </xdr:from>
    <xdr:to>
      <xdr:col>9</xdr:col>
      <xdr:colOff>533400</xdr:colOff>
      <xdr:row>7</xdr:row>
      <xdr:rowOff>95250</xdr:rowOff>
    </xdr:to>
    <xdr:sp macro="" textlink="">
      <xdr:nvSpPr>
        <xdr:cNvPr id="1499" name="Oval 10">
          <a:extLst>
            <a:ext uri="{FF2B5EF4-FFF2-40B4-BE49-F238E27FC236}">
              <a16:creationId xmlns:a16="http://schemas.microsoft.com/office/drawing/2014/main" id="{4F74587D-35C4-439A-AFC8-7282753D6040}"/>
            </a:ext>
          </a:extLst>
        </xdr:cNvPr>
        <xdr:cNvSpPr>
          <a:spLocks noChangeArrowheads="1"/>
        </xdr:cNvSpPr>
      </xdr:nvSpPr>
      <xdr:spPr bwMode="auto">
        <a:xfrm>
          <a:off x="7515225" y="1438275"/>
          <a:ext cx="76200" cy="85725"/>
        </a:xfrm>
        <a:prstGeom prst="ellipse">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5</xdr:col>
      <xdr:colOff>485775</xdr:colOff>
      <xdr:row>25</xdr:row>
      <xdr:rowOff>76200</xdr:rowOff>
    </xdr:from>
    <xdr:ext cx="1073371" cy="170560"/>
    <xdr:sp macro="" textlink="">
      <xdr:nvSpPr>
        <xdr:cNvPr id="1044" name="Text Box 20">
          <a:extLst>
            <a:ext uri="{FF2B5EF4-FFF2-40B4-BE49-F238E27FC236}">
              <a16:creationId xmlns:a16="http://schemas.microsoft.com/office/drawing/2014/main" id="{5C5C560D-1991-4FFA-B2BA-984A558467FC}"/>
            </a:ext>
          </a:extLst>
        </xdr:cNvPr>
        <xdr:cNvSpPr txBox="1">
          <a:spLocks noChangeArrowheads="1"/>
        </xdr:cNvSpPr>
      </xdr:nvSpPr>
      <xdr:spPr bwMode="auto">
        <a:xfrm>
          <a:off x="5105400" y="4419600"/>
          <a:ext cx="107337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To Center of Earth</a:t>
          </a:r>
        </a:p>
      </xdr:txBody>
    </xdr:sp>
    <xdr:clientData/>
  </xdr:oneCellAnchor>
  <xdr:twoCellAnchor>
    <xdr:from>
      <xdr:col>3</xdr:col>
      <xdr:colOff>542925</xdr:colOff>
      <xdr:row>26</xdr:row>
      <xdr:rowOff>9525</xdr:rowOff>
    </xdr:from>
    <xdr:to>
      <xdr:col>5</xdr:col>
      <xdr:colOff>409575</xdr:colOff>
      <xdr:row>26</xdr:row>
      <xdr:rowOff>152400</xdr:rowOff>
    </xdr:to>
    <xdr:sp macro="" textlink="">
      <xdr:nvSpPr>
        <xdr:cNvPr id="1501" name="Line 21">
          <a:extLst>
            <a:ext uri="{FF2B5EF4-FFF2-40B4-BE49-F238E27FC236}">
              <a16:creationId xmlns:a16="http://schemas.microsoft.com/office/drawing/2014/main" id="{64A8D5D2-3AC6-4122-9118-ACABFBA82C2D}"/>
            </a:ext>
          </a:extLst>
        </xdr:cNvPr>
        <xdr:cNvSpPr>
          <a:spLocks noChangeShapeType="1"/>
        </xdr:cNvSpPr>
      </xdr:nvSpPr>
      <xdr:spPr bwMode="auto">
        <a:xfrm flipH="1">
          <a:off x="3933825" y="4524375"/>
          <a:ext cx="1095375" cy="142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333375</xdr:colOff>
      <xdr:row>26</xdr:row>
      <xdr:rowOff>9525</xdr:rowOff>
    </xdr:from>
    <xdr:to>
      <xdr:col>9</xdr:col>
      <xdr:colOff>314325</xdr:colOff>
      <xdr:row>26</xdr:row>
      <xdr:rowOff>66675</xdr:rowOff>
    </xdr:to>
    <xdr:sp macro="" textlink="">
      <xdr:nvSpPr>
        <xdr:cNvPr id="1502" name="Line 22">
          <a:extLst>
            <a:ext uri="{FF2B5EF4-FFF2-40B4-BE49-F238E27FC236}">
              <a16:creationId xmlns:a16="http://schemas.microsoft.com/office/drawing/2014/main" id="{6D13D364-A758-40B0-BA95-C450B21047F3}"/>
            </a:ext>
          </a:extLst>
        </xdr:cNvPr>
        <xdr:cNvSpPr>
          <a:spLocks noChangeShapeType="1"/>
        </xdr:cNvSpPr>
      </xdr:nvSpPr>
      <xdr:spPr bwMode="auto">
        <a:xfrm>
          <a:off x="6172200" y="4524375"/>
          <a:ext cx="1200150" cy="57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38100</xdr:colOff>
      <xdr:row>6</xdr:row>
      <xdr:rowOff>66675</xdr:rowOff>
    </xdr:from>
    <xdr:ext cx="631455" cy="170560"/>
    <xdr:sp macro="" textlink="">
      <xdr:nvSpPr>
        <xdr:cNvPr id="1047" name="Text Box 23">
          <a:extLst>
            <a:ext uri="{FF2B5EF4-FFF2-40B4-BE49-F238E27FC236}">
              <a16:creationId xmlns:a16="http://schemas.microsoft.com/office/drawing/2014/main" id="{42D1591A-5F39-4C4A-8025-A6DEA0B9C56E}"/>
            </a:ext>
          </a:extLst>
        </xdr:cNvPr>
        <xdr:cNvSpPr txBox="1">
          <a:spLocks noChangeArrowheads="1"/>
        </xdr:cNvSpPr>
      </xdr:nvSpPr>
      <xdr:spPr bwMode="auto">
        <a:xfrm>
          <a:off x="7705725" y="1333500"/>
          <a:ext cx="63145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Spacecraft</a:t>
          </a:r>
        </a:p>
      </xdr:txBody>
    </xdr:sp>
    <xdr:clientData/>
  </xdr:oneCellAnchor>
  <xdr:oneCellAnchor>
    <xdr:from>
      <xdr:col>7</xdr:col>
      <xdr:colOff>581025</xdr:colOff>
      <xdr:row>5</xdr:row>
      <xdr:rowOff>200025</xdr:rowOff>
    </xdr:from>
    <xdr:ext cx="780983" cy="170560"/>
    <xdr:sp macro="" textlink="">
      <xdr:nvSpPr>
        <xdr:cNvPr id="1048" name="Text Box 24">
          <a:extLst>
            <a:ext uri="{FF2B5EF4-FFF2-40B4-BE49-F238E27FC236}">
              <a16:creationId xmlns:a16="http://schemas.microsoft.com/office/drawing/2014/main" id="{81E08AC0-5985-4E25-B7EF-CA54A96EC86A}"/>
            </a:ext>
          </a:extLst>
        </xdr:cNvPr>
        <xdr:cNvSpPr txBox="1">
          <a:spLocks noChangeArrowheads="1"/>
        </xdr:cNvSpPr>
      </xdr:nvSpPr>
      <xdr:spPr bwMode="auto">
        <a:xfrm>
          <a:off x="6419850" y="1238250"/>
          <a:ext cx="780983"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Orbit Velocity</a:t>
          </a:r>
        </a:p>
      </xdr:txBody>
    </xdr:sp>
    <xdr:clientData/>
  </xdr:oneCellAnchor>
  <xdr:oneCellAnchor>
    <xdr:from>
      <xdr:col>9</xdr:col>
      <xdr:colOff>504825</xdr:colOff>
      <xdr:row>20</xdr:row>
      <xdr:rowOff>142875</xdr:rowOff>
    </xdr:from>
    <xdr:ext cx="1069908" cy="170560"/>
    <xdr:sp macro="" textlink="">
      <xdr:nvSpPr>
        <xdr:cNvPr id="1049" name="Text Box 25">
          <a:extLst>
            <a:ext uri="{FF2B5EF4-FFF2-40B4-BE49-F238E27FC236}">
              <a16:creationId xmlns:a16="http://schemas.microsoft.com/office/drawing/2014/main" id="{A0573E34-8502-4DD1-A933-67C74B896546}"/>
            </a:ext>
          </a:extLst>
        </xdr:cNvPr>
        <xdr:cNvSpPr txBox="1">
          <a:spLocks noChangeArrowheads="1"/>
        </xdr:cNvSpPr>
      </xdr:nvSpPr>
      <xdr:spPr bwMode="auto">
        <a:xfrm>
          <a:off x="7562850" y="3676650"/>
          <a:ext cx="106990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Re</a:t>
          </a:r>
          <a:r>
            <a:rPr lang="en-US" sz="1000" b="0" i="0" u="none" strike="noStrike" baseline="0">
              <a:solidFill>
                <a:srgbClr val="000000"/>
              </a:solidFill>
              <a:latin typeface="Arial"/>
              <a:cs typeface="Arial"/>
            </a:rPr>
            <a:t> = 6378.136 km</a:t>
          </a:r>
        </a:p>
      </xdr:txBody>
    </xdr:sp>
    <xdr:clientData/>
  </xdr:oneCellAnchor>
  <xdr:oneCellAnchor>
    <xdr:from>
      <xdr:col>9</xdr:col>
      <xdr:colOff>533400</xdr:colOff>
      <xdr:row>12</xdr:row>
      <xdr:rowOff>38100</xdr:rowOff>
    </xdr:from>
    <xdr:ext cx="1789849" cy="170560"/>
    <xdr:sp macro="" textlink="">
      <xdr:nvSpPr>
        <xdr:cNvPr id="1050" name="Text Box 26">
          <a:extLst>
            <a:ext uri="{FF2B5EF4-FFF2-40B4-BE49-F238E27FC236}">
              <a16:creationId xmlns:a16="http://schemas.microsoft.com/office/drawing/2014/main" id="{62155C8D-7E43-4EE3-AC6D-D1B427173303}"/>
            </a:ext>
          </a:extLst>
        </xdr:cNvPr>
        <xdr:cNvSpPr txBox="1">
          <a:spLocks noChangeArrowheads="1"/>
        </xdr:cNvSpPr>
      </xdr:nvSpPr>
      <xdr:spPr bwMode="auto">
        <a:xfrm>
          <a:off x="7591425" y="2276475"/>
          <a:ext cx="1789849"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h = </a:t>
          </a:r>
          <a:r>
            <a:rPr lang="en-US" sz="1000" b="0" i="0" u="none" strike="noStrike" baseline="0">
              <a:solidFill>
                <a:srgbClr val="000000"/>
              </a:solidFill>
              <a:latin typeface="Arial"/>
              <a:cs typeface="Arial"/>
            </a:rPr>
            <a:t>mean height above surface</a:t>
          </a:r>
        </a:p>
      </xdr:txBody>
    </xdr:sp>
    <xdr:clientData/>
  </xdr:oneCellAnchor>
  <xdr:oneCellAnchor>
    <xdr:from>
      <xdr:col>7</xdr:col>
      <xdr:colOff>66675</xdr:colOff>
      <xdr:row>15</xdr:row>
      <xdr:rowOff>76200</xdr:rowOff>
    </xdr:from>
    <xdr:ext cx="1111010" cy="180178"/>
    <xdr:sp macro="" textlink="">
      <xdr:nvSpPr>
        <xdr:cNvPr id="1051" name="Text Box 27">
          <a:extLst>
            <a:ext uri="{FF2B5EF4-FFF2-40B4-BE49-F238E27FC236}">
              <a16:creationId xmlns:a16="http://schemas.microsoft.com/office/drawing/2014/main" id="{F4F9F54D-5FFE-4042-8A72-3F1526A1FC96}"/>
            </a:ext>
          </a:extLst>
        </xdr:cNvPr>
        <xdr:cNvSpPr txBox="1">
          <a:spLocks noChangeArrowheads="1"/>
        </xdr:cNvSpPr>
      </xdr:nvSpPr>
      <xdr:spPr bwMode="auto">
        <a:xfrm>
          <a:off x="5905500" y="2800350"/>
          <a:ext cx="1111010" cy="18017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Symbol"/>
            </a:rPr>
            <a:t>d</a:t>
          </a:r>
          <a:r>
            <a:rPr lang="en-US" sz="1000" b="0" i="0" u="none" strike="noStrike" baseline="0">
              <a:solidFill>
                <a:srgbClr val="000000"/>
              </a:solidFill>
              <a:latin typeface="Symbol"/>
            </a:rPr>
            <a:t>  = </a:t>
          </a:r>
          <a:r>
            <a:rPr lang="en-US" sz="1000" b="0" i="0" u="none" strike="noStrike" baseline="0">
              <a:solidFill>
                <a:srgbClr val="000000"/>
              </a:solidFill>
              <a:latin typeface="Arial"/>
              <a:cs typeface="Arial"/>
            </a:rPr>
            <a:t>elevation angle</a:t>
          </a:r>
        </a:p>
      </xdr:txBody>
    </xdr:sp>
    <xdr:clientData/>
  </xdr:oneCellAnchor>
  <xdr:twoCellAnchor>
    <xdr:from>
      <xdr:col>6</xdr:col>
      <xdr:colOff>419100</xdr:colOff>
      <xdr:row>15</xdr:row>
      <xdr:rowOff>114300</xdr:rowOff>
    </xdr:from>
    <xdr:to>
      <xdr:col>6</xdr:col>
      <xdr:colOff>533400</xdr:colOff>
      <xdr:row>18</xdr:row>
      <xdr:rowOff>19050</xdr:rowOff>
    </xdr:to>
    <xdr:sp macro="" textlink="">
      <xdr:nvSpPr>
        <xdr:cNvPr id="1508" name="AutoShape 28">
          <a:extLst>
            <a:ext uri="{FF2B5EF4-FFF2-40B4-BE49-F238E27FC236}">
              <a16:creationId xmlns:a16="http://schemas.microsoft.com/office/drawing/2014/main" id="{78A41EC0-86C6-4B11-AD29-87FCA236C91E}"/>
            </a:ext>
          </a:extLst>
        </xdr:cNvPr>
        <xdr:cNvSpPr>
          <a:spLocks noChangeArrowheads="1"/>
        </xdr:cNvSpPr>
      </xdr:nvSpPr>
      <xdr:spPr bwMode="auto">
        <a:xfrm rot="4599354">
          <a:off x="5510212" y="2976563"/>
          <a:ext cx="390525" cy="114300"/>
        </a:xfrm>
        <a:prstGeom prst="curvedDownArrow">
          <a:avLst>
            <a:gd name="adj1" fmla="val 4049"/>
            <a:gd name="adj2" fmla="val 116135"/>
            <a:gd name="adj3" fmla="val 85426"/>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3</xdr:col>
      <xdr:colOff>447675</xdr:colOff>
      <xdr:row>21</xdr:row>
      <xdr:rowOff>114300</xdr:rowOff>
    </xdr:from>
    <xdr:to>
      <xdr:col>5</xdr:col>
      <xdr:colOff>19050</xdr:colOff>
      <xdr:row>24</xdr:row>
      <xdr:rowOff>0</xdr:rowOff>
    </xdr:to>
    <xdr:sp macro="" textlink="">
      <xdr:nvSpPr>
        <xdr:cNvPr id="1053" name="Text Box 29">
          <a:extLst>
            <a:ext uri="{FF2B5EF4-FFF2-40B4-BE49-F238E27FC236}">
              <a16:creationId xmlns:a16="http://schemas.microsoft.com/office/drawing/2014/main" id="{BCF26DCD-60BB-4E48-8321-0CB992591158}"/>
            </a:ext>
          </a:extLst>
        </xdr:cNvPr>
        <xdr:cNvSpPr txBox="1">
          <a:spLocks noChangeArrowheads="1"/>
        </xdr:cNvSpPr>
      </xdr:nvSpPr>
      <xdr:spPr bwMode="auto">
        <a:xfrm>
          <a:off x="3838575" y="3810000"/>
          <a:ext cx="800100" cy="3714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Earth Station</a:t>
          </a:r>
        </a:p>
      </xdr:txBody>
    </xdr:sp>
    <xdr:clientData/>
  </xdr:twoCellAnchor>
  <xdr:oneCellAnchor>
    <xdr:from>
      <xdr:col>5</xdr:col>
      <xdr:colOff>304800</xdr:colOff>
      <xdr:row>12</xdr:row>
      <xdr:rowOff>133350</xdr:rowOff>
    </xdr:from>
    <xdr:ext cx="955903" cy="170560"/>
    <xdr:sp macro="" textlink="">
      <xdr:nvSpPr>
        <xdr:cNvPr id="1054" name="Text Box 30">
          <a:extLst>
            <a:ext uri="{FF2B5EF4-FFF2-40B4-BE49-F238E27FC236}">
              <a16:creationId xmlns:a16="http://schemas.microsoft.com/office/drawing/2014/main" id="{C793EF4B-0808-40B2-8CB8-72F564146C52}"/>
            </a:ext>
          </a:extLst>
        </xdr:cNvPr>
        <xdr:cNvSpPr txBox="1">
          <a:spLocks noChangeArrowheads="1"/>
        </xdr:cNvSpPr>
      </xdr:nvSpPr>
      <xdr:spPr bwMode="auto">
        <a:xfrm>
          <a:off x="4924425" y="2371725"/>
          <a:ext cx="955903"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S </a:t>
          </a:r>
          <a:r>
            <a:rPr lang="en-US" sz="1000" b="0" i="0" u="none" strike="noStrike" baseline="0">
              <a:solidFill>
                <a:srgbClr val="000000"/>
              </a:solidFill>
              <a:latin typeface="Arial"/>
              <a:cs typeface="Arial"/>
            </a:rPr>
            <a:t>= Slant Range</a:t>
          </a:r>
        </a:p>
      </xdr:txBody>
    </xdr:sp>
    <xdr:clientData/>
  </xdr:oneCellAnchor>
  <xdr:oneCellAnchor>
    <xdr:from>
      <xdr:col>10</xdr:col>
      <xdr:colOff>38100</xdr:colOff>
      <xdr:row>17</xdr:row>
      <xdr:rowOff>0</xdr:rowOff>
    </xdr:from>
    <xdr:ext cx="533400" cy="180975"/>
    <xdr:sp macro="" textlink="">
      <xdr:nvSpPr>
        <xdr:cNvPr id="1055" name="Text Box 31">
          <a:extLst>
            <a:ext uri="{FF2B5EF4-FFF2-40B4-BE49-F238E27FC236}">
              <a16:creationId xmlns:a16="http://schemas.microsoft.com/office/drawing/2014/main" id="{0FA01DAC-5D91-4DAB-831C-1F2952EFAFFA}"/>
            </a:ext>
          </a:extLst>
        </xdr:cNvPr>
        <xdr:cNvSpPr txBox="1">
          <a:spLocks noChangeArrowheads="1"/>
        </xdr:cNvSpPr>
      </xdr:nvSpPr>
      <xdr:spPr bwMode="auto">
        <a:xfrm>
          <a:off x="7705725" y="3048000"/>
          <a:ext cx="59055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r = h+Re</a:t>
          </a:r>
        </a:p>
      </xdr:txBody>
    </xdr:sp>
    <xdr:clientData/>
  </xdr:oneCellAnchor>
  <xdr:oneCellAnchor>
    <xdr:from>
      <xdr:col>11</xdr:col>
      <xdr:colOff>419100</xdr:colOff>
      <xdr:row>23</xdr:row>
      <xdr:rowOff>123825</xdr:rowOff>
    </xdr:from>
    <xdr:ext cx="2466573" cy="180178"/>
    <xdr:sp macro="" textlink="">
      <xdr:nvSpPr>
        <xdr:cNvPr id="1056" name="Text Box 32">
          <a:extLst>
            <a:ext uri="{FF2B5EF4-FFF2-40B4-BE49-F238E27FC236}">
              <a16:creationId xmlns:a16="http://schemas.microsoft.com/office/drawing/2014/main" id="{DA9F23E2-0B84-4BC2-A982-BC3666E7ECEF}"/>
            </a:ext>
          </a:extLst>
        </xdr:cNvPr>
        <xdr:cNvSpPr txBox="1">
          <a:spLocks noChangeArrowheads="1"/>
        </xdr:cNvSpPr>
      </xdr:nvSpPr>
      <xdr:spPr bwMode="auto">
        <a:xfrm>
          <a:off x="8696325" y="4143375"/>
          <a:ext cx="2466573" cy="18017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S = Re[{r^2/Re^2 - cos^2(</a:t>
          </a:r>
          <a:r>
            <a:rPr lang="en-US" sz="1000" b="1" i="0" u="none" strike="noStrike" baseline="0">
              <a:solidFill>
                <a:srgbClr val="000000"/>
              </a:solidFill>
              <a:latin typeface="Symbol"/>
              <a:cs typeface="Arial"/>
            </a:rPr>
            <a:t>d)}</a:t>
          </a:r>
          <a:r>
            <a:rPr lang="en-US" sz="1000" b="1" i="0" u="none" strike="noStrike" baseline="0">
              <a:solidFill>
                <a:srgbClr val="000000"/>
              </a:solidFill>
              <a:latin typeface="Arial"/>
              <a:cs typeface="Arial"/>
            </a:rPr>
            <a:t>^1/2 - sin </a:t>
          </a:r>
          <a:r>
            <a:rPr lang="en-US" sz="1000" b="1" i="0" u="none" strike="noStrike" baseline="0">
              <a:solidFill>
                <a:srgbClr val="000000"/>
              </a:solidFill>
              <a:latin typeface="Symbol"/>
              <a:cs typeface="Arial"/>
            </a:rPr>
            <a:t>d ]</a:t>
          </a:r>
          <a:endParaRPr lang="en-US" sz="1000" b="1" i="0" u="none" strike="noStrike" baseline="0">
            <a:solidFill>
              <a:srgbClr val="000000"/>
            </a:solidFill>
            <a:latin typeface="Symbol"/>
          </a:endParaRPr>
        </a:p>
      </xdr:txBody>
    </xdr:sp>
    <xdr:clientData/>
  </xdr:oneCellAnchor>
  <xdr:twoCellAnchor>
    <xdr:from>
      <xdr:col>0</xdr:col>
      <xdr:colOff>1476375</xdr:colOff>
      <xdr:row>33</xdr:row>
      <xdr:rowOff>104775</xdr:rowOff>
    </xdr:from>
    <xdr:to>
      <xdr:col>1</xdr:col>
      <xdr:colOff>361950</xdr:colOff>
      <xdr:row>33</xdr:row>
      <xdr:rowOff>104775</xdr:rowOff>
    </xdr:to>
    <xdr:sp macro="" textlink="">
      <xdr:nvSpPr>
        <xdr:cNvPr id="1513" name="Line 36">
          <a:extLst>
            <a:ext uri="{FF2B5EF4-FFF2-40B4-BE49-F238E27FC236}">
              <a16:creationId xmlns:a16="http://schemas.microsoft.com/office/drawing/2014/main" id="{873DF283-0F36-4211-8EFC-AB0162080CC1}"/>
            </a:ext>
          </a:extLst>
        </xdr:cNvPr>
        <xdr:cNvSpPr>
          <a:spLocks noChangeShapeType="1"/>
        </xdr:cNvSpPr>
      </xdr:nvSpPr>
      <xdr:spPr bwMode="auto">
        <a:xfrm>
          <a:off x="1476375" y="5857875"/>
          <a:ext cx="61912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1485900</xdr:colOff>
      <xdr:row>39</xdr:row>
      <xdr:rowOff>104775</xdr:rowOff>
    </xdr:from>
    <xdr:to>
      <xdr:col>1</xdr:col>
      <xdr:colOff>371475</xdr:colOff>
      <xdr:row>39</xdr:row>
      <xdr:rowOff>104775</xdr:rowOff>
    </xdr:to>
    <xdr:sp macro="" textlink="">
      <xdr:nvSpPr>
        <xdr:cNvPr id="1514" name="Line 37">
          <a:extLst>
            <a:ext uri="{FF2B5EF4-FFF2-40B4-BE49-F238E27FC236}">
              <a16:creationId xmlns:a16="http://schemas.microsoft.com/office/drawing/2014/main" id="{461DC430-9D5F-44DB-8D06-1F54F647BE8F}"/>
            </a:ext>
          </a:extLst>
        </xdr:cNvPr>
        <xdr:cNvSpPr>
          <a:spLocks noChangeShapeType="1"/>
        </xdr:cNvSpPr>
      </xdr:nvSpPr>
      <xdr:spPr bwMode="auto">
        <a:xfrm>
          <a:off x="1485900" y="6848475"/>
          <a:ext cx="61912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323850</xdr:colOff>
      <xdr:row>28</xdr:row>
      <xdr:rowOff>123825</xdr:rowOff>
    </xdr:from>
    <xdr:to>
      <xdr:col>12</xdr:col>
      <xdr:colOff>323850</xdr:colOff>
      <xdr:row>29</xdr:row>
      <xdr:rowOff>161925</xdr:rowOff>
    </xdr:to>
    <xdr:sp macro="" textlink="">
      <xdr:nvSpPr>
        <xdr:cNvPr id="1515" name="Line 38">
          <a:extLst>
            <a:ext uri="{FF2B5EF4-FFF2-40B4-BE49-F238E27FC236}">
              <a16:creationId xmlns:a16="http://schemas.microsoft.com/office/drawing/2014/main" id="{FC6CA715-E5CB-451C-A1FF-FD381A321ACD}"/>
            </a:ext>
          </a:extLst>
        </xdr:cNvPr>
        <xdr:cNvSpPr>
          <a:spLocks noChangeShapeType="1"/>
        </xdr:cNvSpPr>
      </xdr:nvSpPr>
      <xdr:spPr bwMode="auto">
        <a:xfrm flipH="1">
          <a:off x="9334500" y="4972050"/>
          <a:ext cx="0" cy="276225"/>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28</xdr:row>
      <xdr:rowOff>123825</xdr:rowOff>
    </xdr:from>
    <xdr:to>
      <xdr:col>12</xdr:col>
      <xdr:colOff>342900</xdr:colOff>
      <xdr:row>28</xdr:row>
      <xdr:rowOff>123825</xdr:rowOff>
    </xdr:to>
    <xdr:sp macro="" textlink="">
      <xdr:nvSpPr>
        <xdr:cNvPr id="1516" name="Line 39">
          <a:extLst>
            <a:ext uri="{FF2B5EF4-FFF2-40B4-BE49-F238E27FC236}">
              <a16:creationId xmlns:a16="http://schemas.microsoft.com/office/drawing/2014/main" id="{D2B76FDC-B853-4E3B-B10E-E322C9CF7B08}"/>
            </a:ext>
          </a:extLst>
        </xdr:cNvPr>
        <xdr:cNvSpPr>
          <a:spLocks noChangeShapeType="1"/>
        </xdr:cNvSpPr>
      </xdr:nvSpPr>
      <xdr:spPr bwMode="auto">
        <a:xfrm>
          <a:off x="3981450" y="4972050"/>
          <a:ext cx="537210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323850</xdr:colOff>
      <xdr:row>31</xdr:row>
      <xdr:rowOff>114300</xdr:rowOff>
    </xdr:from>
    <xdr:to>
      <xdr:col>12</xdr:col>
      <xdr:colOff>323850</xdr:colOff>
      <xdr:row>35</xdr:row>
      <xdr:rowOff>85725</xdr:rowOff>
    </xdr:to>
    <xdr:sp macro="" textlink="">
      <xdr:nvSpPr>
        <xdr:cNvPr id="1517" name="Line 40">
          <a:extLst>
            <a:ext uri="{FF2B5EF4-FFF2-40B4-BE49-F238E27FC236}">
              <a16:creationId xmlns:a16="http://schemas.microsoft.com/office/drawing/2014/main" id="{1FF2FCDB-47C9-4EDA-A31D-55C2E67650BB}"/>
            </a:ext>
          </a:extLst>
        </xdr:cNvPr>
        <xdr:cNvSpPr>
          <a:spLocks noChangeShapeType="1"/>
        </xdr:cNvSpPr>
      </xdr:nvSpPr>
      <xdr:spPr bwMode="auto">
        <a:xfrm>
          <a:off x="9334500" y="5543550"/>
          <a:ext cx="0" cy="619125"/>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46</xdr:row>
      <xdr:rowOff>76200</xdr:rowOff>
    </xdr:from>
    <xdr:to>
      <xdr:col>3</xdr:col>
      <xdr:colOff>1190625</xdr:colOff>
      <xdr:row>46</xdr:row>
      <xdr:rowOff>76200</xdr:rowOff>
    </xdr:to>
    <xdr:sp macro="" textlink="">
      <xdr:nvSpPr>
        <xdr:cNvPr id="4122" name="Line 6">
          <a:extLst>
            <a:ext uri="{FF2B5EF4-FFF2-40B4-BE49-F238E27FC236}">
              <a16:creationId xmlns:a16="http://schemas.microsoft.com/office/drawing/2014/main" id="{11292D3A-0B68-4210-BDE9-941C0114B223}"/>
            </a:ext>
          </a:extLst>
        </xdr:cNvPr>
        <xdr:cNvSpPr>
          <a:spLocks noChangeShapeType="1"/>
        </xdr:cNvSpPr>
      </xdr:nvSpPr>
      <xdr:spPr bwMode="auto">
        <a:xfrm flipH="1">
          <a:off x="4362450" y="7705725"/>
          <a:ext cx="1190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952500</xdr:colOff>
      <xdr:row>1</xdr:row>
      <xdr:rowOff>0</xdr:rowOff>
    </xdr:from>
    <xdr:to>
      <xdr:col>2</xdr:col>
      <xdr:colOff>19050</xdr:colOff>
      <xdr:row>1</xdr:row>
      <xdr:rowOff>200025</xdr:rowOff>
    </xdr:to>
    <xdr:sp macro="" textlink="">
      <xdr:nvSpPr>
        <xdr:cNvPr id="16409" name="Text Box 7">
          <a:extLst>
            <a:ext uri="{FF2B5EF4-FFF2-40B4-BE49-F238E27FC236}">
              <a16:creationId xmlns:a16="http://schemas.microsoft.com/office/drawing/2014/main" id="{7B3FFB93-9B45-471A-AA2A-08C5009A5ED5}"/>
            </a:ext>
          </a:extLst>
        </xdr:cNvPr>
        <xdr:cNvSpPr txBox="1">
          <a:spLocks noChangeArrowheads="1"/>
        </xdr:cNvSpPr>
      </xdr:nvSpPr>
      <xdr:spPr bwMode="auto">
        <a:xfrm>
          <a:off x="3619500" y="22860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19050</xdr:colOff>
      <xdr:row>11</xdr:row>
      <xdr:rowOff>0</xdr:rowOff>
    </xdr:from>
    <xdr:to>
      <xdr:col>4</xdr:col>
      <xdr:colOff>0</xdr:colOff>
      <xdr:row>15</xdr:row>
      <xdr:rowOff>0</xdr:rowOff>
    </xdr:to>
    <xdr:sp macro="" textlink="">
      <xdr:nvSpPr>
        <xdr:cNvPr id="81195" name="Rectangle 1">
          <a:extLst>
            <a:ext uri="{FF2B5EF4-FFF2-40B4-BE49-F238E27FC236}">
              <a16:creationId xmlns:a16="http://schemas.microsoft.com/office/drawing/2014/main" id="{B97155F0-450D-4027-BCCE-96A17B77F673}"/>
            </a:ext>
          </a:extLst>
        </xdr:cNvPr>
        <xdr:cNvSpPr>
          <a:spLocks noChangeArrowheads="1"/>
        </xdr:cNvSpPr>
      </xdr:nvSpPr>
      <xdr:spPr bwMode="auto">
        <a:xfrm>
          <a:off x="1476375" y="1924050"/>
          <a:ext cx="1400175" cy="6858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0</xdr:colOff>
      <xdr:row>17</xdr:row>
      <xdr:rowOff>9525</xdr:rowOff>
    </xdr:from>
    <xdr:to>
      <xdr:col>3</xdr:col>
      <xdr:colOff>590550</xdr:colOff>
      <xdr:row>21</xdr:row>
      <xdr:rowOff>9525</xdr:rowOff>
    </xdr:to>
    <xdr:sp macro="" textlink="">
      <xdr:nvSpPr>
        <xdr:cNvPr id="81196" name="Rectangle 2">
          <a:extLst>
            <a:ext uri="{FF2B5EF4-FFF2-40B4-BE49-F238E27FC236}">
              <a16:creationId xmlns:a16="http://schemas.microsoft.com/office/drawing/2014/main" id="{49419042-1408-4B78-9872-883A2FF3ECB8}"/>
            </a:ext>
          </a:extLst>
        </xdr:cNvPr>
        <xdr:cNvSpPr>
          <a:spLocks noChangeArrowheads="1"/>
        </xdr:cNvSpPr>
      </xdr:nvSpPr>
      <xdr:spPr bwMode="auto">
        <a:xfrm>
          <a:off x="1457325" y="2943225"/>
          <a:ext cx="1209675" cy="6477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9525</xdr:colOff>
      <xdr:row>23</xdr:row>
      <xdr:rowOff>9525</xdr:rowOff>
    </xdr:from>
    <xdr:to>
      <xdr:col>3</xdr:col>
      <xdr:colOff>600075</xdr:colOff>
      <xdr:row>27</xdr:row>
      <xdr:rowOff>9525</xdr:rowOff>
    </xdr:to>
    <xdr:sp macro="" textlink="">
      <xdr:nvSpPr>
        <xdr:cNvPr id="17411" name="Rectangle 3">
          <a:extLst>
            <a:ext uri="{FF2B5EF4-FFF2-40B4-BE49-F238E27FC236}">
              <a16:creationId xmlns:a16="http://schemas.microsoft.com/office/drawing/2014/main" id="{FD8F8E4E-E2B4-4AB9-AB72-D1E2ACA41631}"/>
            </a:ext>
          </a:extLst>
        </xdr:cNvPr>
        <xdr:cNvSpPr>
          <a:spLocks noChangeArrowheads="1"/>
        </xdr:cNvSpPr>
      </xdr:nvSpPr>
      <xdr:spPr bwMode="auto">
        <a:xfrm>
          <a:off x="1466850" y="3914775"/>
          <a:ext cx="1209675" cy="6477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endParaRPr lang="en-US" sz="1000" b="1" i="0" u="none" strike="noStrike" baseline="0">
            <a:solidFill>
              <a:srgbClr val="000000"/>
            </a:solidFill>
            <a:latin typeface="Arial"/>
            <a:cs typeface="Arial"/>
          </a:endParaRPr>
        </a:p>
        <a:p>
          <a:pPr algn="ctr" rtl="0">
            <a:defRPr sz="1000"/>
          </a:pPr>
          <a:endParaRPr lang="en-US" sz="1000" b="1" i="0" u="none" strike="noStrike" baseline="0">
            <a:solidFill>
              <a:srgbClr val="000000"/>
            </a:solidFill>
            <a:latin typeface="Arial"/>
            <a:cs typeface="Arial"/>
          </a:endParaRPr>
        </a:p>
        <a:p>
          <a:pPr algn="ctr" rtl="0">
            <a:defRPr sz="1000"/>
          </a:pPr>
          <a:endParaRPr lang="en-US" sz="1000" b="1" i="0" u="none" strike="noStrike" baseline="0">
            <a:solidFill>
              <a:srgbClr val="000000"/>
            </a:solidFill>
            <a:latin typeface="Arial"/>
            <a:cs typeface="Arial"/>
          </a:endParaRPr>
        </a:p>
      </xdr:txBody>
    </xdr:sp>
    <xdr:clientData/>
  </xdr:twoCellAnchor>
  <xdr:twoCellAnchor>
    <xdr:from>
      <xdr:col>2</xdr:col>
      <xdr:colOff>238125</xdr:colOff>
      <xdr:row>36</xdr:row>
      <xdr:rowOff>19050</xdr:rowOff>
    </xdr:from>
    <xdr:to>
      <xdr:col>3</xdr:col>
      <xdr:colOff>371475</xdr:colOff>
      <xdr:row>39</xdr:row>
      <xdr:rowOff>133350</xdr:rowOff>
    </xdr:to>
    <xdr:sp macro="" textlink="">
      <xdr:nvSpPr>
        <xdr:cNvPr id="81198" name="AutoShape 4">
          <a:extLst>
            <a:ext uri="{FF2B5EF4-FFF2-40B4-BE49-F238E27FC236}">
              <a16:creationId xmlns:a16="http://schemas.microsoft.com/office/drawing/2014/main" id="{337AFDD8-64EA-4033-8293-3AE16F9CD8C6}"/>
            </a:ext>
          </a:extLst>
        </xdr:cNvPr>
        <xdr:cNvSpPr>
          <a:spLocks noChangeArrowheads="1"/>
        </xdr:cNvSpPr>
      </xdr:nvSpPr>
      <xdr:spPr bwMode="auto">
        <a:xfrm>
          <a:off x="1695450" y="6029325"/>
          <a:ext cx="752475" cy="600075"/>
        </a:xfrm>
        <a:prstGeom prst="triangle">
          <a:avLst>
            <a:gd name="adj" fmla="val 50000"/>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123825</xdr:colOff>
      <xdr:row>42</xdr:row>
      <xdr:rowOff>0</xdr:rowOff>
    </xdr:from>
    <xdr:to>
      <xdr:col>3</xdr:col>
      <xdr:colOff>466725</xdr:colOff>
      <xdr:row>46</xdr:row>
      <xdr:rowOff>152400</xdr:rowOff>
    </xdr:to>
    <xdr:sp macro="" textlink="">
      <xdr:nvSpPr>
        <xdr:cNvPr id="17413" name="AutoShape 5">
          <a:extLst>
            <a:ext uri="{FF2B5EF4-FFF2-40B4-BE49-F238E27FC236}">
              <a16:creationId xmlns:a16="http://schemas.microsoft.com/office/drawing/2014/main" id="{FA19B219-F6F7-4F5E-8D79-F6C5131CF5E5}"/>
            </a:ext>
          </a:extLst>
        </xdr:cNvPr>
        <xdr:cNvSpPr>
          <a:spLocks noChangeArrowheads="1"/>
        </xdr:cNvSpPr>
      </xdr:nvSpPr>
      <xdr:spPr bwMode="auto">
        <a:xfrm>
          <a:off x="1581150" y="6981825"/>
          <a:ext cx="962025" cy="800100"/>
        </a:xfrm>
        <a:prstGeom prst="triangle">
          <a:avLst>
            <a:gd name="adj" fmla="val 50000"/>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LNA</a:t>
          </a:r>
        </a:p>
      </xdr:txBody>
    </xdr:sp>
    <xdr:clientData/>
  </xdr:twoCellAnchor>
  <xdr:twoCellAnchor>
    <xdr:from>
      <xdr:col>2</xdr:col>
      <xdr:colOff>0</xdr:colOff>
      <xdr:row>29</xdr:row>
      <xdr:rowOff>9525</xdr:rowOff>
    </xdr:from>
    <xdr:to>
      <xdr:col>3</xdr:col>
      <xdr:colOff>590550</xdr:colOff>
      <xdr:row>33</xdr:row>
      <xdr:rowOff>9525</xdr:rowOff>
    </xdr:to>
    <xdr:sp macro="" textlink="">
      <xdr:nvSpPr>
        <xdr:cNvPr id="17414" name="Rectangle 6">
          <a:extLst>
            <a:ext uri="{FF2B5EF4-FFF2-40B4-BE49-F238E27FC236}">
              <a16:creationId xmlns:a16="http://schemas.microsoft.com/office/drawing/2014/main" id="{0A3A0899-9B6B-43C7-A83E-84D06B6221F5}"/>
            </a:ext>
          </a:extLst>
        </xdr:cNvPr>
        <xdr:cNvSpPr>
          <a:spLocks noChangeArrowheads="1"/>
        </xdr:cNvSpPr>
      </xdr:nvSpPr>
      <xdr:spPr bwMode="auto">
        <a:xfrm>
          <a:off x="1457325" y="4886325"/>
          <a:ext cx="1209675" cy="6477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Downconverters</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Mixers</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IF</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Amplification</a:t>
          </a:r>
        </a:p>
      </xdr:txBody>
    </xdr:sp>
    <xdr:clientData/>
  </xdr:twoCellAnchor>
  <xdr:twoCellAnchor>
    <xdr:from>
      <xdr:col>2</xdr:col>
      <xdr:colOff>0</xdr:colOff>
      <xdr:row>50</xdr:row>
      <xdr:rowOff>152400</xdr:rowOff>
    </xdr:from>
    <xdr:to>
      <xdr:col>4</xdr:col>
      <xdr:colOff>9525</xdr:colOff>
      <xdr:row>54</xdr:row>
      <xdr:rowOff>0</xdr:rowOff>
    </xdr:to>
    <xdr:sp macro="" textlink="">
      <xdr:nvSpPr>
        <xdr:cNvPr id="17415" name="Rectangle 7">
          <a:extLst>
            <a:ext uri="{FF2B5EF4-FFF2-40B4-BE49-F238E27FC236}">
              <a16:creationId xmlns:a16="http://schemas.microsoft.com/office/drawing/2014/main" id="{97BBB5BD-5D86-4354-A9F3-248A52637936}"/>
            </a:ext>
          </a:extLst>
        </xdr:cNvPr>
        <xdr:cNvSpPr>
          <a:spLocks noChangeArrowheads="1"/>
        </xdr:cNvSpPr>
      </xdr:nvSpPr>
      <xdr:spPr bwMode="auto">
        <a:xfrm>
          <a:off x="1457325" y="8429625"/>
          <a:ext cx="131445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Receiver Front End</a:t>
          </a:r>
        </a:p>
        <a:p>
          <a:pPr algn="ctr" rtl="0">
            <a:defRPr sz="1000"/>
          </a:pPr>
          <a:r>
            <a:rPr lang="en-US" sz="1000" b="1" i="0" u="none" strike="noStrike" baseline="0">
              <a:solidFill>
                <a:srgbClr val="000000"/>
              </a:solidFill>
              <a:latin typeface="Arial"/>
              <a:cs typeface="Arial"/>
            </a:rPr>
            <a:t>Bandpass</a:t>
          </a:r>
        </a:p>
        <a:p>
          <a:pPr algn="ctr" rtl="0">
            <a:defRPr sz="1000"/>
          </a:pPr>
          <a:r>
            <a:rPr lang="en-US" sz="1000" b="1" i="0" u="none" strike="noStrike" baseline="0">
              <a:solidFill>
                <a:srgbClr val="000000"/>
              </a:solidFill>
              <a:latin typeface="Arial"/>
              <a:cs typeface="Arial"/>
            </a:rPr>
            <a:t>Filter</a:t>
          </a:r>
        </a:p>
      </xdr:txBody>
    </xdr:sp>
    <xdr:clientData/>
  </xdr:twoCellAnchor>
  <xdr:twoCellAnchor>
    <xdr:from>
      <xdr:col>2</xdr:col>
      <xdr:colOff>9525</xdr:colOff>
      <xdr:row>56</xdr:row>
      <xdr:rowOff>0</xdr:rowOff>
    </xdr:from>
    <xdr:to>
      <xdr:col>4</xdr:col>
      <xdr:colOff>19050</xdr:colOff>
      <xdr:row>59</xdr:row>
      <xdr:rowOff>9525</xdr:rowOff>
    </xdr:to>
    <xdr:sp macro="" textlink="">
      <xdr:nvSpPr>
        <xdr:cNvPr id="17416" name="Rectangle 8">
          <a:extLst>
            <a:ext uri="{FF2B5EF4-FFF2-40B4-BE49-F238E27FC236}">
              <a16:creationId xmlns:a16="http://schemas.microsoft.com/office/drawing/2014/main" id="{829DDDDE-7F94-44CB-8E6C-13B028E9BFAA}"/>
            </a:ext>
          </a:extLst>
        </xdr:cNvPr>
        <xdr:cNvSpPr>
          <a:spLocks noChangeArrowheads="1"/>
        </xdr:cNvSpPr>
      </xdr:nvSpPr>
      <xdr:spPr bwMode="auto">
        <a:xfrm>
          <a:off x="1466850" y="9248775"/>
          <a:ext cx="131445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Other</a:t>
          </a:r>
        </a:p>
        <a:p>
          <a:pPr algn="ctr" rtl="0">
            <a:defRPr sz="1000"/>
          </a:pPr>
          <a:r>
            <a:rPr lang="en-US" sz="1000" b="1" i="0" u="none" strike="noStrike" baseline="0">
              <a:solidFill>
                <a:srgbClr val="000000"/>
              </a:solidFill>
              <a:latin typeface="Arial"/>
              <a:cs typeface="Arial"/>
            </a:rPr>
            <a:t>In-Line</a:t>
          </a:r>
        </a:p>
        <a:p>
          <a:pPr algn="ctr" rtl="0">
            <a:defRPr sz="1000"/>
          </a:pPr>
          <a:r>
            <a:rPr lang="en-US" sz="1000" b="1" i="0" u="none" strike="noStrike" baseline="0">
              <a:solidFill>
                <a:srgbClr val="000000"/>
              </a:solidFill>
              <a:latin typeface="Arial"/>
              <a:cs typeface="Arial"/>
            </a:rPr>
            <a:t>Device</a:t>
          </a:r>
        </a:p>
      </xdr:txBody>
    </xdr:sp>
    <xdr:clientData/>
  </xdr:twoCellAnchor>
  <xdr:twoCellAnchor>
    <xdr:from>
      <xdr:col>2</xdr:col>
      <xdr:colOff>209550</xdr:colOff>
      <xdr:row>60</xdr:row>
      <xdr:rowOff>114300</xdr:rowOff>
    </xdr:from>
    <xdr:to>
      <xdr:col>3</xdr:col>
      <xdr:colOff>381000</xdr:colOff>
      <xdr:row>65</xdr:row>
      <xdr:rowOff>9525</xdr:rowOff>
    </xdr:to>
    <xdr:sp macro="" textlink="">
      <xdr:nvSpPr>
        <xdr:cNvPr id="81203" name="AutoShape 9">
          <a:extLst>
            <a:ext uri="{FF2B5EF4-FFF2-40B4-BE49-F238E27FC236}">
              <a16:creationId xmlns:a16="http://schemas.microsoft.com/office/drawing/2014/main" id="{903DDE93-4B59-43B5-ADD1-2DEC927F017D}"/>
            </a:ext>
          </a:extLst>
        </xdr:cNvPr>
        <xdr:cNvSpPr>
          <a:spLocks noChangeArrowheads="1"/>
        </xdr:cNvSpPr>
      </xdr:nvSpPr>
      <xdr:spPr bwMode="auto">
        <a:xfrm>
          <a:off x="1666875" y="10010775"/>
          <a:ext cx="790575" cy="704850"/>
        </a:xfrm>
        <a:prstGeom prst="triangle">
          <a:avLst>
            <a:gd name="adj" fmla="val 50000"/>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xdr:col>
      <xdr:colOff>600075</xdr:colOff>
      <xdr:row>59</xdr:row>
      <xdr:rowOff>9525</xdr:rowOff>
    </xdr:from>
    <xdr:to>
      <xdr:col>3</xdr:col>
      <xdr:colOff>0</xdr:colOff>
      <xdr:row>65</xdr:row>
      <xdr:rowOff>9525</xdr:rowOff>
    </xdr:to>
    <xdr:sp macro="" textlink="">
      <xdr:nvSpPr>
        <xdr:cNvPr id="81204" name="Line 10">
          <a:extLst>
            <a:ext uri="{FF2B5EF4-FFF2-40B4-BE49-F238E27FC236}">
              <a16:creationId xmlns:a16="http://schemas.microsoft.com/office/drawing/2014/main" id="{980BA7D0-73AA-4138-92B5-0450E39FD04B}"/>
            </a:ext>
          </a:extLst>
        </xdr:cNvPr>
        <xdr:cNvSpPr>
          <a:spLocks noChangeShapeType="1"/>
        </xdr:cNvSpPr>
      </xdr:nvSpPr>
      <xdr:spPr bwMode="auto">
        <a:xfrm flipH="1" flipV="1">
          <a:off x="2057400" y="9744075"/>
          <a:ext cx="19050" cy="9715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9</xdr:row>
      <xdr:rowOff>152400</xdr:rowOff>
    </xdr:from>
    <xdr:to>
      <xdr:col>3</xdr:col>
      <xdr:colOff>0</xdr:colOff>
      <xdr:row>11</xdr:row>
      <xdr:rowOff>0</xdr:rowOff>
    </xdr:to>
    <xdr:sp macro="" textlink="">
      <xdr:nvSpPr>
        <xdr:cNvPr id="81205" name="Line 11">
          <a:extLst>
            <a:ext uri="{FF2B5EF4-FFF2-40B4-BE49-F238E27FC236}">
              <a16:creationId xmlns:a16="http://schemas.microsoft.com/office/drawing/2014/main" id="{8430FB15-461E-4230-919F-3DEB8F107916}"/>
            </a:ext>
          </a:extLst>
        </xdr:cNvPr>
        <xdr:cNvSpPr>
          <a:spLocks noChangeShapeType="1"/>
        </xdr:cNvSpPr>
      </xdr:nvSpPr>
      <xdr:spPr bwMode="auto">
        <a:xfrm flipV="1">
          <a:off x="2076450" y="1752600"/>
          <a:ext cx="0" cy="1714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0</xdr:colOff>
      <xdr:row>14</xdr:row>
      <xdr:rowOff>152400</xdr:rowOff>
    </xdr:from>
    <xdr:to>
      <xdr:col>3</xdr:col>
      <xdr:colOff>0</xdr:colOff>
      <xdr:row>17</xdr:row>
      <xdr:rowOff>0</xdr:rowOff>
    </xdr:to>
    <xdr:sp macro="" textlink="">
      <xdr:nvSpPr>
        <xdr:cNvPr id="81206" name="Line 12">
          <a:extLst>
            <a:ext uri="{FF2B5EF4-FFF2-40B4-BE49-F238E27FC236}">
              <a16:creationId xmlns:a16="http://schemas.microsoft.com/office/drawing/2014/main" id="{7775C768-3BDD-4FE5-B708-0EC74545F679}"/>
            </a:ext>
          </a:extLst>
        </xdr:cNvPr>
        <xdr:cNvSpPr>
          <a:spLocks noChangeShapeType="1"/>
        </xdr:cNvSpPr>
      </xdr:nvSpPr>
      <xdr:spPr bwMode="auto">
        <a:xfrm>
          <a:off x="2076450" y="2600325"/>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33</xdr:row>
      <xdr:rowOff>9525</xdr:rowOff>
    </xdr:from>
    <xdr:to>
      <xdr:col>3</xdr:col>
      <xdr:colOff>0</xdr:colOff>
      <xdr:row>36</xdr:row>
      <xdr:rowOff>9525</xdr:rowOff>
    </xdr:to>
    <xdr:sp macro="" textlink="">
      <xdr:nvSpPr>
        <xdr:cNvPr id="81207" name="Line 13">
          <a:extLst>
            <a:ext uri="{FF2B5EF4-FFF2-40B4-BE49-F238E27FC236}">
              <a16:creationId xmlns:a16="http://schemas.microsoft.com/office/drawing/2014/main" id="{BADCA1B5-EDF7-465A-A955-B989544C2D08}"/>
            </a:ext>
          </a:extLst>
        </xdr:cNvPr>
        <xdr:cNvSpPr>
          <a:spLocks noChangeShapeType="1"/>
        </xdr:cNvSpPr>
      </xdr:nvSpPr>
      <xdr:spPr bwMode="auto">
        <a:xfrm>
          <a:off x="2076450" y="5534025"/>
          <a:ext cx="0" cy="4857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xdr:colOff>
      <xdr:row>27</xdr:row>
      <xdr:rowOff>9525</xdr:rowOff>
    </xdr:from>
    <xdr:to>
      <xdr:col>3</xdr:col>
      <xdr:colOff>9525</xdr:colOff>
      <xdr:row>29</xdr:row>
      <xdr:rowOff>0</xdr:rowOff>
    </xdr:to>
    <xdr:sp macro="" textlink="">
      <xdr:nvSpPr>
        <xdr:cNvPr id="81208" name="Line 14">
          <a:extLst>
            <a:ext uri="{FF2B5EF4-FFF2-40B4-BE49-F238E27FC236}">
              <a16:creationId xmlns:a16="http://schemas.microsoft.com/office/drawing/2014/main" id="{BB5AE575-1536-4F0E-A718-D88A84E6BC48}"/>
            </a:ext>
          </a:extLst>
        </xdr:cNvPr>
        <xdr:cNvSpPr>
          <a:spLocks noChangeShapeType="1"/>
        </xdr:cNvSpPr>
      </xdr:nvSpPr>
      <xdr:spPr bwMode="auto">
        <a:xfrm>
          <a:off x="2085975" y="4562475"/>
          <a:ext cx="0" cy="3143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21</xdr:row>
      <xdr:rowOff>19050</xdr:rowOff>
    </xdr:from>
    <xdr:to>
      <xdr:col>3</xdr:col>
      <xdr:colOff>0</xdr:colOff>
      <xdr:row>23</xdr:row>
      <xdr:rowOff>28575</xdr:rowOff>
    </xdr:to>
    <xdr:sp macro="" textlink="">
      <xdr:nvSpPr>
        <xdr:cNvPr id="81209" name="Line 15">
          <a:extLst>
            <a:ext uri="{FF2B5EF4-FFF2-40B4-BE49-F238E27FC236}">
              <a16:creationId xmlns:a16="http://schemas.microsoft.com/office/drawing/2014/main" id="{8E307507-CACA-422B-89B0-F74276FF2B8F}"/>
            </a:ext>
          </a:extLst>
        </xdr:cNvPr>
        <xdr:cNvSpPr>
          <a:spLocks noChangeShapeType="1"/>
        </xdr:cNvSpPr>
      </xdr:nvSpPr>
      <xdr:spPr bwMode="auto">
        <a:xfrm>
          <a:off x="2076450" y="3600450"/>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600075</xdr:colOff>
      <xdr:row>39</xdr:row>
      <xdr:rowOff>133350</xdr:rowOff>
    </xdr:from>
    <xdr:to>
      <xdr:col>2</xdr:col>
      <xdr:colOff>600075</xdr:colOff>
      <xdr:row>42</xdr:row>
      <xdr:rowOff>0</xdr:rowOff>
    </xdr:to>
    <xdr:sp macro="" textlink="">
      <xdr:nvSpPr>
        <xdr:cNvPr id="81210" name="Line 16">
          <a:extLst>
            <a:ext uri="{FF2B5EF4-FFF2-40B4-BE49-F238E27FC236}">
              <a16:creationId xmlns:a16="http://schemas.microsoft.com/office/drawing/2014/main" id="{4B505200-FD3F-4681-B2F8-BC6456843CC2}"/>
            </a:ext>
          </a:extLst>
        </xdr:cNvPr>
        <xdr:cNvSpPr>
          <a:spLocks noChangeShapeType="1"/>
        </xdr:cNvSpPr>
      </xdr:nvSpPr>
      <xdr:spPr bwMode="auto">
        <a:xfrm>
          <a:off x="2057400" y="6629400"/>
          <a:ext cx="0" cy="3524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46</xdr:row>
      <xdr:rowOff>142875</xdr:rowOff>
    </xdr:from>
    <xdr:to>
      <xdr:col>3</xdr:col>
      <xdr:colOff>0</xdr:colOff>
      <xdr:row>50</xdr:row>
      <xdr:rowOff>152400</xdr:rowOff>
    </xdr:to>
    <xdr:sp macro="" textlink="">
      <xdr:nvSpPr>
        <xdr:cNvPr id="81211" name="Line 17">
          <a:extLst>
            <a:ext uri="{FF2B5EF4-FFF2-40B4-BE49-F238E27FC236}">
              <a16:creationId xmlns:a16="http://schemas.microsoft.com/office/drawing/2014/main" id="{28EFBC56-7B96-4C4C-A213-22BCFFF36BF7}"/>
            </a:ext>
          </a:extLst>
        </xdr:cNvPr>
        <xdr:cNvSpPr>
          <a:spLocks noChangeShapeType="1"/>
        </xdr:cNvSpPr>
      </xdr:nvSpPr>
      <xdr:spPr bwMode="auto">
        <a:xfrm>
          <a:off x="2076450" y="7772400"/>
          <a:ext cx="0" cy="6572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54</xdr:row>
      <xdr:rowOff>9525</xdr:rowOff>
    </xdr:from>
    <xdr:to>
      <xdr:col>3</xdr:col>
      <xdr:colOff>0</xdr:colOff>
      <xdr:row>55</xdr:row>
      <xdr:rowOff>152400</xdr:rowOff>
    </xdr:to>
    <xdr:sp macro="" textlink="">
      <xdr:nvSpPr>
        <xdr:cNvPr id="81212" name="Line 18">
          <a:extLst>
            <a:ext uri="{FF2B5EF4-FFF2-40B4-BE49-F238E27FC236}">
              <a16:creationId xmlns:a16="http://schemas.microsoft.com/office/drawing/2014/main" id="{167EF386-D9AE-4AE1-A7F3-69512E502476}"/>
            </a:ext>
          </a:extLst>
        </xdr:cNvPr>
        <xdr:cNvSpPr>
          <a:spLocks noChangeShapeType="1"/>
        </xdr:cNvSpPr>
      </xdr:nvSpPr>
      <xdr:spPr bwMode="auto">
        <a:xfrm>
          <a:off x="2076450" y="8934450"/>
          <a:ext cx="0" cy="304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219075</xdr:colOff>
      <xdr:row>75</xdr:row>
      <xdr:rowOff>152400</xdr:rowOff>
    </xdr:from>
    <xdr:to>
      <xdr:col>3</xdr:col>
      <xdr:colOff>390525</xdr:colOff>
      <xdr:row>80</xdr:row>
      <xdr:rowOff>47625</xdr:rowOff>
    </xdr:to>
    <xdr:sp macro="" textlink="">
      <xdr:nvSpPr>
        <xdr:cNvPr id="81213" name="AutoShape 19">
          <a:extLst>
            <a:ext uri="{FF2B5EF4-FFF2-40B4-BE49-F238E27FC236}">
              <a16:creationId xmlns:a16="http://schemas.microsoft.com/office/drawing/2014/main" id="{52AEF4E1-CACC-4FFE-B2CB-F59F2B3D09F9}"/>
            </a:ext>
          </a:extLst>
        </xdr:cNvPr>
        <xdr:cNvSpPr>
          <a:spLocks noChangeArrowheads="1"/>
        </xdr:cNvSpPr>
      </xdr:nvSpPr>
      <xdr:spPr bwMode="auto">
        <a:xfrm rot="10800000">
          <a:off x="1676400" y="12477750"/>
          <a:ext cx="790575" cy="704850"/>
        </a:xfrm>
        <a:prstGeom prst="triangle">
          <a:avLst>
            <a:gd name="adj" fmla="val 50000"/>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xdr:col>
      <xdr:colOff>0</xdr:colOff>
      <xdr:row>75</xdr:row>
      <xdr:rowOff>152400</xdr:rowOff>
    </xdr:from>
    <xdr:to>
      <xdr:col>3</xdr:col>
      <xdr:colOff>0</xdr:colOff>
      <xdr:row>85</xdr:row>
      <xdr:rowOff>19050</xdr:rowOff>
    </xdr:to>
    <xdr:sp macro="" textlink="">
      <xdr:nvSpPr>
        <xdr:cNvPr id="81214" name="Line 20">
          <a:extLst>
            <a:ext uri="{FF2B5EF4-FFF2-40B4-BE49-F238E27FC236}">
              <a16:creationId xmlns:a16="http://schemas.microsoft.com/office/drawing/2014/main" id="{4837379E-79D9-48CC-AFAE-54CCEC40F4F2}"/>
            </a:ext>
          </a:extLst>
        </xdr:cNvPr>
        <xdr:cNvSpPr>
          <a:spLocks noChangeShapeType="1"/>
        </xdr:cNvSpPr>
      </xdr:nvSpPr>
      <xdr:spPr bwMode="auto">
        <a:xfrm>
          <a:off x="2076450" y="12477750"/>
          <a:ext cx="0" cy="14859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0</xdr:colOff>
      <xdr:row>85</xdr:row>
      <xdr:rowOff>9525</xdr:rowOff>
    </xdr:from>
    <xdr:to>
      <xdr:col>4</xdr:col>
      <xdr:colOff>9525</xdr:colOff>
      <xdr:row>88</xdr:row>
      <xdr:rowOff>19050</xdr:rowOff>
    </xdr:to>
    <xdr:sp macro="" textlink="">
      <xdr:nvSpPr>
        <xdr:cNvPr id="17429" name="Rectangle 21">
          <a:extLst>
            <a:ext uri="{FF2B5EF4-FFF2-40B4-BE49-F238E27FC236}">
              <a16:creationId xmlns:a16="http://schemas.microsoft.com/office/drawing/2014/main" id="{3080A80B-10ED-4562-98B3-ED6DF22BAEA7}"/>
            </a:ext>
          </a:extLst>
        </xdr:cNvPr>
        <xdr:cNvSpPr>
          <a:spLocks noChangeArrowheads="1"/>
        </xdr:cNvSpPr>
      </xdr:nvSpPr>
      <xdr:spPr bwMode="auto">
        <a:xfrm>
          <a:off x="1457325" y="13954125"/>
          <a:ext cx="131445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Other </a:t>
          </a:r>
        </a:p>
        <a:p>
          <a:pPr algn="ctr" rtl="0">
            <a:defRPr sz="1000"/>
          </a:pPr>
          <a:r>
            <a:rPr lang="en-US" sz="1000" b="1" i="0" u="none" strike="noStrike" baseline="0">
              <a:solidFill>
                <a:srgbClr val="000000"/>
              </a:solidFill>
              <a:latin typeface="Arial"/>
              <a:cs typeface="Arial"/>
            </a:rPr>
            <a:t>In-Line</a:t>
          </a:r>
        </a:p>
        <a:p>
          <a:pPr algn="ctr" rtl="0">
            <a:defRPr sz="1000"/>
          </a:pPr>
          <a:r>
            <a:rPr lang="en-US" sz="1000" b="1" i="0" u="none" strike="noStrike" baseline="0">
              <a:solidFill>
                <a:srgbClr val="000000"/>
              </a:solidFill>
              <a:latin typeface="Arial"/>
              <a:cs typeface="Arial"/>
            </a:rPr>
            <a:t>Device</a:t>
          </a:r>
        </a:p>
      </xdr:txBody>
    </xdr:sp>
    <xdr:clientData/>
  </xdr:twoCellAnchor>
  <xdr:twoCellAnchor>
    <xdr:from>
      <xdr:col>2</xdr:col>
      <xdr:colOff>9525</xdr:colOff>
      <xdr:row>90</xdr:row>
      <xdr:rowOff>19050</xdr:rowOff>
    </xdr:from>
    <xdr:to>
      <xdr:col>4</xdr:col>
      <xdr:colOff>19050</xdr:colOff>
      <xdr:row>93</xdr:row>
      <xdr:rowOff>28575</xdr:rowOff>
    </xdr:to>
    <xdr:sp macro="" textlink="">
      <xdr:nvSpPr>
        <xdr:cNvPr id="17430" name="Rectangle 22">
          <a:extLst>
            <a:ext uri="{FF2B5EF4-FFF2-40B4-BE49-F238E27FC236}">
              <a16:creationId xmlns:a16="http://schemas.microsoft.com/office/drawing/2014/main" id="{BC56FC78-77B7-41D2-B8EC-FFD30AC32E23}"/>
            </a:ext>
          </a:extLst>
        </xdr:cNvPr>
        <xdr:cNvSpPr>
          <a:spLocks noChangeArrowheads="1"/>
        </xdr:cNvSpPr>
      </xdr:nvSpPr>
      <xdr:spPr bwMode="auto">
        <a:xfrm>
          <a:off x="1466850" y="14773275"/>
          <a:ext cx="131445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Transmit</a:t>
          </a:r>
        </a:p>
        <a:p>
          <a:pPr algn="ctr" rtl="0">
            <a:defRPr sz="1000"/>
          </a:pPr>
          <a:r>
            <a:rPr lang="en-US" sz="1000" b="1" i="0" u="none" strike="noStrike" baseline="0">
              <a:solidFill>
                <a:srgbClr val="000000"/>
              </a:solidFill>
              <a:latin typeface="Arial"/>
              <a:cs typeface="Arial"/>
            </a:rPr>
            <a:t>Bandpass</a:t>
          </a:r>
        </a:p>
        <a:p>
          <a:pPr algn="ctr" rtl="0">
            <a:defRPr sz="1000"/>
          </a:pPr>
          <a:r>
            <a:rPr lang="en-US" sz="1000" b="1" i="0" u="none" strike="noStrike" baseline="0">
              <a:solidFill>
                <a:srgbClr val="000000"/>
              </a:solidFill>
              <a:latin typeface="Arial"/>
              <a:cs typeface="Arial"/>
            </a:rPr>
            <a:t>Filter</a:t>
          </a:r>
        </a:p>
      </xdr:txBody>
    </xdr:sp>
    <xdr:clientData/>
  </xdr:twoCellAnchor>
  <xdr:twoCellAnchor>
    <xdr:from>
      <xdr:col>3</xdr:col>
      <xdr:colOff>0</xdr:colOff>
      <xdr:row>88</xdr:row>
      <xdr:rowOff>28575</xdr:rowOff>
    </xdr:from>
    <xdr:to>
      <xdr:col>3</xdr:col>
      <xdr:colOff>0</xdr:colOff>
      <xdr:row>90</xdr:row>
      <xdr:rowOff>9525</xdr:rowOff>
    </xdr:to>
    <xdr:sp macro="" textlink="">
      <xdr:nvSpPr>
        <xdr:cNvPr id="81217" name="Line 23">
          <a:extLst>
            <a:ext uri="{FF2B5EF4-FFF2-40B4-BE49-F238E27FC236}">
              <a16:creationId xmlns:a16="http://schemas.microsoft.com/office/drawing/2014/main" id="{036BA673-422A-4E7A-965E-6FB0CDEF8C64}"/>
            </a:ext>
          </a:extLst>
        </xdr:cNvPr>
        <xdr:cNvSpPr>
          <a:spLocks noChangeShapeType="1"/>
        </xdr:cNvSpPr>
      </xdr:nvSpPr>
      <xdr:spPr bwMode="auto">
        <a:xfrm>
          <a:off x="2076450" y="14458950"/>
          <a:ext cx="0" cy="304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142875</xdr:colOff>
      <xdr:row>94</xdr:row>
      <xdr:rowOff>142875</xdr:rowOff>
    </xdr:from>
    <xdr:to>
      <xdr:col>3</xdr:col>
      <xdr:colOff>485775</xdr:colOff>
      <xdr:row>99</xdr:row>
      <xdr:rowOff>152400</xdr:rowOff>
    </xdr:to>
    <xdr:sp macro="" textlink="">
      <xdr:nvSpPr>
        <xdr:cNvPr id="17432" name="AutoShape 24">
          <a:extLst>
            <a:ext uri="{FF2B5EF4-FFF2-40B4-BE49-F238E27FC236}">
              <a16:creationId xmlns:a16="http://schemas.microsoft.com/office/drawing/2014/main" id="{99A03C8C-65E4-47D6-BA66-1C383468ED20}"/>
            </a:ext>
          </a:extLst>
        </xdr:cNvPr>
        <xdr:cNvSpPr>
          <a:spLocks noChangeArrowheads="1"/>
        </xdr:cNvSpPr>
      </xdr:nvSpPr>
      <xdr:spPr bwMode="auto">
        <a:xfrm>
          <a:off x="1600200" y="15544800"/>
          <a:ext cx="962025" cy="819150"/>
        </a:xfrm>
        <a:prstGeom prst="triangle">
          <a:avLst>
            <a:gd name="adj" fmla="val 50000"/>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HPA</a:t>
          </a:r>
        </a:p>
      </xdr:txBody>
    </xdr:sp>
    <xdr:clientData/>
  </xdr:twoCellAnchor>
  <xdr:twoCellAnchor>
    <xdr:from>
      <xdr:col>1</xdr:col>
      <xdr:colOff>590550</xdr:colOff>
      <xdr:row>102</xdr:row>
      <xdr:rowOff>0</xdr:rowOff>
    </xdr:from>
    <xdr:to>
      <xdr:col>3</xdr:col>
      <xdr:colOff>600075</xdr:colOff>
      <xdr:row>105</xdr:row>
      <xdr:rowOff>9525</xdr:rowOff>
    </xdr:to>
    <xdr:sp macro="" textlink="">
      <xdr:nvSpPr>
        <xdr:cNvPr id="17433" name="Rectangle 25">
          <a:extLst>
            <a:ext uri="{FF2B5EF4-FFF2-40B4-BE49-F238E27FC236}">
              <a16:creationId xmlns:a16="http://schemas.microsoft.com/office/drawing/2014/main" id="{72A8256E-3906-49B0-B256-77F0AD9EA708}"/>
            </a:ext>
          </a:extLst>
        </xdr:cNvPr>
        <xdr:cNvSpPr>
          <a:spLocks noChangeArrowheads="1"/>
        </xdr:cNvSpPr>
      </xdr:nvSpPr>
      <xdr:spPr bwMode="auto">
        <a:xfrm>
          <a:off x="1438275" y="16697325"/>
          <a:ext cx="123825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Transmitter</a:t>
          </a:r>
        </a:p>
        <a:p>
          <a:pPr algn="ctr" rtl="0">
            <a:defRPr sz="1000"/>
          </a:pPr>
          <a:r>
            <a:rPr lang="en-US" sz="1000" b="1" i="0" u="none" strike="noStrike" baseline="0">
              <a:solidFill>
                <a:srgbClr val="000000"/>
              </a:solidFill>
              <a:latin typeface="Arial"/>
              <a:cs typeface="Arial"/>
            </a:rPr>
            <a:t>Exciter/Modulator/</a:t>
          </a:r>
        </a:p>
        <a:p>
          <a:pPr algn="ctr" rtl="0">
            <a:defRPr sz="1000"/>
          </a:pPr>
          <a:r>
            <a:rPr lang="en-US" sz="1000" b="1" i="0" u="none" strike="noStrike" baseline="0">
              <a:solidFill>
                <a:srgbClr val="000000"/>
              </a:solidFill>
              <a:latin typeface="Arial"/>
              <a:cs typeface="Arial"/>
            </a:rPr>
            <a:t>FEC Encoder</a:t>
          </a:r>
        </a:p>
      </xdr:txBody>
    </xdr:sp>
    <xdr:clientData/>
  </xdr:twoCellAnchor>
  <xdr:twoCellAnchor>
    <xdr:from>
      <xdr:col>2</xdr:col>
      <xdr:colOff>600075</xdr:colOff>
      <xdr:row>93</xdr:row>
      <xdr:rowOff>19050</xdr:rowOff>
    </xdr:from>
    <xdr:to>
      <xdr:col>3</xdr:col>
      <xdr:colOff>0</xdr:colOff>
      <xdr:row>94</xdr:row>
      <xdr:rowOff>152400</xdr:rowOff>
    </xdr:to>
    <xdr:sp macro="" textlink="">
      <xdr:nvSpPr>
        <xdr:cNvPr id="81220" name="Line 26">
          <a:extLst>
            <a:ext uri="{FF2B5EF4-FFF2-40B4-BE49-F238E27FC236}">
              <a16:creationId xmlns:a16="http://schemas.microsoft.com/office/drawing/2014/main" id="{9AAABF6A-60CF-4872-8333-53A60BC8179C}"/>
            </a:ext>
          </a:extLst>
        </xdr:cNvPr>
        <xdr:cNvSpPr>
          <a:spLocks noChangeShapeType="1"/>
        </xdr:cNvSpPr>
      </xdr:nvSpPr>
      <xdr:spPr bwMode="auto">
        <a:xfrm>
          <a:off x="2057400" y="15259050"/>
          <a:ext cx="19050" cy="2952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0</xdr:colOff>
      <xdr:row>100</xdr:row>
      <xdr:rowOff>9525</xdr:rowOff>
    </xdr:from>
    <xdr:to>
      <xdr:col>3</xdr:col>
      <xdr:colOff>0</xdr:colOff>
      <xdr:row>101</xdr:row>
      <xdr:rowOff>152400</xdr:rowOff>
    </xdr:to>
    <xdr:sp macro="" textlink="">
      <xdr:nvSpPr>
        <xdr:cNvPr id="81221" name="Line 27">
          <a:extLst>
            <a:ext uri="{FF2B5EF4-FFF2-40B4-BE49-F238E27FC236}">
              <a16:creationId xmlns:a16="http://schemas.microsoft.com/office/drawing/2014/main" id="{7CA1A6C0-001F-4BDE-8998-B0D84FBA3D15}"/>
            </a:ext>
          </a:extLst>
        </xdr:cNvPr>
        <xdr:cNvSpPr>
          <a:spLocks noChangeShapeType="1"/>
        </xdr:cNvSpPr>
      </xdr:nvSpPr>
      <xdr:spPr bwMode="auto">
        <a:xfrm flipH="1">
          <a:off x="2076450" y="16383000"/>
          <a:ext cx="0" cy="304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600075</xdr:colOff>
      <xdr:row>105</xdr:row>
      <xdr:rowOff>9525</xdr:rowOff>
    </xdr:from>
    <xdr:to>
      <xdr:col>2</xdr:col>
      <xdr:colOff>600075</xdr:colOff>
      <xdr:row>108</xdr:row>
      <xdr:rowOff>9525</xdr:rowOff>
    </xdr:to>
    <xdr:sp macro="" textlink="">
      <xdr:nvSpPr>
        <xdr:cNvPr id="81222" name="Line 28">
          <a:extLst>
            <a:ext uri="{FF2B5EF4-FFF2-40B4-BE49-F238E27FC236}">
              <a16:creationId xmlns:a16="http://schemas.microsoft.com/office/drawing/2014/main" id="{E948996E-7B62-4154-AF22-B23D3B3289A9}"/>
            </a:ext>
          </a:extLst>
        </xdr:cNvPr>
        <xdr:cNvSpPr>
          <a:spLocks noChangeShapeType="1"/>
        </xdr:cNvSpPr>
      </xdr:nvSpPr>
      <xdr:spPr bwMode="auto">
        <a:xfrm flipV="1">
          <a:off x="2057400" y="17192625"/>
          <a:ext cx="0" cy="5143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552450</xdr:colOff>
      <xdr:row>65</xdr:row>
      <xdr:rowOff>85725</xdr:rowOff>
    </xdr:from>
    <xdr:to>
      <xdr:col>3</xdr:col>
      <xdr:colOff>47625</xdr:colOff>
      <xdr:row>75</xdr:row>
      <xdr:rowOff>76200</xdr:rowOff>
    </xdr:to>
    <xdr:sp macro="" textlink="">
      <xdr:nvSpPr>
        <xdr:cNvPr id="81223" name="AutoShape 31">
          <a:extLst>
            <a:ext uri="{FF2B5EF4-FFF2-40B4-BE49-F238E27FC236}">
              <a16:creationId xmlns:a16="http://schemas.microsoft.com/office/drawing/2014/main" id="{4DE12061-46E9-4FA5-A925-9E642E4277F0}"/>
            </a:ext>
          </a:extLst>
        </xdr:cNvPr>
        <xdr:cNvSpPr>
          <a:spLocks noChangeArrowheads="1"/>
        </xdr:cNvSpPr>
      </xdr:nvSpPr>
      <xdr:spPr bwMode="auto">
        <a:xfrm>
          <a:off x="2009775" y="10791825"/>
          <a:ext cx="114300" cy="1609725"/>
        </a:xfrm>
        <a:prstGeom prst="upArrow">
          <a:avLst>
            <a:gd name="adj1" fmla="val 50000"/>
            <a:gd name="adj2" fmla="val 352083"/>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FF0000" mc:Ignorable="a14" a14:legacySpreadsheetColorIndex="10"/>
          </a:solidFill>
          <a:miter lim="800000"/>
          <a:headEnd/>
          <a:tailEnd/>
        </a:ln>
      </xdr:spPr>
    </xdr:sp>
    <xdr:clientData/>
  </xdr:twoCellAnchor>
  <xdr:twoCellAnchor>
    <xdr:from>
      <xdr:col>2</xdr:col>
      <xdr:colOff>409575</xdr:colOff>
      <xdr:row>70</xdr:row>
      <xdr:rowOff>38100</xdr:rowOff>
    </xdr:from>
    <xdr:to>
      <xdr:col>3</xdr:col>
      <xdr:colOff>190500</xdr:colOff>
      <xdr:row>71</xdr:row>
      <xdr:rowOff>28575</xdr:rowOff>
    </xdr:to>
    <xdr:sp macro="" textlink="">
      <xdr:nvSpPr>
        <xdr:cNvPr id="81224" name="AutoShape 32">
          <a:extLst>
            <a:ext uri="{FF2B5EF4-FFF2-40B4-BE49-F238E27FC236}">
              <a16:creationId xmlns:a16="http://schemas.microsoft.com/office/drawing/2014/main" id="{C01A1FA2-D5FD-4436-A5FF-48CDF877F25D}"/>
            </a:ext>
          </a:extLst>
        </xdr:cNvPr>
        <xdr:cNvSpPr>
          <a:spLocks noChangeArrowheads="1"/>
        </xdr:cNvSpPr>
      </xdr:nvSpPr>
      <xdr:spPr bwMode="auto">
        <a:xfrm>
          <a:off x="1866900" y="11553825"/>
          <a:ext cx="400050" cy="152400"/>
        </a:xfrm>
        <a:prstGeom prst="wave">
          <a:avLst>
            <a:gd name="adj1" fmla="val 20644"/>
            <a:gd name="adj2" fmla="val -1162"/>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2</xdr:col>
      <xdr:colOff>342900</xdr:colOff>
      <xdr:row>70</xdr:row>
      <xdr:rowOff>28575</xdr:rowOff>
    </xdr:from>
    <xdr:to>
      <xdr:col>2</xdr:col>
      <xdr:colOff>419100</xdr:colOff>
      <xdr:row>71</xdr:row>
      <xdr:rowOff>0</xdr:rowOff>
    </xdr:to>
    <xdr:sp macro="" textlink="">
      <xdr:nvSpPr>
        <xdr:cNvPr id="81225" name="Rectangle 33">
          <a:extLst>
            <a:ext uri="{FF2B5EF4-FFF2-40B4-BE49-F238E27FC236}">
              <a16:creationId xmlns:a16="http://schemas.microsoft.com/office/drawing/2014/main" id="{F6BD24BB-4836-4ECB-9701-7CF560353539}"/>
            </a:ext>
          </a:extLst>
        </xdr:cNvPr>
        <xdr:cNvSpPr>
          <a:spLocks noChangeArrowheads="1"/>
        </xdr:cNvSpPr>
      </xdr:nvSpPr>
      <xdr:spPr bwMode="auto">
        <a:xfrm>
          <a:off x="1800225" y="11544300"/>
          <a:ext cx="76200" cy="13335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C0C0C0" mc:Ignorable="a14" a14:legacySpreadsheetColorIndex="22"/>
          </a:solidFill>
          <a:miter lim="800000"/>
          <a:headEnd/>
          <a:tailEnd/>
        </a:ln>
      </xdr:spPr>
    </xdr:sp>
    <xdr:clientData/>
  </xdr:twoCellAnchor>
  <xdr:twoCellAnchor>
    <xdr:from>
      <xdr:col>3</xdr:col>
      <xdr:colOff>161925</xdr:colOff>
      <xdr:row>70</xdr:row>
      <xdr:rowOff>57150</xdr:rowOff>
    </xdr:from>
    <xdr:to>
      <xdr:col>3</xdr:col>
      <xdr:colOff>238125</xdr:colOff>
      <xdr:row>71</xdr:row>
      <xdr:rowOff>28575</xdr:rowOff>
    </xdr:to>
    <xdr:sp macro="" textlink="">
      <xdr:nvSpPr>
        <xdr:cNvPr id="81226" name="Rectangle 34">
          <a:extLst>
            <a:ext uri="{FF2B5EF4-FFF2-40B4-BE49-F238E27FC236}">
              <a16:creationId xmlns:a16="http://schemas.microsoft.com/office/drawing/2014/main" id="{11684A4B-AD1A-4A4D-B8EA-83ED95A326CC}"/>
            </a:ext>
          </a:extLst>
        </xdr:cNvPr>
        <xdr:cNvSpPr>
          <a:spLocks noChangeArrowheads="1"/>
        </xdr:cNvSpPr>
      </xdr:nvSpPr>
      <xdr:spPr bwMode="auto">
        <a:xfrm>
          <a:off x="2238375" y="11572875"/>
          <a:ext cx="76200" cy="13335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C0C0C0" mc:Ignorable="a14" a14:legacySpreadsheetColorIndex="22"/>
          </a:solidFill>
          <a:miter lim="800000"/>
          <a:headEnd/>
          <a:tailEnd/>
        </a:ln>
      </xdr:spPr>
    </xdr:sp>
    <xdr:clientData/>
  </xdr:twoCellAnchor>
  <xdr:oneCellAnchor>
    <xdr:from>
      <xdr:col>2</xdr:col>
      <xdr:colOff>304800</xdr:colOff>
      <xdr:row>37</xdr:row>
      <xdr:rowOff>123825</xdr:rowOff>
    </xdr:from>
    <xdr:ext cx="592726" cy="318036"/>
    <xdr:sp macro="" textlink="">
      <xdr:nvSpPr>
        <xdr:cNvPr id="17449" name="Text Box 41">
          <a:extLst>
            <a:ext uri="{FF2B5EF4-FFF2-40B4-BE49-F238E27FC236}">
              <a16:creationId xmlns:a16="http://schemas.microsoft.com/office/drawing/2014/main" id="{6441B117-113F-43AC-803C-9D901EFE22B1}"/>
            </a:ext>
          </a:extLst>
        </xdr:cNvPr>
        <xdr:cNvSpPr txBox="1">
          <a:spLocks noChangeArrowheads="1"/>
        </xdr:cNvSpPr>
      </xdr:nvSpPr>
      <xdr:spPr bwMode="auto">
        <a:xfrm>
          <a:off x="1755198" y="6315075"/>
          <a:ext cx="592726"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2nd </a:t>
          </a:r>
        </a:p>
        <a:p>
          <a:pPr algn="ctr" rtl="0">
            <a:defRPr sz="1000"/>
          </a:pPr>
          <a:r>
            <a:rPr lang="en-US" sz="1000" b="1" i="0" u="none" strike="noStrike" baseline="0">
              <a:solidFill>
                <a:srgbClr val="000000"/>
              </a:solidFill>
              <a:latin typeface="Arial"/>
              <a:cs typeface="Arial"/>
            </a:rPr>
            <a:t>Amplifier</a:t>
          </a:r>
        </a:p>
      </xdr:txBody>
    </xdr:sp>
    <xdr:clientData/>
  </xdr:oneCellAnchor>
  <xdr:oneCellAnchor>
    <xdr:from>
      <xdr:col>2</xdr:col>
      <xdr:colOff>295275</xdr:colOff>
      <xdr:row>23</xdr:row>
      <xdr:rowOff>66675</xdr:rowOff>
    </xdr:from>
    <xdr:ext cx="655206" cy="506418"/>
    <xdr:sp macro="" textlink="">
      <xdr:nvSpPr>
        <xdr:cNvPr id="17452" name="Text Box 44">
          <a:extLst>
            <a:ext uri="{FF2B5EF4-FFF2-40B4-BE49-F238E27FC236}">
              <a16:creationId xmlns:a16="http://schemas.microsoft.com/office/drawing/2014/main" id="{2CA3424A-8BDC-4E53-BE8D-25505AB8C322}"/>
            </a:ext>
          </a:extLst>
        </xdr:cNvPr>
        <xdr:cNvSpPr txBox="1">
          <a:spLocks noChangeArrowheads="1"/>
        </xdr:cNvSpPr>
      </xdr:nvSpPr>
      <xdr:spPr bwMode="auto">
        <a:xfrm>
          <a:off x="1752600" y="3971925"/>
          <a:ext cx="704850" cy="523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Data</a:t>
          </a:r>
        </a:p>
        <a:p>
          <a:pPr algn="ctr" rtl="0">
            <a:defRPr sz="1000"/>
          </a:pPr>
          <a:r>
            <a:rPr lang="en-US" sz="1000" b="1" i="0" u="none" strike="noStrike" baseline="0">
              <a:solidFill>
                <a:srgbClr val="000000"/>
              </a:solidFill>
              <a:latin typeface="Arial"/>
              <a:cs typeface="Arial"/>
            </a:rPr>
            <a:t>Bandpass</a:t>
          </a:r>
        </a:p>
        <a:p>
          <a:pPr algn="ctr" rtl="0">
            <a:defRPr sz="1000"/>
          </a:pPr>
          <a:r>
            <a:rPr lang="en-US" sz="1000" b="1" i="0" u="none" strike="noStrike" baseline="0">
              <a:solidFill>
                <a:srgbClr val="000000"/>
              </a:solidFill>
              <a:latin typeface="Arial"/>
              <a:cs typeface="Arial"/>
            </a:rPr>
            <a:t>Filter</a:t>
          </a:r>
        </a:p>
      </xdr:txBody>
    </xdr:sp>
    <xdr:clientData/>
  </xdr:oneCellAnchor>
  <xdr:oneCellAnchor>
    <xdr:from>
      <xdr:col>2</xdr:col>
      <xdr:colOff>9525</xdr:colOff>
      <xdr:row>18</xdr:row>
      <xdr:rowOff>66675</xdr:rowOff>
    </xdr:from>
    <xdr:ext cx="1150429" cy="181367"/>
    <xdr:sp macro="" textlink="">
      <xdr:nvSpPr>
        <xdr:cNvPr id="17453" name="Text Box 45">
          <a:extLst>
            <a:ext uri="{FF2B5EF4-FFF2-40B4-BE49-F238E27FC236}">
              <a16:creationId xmlns:a16="http://schemas.microsoft.com/office/drawing/2014/main" id="{90779639-B1AB-4E7B-A493-D20D5E035A01}"/>
            </a:ext>
          </a:extLst>
        </xdr:cNvPr>
        <xdr:cNvSpPr txBox="1">
          <a:spLocks noChangeArrowheads="1"/>
        </xdr:cNvSpPr>
      </xdr:nvSpPr>
      <xdr:spPr bwMode="auto">
        <a:xfrm>
          <a:off x="1466850" y="3162300"/>
          <a:ext cx="11906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Data</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Demodulator</a:t>
          </a:r>
        </a:p>
      </xdr:txBody>
    </xdr:sp>
    <xdr:clientData/>
  </xdr:oneCellAnchor>
  <xdr:oneCellAnchor>
    <xdr:from>
      <xdr:col>2</xdr:col>
      <xdr:colOff>66675</xdr:colOff>
      <xdr:row>12</xdr:row>
      <xdr:rowOff>19050</xdr:rowOff>
    </xdr:from>
    <xdr:ext cx="1137234" cy="170560"/>
    <xdr:sp macro="" textlink="">
      <xdr:nvSpPr>
        <xdr:cNvPr id="17454" name="Text Box 46">
          <a:extLst>
            <a:ext uri="{FF2B5EF4-FFF2-40B4-BE49-F238E27FC236}">
              <a16:creationId xmlns:a16="http://schemas.microsoft.com/office/drawing/2014/main" id="{DE4EDA3A-CE0B-49BF-A04F-7234F9D939A9}"/>
            </a:ext>
          </a:extLst>
        </xdr:cNvPr>
        <xdr:cNvSpPr txBox="1">
          <a:spLocks noChangeArrowheads="1"/>
        </xdr:cNvSpPr>
      </xdr:nvSpPr>
      <xdr:spPr bwMode="auto">
        <a:xfrm>
          <a:off x="1517073" y="2151351"/>
          <a:ext cx="113723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Data FEC Decoder</a:t>
          </a:r>
        </a:p>
      </xdr:txBody>
    </xdr:sp>
    <xdr:clientData/>
  </xdr:oneCellAnchor>
  <xdr:twoCellAnchor>
    <xdr:from>
      <xdr:col>0</xdr:col>
      <xdr:colOff>485775</xdr:colOff>
      <xdr:row>11</xdr:row>
      <xdr:rowOff>9525</xdr:rowOff>
    </xdr:from>
    <xdr:to>
      <xdr:col>1</xdr:col>
      <xdr:colOff>152400</xdr:colOff>
      <xdr:row>65</xdr:row>
      <xdr:rowOff>38100</xdr:rowOff>
    </xdr:to>
    <xdr:sp macro="" textlink="">
      <xdr:nvSpPr>
        <xdr:cNvPr id="81231" name="AutoShape 47">
          <a:extLst>
            <a:ext uri="{FF2B5EF4-FFF2-40B4-BE49-F238E27FC236}">
              <a16:creationId xmlns:a16="http://schemas.microsoft.com/office/drawing/2014/main" id="{F1A03A71-EA37-4E1B-9505-2EDF5D5F4936}"/>
            </a:ext>
          </a:extLst>
        </xdr:cNvPr>
        <xdr:cNvSpPr>
          <a:spLocks/>
        </xdr:cNvSpPr>
      </xdr:nvSpPr>
      <xdr:spPr bwMode="auto">
        <a:xfrm>
          <a:off x="485775" y="1933575"/>
          <a:ext cx="514350" cy="8810625"/>
        </a:xfrm>
        <a:prstGeom prst="leftBrace">
          <a:avLst>
            <a:gd name="adj1" fmla="val 142747"/>
            <a:gd name="adj2" fmla="val 50444"/>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xdr:col>
      <xdr:colOff>28575</xdr:colOff>
      <xdr:row>85</xdr:row>
      <xdr:rowOff>28575</xdr:rowOff>
    </xdr:from>
    <xdr:to>
      <xdr:col>1</xdr:col>
      <xdr:colOff>266700</xdr:colOff>
      <xdr:row>105</xdr:row>
      <xdr:rowOff>28575</xdr:rowOff>
    </xdr:to>
    <xdr:sp macro="" textlink="">
      <xdr:nvSpPr>
        <xdr:cNvPr id="81232" name="AutoShape 48">
          <a:extLst>
            <a:ext uri="{FF2B5EF4-FFF2-40B4-BE49-F238E27FC236}">
              <a16:creationId xmlns:a16="http://schemas.microsoft.com/office/drawing/2014/main" id="{B103DB2B-7E24-404A-AD84-71A4D42E4506}"/>
            </a:ext>
          </a:extLst>
        </xdr:cNvPr>
        <xdr:cNvSpPr>
          <a:spLocks/>
        </xdr:cNvSpPr>
      </xdr:nvSpPr>
      <xdr:spPr bwMode="auto">
        <a:xfrm>
          <a:off x="876300" y="13973175"/>
          <a:ext cx="238125" cy="3238500"/>
        </a:xfrm>
        <a:prstGeom prst="leftBrace">
          <a:avLst>
            <a:gd name="adj1" fmla="val 113333"/>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0</xdr:col>
      <xdr:colOff>123825</xdr:colOff>
      <xdr:row>37</xdr:row>
      <xdr:rowOff>133350</xdr:rowOff>
    </xdr:from>
    <xdr:ext cx="232243" cy="170560"/>
    <xdr:sp macro="" textlink="">
      <xdr:nvSpPr>
        <xdr:cNvPr id="17457" name="Text Box 49">
          <a:extLst>
            <a:ext uri="{FF2B5EF4-FFF2-40B4-BE49-F238E27FC236}">
              <a16:creationId xmlns:a16="http://schemas.microsoft.com/office/drawing/2014/main" id="{10F4D3AB-4127-488E-99F8-04210A540C9B}"/>
            </a:ext>
          </a:extLst>
        </xdr:cNvPr>
        <xdr:cNvSpPr txBox="1">
          <a:spLocks noChangeArrowheads="1"/>
        </xdr:cNvSpPr>
      </xdr:nvSpPr>
      <xdr:spPr bwMode="auto">
        <a:xfrm>
          <a:off x="123825" y="6324600"/>
          <a:ext cx="232243"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S/C</a:t>
          </a:r>
        </a:p>
      </xdr:txBody>
    </xdr:sp>
    <xdr:clientData/>
  </xdr:oneCellAnchor>
  <xdr:oneCellAnchor>
    <xdr:from>
      <xdr:col>0</xdr:col>
      <xdr:colOff>0</xdr:colOff>
      <xdr:row>94</xdr:row>
      <xdr:rowOff>0</xdr:rowOff>
    </xdr:from>
    <xdr:ext cx="481542" cy="318036"/>
    <xdr:sp macro="" textlink="">
      <xdr:nvSpPr>
        <xdr:cNvPr id="17458" name="Text Box 50">
          <a:extLst>
            <a:ext uri="{FF2B5EF4-FFF2-40B4-BE49-F238E27FC236}">
              <a16:creationId xmlns:a16="http://schemas.microsoft.com/office/drawing/2014/main" id="{4B078AC8-CFDE-4FAA-89C3-7FAA52AEF793}"/>
            </a:ext>
          </a:extLst>
        </xdr:cNvPr>
        <xdr:cNvSpPr txBox="1">
          <a:spLocks noChangeArrowheads="1"/>
        </xdr:cNvSpPr>
      </xdr:nvSpPr>
      <xdr:spPr bwMode="auto">
        <a:xfrm>
          <a:off x="0" y="15445653"/>
          <a:ext cx="481542"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Ground</a:t>
          </a:r>
        </a:p>
        <a:p>
          <a:pPr algn="l" rtl="0">
            <a:defRPr sz="1000"/>
          </a:pPr>
          <a:r>
            <a:rPr lang="en-US" sz="1000" b="1" i="0" u="none" strike="noStrike" baseline="0">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657225</xdr:colOff>
      <xdr:row>4</xdr:row>
      <xdr:rowOff>76200</xdr:rowOff>
    </xdr:to>
    <xdr:sp macro="" textlink="">
      <xdr:nvSpPr>
        <xdr:cNvPr id="81235" name="Line 51">
          <a:extLst>
            <a:ext uri="{FF2B5EF4-FFF2-40B4-BE49-F238E27FC236}">
              <a16:creationId xmlns:a16="http://schemas.microsoft.com/office/drawing/2014/main" id="{BEB70F70-F90A-4BCC-B7C1-99DC445D99A4}"/>
            </a:ext>
          </a:extLst>
        </xdr:cNvPr>
        <xdr:cNvSpPr>
          <a:spLocks noChangeShapeType="1"/>
        </xdr:cNvSpPr>
      </xdr:nvSpPr>
      <xdr:spPr bwMode="auto">
        <a:xfrm>
          <a:off x="2076450" y="838200"/>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9525</xdr:colOff>
      <xdr:row>6</xdr:row>
      <xdr:rowOff>85725</xdr:rowOff>
    </xdr:from>
    <xdr:to>
      <xdr:col>3</xdr:col>
      <xdr:colOff>666750</xdr:colOff>
      <xdr:row>6</xdr:row>
      <xdr:rowOff>85725</xdr:rowOff>
    </xdr:to>
    <xdr:sp macro="" textlink="">
      <xdr:nvSpPr>
        <xdr:cNvPr id="81236" name="Line 52">
          <a:extLst>
            <a:ext uri="{FF2B5EF4-FFF2-40B4-BE49-F238E27FC236}">
              <a16:creationId xmlns:a16="http://schemas.microsoft.com/office/drawing/2014/main" id="{13ED8A30-C401-401E-8AAF-67760722F66C}"/>
            </a:ext>
          </a:extLst>
        </xdr:cNvPr>
        <xdr:cNvSpPr>
          <a:spLocks noChangeShapeType="1"/>
        </xdr:cNvSpPr>
      </xdr:nvSpPr>
      <xdr:spPr bwMode="auto">
        <a:xfrm>
          <a:off x="2085975" y="1190625"/>
          <a:ext cx="6572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361950</xdr:colOff>
      <xdr:row>70</xdr:row>
      <xdr:rowOff>28575</xdr:rowOff>
    </xdr:from>
    <xdr:ext cx="450124" cy="318036"/>
    <xdr:sp macro="" textlink="">
      <xdr:nvSpPr>
        <xdr:cNvPr id="17461" name="Text Box 53">
          <a:extLst>
            <a:ext uri="{FF2B5EF4-FFF2-40B4-BE49-F238E27FC236}">
              <a16:creationId xmlns:a16="http://schemas.microsoft.com/office/drawing/2014/main" id="{E0CF8C35-85C0-437C-8701-FF45551528E9}"/>
            </a:ext>
          </a:extLst>
        </xdr:cNvPr>
        <xdr:cNvSpPr txBox="1">
          <a:spLocks noChangeArrowheads="1"/>
        </xdr:cNvSpPr>
      </xdr:nvSpPr>
      <xdr:spPr bwMode="auto">
        <a:xfrm>
          <a:off x="361950" y="11577638"/>
          <a:ext cx="450124"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RADIO</a:t>
          </a:r>
        </a:p>
        <a:p>
          <a:pPr algn="ctr" rtl="0">
            <a:defRPr sz="1000"/>
          </a:pPr>
          <a:r>
            <a:rPr lang="en-US" sz="1000" b="1" i="0" u="none" strike="noStrike" baseline="0">
              <a:solidFill>
                <a:srgbClr val="000000"/>
              </a:solidFill>
              <a:latin typeface="Arial"/>
              <a:cs typeface="Arial"/>
            </a:rPr>
            <a:t>LINK</a:t>
          </a:r>
        </a:p>
      </xdr:txBody>
    </xdr:sp>
    <xdr:clientData/>
  </xdr:oneCellAnchor>
  <xdr:twoCellAnchor>
    <xdr:from>
      <xdr:col>10</xdr:col>
      <xdr:colOff>0</xdr:colOff>
      <xdr:row>5</xdr:row>
      <xdr:rowOff>161925</xdr:rowOff>
    </xdr:from>
    <xdr:to>
      <xdr:col>12</xdr:col>
      <xdr:colOff>9525</xdr:colOff>
      <xdr:row>9</xdr:row>
      <xdr:rowOff>0</xdr:rowOff>
    </xdr:to>
    <xdr:sp macro="" textlink="">
      <xdr:nvSpPr>
        <xdr:cNvPr id="81238" name="Rectangle 55">
          <a:extLst>
            <a:ext uri="{FF2B5EF4-FFF2-40B4-BE49-F238E27FC236}">
              <a16:creationId xmlns:a16="http://schemas.microsoft.com/office/drawing/2014/main" id="{7CECF3A6-37B7-4E9A-8282-9E11893353E4}"/>
            </a:ext>
          </a:extLst>
        </xdr:cNvPr>
        <xdr:cNvSpPr>
          <a:spLocks noChangeArrowheads="1"/>
        </xdr:cNvSpPr>
      </xdr:nvSpPr>
      <xdr:spPr bwMode="auto">
        <a:xfrm>
          <a:off x="6343650" y="1095375"/>
          <a:ext cx="1524000" cy="504825"/>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219075</xdr:colOff>
      <xdr:row>11</xdr:row>
      <xdr:rowOff>9525</xdr:rowOff>
    </xdr:from>
    <xdr:to>
      <xdr:col>11</xdr:col>
      <xdr:colOff>466725</xdr:colOff>
      <xdr:row>16</xdr:row>
      <xdr:rowOff>19050</xdr:rowOff>
    </xdr:to>
    <xdr:sp macro="" textlink="">
      <xdr:nvSpPr>
        <xdr:cNvPr id="17464" name="AutoShape 56">
          <a:extLst>
            <a:ext uri="{FF2B5EF4-FFF2-40B4-BE49-F238E27FC236}">
              <a16:creationId xmlns:a16="http://schemas.microsoft.com/office/drawing/2014/main" id="{5F1440F8-0009-4A86-B2CB-919A0F4E6243}"/>
            </a:ext>
          </a:extLst>
        </xdr:cNvPr>
        <xdr:cNvSpPr>
          <a:spLocks noChangeArrowheads="1"/>
        </xdr:cNvSpPr>
      </xdr:nvSpPr>
      <xdr:spPr bwMode="auto">
        <a:xfrm rot="10800000">
          <a:off x="6324600" y="1933575"/>
          <a:ext cx="952500" cy="857250"/>
        </a:xfrm>
        <a:prstGeom prst="triangle">
          <a:avLst>
            <a:gd name="adj" fmla="val 50000"/>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HPA</a:t>
          </a:r>
        </a:p>
      </xdr:txBody>
    </xdr:sp>
    <xdr:clientData/>
  </xdr:twoCellAnchor>
  <xdr:twoCellAnchor>
    <xdr:from>
      <xdr:col>10</xdr:col>
      <xdr:colOff>9525</xdr:colOff>
      <xdr:row>23</xdr:row>
      <xdr:rowOff>0</xdr:rowOff>
    </xdr:from>
    <xdr:to>
      <xdr:col>11</xdr:col>
      <xdr:colOff>600075</xdr:colOff>
      <xdr:row>26</xdr:row>
      <xdr:rowOff>95250</xdr:rowOff>
    </xdr:to>
    <xdr:sp macro="" textlink="">
      <xdr:nvSpPr>
        <xdr:cNvPr id="17465" name="Rectangle 57">
          <a:extLst>
            <a:ext uri="{FF2B5EF4-FFF2-40B4-BE49-F238E27FC236}">
              <a16:creationId xmlns:a16="http://schemas.microsoft.com/office/drawing/2014/main" id="{C3D36586-F852-4E2F-A1A3-3597846474F9}"/>
            </a:ext>
          </a:extLst>
        </xdr:cNvPr>
        <xdr:cNvSpPr>
          <a:spLocks noChangeArrowheads="1"/>
        </xdr:cNvSpPr>
      </xdr:nvSpPr>
      <xdr:spPr bwMode="auto">
        <a:xfrm>
          <a:off x="6115050" y="3905250"/>
          <a:ext cx="1295400" cy="581025"/>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Other </a:t>
          </a:r>
        </a:p>
        <a:p>
          <a:pPr algn="ctr" rtl="0">
            <a:defRPr sz="1000"/>
          </a:pPr>
          <a:r>
            <a:rPr lang="en-US" sz="1000" b="1" i="0" u="none" strike="noStrike" baseline="0">
              <a:solidFill>
                <a:srgbClr val="000000"/>
              </a:solidFill>
              <a:latin typeface="Arial"/>
              <a:cs typeface="Arial"/>
            </a:rPr>
            <a:t>In-Line</a:t>
          </a:r>
        </a:p>
        <a:p>
          <a:pPr algn="ctr" rtl="0">
            <a:defRPr sz="1000"/>
          </a:pPr>
          <a:r>
            <a:rPr lang="en-US" sz="1000" b="1" i="0" u="none" strike="noStrike" baseline="0">
              <a:solidFill>
                <a:srgbClr val="000000"/>
              </a:solidFill>
              <a:latin typeface="Arial"/>
              <a:cs typeface="Arial"/>
            </a:rPr>
            <a:t>Device</a:t>
          </a:r>
        </a:p>
      </xdr:txBody>
    </xdr:sp>
    <xdr:clientData/>
  </xdr:twoCellAnchor>
  <xdr:twoCellAnchor>
    <xdr:from>
      <xdr:col>10</xdr:col>
      <xdr:colOff>19050</xdr:colOff>
      <xdr:row>18</xdr:row>
      <xdr:rowOff>9525</xdr:rowOff>
    </xdr:from>
    <xdr:to>
      <xdr:col>12</xdr:col>
      <xdr:colOff>0</xdr:colOff>
      <xdr:row>21</xdr:row>
      <xdr:rowOff>19050</xdr:rowOff>
    </xdr:to>
    <xdr:sp macro="" textlink="">
      <xdr:nvSpPr>
        <xdr:cNvPr id="17466" name="Rectangle 58">
          <a:extLst>
            <a:ext uri="{FF2B5EF4-FFF2-40B4-BE49-F238E27FC236}">
              <a16:creationId xmlns:a16="http://schemas.microsoft.com/office/drawing/2014/main" id="{B623F302-B478-4653-8AB0-EB2AC5FC46CC}"/>
            </a:ext>
          </a:extLst>
        </xdr:cNvPr>
        <xdr:cNvSpPr>
          <a:spLocks noChangeArrowheads="1"/>
        </xdr:cNvSpPr>
      </xdr:nvSpPr>
      <xdr:spPr bwMode="auto">
        <a:xfrm>
          <a:off x="6124575" y="3105150"/>
          <a:ext cx="133350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Transmit</a:t>
          </a:r>
        </a:p>
        <a:p>
          <a:pPr algn="ctr" rtl="0">
            <a:defRPr sz="1000"/>
          </a:pPr>
          <a:r>
            <a:rPr lang="en-US" sz="1000" b="1" i="0" u="none" strike="noStrike" baseline="0">
              <a:solidFill>
                <a:srgbClr val="000000"/>
              </a:solidFill>
              <a:latin typeface="Arial"/>
              <a:cs typeface="Arial"/>
            </a:rPr>
            <a:t>Bandpass</a:t>
          </a:r>
        </a:p>
        <a:p>
          <a:pPr algn="ctr" rtl="0">
            <a:defRPr sz="1000"/>
          </a:pPr>
          <a:r>
            <a:rPr lang="en-US" sz="1000" b="1" i="0" u="none" strike="noStrike" baseline="0">
              <a:solidFill>
                <a:srgbClr val="000000"/>
              </a:solidFill>
              <a:latin typeface="Arial"/>
              <a:cs typeface="Arial"/>
            </a:rPr>
            <a:t>Filter</a:t>
          </a:r>
        </a:p>
      </xdr:txBody>
    </xdr:sp>
    <xdr:clientData/>
  </xdr:twoCellAnchor>
  <xdr:twoCellAnchor>
    <xdr:from>
      <xdr:col>11</xdr:col>
      <xdr:colOff>0</xdr:colOff>
      <xdr:row>21</xdr:row>
      <xdr:rowOff>28575</xdr:rowOff>
    </xdr:from>
    <xdr:to>
      <xdr:col>11</xdr:col>
      <xdr:colOff>0</xdr:colOff>
      <xdr:row>23</xdr:row>
      <xdr:rowOff>9525</xdr:rowOff>
    </xdr:to>
    <xdr:sp macro="" textlink="">
      <xdr:nvSpPr>
        <xdr:cNvPr id="81242" name="Line 59">
          <a:extLst>
            <a:ext uri="{FF2B5EF4-FFF2-40B4-BE49-F238E27FC236}">
              <a16:creationId xmlns:a16="http://schemas.microsoft.com/office/drawing/2014/main" id="{B388B4D5-345A-4819-9D03-1B4EE984C3E3}"/>
            </a:ext>
          </a:extLst>
        </xdr:cNvPr>
        <xdr:cNvSpPr>
          <a:spLocks noChangeShapeType="1"/>
        </xdr:cNvSpPr>
      </xdr:nvSpPr>
      <xdr:spPr bwMode="auto">
        <a:xfrm>
          <a:off x="7048500" y="3609975"/>
          <a:ext cx="0" cy="304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16</xdr:row>
      <xdr:rowOff>28575</xdr:rowOff>
    </xdr:from>
    <xdr:to>
      <xdr:col>11</xdr:col>
      <xdr:colOff>0</xdr:colOff>
      <xdr:row>18</xdr:row>
      <xdr:rowOff>9525</xdr:rowOff>
    </xdr:to>
    <xdr:sp macro="" textlink="">
      <xdr:nvSpPr>
        <xdr:cNvPr id="81243" name="Line 60">
          <a:extLst>
            <a:ext uri="{FF2B5EF4-FFF2-40B4-BE49-F238E27FC236}">
              <a16:creationId xmlns:a16="http://schemas.microsoft.com/office/drawing/2014/main" id="{81D1253C-B9A8-4174-B1D0-FEDDC234E3E2}"/>
            </a:ext>
          </a:extLst>
        </xdr:cNvPr>
        <xdr:cNvSpPr>
          <a:spLocks noChangeShapeType="1"/>
        </xdr:cNvSpPr>
      </xdr:nvSpPr>
      <xdr:spPr bwMode="auto">
        <a:xfrm>
          <a:off x="7048500" y="2800350"/>
          <a:ext cx="0" cy="304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9</xdr:row>
      <xdr:rowOff>0</xdr:rowOff>
    </xdr:from>
    <xdr:to>
      <xdr:col>11</xdr:col>
      <xdr:colOff>0</xdr:colOff>
      <xdr:row>11</xdr:row>
      <xdr:rowOff>0</xdr:rowOff>
    </xdr:to>
    <xdr:sp macro="" textlink="">
      <xdr:nvSpPr>
        <xdr:cNvPr id="81244" name="Line 61">
          <a:extLst>
            <a:ext uri="{FF2B5EF4-FFF2-40B4-BE49-F238E27FC236}">
              <a16:creationId xmlns:a16="http://schemas.microsoft.com/office/drawing/2014/main" id="{BC8905DA-B9E8-45CD-BC08-98969C89BB38}"/>
            </a:ext>
          </a:extLst>
        </xdr:cNvPr>
        <xdr:cNvSpPr>
          <a:spLocks noChangeShapeType="1"/>
        </xdr:cNvSpPr>
      </xdr:nvSpPr>
      <xdr:spPr bwMode="auto">
        <a:xfrm>
          <a:off x="7048500" y="1600200"/>
          <a:ext cx="0" cy="3238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85725</xdr:colOff>
      <xdr:row>6</xdr:row>
      <xdr:rowOff>0</xdr:rowOff>
    </xdr:from>
    <xdr:ext cx="1160793" cy="507329"/>
    <xdr:sp macro="" textlink="">
      <xdr:nvSpPr>
        <xdr:cNvPr id="17470" name="Text Box 62">
          <a:extLst>
            <a:ext uri="{FF2B5EF4-FFF2-40B4-BE49-F238E27FC236}">
              <a16:creationId xmlns:a16="http://schemas.microsoft.com/office/drawing/2014/main" id="{39208A96-3A9D-44AB-86CD-5459658B4006}"/>
            </a:ext>
          </a:extLst>
        </xdr:cNvPr>
        <xdr:cNvSpPr txBox="1">
          <a:spLocks noChangeArrowheads="1"/>
        </xdr:cNvSpPr>
      </xdr:nvSpPr>
      <xdr:spPr bwMode="auto">
        <a:xfrm>
          <a:off x="6191250" y="1104900"/>
          <a:ext cx="1200150" cy="523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Transmitter</a:t>
          </a:r>
        </a:p>
        <a:p>
          <a:pPr algn="ctr" rtl="0">
            <a:defRPr sz="1000"/>
          </a:pPr>
          <a:r>
            <a:rPr lang="en-US" sz="1000" b="1" i="0" u="none" strike="noStrike" baseline="0">
              <a:solidFill>
                <a:srgbClr val="000000"/>
              </a:solidFill>
              <a:latin typeface="Arial"/>
              <a:cs typeface="Arial"/>
            </a:rPr>
            <a:t>Exciter/Modulator/</a:t>
          </a:r>
        </a:p>
        <a:p>
          <a:pPr algn="ctr" rtl="0">
            <a:defRPr sz="1000"/>
          </a:pPr>
          <a:r>
            <a:rPr lang="en-US" sz="1000" b="1" i="0" u="none" strike="noStrike" baseline="0">
              <a:solidFill>
                <a:srgbClr val="000000"/>
              </a:solidFill>
              <a:latin typeface="Arial"/>
              <a:cs typeface="Arial"/>
            </a:rPr>
            <a:t>FEC Encoder</a:t>
          </a:r>
        </a:p>
      </xdr:txBody>
    </xdr:sp>
    <xdr:clientData/>
  </xdr:oneCellAnchor>
  <xdr:twoCellAnchor>
    <xdr:from>
      <xdr:col>11</xdr:col>
      <xdr:colOff>0</xdr:colOff>
      <xdr:row>5</xdr:row>
      <xdr:rowOff>0</xdr:rowOff>
    </xdr:from>
    <xdr:to>
      <xdr:col>11</xdr:col>
      <xdr:colOff>0</xdr:colOff>
      <xdr:row>6</xdr:row>
      <xdr:rowOff>0</xdr:rowOff>
    </xdr:to>
    <xdr:sp macro="" textlink="">
      <xdr:nvSpPr>
        <xdr:cNvPr id="81246" name="Line 63">
          <a:extLst>
            <a:ext uri="{FF2B5EF4-FFF2-40B4-BE49-F238E27FC236}">
              <a16:creationId xmlns:a16="http://schemas.microsoft.com/office/drawing/2014/main" id="{0FE1DF1D-AA30-44B9-AA22-51E339A05B4C}"/>
            </a:ext>
          </a:extLst>
        </xdr:cNvPr>
        <xdr:cNvSpPr>
          <a:spLocks noChangeShapeType="1"/>
        </xdr:cNvSpPr>
      </xdr:nvSpPr>
      <xdr:spPr bwMode="auto">
        <a:xfrm>
          <a:off x="7048500" y="933450"/>
          <a:ext cx="0" cy="1714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314325</xdr:colOff>
      <xdr:row>31</xdr:row>
      <xdr:rowOff>104775</xdr:rowOff>
    </xdr:from>
    <xdr:to>
      <xdr:col>11</xdr:col>
      <xdr:colOff>390525</xdr:colOff>
      <xdr:row>36</xdr:row>
      <xdr:rowOff>0</xdr:rowOff>
    </xdr:to>
    <xdr:sp macro="" textlink="">
      <xdr:nvSpPr>
        <xdr:cNvPr id="81247" name="AutoShape 65">
          <a:extLst>
            <a:ext uri="{FF2B5EF4-FFF2-40B4-BE49-F238E27FC236}">
              <a16:creationId xmlns:a16="http://schemas.microsoft.com/office/drawing/2014/main" id="{DBD67105-0370-4B78-AE44-BDF832A1B693}"/>
            </a:ext>
          </a:extLst>
        </xdr:cNvPr>
        <xdr:cNvSpPr>
          <a:spLocks noChangeArrowheads="1"/>
        </xdr:cNvSpPr>
      </xdr:nvSpPr>
      <xdr:spPr bwMode="auto">
        <a:xfrm>
          <a:off x="6657975" y="5305425"/>
          <a:ext cx="781050" cy="704850"/>
        </a:xfrm>
        <a:prstGeom prst="triangle">
          <a:avLst>
            <a:gd name="adj" fmla="val 50000"/>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0</xdr:colOff>
      <xdr:row>26</xdr:row>
      <xdr:rowOff>85725</xdr:rowOff>
    </xdr:from>
    <xdr:to>
      <xdr:col>11</xdr:col>
      <xdr:colOff>0</xdr:colOff>
      <xdr:row>36</xdr:row>
      <xdr:rowOff>0</xdr:rowOff>
    </xdr:to>
    <xdr:sp macro="" textlink="">
      <xdr:nvSpPr>
        <xdr:cNvPr id="81248" name="Line 66">
          <a:extLst>
            <a:ext uri="{FF2B5EF4-FFF2-40B4-BE49-F238E27FC236}">
              <a16:creationId xmlns:a16="http://schemas.microsoft.com/office/drawing/2014/main" id="{AAE50EB7-C367-479D-AD7F-B1BE18889934}"/>
            </a:ext>
          </a:extLst>
        </xdr:cNvPr>
        <xdr:cNvSpPr>
          <a:spLocks noChangeShapeType="1"/>
        </xdr:cNvSpPr>
      </xdr:nvSpPr>
      <xdr:spPr bwMode="auto">
        <a:xfrm rot="10800000">
          <a:off x="7048500" y="4476750"/>
          <a:ext cx="0" cy="15335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314325</xdr:colOff>
      <xdr:row>46</xdr:row>
      <xdr:rowOff>0</xdr:rowOff>
    </xdr:from>
    <xdr:to>
      <xdr:col>11</xdr:col>
      <xdr:colOff>390525</xdr:colOff>
      <xdr:row>50</xdr:row>
      <xdr:rowOff>57150</xdr:rowOff>
    </xdr:to>
    <xdr:sp macro="" textlink="">
      <xdr:nvSpPr>
        <xdr:cNvPr id="81249" name="AutoShape 67">
          <a:extLst>
            <a:ext uri="{FF2B5EF4-FFF2-40B4-BE49-F238E27FC236}">
              <a16:creationId xmlns:a16="http://schemas.microsoft.com/office/drawing/2014/main" id="{5C6ECF60-9DDE-4DCD-98DE-94DADA1DDB22}"/>
            </a:ext>
          </a:extLst>
        </xdr:cNvPr>
        <xdr:cNvSpPr>
          <a:spLocks noChangeArrowheads="1"/>
        </xdr:cNvSpPr>
      </xdr:nvSpPr>
      <xdr:spPr bwMode="auto">
        <a:xfrm rot="10800000">
          <a:off x="6657975" y="7629525"/>
          <a:ext cx="781050" cy="704850"/>
        </a:xfrm>
        <a:prstGeom prst="triangle">
          <a:avLst>
            <a:gd name="adj" fmla="val 50000"/>
          </a:avLst>
        </a:prstGeom>
        <a:noFill/>
        <a:ln w="1905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0</xdr:colOff>
      <xdr:row>46</xdr:row>
      <xdr:rowOff>0</xdr:rowOff>
    </xdr:from>
    <xdr:to>
      <xdr:col>11</xdr:col>
      <xdr:colOff>0</xdr:colOff>
      <xdr:row>55</xdr:row>
      <xdr:rowOff>28575</xdr:rowOff>
    </xdr:to>
    <xdr:sp macro="" textlink="">
      <xdr:nvSpPr>
        <xdr:cNvPr id="81250" name="Line 68">
          <a:extLst>
            <a:ext uri="{FF2B5EF4-FFF2-40B4-BE49-F238E27FC236}">
              <a16:creationId xmlns:a16="http://schemas.microsoft.com/office/drawing/2014/main" id="{D12CC605-A3CE-4378-9A67-BCEDC2D684B0}"/>
            </a:ext>
          </a:extLst>
        </xdr:cNvPr>
        <xdr:cNvSpPr>
          <a:spLocks noChangeShapeType="1"/>
        </xdr:cNvSpPr>
      </xdr:nvSpPr>
      <xdr:spPr bwMode="auto">
        <a:xfrm>
          <a:off x="7048500" y="7629525"/>
          <a:ext cx="0" cy="14859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55</xdr:row>
      <xdr:rowOff>0</xdr:rowOff>
    </xdr:from>
    <xdr:to>
      <xdr:col>12</xdr:col>
      <xdr:colOff>9525</xdr:colOff>
      <xdr:row>58</xdr:row>
      <xdr:rowOff>9525</xdr:rowOff>
    </xdr:to>
    <xdr:sp macro="" textlink="">
      <xdr:nvSpPr>
        <xdr:cNvPr id="17477" name="Rectangle 69">
          <a:extLst>
            <a:ext uri="{FF2B5EF4-FFF2-40B4-BE49-F238E27FC236}">
              <a16:creationId xmlns:a16="http://schemas.microsoft.com/office/drawing/2014/main" id="{740EF7B9-C2F3-4FDC-BA92-FAC3DE5E3032}"/>
            </a:ext>
          </a:extLst>
        </xdr:cNvPr>
        <xdr:cNvSpPr>
          <a:spLocks noChangeArrowheads="1"/>
        </xdr:cNvSpPr>
      </xdr:nvSpPr>
      <xdr:spPr bwMode="auto">
        <a:xfrm>
          <a:off x="6115050" y="9086850"/>
          <a:ext cx="135255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Other</a:t>
          </a:r>
        </a:p>
        <a:p>
          <a:pPr algn="ctr" rtl="0">
            <a:defRPr sz="1000"/>
          </a:pPr>
          <a:r>
            <a:rPr lang="en-US" sz="1000" b="1" i="0" u="none" strike="noStrike" baseline="0">
              <a:solidFill>
                <a:srgbClr val="000000"/>
              </a:solidFill>
              <a:latin typeface="Arial"/>
              <a:cs typeface="Arial"/>
            </a:rPr>
            <a:t>In-Line</a:t>
          </a:r>
        </a:p>
        <a:p>
          <a:pPr algn="ctr" rtl="0">
            <a:defRPr sz="1000"/>
          </a:pPr>
          <a:r>
            <a:rPr lang="en-US" sz="1000" b="1" i="0" u="none" strike="noStrike" baseline="0">
              <a:solidFill>
                <a:srgbClr val="000000"/>
              </a:solidFill>
              <a:latin typeface="Arial"/>
              <a:cs typeface="Arial"/>
            </a:rPr>
            <a:t>Device</a:t>
          </a:r>
        </a:p>
      </xdr:txBody>
    </xdr:sp>
    <xdr:clientData/>
  </xdr:twoCellAnchor>
  <xdr:twoCellAnchor>
    <xdr:from>
      <xdr:col>10</xdr:col>
      <xdr:colOff>9525</xdr:colOff>
      <xdr:row>60</xdr:row>
      <xdr:rowOff>9525</xdr:rowOff>
    </xdr:from>
    <xdr:to>
      <xdr:col>11</xdr:col>
      <xdr:colOff>600075</xdr:colOff>
      <xdr:row>63</xdr:row>
      <xdr:rowOff>19050</xdr:rowOff>
    </xdr:to>
    <xdr:sp macro="" textlink="">
      <xdr:nvSpPr>
        <xdr:cNvPr id="17478" name="Rectangle 70">
          <a:extLst>
            <a:ext uri="{FF2B5EF4-FFF2-40B4-BE49-F238E27FC236}">
              <a16:creationId xmlns:a16="http://schemas.microsoft.com/office/drawing/2014/main" id="{C071832D-F8F3-4E95-9013-2C3F948E9E9B}"/>
            </a:ext>
          </a:extLst>
        </xdr:cNvPr>
        <xdr:cNvSpPr>
          <a:spLocks noChangeArrowheads="1"/>
        </xdr:cNvSpPr>
      </xdr:nvSpPr>
      <xdr:spPr bwMode="auto">
        <a:xfrm>
          <a:off x="6115050" y="9906000"/>
          <a:ext cx="1295400" cy="4953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Receiver Front End</a:t>
          </a:r>
        </a:p>
        <a:p>
          <a:pPr algn="ctr" rtl="0">
            <a:defRPr sz="1000"/>
          </a:pPr>
          <a:r>
            <a:rPr lang="en-US" sz="1000" b="1" i="0" u="none" strike="noStrike" baseline="0">
              <a:solidFill>
                <a:srgbClr val="000000"/>
              </a:solidFill>
              <a:latin typeface="Arial"/>
              <a:cs typeface="Arial"/>
            </a:rPr>
            <a:t>Bandpass</a:t>
          </a:r>
        </a:p>
        <a:p>
          <a:pPr algn="ctr" rtl="0">
            <a:defRPr sz="1000"/>
          </a:pPr>
          <a:r>
            <a:rPr lang="en-US" sz="1000" b="1" i="0" u="none" strike="noStrike" baseline="0">
              <a:solidFill>
                <a:srgbClr val="000000"/>
              </a:solidFill>
              <a:latin typeface="Arial"/>
              <a:cs typeface="Arial"/>
            </a:rPr>
            <a:t>Filter</a:t>
          </a:r>
        </a:p>
      </xdr:txBody>
    </xdr:sp>
    <xdr:clientData/>
  </xdr:twoCellAnchor>
  <xdr:twoCellAnchor>
    <xdr:from>
      <xdr:col>11</xdr:col>
      <xdr:colOff>0</xdr:colOff>
      <xdr:row>58</xdr:row>
      <xdr:rowOff>9525</xdr:rowOff>
    </xdr:from>
    <xdr:to>
      <xdr:col>11</xdr:col>
      <xdr:colOff>0</xdr:colOff>
      <xdr:row>60</xdr:row>
      <xdr:rowOff>19050</xdr:rowOff>
    </xdr:to>
    <xdr:sp macro="" textlink="">
      <xdr:nvSpPr>
        <xdr:cNvPr id="81253" name="Line 71">
          <a:extLst>
            <a:ext uri="{FF2B5EF4-FFF2-40B4-BE49-F238E27FC236}">
              <a16:creationId xmlns:a16="http://schemas.microsoft.com/office/drawing/2014/main" id="{7DF29023-8FE4-4098-A969-379C3348A626}"/>
            </a:ext>
          </a:extLst>
        </xdr:cNvPr>
        <xdr:cNvSpPr>
          <a:spLocks noChangeShapeType="1"/>
        </xdr:cNvSpPr>
      </xdr:nvSpPr>
      <xdr:spPr bwMode="auto">
        <a:xfrm>
          <a:off x="7048500" y="9582150"/>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63</xdr:row>
      <xdr:rowOff>9525</xdr:rowOff>
    </xdr:from>
    <xdr:to>
      <xdr:col>11</xdr:col>
      <xdr:colOff>0</xdr:colOff>
      <xdr:row>66</xdr:row>
      <xdr:rowOff>0</xdr:rowOff>
    </xdr:to>
    <xdr:sp macro="" textlink="">
      <xdr:nvSpPr>
        <xdr:cNvPr id="81254" name="Line 72">
          <a:extLst>
            <a:ext uri="{FF2B5EF4-FFF2-40B4-BE49-F238E27FC236}">
              <a16:creationId xmlns:a16="http://schemas.microsoft.com/office/drawing/2014/main" id="{F60027A2-9814-4A41-AF0C-E914AD21919C}"/>
            </a:ext>
          </a:extLst>
        </xdr:cNvPr>
        <xdr:cNvSpPr>
          <a:spLocks noChangeShapeType="1"/>
        </xdr:cNvSpPr>
      </xdr:nvSpPr>
      <xdr:spPr bwMode="auto">
        <a:xfrm flipH="1">
          <a:off x="7048500" y="10391775"/>
          <a:ext cx="0" cy="4762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66</xdr:row>
      <xdr:rowOff>0</xdr:rowOff>
    </xdr:from>
    <xdr:to>
      <xdr:col>11</xdr:col>
      <xdr:colOff>466725</xdr:colOff>
      <xdr:row>70</xdr:row>
      <xdr:rowOff>152400</xdr:rowOff>
    </xdr:to>
    <xdr:sp macro="" textlink="">
      <xdr:nvSpPr>
        <xdr:cNvPr id="17481" name="AutoShape 73">
          <a:extLst>
            <a:ext uri="{FF2B5EF4-FFF2-40B4-BE49-F238E27FC236}">
              <a16:creationId xmlns:a16="http://schemas.microsoft.com/office/drawing/2014/main" id="{BD836E24-7E58-4C62-9FCC-9E17588BBC40}"/>
            </a:ext>
          </a:extLst>
        </xdr:cNvPr>
        <xdr:cNvSpPr>
          <a:spLocks noChangeArrowheads="1"/>
        </xdr:cNvSpPr>
      </xdr:nvSpPr>
      <xdr:spPr bwMode="auto">
        <a:xfrm rot="10800000">
          <a:off x="6324600" y="10868025"/>
          <a:ext cx="952500" cy="800100"/>
        </a:xfrm>
        <a:prstGeom prst="triangle">
          <a:avLst>
            <a:gd name="adj" fmla="val 50000"/>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LNA</a:t>
          </a:r>
        </a:p>
      </xdr:txBody>
    </xdr:sp>
    <xdr:clientData/>
  </xdr:twoCellAnchor>
  <xdr:twoCellAnchor>
    <xdr:from>
      <xdr:col>10</xdr:col>
      <xdr:colOff>647700</xdr:colOff>
      <xdr:row>36</xdr:row>
      <xdr:rowOff>133350</xdr:rowOff>
    </xdr:from>
    <xdr:to>
      <xdr:col>11</xdr:col>
      <xdr:colOff>57150</xdr:colOff>
      <xdr:row>45</xdr:row>
      <xdr:rowOff>47625</xdr:rowOff>
    </xdr:to>
    <xdr:sp macro="" textlink="">
      <xdr:nvSpPr>
        <xdr:cNvPr id="81256" name="AutoShape 74">
          <a:extLst>
            <a:ext uri="{FF2B5EF4-FFF2-40B4-BE49-F238E27FC236}">
              <a16:creationId xmlns:a16="http://schemas.microsoft.com/office/drawing/2014/main" id="{57A3EC3A-24F9-4F22-93E0-1A248A7F4D8C}"/>
            </a:ext>
          </a:extLst>
        </xdr:cNvPr>
        <xdr:cNvSpPr>
          <a:spLocks noChangeArrowheads="1"/>
        </xdr:cNvSpPr>
      </xdr:nvSpPr>
      <xdr:spPr bwMode="auto">
        <a:xfrm rot="10800000">
          <a:off x="6991350" y="6143625"/>
          <a:ext cx="114300" cy="1371600"/>
        </a:xfrm>
        <a:prstGeom prst="upArrow">
          <a:avLst>
            <a:gd name="adj1" fmla="val 50000"/>
            <a:gd name="adj2" fmla="val 300000"/>
          </a:avLst>
        </a:prstGeom>
        <a:solidFill>
          <a:srgbClr xmlns:mc="http://schemas.openxmlformats.org/markup-compatibility/2006" xmlns:a14="http://schemas.microsoft.com/office/drawing/2010/main" val="FF0000" mc:Ignorable="a14" a14:legacySpreadsheetColorIndex="10"/>
        </a:solidFill>
        <a:ln w="9525">
          <a:solidFill>
            <a:srgbClr xmlns:mc="http://schemas.openxmlformats.org/markup-compatibility/2006" xmlns:a14="http://schemas.microsoft.com/office/drawing/2010/main" val="FF0000" mc:Ignorable="a14" a14:legacySpreadsheetColorIndex="10"/>
          </a:solidFill>
          <a:miter lim="800000"/>
          <a:headEnd/>
          <a:tailEnd/>
        </a:ln>
      </xdr:spPr>
    </xdr:sp>
    <xdr:clientData/>
  </xdr:twoCellAnchor>
  <xdr:twoCellAnchor>
    <xdr:from>
      <xdr:col>10</xdr:col>
      <xdr:colOff>504825</xdr:colOff>
      <xdr:row>40</xdr:row>
      <xdr:rowOff>123825</xdr:rowOff>
    </xdr:from>
    <xdr:to>
      <xdr:col>11</xdr:col>
      <xdr:colOff>190500</xdr:colOff>
      <xdr:row>41</xdr:row>
      <xdr:rowOff>114300</xdr:rowOff>
    </xdr:to>
    <xdr:sp macro="" textlink="">
      <xdr:nvSpPr>
        <xdr:cNvPr id="81257" name="AutoShape 75">
          <a:extLst>
            <a:ext uri="{FF2B5EF4-FFF2-40B4-BE49-F238E27FC236}">
              <a16:creationId xmlns:a16="http://schemas.microsoft.com/office/drawing/2014/main" id="{CA4081B0-CA0B-4D44-ABED-E970AA101AFF}"/>
            </a:ext>
          </a:extLst>
        </xdr:cNvPr>
        <xdr:cNvSpPr>
          <a:spLocks noChangeArrowheads="1"/>
        </xdr:cNvSpPr>
      </xdr:nvSpPr>
      <xdr:spPr bwMode="auto">
        <a:xfrm rot="-10372499">
          <a:off x="6848475" y="6781800"/>
          <a:ext cx="390525" cy="152400"/>
        </a:xfrm>
        <a:prstGeom prst="wave">
          <a:avLst>
            <a:gd name="adj1" fmla="val 20644"/>
            <a:gd name="adj2" fmla="val -1162"/>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10</xdr:col>
      <xdr:colOff>438150</xdr:colOff>
      <xdr:row>40</xdr:row>
      <xdr:rowOff>114300</xdr:rowOff>
    </xdr:from>
    <xdr:to>
      <xdr:col>10</xdr:col>
      <xdr:colOff>514350</xdr:colOff>
      <xdr:row>41</xdr:row>
      <xdr:rowOff>85725</xdr:rowOff>
    </xdr:to>
    <xdr:sp macro="" textlink="">
      <xdr:nvSpPr>
        <xdr:cNvPr id="81258" name="Rectangle 76">
          <a:extLst>
            <a:ext uri="{FF2B5EF4-FFF2-40B4-BE49-F238E27FC236}">
              <a16:creationId xmlns:a16="http://schemas.microsoft.com/office/drawing/2014/main" id="{E9C38438-2132-4320-906E-3A10E143C966}"/>
            </a:ext>
          </a:extLst>
        </xdr:cNvPr>
        <xdr:cNvSpPr>
          <a:spLocks noChangeArrowheads="1"/>
        </xdr:cNvSpPr>
      </xdr:nvSpPr>
      <xdr:spPr bwMode="auto">
        <a:xfrm rot="-10232260">
          <a:off x="6781800" y="6772275"/>
          <a:ext cx="76200" cy="13335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C0C0C0" mc:Ignorable="a14" a14:legacySpreadsheetColorIndex="22"/>
          </a:solidFill>
          <a:miter lim="800000"/>
          <a:headEnd/>
          <a:tailEnd/>
        </a:ln>
      </xdr:spPr>
    </xdr:sp>
    <xdr:clientData/>
  </xdr:twoCellAnchor>
  <xdr:twoCellAnchor>
    <xdr:from>
      <xdr:col>11</xdr:col>
      <xdr:colOff>161925</xdr:colOff>
      <xdr:row>40</xdr:row>
      <xdr:rowOff>142875</xdr:rowOff>
    </xdr:from>
    <xdr:to>
      <xdr:col>11</xdr:col>
      <xdr:colOff>238125</xdr:colOff>
      <xdr:row>41</xdr:row>
      <xdr:rowOff>114300</xdr:rowOff>
    </xdr:to>
    <xdr:sp macro="" textlink="">
      <xdr:nvSpPr>
        <xdr:cNvPr id="81259" name="Rectangle 77">
          <a:extLst>
            <a:ext uri="{FF2B5EF4-FFF2-40B4-BE49-F238E27FC236}">
              <a16:creationId xmlns:a16="http://schemas.microsoft.com/office/drawing/2014/main" id="{11A8A11A-7BCA-4B66-9939-229E46A102DB}"/>
            </a:ext>
          </a:extLst>
        </xdr:cNvPr>
        <xdr:cNvSpPr>
          <a:spLocks noChangeArrowheads="1"/>
        </xdr:cNvSpPr>
      </xdr:nvSpPr>
      <xdr:spPr bwMode="auto">
        <a:xfrm rot="-10232260">
          <a:off x="7210425" y="6800850"/>
          <a:ext cx="76200" cy="13335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C0C0C0" mc:Ignorable="a14" a14:legacySpreadsheetColorIndex="22"/>
          </a:solidFill>
          <a:miter lim="800000"/>
          <a:headEnd/>
          <a:tailEnd/>
        </a:ln>
      </xdr:spPr>
    </xdr:sp>
    <xdr:clientData/>
  </xdr:twoCellAnchor>
  <xdr:twoCellAnchor>
    <xdr:from>
      <xdr:col>10</xdr:col>
      <xdr:colOff>333375</xdr:colOff>
      <xdr:row>73</xdr:row>
      <xdr:rowOff>9525</xdr:rowOff>
    </xdr:from>
    <xdr:to>
      <xdr:col>11</xdr:col>
      <xdr:colOff>371475</xdr:colOff>
      <xdr:row>76</xdr:row>
      <xdr:rowOff>123825</xdr:rowOff>
    </xdr:to>
    <xdr:sp macro="" textlink="">
      <xdr:nvSpPr>
        <xdr:cNvPr id="81260" name="AutoShape 78">
          <a:extLst>
            <a:ext uri="{FF2B5EF4-FFF2-40B4-BE49-F238E27FC236}">
              <a16:creationId xmlns:a16="http://schemas.microsoft.com/office/drawing/2014/main" id="{D9D22DA3-23AC-4A5C-AF43-68F7E7CBFDB6}"/>
            </a:ext>
          </a:extLst>
        </xdr:cNvPr>
        <xdr:cNvSpPr>
          <a:spLocks noChangeArrowheads="1"/>
        </xdr:cNvSpPr>
      </xdr:nvSpPr>
      <xdr:spPr bwMode="auto">
        <a:xfrm rot="10800000">
          <a:off x="6677025" y="12011025"/>
          <a:ext cx="742950" cy="600075"/>
        </a:xfrm>
        <a:prstGeom prst="triangle">
          <a:avLst>
            <a:gd name="adj" fmla="val 50000"/>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9525</xdr:colOff>
      <xdr:row>80</xdr:row>
      <xdr:rowOff>9525</xdr:rowOff>
    </xdr:from>
    <xdr:to>
      <xdr:col>12</xdr:col>
      <xdr:colOff>0</xdr:colOff>
      <xdr:row>84</xdr:row>
      <xdr:rowOff>9525</xdr:rowOff>
    </xdr:to>
    <xdr:sp macro="" textlink="">
      <xdr:nvSpPr>
        <xdr:cNvPr id="17487" name="Rectangle 79">
          <a:extLst>
            <a:ext uri="{FF2B5EF4-FFF2-40B4-BE49-F238E27FC236}">
              <a16:creationId xmlns:a16="http://schemas.microsoft.com/office/drawing/2014/main" id="{73D7623E-159F-4D96-8646-996B4EEE1E79}"/>
            </a:ext>
          </a:extLst>
        </xdr:cNvPr>
        <xdr:cNvSpPr>
          <a:spLocks noChangeArrowheads="1"/>
        </xdr:cNvSpPr>
      </xdr:nvSpPr>
      <xdr:spPr bwMode="auto">
        <a:xfrm rot="10800000">
          <a:off x="6115050" y="13144500"/>
          <a:ext cx="1343025" cy="6477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Downconverters</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Mixers</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IF</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Amplification</a:t>
          </a:r>
        </a:p>
      </xdr:txBody>
    </xdr:sp>
    <xdr:clientData/>
  </xdr:twoCellAnchor>
  <xdr:twoCellAnchor>
    <xdr:from>
      <xdr:col>10</xdr:col>
      <xdr:colOff>695325</xdr:colOff>
      <xdr:row>76</xdr:row>
      <xdr:rowOff>142875</xdr:rowOff>
    </xdr:from>
    <xdr:to>
      <xdr:col>11</xdr:col>
      <xdr:colOff>0</xdr:colOff>
      <xdr:row>80</xdr:row>
      <xdr:rowOff>0</xdr:rowOff>
    </xdr:to>
    <xdr:sp macro="" textlink="">
      <xdr:nvSpPr>
        <xdr:cNvPr id="81262" name="Line 80">
          <a:extLst>
            <a:ext uri="{FF2B5EF4-FFF2-40B4-BE49-F238E27FC236}">
              <a16:creationId xmlns:a16="http://schemas.microsoft.com/office/drawing/2014/main" id="{C351D544-ED0B-4E44-9BD6-5D39F6D1F1AA}"/>
            </a:ext>
          </a:extLst>
        </xdr:cNvPr>
        <xdr:cNvSpPr>
          <a:spLocks noChangeShapeType="1"/>
        </xdr:cNvSpPr>
      </xdr:nvSpPr>
      <xdr:spPr bwMode="auto">
        <a:xfrm rot="10800000" flipH="1">
          <a:off x="7038975" y="12630150"/>
          <a:ext cx="9525" cy="5048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84</xdr:row>
      <xdr:rowOff>9525</xdr:rowOff>
    </xdr:from>
    <xdr:to>
      <xdr:col>11</xdr:col>
      <xdr:colOff>0</xdr:colOff>
      <xdr:row>86</xdr:row>
      <xdr:rowOff>38100</xdr:rowOff>
    </xdr:to>
    <xdr:sp macro="" textlink="">
      <xdr:nvSpPr>
        <xdr:cNvPr id="81263" name="Line 81">
          <a:extLst>
            <a:ext uri="{FF2B5EF4-FFF2-40B4-BE49-F238E27FC236}">
              <a16:creationId xmlns:a16="http://schemas.microsoft.com/office/drawing/2014/main" id="{00294C44-EE51-4738-816F-F23C1F5E0997}"/>
            </a:ext>
          </a:extLst>
        </xdr:cNvPr>
        <xdr:cNvSpPr>
          <a:spLocks noChangeShapeType="1"/>
        </xdr:cNvSpPr>
      </xdr:nvSpPr>
      <xdr:spPr bwMode="auto">
        <a:xfrm rot="10800000">
          <a:off x="7048500" y="13792200"/>
          <a:ext cx="0" cy="3524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390525</xdr:colOff>
      <xdr:row>73</xdr:row>
      <xdr:rowOff>0</xdr:rowOff>
    </xdr:from>
    <xdr:to>
      <xdr:col>11</xdr:col>
      <xdr:colOff>314326</xdr:colOff>
      <xdr:row>75</xdr:row>
      <xdr:rowOff>38100</xdr:rowOff>
    </xdr:to>
    <xdr:sp macro="" textlink="">
      <xdr:nvSpPr>
        <xdr:cNvPr id="17490" name="Text Box 82">
          <a:extLst>
            <a:ext uri="{FF2B5EF4-FFF2-40B4-BE49-F238E27FC236}">
              <a16:creationId xmlns:a16="http://schemas.microsoft.com/office/drawing/2014/main" id="{9877E252-B2AE-4DD4-B89D-BF36E700A713}"/>
            </a:ext>
          </a:extLst>
        </xdr:cNvPr>
        <xdr:cNvSpPr txBox="1">
          <a:spLocks noChangeArrowheads="1"/>
        </xdr:cNvSpPr>
      </xdr:nvSpPr>
      <xdr:spPr bwMode="auto">
        <a:xfrm>
          <a:off x="6496050" y="12001500"/>
          <a:ext cx="628650" cy="3619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2nd </a:t>
          </a:r>
        </a:p>
        <a:p>
          <a:pPr algn="ctr" rtl="0">
            <a:defRPr sz="1000"/>
          </a:pPr>
          <a:r>
            <a:rPr lang="en-US" sz="1000" b="1" i="0" u="none" strike="noStrike" baseline="0">
              <a:solidFill>
                <a:srgbClr val="000000"/>
              </a:solidFill>
              <a:latin typeface="Arial"/>
              <a:cs typeface="Arial"/>
            </a:rPr>
            <a:t>Amp.</a:t>
          </a:r>
        </a:p>
      </xdr:txBody>
    </xdr:sp>
    <xdr:clientData/>
  </xdr:twoCellAnchor>
  <xdr:twoCellAnchor>
    <xdr:from>
      <xdr:col>11</xdr:col>
      <xdr:colOff>0</xdr:colOff>
      <xdr:row>70</xdr:row>
      <xdr:rowOff>152400</xdr:rowOff>
    </xdr:from>
    <xdr:to>
      <xdr:col>11</xdr:col>
      <xdr:colOff>0</xdr:colOff>
      <xdr:row>73</xdr:row>
      <xdr:rowOff>0</xdr:rowOff>
    </xdr:to>
    <xdr:sp macro="" textlink="">
      <xdr:nvSpPr>
        <xdr:cNvPr id="81265" name="Line 83">
          <a:extLst>
            <a:ext uri="{FF2B5EF4-FFF2-40B4-BE49-F238E27FC236}">
              <a16:creationId xmlns:a16="http://schemas.microsoft.com/office/drawing/2014/main" id="{C38A9139-0042-491A-8BD0-9FBD4ACB6FC9}"/>
            </a:ext>
          </a:extLst>
        </xdr:cNvPr>
        <xdr:cNvSpPr>
          <a:spLocks noChangeShapeType="1"/>
        </xdr:cNvSpPr>
      </xdr:nvSpPr>
      <xdr:spPr bwMode="auto">
        <a:xfrm rot="10800000">
          <a:off x="7048500" y="11668125"/>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9525</xdr:colOff>
      <xdr:row>86</xdr:row>
      <xdr:rowOff>0</xdr:rowOff>
    </xdr:from>
    <xdr:to>
      <xdr:col>11</xdr:col>
      <xdr:colOff>600075</xdr:colOff>
      <xdr:row>90</xdr:row>
      <xdr:rowOff>0</xdr:rowOff>
    </xdr:to>
    <xdr:sp macro="" textlink="">
      <xdr:nvSpPr>
        <xdr:cNvPr id="81266" name="Rectangle 84">
          <a:extLst>
            <a:ext uri="{FF2B5EF4-FFF2-40B4-BE49-F238E27FC236}">
              <a16:creationId xmlns:a16="http://schemas.microsoft.com/office/drawing/2014/main" id="{856FD4AB-03F9-4232-BEB7-A99DD8F174E7}"/>
            </a:ext>
          </a:extLst>
        </xdr:cNvPr>
        <xdr:cNvSpPr>
          <a:spLocks noChangeArrowheads="1"/>
        </xdr:cNvSpPr>
      </xdr:nvSpPr>
      <xdr:spPr bwMode="auto">
        <a:xfrm>
          <a:off x="6353175" y="14106525"/>
          <a:ext cx="1295400" cy="6477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9525</xdr:colOff>
      <xdr:row>92</xdr:row>
      <xdr:rowOff>9525</xdr:rowOff>
    </xdr:from>
    <xdr:to>
      <xdr:col>11</xdr:col>
      <xdr:colOff>600075</xdr:colOff>
      <xdr:row>96</xdr:row>
      <xdr:rowOff>9525</xdr:rowOff>
    </xdr:to>
    <xdr:sp macro="" textlink="">
      <xdr:nvSpPr>
        <xdr:cNvPr id="81267" name="Rectangle 85">
          <a:extLst>
            <a:ext uri="{FF2B5EF4-FFF2-40B4-BE49-F238E27FC236}">
              <a16:creationId xmlns:a16="http://schemas.microsoft.com/office/drawing/2014/main" id="{EB410453-ADB5-46CC-927A-174E632002FE}"/>
            </a:ext>
          </a:extLst>
        </xdr:cNvPr>
        <xdr:cNvSpPr>
          <a:spLocks noChangeArrowheads="1"/>
        </xdr:cNvSpPr>
      </xdr:nvSpPr>
      <xdr:spPr bwMode="auto">
        <a:xfrm>
          <a:off x="6353175" y="15087600"/>
          <a:ext cx="1295400" cy="64770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19050</xdr:colOff>
      <xdr:row>98</xdr:row>
      <xdr:rowOff>19050</xdr:rowOff>
    </xdr:from>
    <xdr:to>
      <xdr:col>11</xdr:col>
      <xdr:colOff>600075</xdr:colOff>
      <xdr:row>102</xdr:row>
      <xdr:rowOff>0</xdr:rowOff>
    </xdr:to>
    <xdr:sp macro="" textlink="">
      <xdr:nvSpPr>
        <xdr:cNvPr id="17494" name="Rectangle 86">
          <a:extLst>
            <a:ext uri="{FF2B5EF4-FFF2-40B4-BE49-F238E27FC236}">
              <a16:creationId xmlns:a16="http://schemas.microsoft.com/office/drawing/2014/main" id="{0B15D6D5-CDC4-4E00-8CC8-A38EE9D889C8}"/>
            </a:ext>
          </a:extLst>
        </xdr:cNvPr>
        <xdr:cNvSpPr>
          <a:spLocks noChangeArrowheads="1"/>
        </xdr:cNvSpPr>
      </xdr:nvSpPr>
      <xdr:spPr bwMode="auto">
        <a:xfrm>
          <a:off x="6124575" y="16068675"/>
          <a:ext cx="1285875" cy="628650"/>
        </a:xfrm>
        <a:prstGeom prst="rect">
          <a:avLst/>
        </a:prstGeom>
        <a:solidFill>
          <a:srgbClr xmlns:mc="http://schemas.openxmlformats.org/markup-compatibility/2006" xmlns:a14="http://schemas.microsoft.com/office/drawing/2010/main" val="99CCFF" mc:Ignorable="a14" a14:legacySpreadsheetColorIndex="44"/>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endParaRPr lang="en-US" sz="1000" b="1" i="0" u="none" strike="noStrike" baseline="0">
            <a:solidFill>
              <a:srgbClr val="000000"/>
            </a:solidFill>
            <a:latin typeface="Arial"/>
            <a:cs typeface="Arial"/>
          </a:endParaRPr>
        </a:p>
        <a:p>
          <a:pPr algn="ctr" rtl="0">
            <a:defRPr sz="1000"/>
          </a:pPr>
          <a:endParaRPr lang="en-US" sz="1000" b="1" i="0" u="none" strike="noStrike" baseline="0">
            <a:solidFill>
              <a:srgbClr val="000000"/>
            </a:solidFill>
            <a:latin typeface="Arial"/>
            <a:cs typeface="Arial"/>
          </a:endParaRPr>
        </a:p>
        <a:p>
          <a:pPr algn="ctr" rtl="0">
            <a:defRPr sz="1000"/>
          </a:pPr>
          <a:endParaRPr lang="en-US" sz="1000" b="1" i="0" u="none" strike="noStrike" baseline="0">
            <a:solidFill>
              <a:srgbClr val="000000"/>
            </a:solidFill>
            <a:latin typeface="Arial"/>
            <a:cs typeface="Arial"/>
          </a:endParaRPr>
        </a:p>
      </xdr:txBody>
    </xdr:sp>
    <xdr:clientData/>
  </xdr:twoCellAnchor>
  <xdr:twoCellAnchor>
    <xdr:from>
      <xdr:col>11</xdr:col>
      <xdr:colOff>0</xdr:colOff>
      <xdr:row>90</xdr:row>
      <xdr:rowOff>9525</xdr:rowOff>
    </xdr:from>
    <xdr:to>
      <xdr:col>11</xdr:col>
      <xdr:colOff>0</xdr:colOff>
      <xdr:row>92</xdr:row>
      <xdr:rowOff>19050</xdr:rowOff>
    </xdr:to>
    <xdr:sp macro="" textlink="">
      <xdr:nvSpPr>
        <xdr:cNvPr id="81269" name="Line 87">
          <a:extLst>
            <a:ext uri="{FF2B5EF4-FFF2-40B4-BE49-F238E27FC236}">
              <a16:creationId xmlns:a16="http://schemas.microsoft.com/office/drawing/2014/main" id="{4DF6D955-032E-4766-B624-5D0B54602649}"/>
            </a:ext>
          </a:extLst>
        </xdr:cNvPr>
        <xdr:cNvSpPr>
          <a:spLocks noChangeShapeType="1"/>
        </xdr:cNvSpPr>
      </xdr:nvSpPr>
      <xdr:spPr bwMode="auto">
        <a:xfrm>
          <a:off x="7048500" y="14763750"/>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102</xdr:row>
      <xdr:rowOff>0</xdr:rowOff>
    </xdr:from>
    <xdr:to>
      <xdr:col>11</xdr:col>
      <xdr:colOff>0</xdr:colOff>
      <xdr:row>104</xdr:row>
      <xdr:rowOff>9525</xdr:rowOff>
    </xdr:to>
    <xdr:sp macro="" textlink="">
      <xdr:nvSpPr>
        <xdr:cNvPr id="81270" name="Line 88">
          <a:extLst>
            <a:ext uri="{FF2B5EF4-FFF2-40B4-BE49-F238E27FC236}">
              <a16:creationId xmlns:a16="http://schemas.microsoft.com/office/drawing/2014/main" id="{1549776F-3959-4C80-B0ED-DA4BE6001E32}"/>
            </a:ext>
          </a:extLst>
        </xdr:cNvPr>
        <xdr:cNvSpPr>
          <a:spLocks noChangeShapeType="1"/>
        </xdr:cNvSpPr>
      </xdr:nvSpPr>
      <xdr:spPr bwMode="auto">
        <a:xfrm>
          <a:off x="7048500" y="16697325"/>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0</xdr:colOff>
      <xdr:row>96</xdr:row>
      <xdr:rowOff>19050</xdr:rowOff>
    </xdr:from>
    <xdr:to>
      <xdr:col>11</xdr:col>
      <xdr:colOff>0</xdr:colOff>
      <xdr:row>98</xdr:row>
      <xdr:rowOff>28575</xdr:rowOff>
    </xdr:to>
    <xdr:sp macro="" textlink="">
      <xdr:nvSpPr>
        <xdr:cNvPr id="81271" name="Line 89">
          <a:extLst>
            <a:ext uri="{FF2B5EF4-FFF2-40B4-BE49-F238E27FC236}">
              <a16:creationId xmlns:a16="http://schemas.microsoft.com/office/drawing/2014/main" id="{1F7B354C-82CD-4F7D-8E74-BC39E7DD4FF9}"/>
            </a:ext>
          </a:extLst>
        </xdr:cNvPr>
        <xdr:cNvSpPr>
          <a:spLocks noChangeShapeType="1"/>
        </xdr:cNvSpPr>
      </xdr:nvSpPr>
      <xdr:spPr bwMode="auto">
        <a:xfrm>
          <a:off x="7048500" y="15744825"/>
          <a:ext cx="0" cy="3333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10</xdr:col>
      <xdr:colOff>323850</xdr:colOff>
      <xdr:row>86</xdr:row>
      <xdr:rowOff>28575</xdr:rowOff>
    </xdr:from>
    <xdr:ext cx="665522" cy="515603"/>
    <xdr:sp macro="" textlink="">
      <xdr:nvSpPr>
        <xdr:cNvPr id="17498" name="Text Box 90">
          <a:extLst>
            <a:ext uri="{FF2B5EF4-FFF2-40B4-BE49-F238E27FC236}">
              <a16:creationId xmlns:a16="http://schemas.microsoft.com/office/drawing/2014/main" id="{79E8616E-2EC2-4ACC-A8DD-DF8853311C83}"/>
            </a:ext>
          </a:extLst>
        </xdr:cNvPr>
        <xdr:cNvSpPr txBox="1">
          <a:spLocks noChangeArrowheads="1"/>
        </xdr:cNvSpPr>
      </xdr:nvSpPr>
      <xdr:spPr bwMode="auto">
        <a:xfrm>
          <a:off x="6429375" y="14135100"/>
          <a:ext cx="704850" cy="5334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Data</a:t>
          </a:r>
        </a:p>
        <a:p>
          <a:pPr algn="ctr" rtl="0">
            <a:defRPr sz="1000"/>
          </a:pPr>
          <a:r>
            <a:rPr lang="en-US" sz="1000" b="1" i="0" u="none" strike="noStrike" baseline="0">
              <a:solidFill>
                <a:srgbClr val="000000"/>
              </a:solidFill>
              <a:latin typeface="Arial"/>
              <a:cs typeface="Arial"/>
            </a:rPr>
            <a:t>Bandpass</a:t>
          </a:r>
        </a:p>
        <a:p>
          <a:pPr algn="ctr" rtl="0">
            <a:defRPr sz="1000"/>
          </a:pPr>
          <a:r>
            <a:rPr lang="en-US" sz="1000" b="1" i="0" u="none" strike="noStrike" baseline="0">
              <a:solidFill>
                <a:srgbClr val="000000"/>
              </a:solidFill>
              <a:latin typeface="Arial"/>
              <a:cs typeface="Arial"/>
            </a:rPr>
            <a:t>Filter</a:t>
          </a:r>
        </a:p>
      </xdr:txBody>
    </xdr:sp>
    <xdr:clientData/>
  </xdr:oneCellAnchor>
  <xdr:oneCellAnchor>
    <xdr:from>
      <xdr:col>10</xdr:col>
      <xdr:colOff>76200</xdr:colOff>
      <xdr:row>93</xdr:row>
      <xdr:rowOff>66675</xdr:rowOff>
    </xdr:from>
    <xdr:ext cx="1151269" cy="181367"/>
    <xdr:sp macro="" textlink="">
      <xdr:nvSpPr>
        <xdr:cNvPr id="17499" name="Text Box 91">
          <a:extLst>
            <a:ext uri="{FF2B5EF4-FFF2-40B4-BE49-F238E27FC236}">
              <a16:creationId xmlns:a16="http://schemas.microsoft.com/office/drawing/2014/main" id="{9EFE6340-363C-439C-8041-353B27AF1253}"/>
            </a:ext>
          </a:extLst>
        </xdr:cNvPr>
        <xdr:cNvSpPr txBox="1">
          <a:spLocks noChangeArrowheads="1"/>
        </xdr:cNvSpPr>
      </xdr:nvSpPr>
      <xdr:spPr bwMode="auto">
        <a:xfrm>
          <a:off x="6181725" y="15306675"/>
          <a:ext cx="11906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Data</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Demodulator</a:t>
          </a:r>
        </a:p>
      </xdr:txBody>
    </xdr:sp>
    <xdr:clientData/>
  </xdr:oneCellAnchor>
  <xdr:oneCellAnchor>
    <xdr:from>
      <xdr:col>10</xdr:col>
      <xdr:colOff>66675</xdr:colOff>
      <xdr:row>99</xdr:row>
      <xdr:rowOff>57150</xdr:rowOff>
    </xdr:from>
    <xdr:ext cx="1137234" cy="170560"/>
    <xdr:sp macro="" textlink="">
      <xdr:nvSpPr>
        <xdr:cNvPr id="17500" name="Text Box 92">
          <a:extLst>
            <a:ext uri="{FF2B5EF4-FFF2-40B4-BE49-F238E27FC236}">
              <a16:creationId xmlns:a16="http://schemas.microsoft.com/office/drawing/2014/main" id="{5D1497D0-A71E-4819-A624-8365625E9E67}"/>
            </a:ext>
          </a:extLst>
        </xdr:cNvPr>
        <xdr:cNvSpPr txBox="1">
          <a:spLocks noChangeArrowheads="1"/>
        </xdr:cNvSpPr>
      </xdr:nvSpPr>
      <xdr:spPr bwMode="auto">
        <a:xfrm>
          <a:off x="6398635" y="16314593"/>
          <a:ext cx="113723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Data FEC Decoder</a:t>
          </a:r>
        </a:p>
      </xdr:txBody>
    </xdr:sp>
    <xdr:clientData/>
  </xdr:oneCellAnchor>
  <xdr:twoCellAnchor>
    <xdr:from>
      <xdr:col>12</xdr:col>
      <xdr:colOff>0</xdr:colOff>
      <xdr:row>106</xdr:row>
      <xdr:rowOff>85725</xdr:rowOff>
    </xdr:from>
    <xdr:to>
      <xdr:col>13</xdr:col>
      <xdr:colOff>0</xdr:colOff>
      <xdr:row>106</xdr:row>
      <xdr:rowOff>85725</xdr:rowOff>
    </xdr:to>
    <xdr:sp macro="" textlink="">
      <xdr:nvSpPr>
        <xdr:cNvPr id="81275" name="Line 97">
          <a:extLst>
            <a:ext uri="{FF2B5EF4-FFF2-40B4-BE49-F238E27FC236}">
              <a16:creationId xmlns:a16="http://schemas.microsoft.com/office/drawing/2014/main" id="{B7F9C7B2-6494-44E7-B263-0101E9274538}"/>
            </a:ext>
          </a:extLst>
        </xdr:cNvPr>
        <xdr:cNvSpPr>
          <a:spLocks noChangeShapeType="1"/>
        </xdr:cNvSpPr>
      </xdr:nvSpPr>
      <xdr:spPr bwMode="auto">
        <a:xfrm>
          <a:off x="7858125" y="17440275"/>
          <a:ext cx="6858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9525</xdr:colOff>
      <xdr:row>108</xdr:row>
      <xdr:rowOff>76200</xdr:rowOff>
    </xdr:from>
    <xdr:to>
      <xdr:col>13</xdr:col>
      <xdr:colOff>9525</xdr:colOff>
      <xdr:row>108</xdr:row>
      <xdr:rowOff>76200</xdr:rowOff>
    </xdr:to>
    <xdr:sp macro="" textlink="">
      <xdr:nvSpPr>
        <xdr:cNvPr id="81276" name="Line 98">
          <a:extLst>
            <a:ext uri="{FF2B5EF4-FFF2-40B4-BE49-F238E27FC236}">
              <a16:creationId xmlns:a16="http://schemas.microsoft.com/office/drawing/2014/main" id="{04729600-BD8D-4FE0-8ACA-905F85802712}"/>
            </a:ext>
          </a:extLst>
        </xdr:cNvPr>
        <xdr:cNvSpPr>
          <a:spLocks noChangeShapeType="1"/>
        </xdr:cNvSpPr>
      </xdr:nvSpPr>
      <xdr:spPr bwMode="auto">
        <a:xfrm>
          <a:off x="7867650" y="17773650"/>
          <a:ext cx="68580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257175</xdr:colOff>
      <xdr:row>45</xdr:row>
      <xdr:rowOff>152400</xdr:rowOff>
    </xdr:from>
    <xdr:to>
      <xdr:col>9</xdr:col>
      <xdr:colOff>628650</xdr:colOff>
      <xdr:row>102</xdr:row>
      <xdr:rowOff>38100</xdr:rowOff>
    </xdr:to>
    <xdr:sp macro="" textlink="">
      <xdr:nvSpPr>
        <xdr:cNvPr id="81277" name="AutoShape 99">
          <a:extLst>
            <a:ext uri="{FF2B5EF4-FFF2-40B4-BE49-F238E27FC236}">
              <a16:creationId xmlns:a16="http://schemas.microsoft.com/office/drawing/2014/main" id="{62CF4556-A956-4BB9-A362-E38559954B85}"/>
            </a:ext>
          </a:extLst>
        </xdr:cNvPr>
        <xdr:cNvSpPr>
          <a:spLocks/>
        </xdr:cNvSpPr>
      </xdr:nvSpPr>
      <xdr:spPr bwMode="auto">
        <a:xfrm>
          <a:off x="5962650" y="7620000"/>
          <a:ext cx="371475" cy="9115425"/>
        </a:xfrm>
        <a:prstGeom prst="leftBrace">
          <a:avLst>
            <a:gd name="adj1" fmla="val 204487"/>
            <a:gd name="adj2" fmla="val 50444"/>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8</xdr:col>
      <xdr:colOff>28575</xdr:colOff>
      <xdr:row>73</xdr:row>
      <xdr:rowOff>57150</xdr:rowOff>
    </xdr:from>
    <xdr:ext cx="481542" cy="318036"/>
    <xdr:sp macro="" textlink="">
      <xdr:nvSpPr>
        <xdr:cNvPr id="17508" name="Text Box 100">
          <a:extLst>
            <a:ext uri="{FF2B5EF4-FFF2-40B4-BE49-F238E27FC236}">
              <a16:creationId xmlns:a16="http://schemas.microsoft.com/office/drawing/2014/main" id="{CF8D1DBE-BDEE-4CF8-9F0A-A538C4161637}"/>
            </a:ext>
          </a:extLst>
        </xdr:cNvPr>
        <xdr:cNvSpPr txBox="1">
          <a:spLocks noChangeArrowheads="1"/>
        </xdr:cNvSpPr>
      </xdr:nvSpPr>
      <xdr:spPr bwMode="auto">
        <a:xfrm>
          <a:off x="5462155" y="12093286"/>
          <a:ext cx="481542"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Ground</a:t>
          </a: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Station</a:t>
          </a:r>
        </a:p>
      </xdr:txBody>
    </xdr:sp>
    <xdr:clientData/>
  </xdr:oneCellAnchor>
  <xdr:twoCellAnchor>
    <xdr:from>
      <xdr:col>9</xdr:col>
      <xdr:colOff>342900</xdr:colOff>
      <xdr:row>6</xdr:row>
      <xdr:rowOff>0</xdr:rowOff>
    </xdr:from>
    <xdr:to>
      <xdr:col>9</xdr:col>
      <xdr:colOff>581025</xdr:colOff>
      <xdr:row>36</xdr:row>
      <xdr:rowOff>38100</xdr:rowOff>
    </xdr:to>
    <xdr:sp macro="" textlink="">
      <xdr:nvSpPr>
        <xdr:cNvPr id="81279" name="AutoShape 101">
          <a:extLst>
            <a:ext uri="{FF2B5EF4-FFF2-40B4-BE49-F238E27FC236}">
              <a16:creationId xmlns:a16="http://schemas.microsoft.com/office/drawing/2014/main" id="{1FD4F0B2-185A-4907-9EB4-77C24B6CB588}"/>
            </a:ext>
          </a:extLst>
        </xdr:cNvPr>
        <xdr:cNvSpPr>
          <a:spLocks/>
        </xdr:cNvSpPr>
      </xdr:nvSpPr>
      <xdr:spPr bwMode="auto">
        <a:xfrm>
          <a:off x="6048375" y="1104900"/>
          <a:ext cx="238125" cy="4943475"/>
        </a:xfrm>
        <a:prstGeom prst="leftBrace">
          <a:avLst>
            <a:gd name="adj1" fmla="val 173000"/>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9</xdr:col>
      <xdr:colOff>76200</xdr:colOff>
      <xdr:row>20</xdr:row>
      <xdr:rowOff>104775</xdr:rowOff>
    </xdr:from>
    <xdr:ext cx="232243" cy="170560"/>
    <xdr:sp macro="" textlink="">
      <xdr:nvSpPr>
        <xdr:cNvPr id="17510" name="Text Box 102">
          <a:extLst>
            <a:ext uri="{FF2B5EF4-FFF2-40B4-BE49-F238E27FC236}">
              <a16:creationId xmlns:a16="http://schemas.microsoft.com/office/drawing/2014/main" id="{73BF32C0-5436-4D93-AF36-14404404E66B}"/>
            </a:ext>
          </a:extLst>
        </xdr:cNvPr>
        <xdr:cNvSpPr txBox="1">
          <a:spLocks noChangeArrowheads="1"/>
        </xdr:cNvSpPr>
      </xdr:nvSpPr>
      <xdr:spPr bwMode="auto">
        <a:xfrm>
          <a:off x="5769552" y="3535940"/>
          <a:ext cx="232243"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S/C</a:t>
          </a:r>
        </a:p>
      </xdr:txBody>
    </xdr:sp>
    <xdr:clientData/>
  </xdr:oneCellAnchor>
  <xdr:oneCellAnchor>
    <xdr:from>
      <xdr:col>9</xdr:col>
      <xdr:colOff>342900</xdr:colOff>
      <xdr:row>39</xdr:row>
      <xdr:rowOff>95250</xdr:rowOff>
    </xdr:from>
    <xdr:ext cx="393185" cy="318036"/>
    <xdr:sp macro="" textlink="">
      <xdr:nvSpPr>
        <xdr:cNvPr id="17511" name="Text Box 103">
          <a:extLst>
            <a:ext uri="{FF2B5EF4-FFF2-40B4-BE49-F238E27FC236}">
              <a16:creationId xmlns:a16="http://schemas.microsoft.com/office/drawing/2014/main" id="{4D6E438E-79AB-4AC7-82DF-590E690B6DC6}"/>
            </a:ext>
          </a:extLst>
        </xdr:cNvPr>
        <xdr:cNvSpPr txBox="1">
          <a:spLocks noChangeArrowheads="1"/>
        </xdr:cNvSpPr>
      </xdr:nvSpPr>
      <xdr:spPr bwMode="auto">
        <a:xfrm>
          <a:off x="6036252" y="6611216"/>
          <a:ext cx="393185"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Radio</a:t>
          </a:r>
        </a:p>
        <a:p>
          <a:pPr algn="ctr" rtl="0">
            <a:defRPr sz="1000"/>
          </a:pPr>
          <a:r>
            <a:rPr lang="en-US" sz="1000" b="1" i="0" u="none" strike="noStrike" baseline="0">
              <a:solidFill>
                <a:srgbClr val="000000"/>
              </a:solidFill>
              <a:latin typeface="Arial"/>
              <a:cs typeface="Arial"/>
            </a:rPr>
            <a:t>Link</a:t>
          </a: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600075</xdr:colOff>
      <xdr:row>133</xdr:row>
      <xdr:rowOff>47625</xdr:rowOff>
    </xdr:to>
    <xdr:graphicFrame macro="">
      <xdr:nvGraphicFramePr>
        <xdr:cNvPr id="11468" name="Chart 1">
          <a:extLst>
            <a:ext uri="{FF2B5EF4-FFF2-40B4-BE49-F238E27FC236}">
              <a16:creationId xmlns:a16="http://schemas.microsoft.com/office/drawing/2014/main" id="{9451568D-C56F-445E-ADF6-0B8558B13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9525</xdr:colOff>
      <xdr:row>48</xdr:row>
      <xdr:rowOff>0</xdr:rowOff>
    </xdr:from>
    <xdr:to>
      <xdr:col>21</xdr:col>
      <xdr:colOff>9525</xdr:colOff>
      <xdr:row>79</xdr:row>
      <xdr:rowOff>152400</xdr:rowOff>
    </xdr:to>
    <xdr:pic>
      <xdr:nvPicPr>
        <xdr:cNvPr id="11469" name="Picture 8">
          <a:extLst>
            <a:ext uri="{FF2B5EF4-FFF2-40B4-BE49-F238E27FC236}">
              <a16:creationId xmlns:a16="http://schemas.microsoft.com/office/drawing/2014/main" id="{E53911DA-4527-4247-83DE-110A09DE76F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43650" y="7848600"/>
          <a:ext cx="9753600" cy="5172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5</xdr:col>
      <xdr:colOff>9525</xdr:colOff>
      <xdr:row>6</xdr:row>
      <xdr:rowOff>152400</xdr:rowOff>
    </xdr:from>
    <xdr:to>
      <xdr:col>18</xdr:col>
      <xdr:colOff>342900</xdr:colOff>
      <xdr:row>34</xdr:row>
      <xdr:rowOff>95250</xdr:rowOff>
    </xdr:to>
    <xdr:pic>
      <xdr:nvPicPr>
        <xdr:cNvPr id="11470" name="Picture 9">
          <a:extLst>
            <a:ext uri="{FF2B5EF4-FFF2-40B4-BE49-F238E27FC236}">
              <a16:creationId xmlns:a16="http://schemas.microsoft.com/office/drawing/2014/main" id="{8A4A342A-3A80-4F95-961D-DBCC88F39D4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43650" y="1200150"/>
          <a:ext cx="8258175" cy="4476750"/>
        </a:xfrm>
        <a:prstGeom prst="rect">
          <a:avLst/>
        </a:prstGeom>
        <a:solidFill>
          <a:srgbClr xmlns:mc="http://schemas.openxmlformats.org/markup-compatibility/2006" xmlns:a14="http://schemas.microsoft.com/office/drawing/2010/main" val="C0C0C0" mc:Ignorable="a14" a14:legacySpreadsheetColorIndex="22"/>
        </a:solidFill>
        <a:ln>
          <a:noFill/>
        </a:ln>
        <a:effectLst/>
        <a:extLs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5</xdr:col>
      <xdr:colOff>0</xdr:colOff>
      <xdr:row>173</xdr:row>
      <xdr:rowOff>0</xdr:rowOff>
    </xdr:from>
    <xdr:to>
      <xdr:col>12</xdr:col>
      <xdr:colOff>247650</xdr:colOff>
      <xdr:row>199</xdr:row>
      <xdr:rowOff>142875</xdr:rowOff>
    </xdr:to>
    <xdr:pic>
      <xdr:nvPicPr>
        <xdr:cNvPr id="11471" name="Picture 10">
          <a:extLst>
            <a:ext uri="{FF2B5EF4-FFF2-40B4-BE49-F238E27FC236}">
              <a16:creationId xmlns:a16="http://schemas.microsoft.com/office/drawing/2014/main" id="{C824E62D-D66B-4C8D-8B3F-DC2E2A8CE79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334125" y="28251150"/>
          <a:ext cx="4514850" cy="435292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oneCellAnchor>
    <xdr:from>
      <xdr:col>8</xdr:col>
      <xdr:colOff>533400</xdr:colOff>
      <xdr:row>178</xdr:row>
      <xdr:rowOff>114300</xdr:rowOff>
    </xdr:from>
    <xdr:ext cx="386697" cy="209057"/>
    <xdr:sp macro="" textlink="">
      <xdr:nvSpPr>
        <xdr:cNvPr id="11275" name="Text Box 11">
          <a:extLst>
            <a:ext uri="{FF2B5EF4-FFF2-40B4-BE49-F238E27FC236}">
              <a16:creationId xmlns:a16="http://schemas.microsoft.com/office/drawing/2014/main" id="{39421998-0D8B-4F8D-B9D9-F6AE3B8C53E9}"/>
            </a:ext>
          </a:extLst>
        </xdr:cNvPr>
        <xdr:cNvSpPr txBox="1">
          <a:spLocks noChangeArrowheads="1"/>
        </xdr:cNvSpPr>
      </xdr:nvSpPr>
      <xdr:spPr bwMode="auto">
        <a:xfrm>
          <a:off x="8696325" y="29175075"/>
          <a:ext cx="457200" cy="2476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200" b="0" i="0" u="none" strike="noStrike" baseline="0">
              <a:solidFill>
                <a:srgbClr val="000000"/>
              </a:solidFill>
              <a:latin typeface="Arial"/>
              <a:cs typeface="Arial"/>
            </a:rPr>
            <a:t>0 dBi</a:t>
          </a:r>
        </a:p>
      </xdr:txBody>
    </xdr:sp>
    <xdr:clientData/>
  </xdr:oneCellAnchor>
  <xdr:twoCellAnchor>
    <xdr:from>
      <xdr:col>5</xdr:col>
      <xdr:colOff>9525</xdr:colOff>
      <xdr:row>213</xdr:row>
      <xdr:rowOff>9525</xdr:rowOff>
    </xdr:from>
    <xdr:to>
      <xdr:col>16</xdr:col>
      <xdr:colOff>314325</xdr:colOff>
      <xdr:row>248</xdr:row>
      <xdr:rowOff>19050</xdr:rowOff>
    </xdr:to>
    <xdr:graphicFrame macro="">
      <xdr:nvGraphicFramePr>
        <xdr:cNvPr id="11473" name="Chart 13">
          <a:extLst>
            <a:ext uri="{FF2B5EF4-FFF2-40B4-BE49-F238E27FC236}">
              <a16:creationId xmlns:a16="http://schemas.microsoft.com/office/drawing/2014/main" id="{942380C1-F2CE-4A91-9713-681D7B0FD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428625</xdr:colOff>
      <xdr:row>225</xdr:row>
      <xdr:rowOff>133350</xdr:rowOff>
    </xdr:from>
    <xdr:to>
      <xdr:col>9</xdr:col>
      <xdr:colOff>561975</xdr:colOff>
      <xdr:row>233</xdr:row>
      <xdr:rowOff>76200</xdr:rowOff>
    </xdr:to>
    <xdr:sp macro="" textlink="">
      <xdr:nvSpPr>
        <xdr:cNvPr id="11474" name="Line 14">
          <a:extLst>
            <a:ext uri="{FF2B5EF4-FFF2-40B4-BE49-F238E27FC236}">
              <a16:creationId xmlns:a16="http://schemas.microsoft.com/office/drawing/2014/main" id="{05694BF5-D96D-4C3F-B7AE-52E86298069C}"/>
            </a:ext>
          </a:extLst>
        </xdr:cNvPr>
        <xdr:cNvSpPr>
          <a:spLocks noChangeShapeType="1"/>
        </xdr:cNvSpPr>
      </xdr:nvSpPr>
      <xdr:spPr bwMode="auto">
        <a:xfrm flipH="1" flipV="1">
          <a:off x="7981950" y="36814125"/>
          <a:ext cx="1352550" cy="1238250"/>
        </a:xfrm>
        <a:prstGeom prst="line">
          <a:avLst/>
        </a:prstGeom>
        <a:noFill/>
        <a:ln w="1905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561975</xdr:colOff>
      <xdr:row>225</xdr:row>
      <xdr:rowOff>142875</xdr:rowOff>
    </xdr:from>
    <xdr:to>
      <xdr:col>12</xdr:col>
      <xdr:colOff>95250</xdr:colOff>
      <xdr:row>233</xdr:row>
      <xdr:rowOff>76200</xdr:rowOff>
    </xdr:to>
    <xdr:sp macro="" textlink="">
      <xdr:nvSpPr>
        <xdr:cNvPr id="11475" name="Line 15">
          <a:extLst>
            <a:ext uri="{FF2B5EF4-FFF2-40B4-BE49-F238E27FC236}">
              <a16:creationId xmlns:a16="http://schemas.microsoft.com/office/drawing/2014/main" id="{EDD729F4-C1AC-4C81-9C27-96FC5F5B7C7B}"/>
            </a:ext>
          </a:extLst>
        </xdr:cNvPr>
        <xdr:cNvSpPr>
          <a:spLocks noChangeShapeType="1"/>
        </xdr:cNvSpPr>
      </xdr:nvSpPr>
      <xdr:spPr bwMode="auto">
        <a:xfrm flipV="1">
          <a:off x="9334500" y="36823650"/>
          <a:ext cx="1362075" cy="1228725"/>
        </a:xfrm>
        <a:prstGeom prst="line">
          <a:avLst/>
        </a:prstGeom>
        <a:noFill/>
        <a:ln w="1905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171450</xdr:colOff>
      <xdr:row>183</xdr:row>
      <xdr:rowOff>133350</xdr:rowOff>
    </xdr:from>
    <xdr:to>
      <xdr:col>8</xdr:col>
      <xdr:colOff>428625</xdr:colOff>
      <xdr:row>186</xdr:row>
      <xdr:rowOff>152400</xdr:rowOff>
    </xdr:to>
    <xdr:sp macro="" textlink="">
      <xdr:nvSpPr>
        <xdr:cNvPr id="11476" name="Line 16">
          <a:extLst>
            <a:ext uri="{FF2B5EF4-FFF2-40B4-BE49-F238E27FC236}">
              <a16:creationId xmlns:a16="http://schemas.microsoft.com/office/drawing/2014/main" id="{1154099A-7EB3-46A4-AC93-4643BCF9ED96}"/>
            </a:ext>
          </a:extLst>
        </xdr:cNvPr>
        <xdr:cNvSpPr>
          <a:spLocks noChangeShapeType="1"/>
        </xdr:cNvSpPr>
      </xdr:nvSpPr>
      <xdr:spPr bwMode="auto">
        <a:xfrm flipH="1" flipV="1">
          <a:off x="6505575" y="30003750"/>
          <a:ext cx="2085975" cy="504825"/>
        </a:xfrm>
        <a:prstGeom prst="line">
          <a:avLst/>
        </a:prstGeom>
        <a:noFill/>
        <a:ln w="1905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428625</xdr:colOff>
      <xdr:row>184</xdr:row>
      <xdr:rowOff>28575</xdr:rowOff>
    </xdr:from>
    <xdr:to>
      <xdr:col>12</xdr:col>
      <xdr:colOff>76200</xdr:colOff>
      <xdr:row>186</xdr:row>
      <xdr:rowOff>142875</xdr:rowOff>
    </xdr:to>
    <xdr:sp macro="" textlink="">
      <xdr:nvSpPr>
        <xdr:cNvPr id="11477" name="Line 17">
          <a:extLst>
            <a:ext uri="{FF2B5EF4-FFF2-40B4-BE49-F238E27FC236}">
              <a16:creationId xmlns:a16="http://schemas.microsoft.com/office/drawing/2014/main" id="{70EC7F17-2C89-46E8-86F9-7F765AD52A0A}"/>
            </a:ext>
          </a:extLst>
        </xdr:cNvPr>
        <xdr:cNvSpPr>
          <a:spLocks noChangeShapeType="1"/>
        </xdr:cNvSpPr>
      </xdr:nvSpPr>
      <xdr:spPr bwMode="auto">
        <a:xfrm flipV="1">
          <a:off x="8591550" y="30060900"/>
          <a:ext cx="2085975" cy="438150"/>
        </a:xfrm>
        <a:prstGeom prst="line">
          <a:avLst/>
        </a:prstGeom>
        <a:noFill/>
        <a:ln w="19050">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390525</xdr:colOff>
      <xdr:row>179</xdr:row>
      <xdr:rowOff>57150</xdr:rowOff>
    </xdr:from>
    <xdr:to>
      <xdr:col>10</xdr:col>
      <xdr:colOff>466725</xdr:colOff>
      <xdr:row>194</xdr:row>
      <xdr:rowOff>114300</xdr:rowOff>
    </xdr:to>
    <xdr:sp macro="" textlink="">
      <xdr:nvSpPr>
        <xdr:cNvPr id="11478" name="Oval 18">
          <a:extLst>
            <a:ext uri="{FF2B5EF4-FFF2-40B4-BE49-F238E27FC236}">
              <a16:creationId xmlns:a16="http://schemas.microsoft.com/office/drawing/2014/main" id="{F9DA2378-EB9E-46A8-A4DC-78B6CCD031CB}"/>
            </a:ext>
          </a:extLst>
        </xdr:cNvPr>
        <xdr:cNvSpPr>
          <a:spLocks noChangeArrowheads="1"/>
        </xdr:cNvSpPr>
      </xdr:nvSpPr>
      <xdr:spPr bwMode="auto">
        <a:xfrm>
          <a:off x="7334250" y="29279850"/>
          <a:ext cx="2514600" cy="2486025"/>
        </a:xfrm>
        <a:prstGeom prst="ellipse">
          <a:avLst/>
        </a:prstGeom>
        <a:noFill/>
        <a:ln w="952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7</xdr:col>
      <xdr:colOff>361950</xdr:colOff>
      <xdr:row>224</xdr:row>
      <xdr:rowOff>104775</xdr:rowOff>
    </xdr:from>
    <xdr:to>
      <xdr:col>12</xdr:col>
      <xdr:colOff>142875</xdr:colOff>
      <xdr:row>242</xdr:row>
      <xdr:rowOff>38100</xdr:rowOff>
    </xdr:to>
    <xdr:sp macro="" textlink="">
      <xdr:nvSpPr>
        <xdr:cNvPr id="11479" name="Oval 19">
          <a:extLst>
            <a:ext uri="{FF2B5EF4-FFF2-40B4-BE49-F238E27FC236}">
              <a16:creationId xmlns:a16="http://schemas.microsoft.com/office/drawing/2014/main" id="{282C10DC-AED7-4D02-BC82-847D752E03FC}"/>
            </a:ext>
          </a:extLst>
        </xdr:cNvPr>
        <xdr:cNvSpPr>
          <a:spLocks noChangeArrowheads="1"/>
        </xdr:cNvSpPr>
      </xdr:nvSpPr>
      <xdr:spPr bwMode="auto">
        <a:xfrm>
          <a:off x="7915275" y="36623625"/>
          <a:ext cx="2828925" cy="2857500"/>
        </a:xfrm>
        <a:prstGeom prst="ellipse">
          <a:avLst/>
        </a:prstGeom>
        <a:noFill/>
        <a:ln w="19050">
          <a:solidFill>
            <a:srgbClr xmlns:mc="http://schemas.openxmlformats.org/markup-compatibility/2006" xmlns:a14="http://schemas.microsoft.com/office/drawing/2010/main" val="00FF00" mc:Ignorable="a14" a14:legacySpreadsheetColorIndex="11"/>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9</xdr:col>
      <xdr:colOff>371475</xdr:colOff>
      <xdr:row>241</xdr:row>
      <xdr:rowOff>104775</xdr:rowOff>
    </xdr:from>
    <xdr:ext cx="332014" cy="170560"/>
    <xdr:sp macro="" textlink="">
      <xdr:nvSpPr>
        <xdr:cNvPr id="11284" name="Text Box 20">
          <a:extLst>
            <a:ext uri="{FF2B5EF4-FFF2-40B4-BE49-F238E27FC236}">
              <a16:creationId xmlns:a16="http://schemas.microsoft.com/office/drawing/2014/main" id="{CB50D2D1-EB16-4F6C-8004-816677252C9B}"/>
            </a:ext>
          </a:extLst>
        </xdr:cNvPr>
        <xdr:cNvSpPr txBox="1">
          <a:spLocks noChangeArrowheads="1"/>
        </xdr:cNvSpPr>
      </xdr:nvSpPr>
      <xdr:spPr bwMode="auto">
        <a:xfrm>
          <a:off x="9134475" y="38182363"/>
          <a:ext cx="332014" cy="170560"/>
        </a:xfrm>
        <a:prstGeom prst="rect">
          <a:avLst/>
        </a:prstGeom>
        <a:solidFill>
          <a:srgbClr xmlns:mc="http://schemas.openxmlformats.org/markup-compatibility/2006" xmlns:a14="http://schemas.microsoft.com/office/drawing/2010/main" val="C0C0C0" mc:Ignorable="a14" a14:legacySpreadsheetColorIndex="22"/>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0 dBi</a:t>
          </a:r>
        </a:p>
      </xdr:txBody>
    </xdr:sp>
    <xdr:clientData/>
  </xdr:oneCellAnchor>
</xdr:wsDr>
</file>

<file path=xl/drawings/drawing14.xml><?xml version="1.0" encoding="utf-8"?>
<xdr:wsDr xmlns:xdr="http://schemas.openxmlformats.org/drawingml/2006/spreadsheetDrawing" xmlns:a="http://schemas.openxmlformats.org/drawingml/2006/main">
  <xdr:twoCellAnchor editAs="oneCell">
    <xdr:from>
      <xdr:col>11</xdr:col>
      <xdr:colOff>581025</xdr:colOff>
      <xdr:row>19</xdr:row>
      <xdr:rowOff>85725</xdr:rowOff>
    </xdr:from>
    <xdr:to>
      <xdr:col>12</xdr:col>
      <xdr:colOff>47625</xdr:colOff>
      <xdr:row>20</xdr:row>
      <xdr:rowOff>123825</xdr:rowOff>
    </xdr:to>
    <xdr:sp macro="" textlink="">
      <xdr:nvSpPr>
        <xdr:cNvPr id="7264" name="Text Box 2">
          <a:extLst>
            <a:ext uri="{FF2B5EF4-FFF2-40B4-BE49-F238E27FC236}">
              <a16:creationId xmlns:a16="http://schemas.microsoft.com/office/drawing/2014/main" id="{6C543131-DEF3-4966-8361-A274191EF3FC}"/>
            </a:ext>
          </a:extLst>
        </xdr:cNvPr>
        <xdr:cNvSpPr txBox="1">
          <a:spLocks noChangeArrowheads="1"/>
        </xdr:cNvSpPr>
      </xdr:nvSpPr>
      <xdr:spPr bwMode="auto">
        <a:xfrm>
          <a:off x="9001125" y="34385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editAs="oneCell">
    <xdr:from>
      <xdr:col>12</xdr:col>
      <xdr:colOff>9525</xdr:colOff>
      <xdr:row>14</xdr:row>
      <xdr:rowOff>114300</xdr:rowOff>
    </xdr:from>
    <xdr:to>
      <xdr:col>12</xdr:col>
      <xdr:colOff>85725</xdr:colOff>
      <xdr:row>15</xdr:row>
      <xdr:rowOff>152400</xdr:rowOff>
    </xdr:to>
    <xdr:sp macro="" textlink="">
      <xdr:nvSpPr>
        <xdr:cNvPr id="7265" name="Text Box 3">
          <a:extLst>
            <a:ext uri="{FF2B5EF4-FFF2-40B4-BE49-F238E27FC236}">
              <a16:creationId xmlns:a16="http://schemas.microsoft.com/office/drawing/2014/main" id="{96BA1270-1523-4AB1-BCF7-3DB8E3371792}"/>
            </a:ext>
          </a:extLst>
        </xdr:cNvPr>
        <xdr:cNvSpPr txBox="1">
          <a:spLocks noChangeArrowheads="1"/>
        </xdr:cNvSpPr>
      </xdr:nvSpPr>
      <xdr:spPr bwMode="auto">
        <a:xfrm>
          <a:off x="9039225" y="26574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1</xdr:col>
      <xdr:colOff>333375</xdr:colOff>
      <xdr:row>9</xdr:row>
      <xdr:rowOff>0</xdr:rowOff>
    </xdr:from>
    <xdr:to>
      <xdr:col>1</xdr:col>
      <xdr:colOff>333375</xdr:colOff>
      <xdr:row>10</xdr:row>
      <xdr:rowOff>9525</xdr:rowOff>
    </xdr:to>
    <xdr:sp macro="" textlink="">
      <xdr:nvSpPr>
        <xdr:cNvPr id="7266" name="Line 4">
          <a:extLst>
            <a:ext uri="{FF2B5EF4-FFF2-40B4-BE49-F238E27FC236}">
              <a16:creationId xmlns:a16="http://schemas.microsoft.com/office/drawing/2014/main" id="{91074EC6-A4BB-4F69-94E6-91505C559C8C}"/>
            </a:ext>
          </a:extLst>
        </xdr:cNvPr>
        <xdr:cNvSpPr>
          <a:spLocks noChangeShapeType="1"/>
        </xdr:cNvSpPr>
      </xdr:nvSpPr>
      <xdr:spPr bwMode="auto">
        <a:xfrm>
          <a:off x="1476375" y="172402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333375</xdr:colOff>
      <xdr:row>9</xdr:row>
      <xdr:rowOff>0</xdr:rowOff>
    </xdr:from>
    <xdr:to>
      <xdr:col>2</xdr:col>
      <xdr:colOff>333375</xdr:colOff>
      <xdr:row>10</xdr:row>
      <xdr:rowOff>9525</xdr:rowOff>
    </xdr:to>
    <xdr:sp macro="" textlink="">
      <xdr:nvSpPr>
        <xdr:cNvPr id="7267" name="Line 5">
          <a:extLst>
            <a:ext uri="{FF2B5EF4-FFF2-40B4-BE49-F238E27FC236}">
              <a16:creationId xmlns:a16="http://schemas.microsoft.com/office/drawing/2014/main" id="{BE5A0FBE-DBA7-42D6-A54B-1A931FA003F7}"/>
            </a:ext>
          </a:extLst>
        </xdr:cNvPr>
        <xdr:cNvSpPr>
          <a:spLocks noChangeShapeType="1"/>
        </xdr:cNvSpPr>
      </xdr:nvSpPr>
      <xdr:spPr bwMode="auto">
        <a:xfrm>
          <a:off x="2085975" y="172402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352425</xdr:colOff>
      <xdr:row>9</xdr:row>
      <xdr:rowOff>0</xdr:rowOff>
    </xdr:from>
    <xdr:to>
      <xdr:col>3</xdr:col>
      <xdr:colOff>352425</xdr:colOff>
      <xdr:row>10</xdr:row>
      <xdr:rowOff>9525</xdr:rowOff>
    </xdr:to>
    <xdr:sp macro="" textlink="">
      <xdr:nvSpPr>
        <xdr:cNvPr id="7268" name="Line 6">
          <a:extLst>
            <a:ext uri="{FF2B5EF4-FFF2-40B4-BE49-F238E27FC236}">
              <a16:creationId xmlns:a16="http://schemas.microsoft.com/office/drawing/2014/main" id="{28A24B7B-19E9-4318-BC1B-59E07E59BBB4}"/>
            </a:ext>
          </a:extLst>
        </xdr:cNvPr>
        <xdr:cNvSpPr>
          <a:spLocks noChangeShapeType="1"/>
        </xdr:cNvSpPr>
      </xdr:nvSpPr>
      <xdr:spPr bwMode="auto">
        <a:xfrm>
          <a:off x="2714625" y="172402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495300</xdr:colOff>
      <xdr:row>9</xdr:row>
      <xdr:rowOff>0</xdr:rowOff>
    </xdr:from>
    <xdr:to>
      <xdr:col>4</xdr:col>
      <xdr:colOff>495300</xdr:colOff>
      <xdr:row>10</xdr:row>
      <xdr:rowOff>9525</xdr:rowOff>
    </xdr:to>
    <xdr:sp macro="" textlink="">
      <xdr:nvSpPr>
        <xdr:cNvPr id="7269" name="Line 7">
          <a:extLst>
            <a:ext uri="{FF2B5EF4-FFF2-40B4-BE49-F238E27FC236}">
              <a16:creationId xmlns:a16="http://schemas.microsoft.com/office/drawing/2014/main" id="{6EF5E289-2606-45FD-97DF-76DBB9DDA70B}"/>
            </a:ext>
          </a:extLst>
        </xdr:cNvPr>
        <xdr:cNvSpPr>
          <a:spLocks noChangeShapeType="1"/>
        </xdr:cNvSpPr>
      </xdr:nvSpPr>
      <xdr:spPr bwMode="auto">
        <a:xfrm>
          <a:off x="3581400" y="172402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200025</xdr:colOff>
      <xdr:row>30</xdr:row>
      <xdr:rowOff>0</xdr:rowOff>
    </xdr:to>
    <xdr:graphicFrame macro="">
      <xdr:nvGraphicFramePr>
        <xdr:cNvPr id="9262" name="Chart 1">
          <a:extLst>
            <a:ext uri="{FF2B5EF4-FFF2-40B4-BE49-F238E27FC236}">
              <a16:creationId xmlns:a16="http://schemas.microsoft.com/office/drawing/2014/main" id="{56F752A1-909C-4953-8D2F-212BC5D064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438150</xdr:colOff>
      <xdr:row>8</xdr:row>
      <xdr:rowOff>123825</xdr:rowOff>
    </xdr:from>
    <xdr:to>
      <xdr:col>14</xdr:col>
      <xdr:colOff>438150</xdr:colOff>
      <xdr:row>8</xdr:row>
      <xdr:rowOff>123825</xdr:rowOff>
    </xdr:to>
    <xdr:sp macro="" textlink="">
      <xdr:nvSpPr>
        <xdr:cNvPr id="9263" name="Line 2">
          <a:extLst>
            <a:ext uri="{FF2B5EF4-FFF2-40B4-BE49-F238E27FC236}">
              <a16:creationId xmlns:a16="http://schemas.microsoft.com/office/drawing/2014/main" id="{FF8D7370-45C8-4934-832E-C9EE575D8F1C}"/>
            </a:ext>
          </a:extLst>
        </xdr:cNvPr>
        <xdr:cNvSpPr>
          <a:spLocks noChangeShapeType="1"/>
        </xdr:cNvSpPr>
      </xdr:nvSpPr>
      <xdr:spPr bwMode="auto">
        <a:xfrm>
          <a:off x="1047750" y="1419225"/>
          <a:ext cx="7924800" cy="0"/>
        </a:xfrm>
        <a:prstGeom prst="line">
          <a:avLst/>
        </a:prstGeom>
        <a:noFill/>
        <a:ln w="19050">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581025</xdr:colOff>
      <xdr:row>8</xdr:row>
      <xdr:rowOff>19050</xdr:rowOff>
    </xdr:from>
    <xdr:ext cx="289310" cy="170560"/>
    <xdr:sp macro="" textlink="">
      <xdr:nvSpPr>
        <xdr:cNvPr id="9219" name="Text Box 3">
          <a:extLst>
            <a:ext uri="{FF2B5EF4-FFF2-40B4-BE49-F238E27FC236}">
              <a16:creationId xmlns:a16="http://schemas.microsoft.com/office/drawing/2014/main" id="{399C212F-FA40-4D90-9960-E6710132A6EC}"/>
            </a:ext>
          </a:extLst>
        </xdr:cNvPr>
        <xdr:cNvSpPr txBox="1">
          <a:spLocks noChangeArrowheads="1"/>
        </xdr:cNvSpPr>
      </xdr:nvSpPr>
      <xdr:spPr bwMode="auto">
        <a:xfrm>
          <a:off x="4848225" y="1314450"/>
          <a:ext cx="289310" cy="170560"/>
        </a:xfrm>
        <a:prstGeom prst="rect">
          <a:avLst/>
        </a:prstGeom>
        <a:solidFill>
          <a:srgbClr xmlns:mc="http://schemas.openxmlformats.org/markup-compatibility/2006" xmlns:a14="http://schemas.microsoft.com/office/drawing/2010/main" val="FFCC99" mc:Ignorable="a14" a14:legacySpreadsheetColorIndex="47"/>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-3dB</a:t>
          </a:r>
        </a:p>
      </xdr:txBody>
    </xdr:sp>
    <xdr:clientData/>
  </xdr:oneCellAnchor>
</xdr:wsDr>
</file>

<file path=xl/drawings/drawing16.xml><?xml version="1.0" encoding="utf-8"?>
<xdr:wsDr xmlns:xdr="http://schemas.openxmlformats.org/drawingml/2006/spreadsheetDrawing" xmlns:a="http://schemas.openxmlformats.org/drawingml/2006/main">
  <xdr:twoCellAnchor>
    <xdr:from>
      <xdr:col>2</xdr:col>
      <xdr:colOff>600075</xdr:colOff>
      <xdr:row>17</xdr:row>
      <xdr:rowOff>9525</xdr:rowOff>
    </xdr:from>
    <xdr:to>
      <xdr:col>5</xdr:col>
      <xdr:colOff>9525</xdr:colOff>
      <xdr:row>21</xdr:row>
      <xdr:rowOff>0</xdr:rowOff>
    </xdr:to>
    <xdr:sp macro="" textlink="">
      <xdr:nvSpPr>
        <xdr:cNvPr id="19282" name="Rectangle 2">
          <a:extLst>
            <a:ext uri="{FF2B5EF4-FFF2-40B4-BE49-F238E27FC236}">
              <a16:creationId xmlns:a16="http://schemas.microsoft.com/office/drawing/2014/main" id="{C6E6386E-9691-446B-BCAE-B8FA14013351}"/>
            </a:ext>
          </a:extLst>
        </xdr:cNvPr>
        <xdr:cNvSpPr>
          <a:spLocks noChangeArrowheads="1"/>
        </xdr:cNvSpPr>
      </xdr:nvSpPr>
      <xdr:spPr bwMode="auto">
        <a:xfrm>
          <a:off x="1819275" y="2838450"/>
          <a:ext cx="1238250" cy="638175"/>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66675</xdr:colOff>
      <xdr:row>20</xdr:row>
      <xdr:rowOff>0</xdr:rowOff>
    </xdr:from>
    <xdr:to>
      <xdr:col>9</xdr:col>
      <xdr:colOff>0</xdr:colOff>
      <xdr:row>22</xdr:row>
      <xdr:rowOff>19050</xdr:rowOff>
    </xdr:to>
    <xdr:sp macro="" textlink="">
      <xdr:nvSpPr>
        <xdr:cNvPr id="19283" name="Line 4">
          <a:extLst>
            <a:ext uri="{FF2B5EF4-FFF2-40B4-BE49-F238E27FC236}">
              <a16:creationId xmlns:a16="http://schemas.microsoft.com/office/drawing/2014/main" id="{634EA4F8-FD30-4BE1-B11F-FF8129984CAA}"/>
            </a:ext>
          </a:extLst>
        </xdr:cNvPr>
        <xdr:cNvSpPr>
          <a:spLocks noChangeShapeType="1"/>
        </xdr:cNvSpPr>
      </xdr:nvSpPr>
      <xdr:spPr bwMode="auto">
        <a:xfrm>
          <a:off x="4943475" y="3314700"/>
          <a:ext cx="542925" cy="34290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76200</xdr:colOff>
      <xdr:row>21</xdr:row>
      <xdr:rowOff>28575</xdr:rowOff>
    </xdr:to>
    <xdr:sp macro="" textlink="">
      <xdr:nvSpPr>
        <xdr:cNvPr id="19284" name="Rectangle 3">
          <a:extLst>
            <a:ext uri="{FF2B5EF4-FFF2-40B4-BE49-F238E27FC236}">
              <a16:creationId xmlns:a16="http://schemas.microsoft.com/office/drawing/2014/main" id="{B4C27B49-A810-4849-A730-32A15B8E5E22}"/>
            </a:ext>
          </a:extLst>
        </xdr:cNvPr>
        <xdr:cNvSpPr>
          <a:spLocks noChangeArrowheads="1"/>
        </xdr:cNvSpPr>
      </xdr:nvSpPr>
      <xdr:spPr bwMode="auto">
        <a:xfrm>
          <a:off x="4876800" y="2828925"/>
          <a:ext cx="76200" cy="676275"/>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76200</xdr:colOff>
      <xdr:row>15</xdr:row>
      <xdr:rowOff>142875</xdr:rowOff>
    </xdr:from>
    <xdr:to>
      <xdr:col>9</xdr:col>
      <xdr:colOff>9525</xdr:colOff>
      <xdr:row>18</xdr:row>
      <xdr:rowOff>0</xdr:rowOff>
    </xdr:to>
    <xdr:sp macro="" textlink="">
      <xdr:nvSpPr>
        <xdr:cNvPr id="19285" name="Line 5">
          <a:extLst>
            <a:ext uri="{FF2B5EF4-FFF2-40B4-BE49-F238E27FC236}">
              <a16:creationId xmlns:a16="http://schemas.microsoft.com/office/drawing/2014/main" id="{B85D98F2-0B1B-4C4F-A325-AA63FE4006DD}"/>
            </a:ext>
          </a:extLst>
        </xdr:cNvPr>
        <xdr:cNvSpPr>
          <a:spLocks noChangeShapeType="1"/>
        </xdr:cNvSpPr>
      </xdr:nvSpPr>
      <xdr:spPr bwMode="auto">
        <a:xfrm flipV="1">
          <a:off x="4953000" y="2647950"/>
          <a:ext cx="542925" cy="34290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457200</xdr:colOff>
      <xdr:row>17</xdr:row>
      <xdr:rowOff>152400</xdr:rowOff>
    </xdr:from>
    <xdr:to>
      <xdr:col>7</xdr:col>
      <xdr:colOff>466725</xdr:colOff>
      <xdr:row>20</xdr:row>
      <xdr:rowOff>9525</xdr:rowOff>
    </xdr:to>
    <xdr:sp macro="" textlink="">
      <xdr:nvSpPr>
        <xdr:cNvPr id="19286" name="Rectangle 6">
          <a:extLst>
            <a:ext uri="{FF2B5EF4-FFF2-40B4-BE49-F238E27FC236}">
              <a16:creationId xmlns:a16="http://schemas.microsoft.com/office/drawing/2014/main" id="{AC691699-FD31-4CC1-AAED-FD38ACF7ED7F}"/>
            </a:ext>
          </a:extLst>
        </xdr:cNvPr>
        <xdr:cNvSpPr>
          <a:spLocks noChangeArrowheads="1"/>
        </xdr:cNvSpPr>
      </xdr:nvSpPr>
      <xdr:spPr bwMode="auto">
        <a:xfrm>
          <a:off x="4114800" y="2981325"/>
          <a:ext cx="619125" cy="342900"/>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476250</xdr:colOff>
      <xdr:row>19</xdr:row>
      <xdr:rowOff>0</xdr:rowOff>
    </xdr:from>
    <xdr:to>
      <xdr:col>7</xdr:col>
      <xdr:colOff>600075</xdr:colOff>
      <xdr:row>19</xdr:row>
      <xdr:rowOff>0</xdr:rowOff>
    </xdr:to>
    <xdr:sp macro="" textlink="">
      <xdr:nvSpPr>
        <xdr:cNvPr id="19287" name="Line 7">
          <a:extLst>
            <a:ext uri="{FF2B5EF4-FFF2-40B4-BE49-F238E27FC236}">
              <a16:creationId xmlns:a16="http://schemas.microsoft.com/office/drawing/2014/main" id="{93C1AAE8-4FA6-4432-B387-E8AB8D491511}"/>
            </a:ext>
          </a:extLst>
        </xdr:cNvPr>
        <xdr:cNvSpPr>
          <a:spLocks noChangeShapeType="1"/>
        </xdr:cNvSpPr>
      </xdr:nvSpPr>
      <xdr:spPr bwMode="auto">
        <a:xfrm flipH="1">
          <a:off x="4743450" y="3152775"/>
          <a:ext cx="1238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276225</xdr:colOff>
      <xdr:row>18</xdr:row>
      <xdr:rowOff>152400</xdr:rowOff>
    </xdr:from>
    <xdr:to>
      <xdr:col>6</xdr:col>
      <xdr:colOff>447675</xdr:colOff>
      <xdr:row>18</xdr:row>
      <xdr:rowOff>152400</xdr:rowOff>
    </xdr:to>
    <xdr:sp macro="" textlink="">
      <xdr:nvSpPr>
        <xdr:cNvPr id="19288" name="Line 8">
          <a:extLst>
            <a:ext uri="{FF2B5EF4-FFF2-40B4-BE49-F238E27FC236}">
              <a16:creationId xmlns:a16="http://schemas.microsoft.com/office/drawing/2014/main" id="{26B9516F-9D48-49A9-AA5C-C13B3EE7D9AF}"/>
            </a:ext>
          </a:extLst>
        </xdr:cNvPr>
        <xdr:cNvSpPr>
          <a:spLocks noChangeShapeType="1"/>
        </xdr:cNvSpPr>
      </xdr:nvSpPr>
      <xdr:spPr bwMode="auto">
        <a:xfrm flipH="1">
          <a:off x="3324225" y="3143250"/>
          <a:ext cx="7810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190500</xdr:colOff>
      <xdr:row>18</xdr:row>
      <xdr:rowOff>114300</xdr:rowOff>
    </xdr:from>
    <xdr:to>
      <xdr:col>5</xdr:col>
      <xdr:colOff>323850</xdr:colOff>
      <xdr:row>19</xdr:row>
      <xdr:rowOff>28575</xdr:rowOff>
    </xdr:to>
    <xdr:sp macro="" textlink="">
      <xdr:nvSpPr>
        <xdr:cNvPr id="19289" name="AutoShape 9">
          <a:extLst>
            <a:ext uri="{FF2B5EF4-FFF2-40B4-BE49-F238E27FC236}">
              <a16:creationId xmlns:a16="http://schemas.microsoft.com/office/drawing/2014/main" id="{F5BF9AC8-2AD7-4554-8D72-E6EC97230868}"/>
            </a:ext>
          </a:extLst>
        </xdr:cNvPr>
        <xdr:cNvSpPr>
          <a:spLocks noChangeArrowheads="1"/>
        </xdr:cNvSpPr>
      </xdr:nvSpPr>
      <xdr:spPr bwMode="auto">
        <a:xfrm rot="-5400000">
          <a:off x="3267075" y="3076575"/>
          <a:ext cx="76200" cy="133350"/>
        </a:xfrm>
        <a:custGeom>
          <a:avLst/>
          <a:gdLst>
            <a:gd name="T0" fmla="*/ 66675 w 21600"/>
            <a:gd name="T1" fmla="*/ 66675 h 21600"/>
            <a:gd name="T2" fmla="*/ 38100 w 21600"/>
            <a:gd name="T3" fmla="*/ 133350 h 21600"/>
            <a:gd name="T4" fmla="*/ 9525 w 21600"/>
            <a:gd name="T5" fmla="*/ 66675 h 21600"/>
            <a:gd name="T6" fmla="*/ 38100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19050</xdr:colOff>
      <xdr:row>18</xdr:row>
      <xdr:rowOff>114300</xdr:rowOff>
    </xdr:from>
    <xdr:to>
      <xdr:col>5</xdr:col>
      <xdr:colOff>95250</xdr:colOff>
      <xdr:row>19</xdr:row>
      <xdr:rowOff>28575</xdr:rowOff>
    </xdr:to>
    <xdr:sp macro="" textlink="">
      <xdr:nvSpPr>
        <xdr:cNvPr id="19290" name="Rectangle 10">
          <a:extLst>
            <a:ext uri="{FF2B5EF4-FFF2-40B4-BE49-F238E27FC236}">
              <a16:creationId xmlns:a16="http://schemas.microsoft.com/office/drawing/2014/main" id="{E50EA4B2-2401-4375-9D51-8D45DEC80E5D}"/>
            </a:ext>
          </a:extLst>
        </xdr:cNvPr>
        <xdr:cNvSpPr>
          <a:spLocks noChangeArrowheads="1"/>
        </xdr:cNvSpPr>
      </xdr:nvSpPr>
      <xdr:spPr bwMode="auto">
        <a:xfrm>
          <a:off x="3067050" y="3105150"/>
          <a:ext cx="76200" cy="76200"/>
        </a:xfrm>
        <a:prstGeom prst="rect">
          <a:avLst/>
        </a:pr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8</xdr:col>
      <xdr:colOff>419100</xdr:colOff>
      <xdr:row>18</xdr:row>
      <xdr:rowOff>66675</xdr:rowOff>
    </xdr:from>
    <xdr:ext cx="496161" cy="170560"/>
    <xdr:sp macro="" textlink="">
      <xdr:nvSpPr>
        <xdr:cNvPr id="18443" name="Text Box 11">
          <a:extLst>
            <a:ext uri="{FF2B5EF4-FFF2-40B4-BE49-F238E27FC236}">
              <a16:creationId xmlns:a16="http://schemas.microsoft.com/office/drawing/2014/main" id="{4A5FF1B7-7D8D-4553-B902-F07D9B16F15A}"/>
            </a:ext>
          </a:extLst>
        </xdr:cNvPr>
        <xdr:cNvSpPr txBox="1">
          <a:spLocks noChangeArrowheads="1"/>
        </xdr:cNvSpPr>
      </xdr:nvSpPr>
      <xdr:spPr bwMode="auto">
        <a:xfrm>
          <a:off x="5295900" y="3057525"/>
          <a:ext cx="49616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Antenna</a:t>
          </a:r>
        </a:p>
      </xdr:txBody>
    </xdr:sp>
    <xdr:clientData/>
  </xdr:oneCellAnchor>
  <xdr:oneCellAnchor>
    <xdr:from>
      <xdr:col>6</xdr:col>
      <xdr:colOff>476250</xdr:colOff>
      <xdr:row>17</xdr:row>
      <xdr:rowOff>152400</xdr:rowOff>
    </xdr:from>
    <xdr:ext cx="557204" cy="318036"/>
    <xdr:sp macro="" textlink="">
      <xdr:nvSpPr>
        <xdr:cNvPr id="18444" name="Text Box 12">
          <a:extLst>
            <a:ext uri="{FF2B5EF4-FFF2-40B4-BE49-F238E27FC236}">
              <a16:creationId xmlns:a16="http://schemas.microsoft.com/office/drawing/2014/main" id="{07E9F4A7-EBC0-483B-9A44-6FCAAA15EF2B}"/>
            </a:ext>
          </a:extLst>
        </xdr:cNvPr>
        <xdr:cNvSpPr txBox="1">
          <a:spLocks noChangeArrowheads="1"/>
        </xdr:cNvSpPr>
      </xdr:nvSpPr>
      <xdr:spPr bwMode="auto">
        <a:xfrm>
          <a:off x="4133850" y="2981325"/>
          <a:ext cx="557204"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0" i="0" u="none" strike="noStrike" baseline="0">
              <a:solidFill>
                <a:srgbClr val="000000"/>
              </a:solidFill>
              <a:latin typeface="Arial"/>
              <a:cs typeface="Arial"/>
            </a:rPr>
            <a:t>Matching</a:t>
          </a:r>
        </a:p>
        <a:p>
          <a:pPr algn="ctr" rtl="0">
            <a:defRPr sz="1000"/>
          </a:pPr>
          <a:r>
            <a:rPr lang="en-US" sz="1000" b="0" i="0" u="none" strike="noStrike" baseline="0">
              <a:solidFill>
                <a:srgbClr val="000000"/>
              </a:solidFill>
              <a:latin typeface="Arial"/>
              <a:cs typeface="Arial"/>
            </a:rPr>
            <a:t>Network</a:t>
          </a:r>
        </a:p>
      </xdr:txBody>
    </xdr:sp>
    <xdr:clientData/>
  </xdr:oneCellAnchor>
  <xdr:oneCellAnchor>
    <xdr:from>
      <xdr:col>3</xdr:col>
      <xdr:colOff>228600</xdr:colOff>
      <xdr:row>18</xdr:row>
      <xdr:rowOff>57150</xdr:rowOff>
    </xdr:from>
    <xdr:ext cx="666849" cy="170560"/>
    <xdr:sp macro="" textlink="">
      <xdr:nvSpPr>
        <xdr:cNvPr id="18445" name="Text Box 13">
          <a:extLst>
            <a:ext uri="{FF2B5EF4-FFF2-40B4-BE49-F238E27FC236}">
              <a16:creationId xmlns:a16="http://schemas.microsoft.com/office/drawing/2014/main" id="{FB677647-E1E9-4DA3-9544-8D3F467991DD}"/>
            </a:ext>
          </a:extLst>
        </xdr:cNvPr>
        <xdr:cNvSpPr txBox="1">
          <a:spLocks noChangeArrowheads="1"/>
        </xdr:cNvSpPr>
      </xdr:nvSpPr>
      <xdr:spPr bwMode="auto">
        <a:xfrm>
          <a:off x="2057400" y="3048000"/>
          <a:ext cx="666849"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Transmitter</a:t>
          </a:r>
        </a:p>
      </xdr:txBody>
    </xdr:sp>
    <xdr:clientData/>
  </xdr:oneCellAnchor>
  <xdr:oneCellAnchor>
    <xdr:from>
      <xdr:col>6</xdr:col>
      <xdr:colOff>466725</xdr:colOff>
      <xdr:row>22</xdr:row>
      <xdr:rowOff>142875</xdr:rowOff>
    </xdr:from>
    <xdr:ext cx="2541530" cy="279564"/>
    <xdr:sp macro="" textlink="">
      <xdr:nvSpPr>
        <xdr:cNvPr id="18446" name="Text Box 14">
          <a:extLst>
            <a:ext uri="{FF2B5EF4-FFF2-40B4-BE49-F238E27FC236}">
              <a16:creationId xmlns:a16="http://schemas.microsoft.com/office/drawing/2014/main" id="{3437382B-6E0D-4100-BAC4-52E8D394C547}"/>
            </a:ext>
          </a:extLst>
        </xdr:cNvPr>
        <xdr:cNvSpPr txBox="1">
          <a:spLocks noChangeArrowheads="1"/>
        </xdr:cNvSpPr>
      </xdr:nvSpPr>
      <xdr:spPr bwMode="auto">
        <a:xfrm>
          <a:off x="4124325" y="3781425"/>
          <a:ext cx="2541530" cy="2795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000"/>
            </a:lnSpc>
            <a:defRPr sz="1000"/>
          </a:pPr>
          <a:r>
            <a:rPr lang="en-US" sz="1000" b="0" i="0" u="none" strike="noStrike" baseline="0">
              <a:solidFill>
                <a:srgbClr val="000000"/>
              </a:solidFill>
              <a:latin typeface="Arial"/>
              <a:cs typeface="Arial"/>
            </a:rPr>
            <a:t>Measure  </a:t>
          </a:r>
          <a:r>
            <a:rPr lang="en-US" sz="1000" b="1" i="0" u="none" strike="noStrike" baseline="0">
              <a:solidFill>
                <a:srgbClr val="000000"/>
              </a:solidFill>
              <a:latin typeface="Arial"/>
              <a:cs typeface="Arial"/>
            </a:rPr>
            <a:t>Z</a:t>
          </a:r>
          <a:r>
            <a:rPr lang="en-US" sz="800" b="1" i="0" u="none" strike="noStrike" baseline="0">
              <a:solidFill>
                <a:srgbClr val="000000"/>
              </a:solidFill>
              <a:latin typeface="Arial"/>
              <a:cs typeface="Arial"/>
            </a:rPr>
            <a:t>sys </a:t>
          </a:r>
          <a:r>
            <a:rPr lang="en-US" sz="1000" b="0" i="0" u="none" strike="noStrike" baseline="0">
              <a:solidFill>
                <a:srgbClr val="000000"/>
              </a:solidFill>
              <a:latin typeface="Arial"/>
              <a:cs typeface="Arial"/>
            </a:rPr>
            <a:t> here using Network Analyzer</a:t>
          </a:r>
        </a:p>
        <a:p>
          <a:pPr algn="l" rtl="0">
            <a:lnSpc>
              <a:spcPts val="1000"/>
            </a:lnSpc>
            <a:defRPr sz="1000"/>
          </a:pPr>
          <a:r>
            <a:rPr lang="en-US" sz="1000" b="0" i="0" u="none" strike="noStrike" baseline="0">
              <a:solidFill>
                <a:srgbClr val="000000"/>
              </a:solidFill>
              <a:latin typeface="Arial"/>
              <a:cs typeface="Arial"/>
            </a:rPr>
            <a:t>or Impedance Bridge.</a:t>
          </a:r>
        </a:p>
      </xdr:txBody>
    </xdr:sp>
    <xdr:clientData/>
  </xdr:oneCellAnchor>
  <xdr:twoCellAnchor>
    <xdr:from>
      <xdr:col>5</xdr:col>
      <xdr:colOff>266700</xdr:colOff>
      <xdr:row>19</xdr:row>
      <xdr:rowOff>47625</xdr:rowOff>
    </xdr:from>
    <xdr:to>
      <xdr:col>6</xdr:col>
      <xdr:colOff>428625</xdr:colOff>
      <xdr:row>23</xdr:row>
      <xdr:rowOff>47625</xdr:rowOff>
    </xdr:to>
    <xdr:sp macro="" textlink="">
      <xdr:nvSpPr>
        <xdr:cNvPr id="19295" name="Line 15">
          <a:extLst>
            <a:ext uri="{FF2B5EF4-FFF2-40B4-BE49-F238E27FC236}">
              <a16:creationId xmlns:a16="http://schemas.microsoft.com/office/drawing/2014/main" id="{4554FB84-372F-484E-B38C-C8F687C0B265}"/>
            </a:ext>
          </a:extLst>
        </xdr:cNvPr>
        <xdr:cNvSpPr>
          <a:spLocks noChangeShapeType="1"/>
        </xdr:cNvSpPr>
      </xdr:nvSpPr>
      <xdr:spPr bwMode="auto">
        <a:xfrm flipH="1" flipV="1">
          <a:off x="3314700" y="3200400"/>
          <a:ext cx="771525" cy="647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114300</xdr:rowOff>
    </xdr:from>
    <xdr:ext cx="2490105" cy="279564"/>
    <xdr:sp macro="" textlink="">
      <xdr:nvSpPr>
        <xdr:cNvPr id="18448" name="Text Box 16">
          <a:extLst>
            <a:ext uri="{FF2B5EF4-FFF2-40B4-BE49-F238E27FC236}">
              <a16:creationId xmlns:a16="http://schemas.microsoft.com/office/drawing/2014/main" id="{AADFA38E-0C32-4AC1-B48D-51FACB0D9A2E}"/>
            </a:ext>
          </a:extLst>
        </xdr:cNvPr>
        <xdr:cNvSpPr txBox="1">
          <a:spLocks noChangeArrowheads="1"/>
        </xdr:cNvSpPr>
      </xdr:nvSpPr>
      <xdr:spPr bwMode="auto">
        <a:xfrm>
          <a:off x="3486150" y="4238625"/>
          <a:ext cx="2490105" cy="2795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000"/>
            </a:lnSpc>
            <a:defRPr sz="1000"/>
          </a:pPr>
          <a:r>
            <a:rPr lang="en-US" sz="1000" b="0" i="0" u="none" strike="noStrike" baseline="0">
              <a:solidFill>
                <a:srgbClr val="000000"/>
              </a:solidFill>
              <a:latin typeface="Arial"/>
              <a:cs typeface="Arial"/>
            </a:rPr>
            <a:t>Measure  </a:t>
          </a:r>
          <a:r>
            <a:rPr lang="en-US" sz="1000" b="1" i="0" u="none" strike="noStrike" baseline="0">
              <a:solidFill>
                <a:srgbClr val="000000"/>
              </a:solidFill>
              <a:latin typeface="Arial"/>
              <a:cs typeface="Arial"/>
            </a:rPr>
            <a:t>Z</a:t>
          </a:r>
          <a:r>
            <a:rPr lang="en-US" sz="800" b="1" i="0" u="none" strike="noStrike" baseline="0">
              <a:solidFill>
                <a:srgbClr val="000000"/>
              </a:solidFill>
              <a:latin typeface="Arial"/>
              <a:cs typeface="Arial"/>
            </a:rPr>
            <a:t>tx  </a:t>
          </a:r>
          <a:r>
            <a:rPr lang="en-US" sz="1000" b="0" i="0" u="none" strike="noStrike" baseline="0">
              <a:solidFill>
                <a:srgbClr val="000000"/>
              </a:solidFill>
              <a:latin typeface="Arial"/>
              <a:cs typeface="Arial"/>
            </a:rPr>
            <a:t>here using Network Analyzer </a:t>
          </a:r>
        </a:p>
        <a:p>
          <a:pPr algn="l" rtl="0">
            <a:lnSpc>
              <a:spcPts val="1000"/>
            </a:lnSpc>
            <a:defRPr sz="1000"/>
          </a:pPr>
          <a:r>
            <a:rPr lang="en-US" sz="1000" b="0" i="0" u="none" strike="noStrike" baseline="0">
              <a:solidFill>
                <a:srgbClr val="000000"/>
              </a:solidFill>
              <a:latin typeface="Arial"/>
              <a:cs typeface="Arial"/>
            </a:rPr>
            <a:t>or Impedance Bridge.</a:t>
          </a:r>
        </a:p>
      </xdr:txBody>
    </xdr:sp>
    <xdr:clientData/>
  </xdr:oneCellAnchor>
  <xdr:twoCellAnchor>
    <xdr:from>
      <xdr:col>5</xdr:col>
      <xdr:colOff>66675</xdr:colOff>
      <xdr:row>19</xdr:row>
      <xdr:rowOff>76200</xdr:rowOff>
    </xdr:from>
    <xdr:to>
      <xdr:col>5</xdr:col>
      <xdr:colOff>304800</xdr:colOff>
      <xdr:row>26</xdr:row>
      <xdr:rowOff>57150</xdr:rowOff>
    </xdr:to>
    <xdr:sp macro="" textlink="">
      <xdr:nvSpPr>
        <xdr:cNvPr id="19297" name="Line 17">
          <a:extLst>
            <a:ext uri="{FF2B5EF4-FFF2-40B4-BE49-F238E27FC236}">
              <a16:creationId xmlns:a16="http://schemas.microsoft.com/office/drawing/2014/main" id="{17587176-C064-48A1-B329-C28F099F4E6F}"/>
            </a:ext>
          </a:extLst>
        </xdr:cNvPr>
        <xdr:cNvSpPr>
          <a:spLocks noChangeShapeType="1"/>
        </xdr:cNvSpPr>
      </xdr:nvSpPr>
      <xdr:spPr bwMode="auto">
        <a:xfrm flipH="1" flipV="1">
          <a:off x="3114675" y="3228975"/>
          <a:ext cx="238125" cy="11144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314325</xdr:colOff>
      <xdr:row>26</xdr:row>
      <xdr:rowOff>47625</xdr:rowOff>
    </xdr:from>
    <xdr:to>
      <xdr:col>5</xdr:col>
      <xdr:colOff>428625</xdr:colOff>
      <xdr:row>26</xdr:row>
      <xdr:rowOff>47625</xdr:rowOff>
    </xdr:to>
    <xdr:sp macro="" textlink="">
      <xdr:nvSpPr>
        <xdr:cNvPr id="19298" name="Line 19">
          <a:extLst>
            <a:ext uri="{FF2B5EF4-FFF2-40B4-BE49-F238E27FC236}">
              <a16:creationId xmlns:a16="http://schemas.microsoft.com/office/drawing/2014/main" id="{6F409E2F-380B-4231-ACB9-4BA9E6CF0104}"/>
            </a:ext>
          </a:extLst>
        </xdr:cNvPr>
        <xdr:cNvSpPr>
          <a:spLocks noChangeShapeType="1"/>
        </xdr:cNvSpPr>
      </xdr:nvSpPr>
      <xdr:spPr bwMode="auto">
        <a:xfrm>
          <a:off x="3362325" y="4333875"/>
          <a:ext cx="1143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285750</xdr:colOff>
      <xdr:row>36</xdr:row>
      <xdr:rowOff>152400</xdr:rowOff>
    </xdr:to>
    <xdr:sp macro="" textlink="">
      <xdr:nvSpPr>
        <xdr:cNvPr id="19299" name="Rectangle 22">
          <a:extLst>
            <a:ext uri="{FF2B5EF4-FFF2-40B4-BE49-F238E27FC236}">
              <a16:creationId xmlns:a16="http://schemas.microsoft.com/office/drawing/2014/main" id="{0D1C7085-21BA-4624-99D9-1573B05C2C61}"/>
            </a:ext>
          </a:extLst>
        </xdr:cNvPr>
        <xdr:cNvSpPr>
          <a:spLocks noChangeArrowheads="1"/>
        </xdr:cNvSpPr>
      </xdr:nvSpPr>
      <xdr:spPr bwMode="auto">
        <a:xfrm>
          <a:off x="1485900" y="5419725"/>
          <a:ext cx="1238250" cy="638175"/>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2</xdr:col>
      <xdr:colOff>504825</xdr:colOff>
      <xdr:row>34</xdr:row>
      <xdr:rowOff>47625</xdr:rowOff>
    </xdr:from>
    <xdr:ext cx="666849" cy="170560"/>
    <xdr:sp macro="" textlink="">
      <xdr:nvSpPr>
        <xdr:cNvPr id="18456" name="Text Box 24">
          <a:extLst>
            <a:ext uri="{FF2B5EF4-FFF2-40B4-BE49-F238E27FC236}">
              <a16:creationId xmlns:a16="http://schemas.microsoft.com/office/drawing/2014/main" id="{BFBD5DE7-C2E2-4D9F-915F-09E29EA26EC1}"/>
            </a:ext>
          </a:extLst>
        </xdr:cNvPr>
        <xdr:cNvSpPr txBox="1">
          <a:spLocks noChangeArrowheads="1"/>
        </xdr:cNvSpPr>
      </xdr:nvSpPr>
      <xdr:spPr bwMode="auto">
        <a:xfrm>
          <a:off x="1724025" y="5629275"/>
          <a:ext cx="666849"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Transmitter</a:t>
          </a:r>
        </a:p>
      </xdr:txBody>
    </xdr:sp>
    <xdr:clientData/>
  </xdr:oneCellAnchor>
  <xdr:twoCellAnchor>
    <xdr:from>
      <xdr:col>9</xdr:col>
      <xdr:colOff>428625</xdr:colOff>
      <xdr:row>33</xdr:row>
      <xdr:rowOff>9525</xdr:rowOff>
    </xdr:from>
    <xdr:to>
      <xdr:col>9</xdr:col>
      <xdr:colOff>504825</xdr:colOff>
      <xdr:row>37</xdr:row>
      <xdr:rowOff>38100</xdr:rowOff>
    </xdr:to>
    <xdr:sp macro="" textlink="">
      <xdr:nvSpPr>
        <xdr:cNvPr id="19301" name="Rectangle 25">
          <a:extLst>
            <a:ext uri="{FF2B5EF4-FFF2-40B4-BE49-F238E27FC236}">
              <a16:creationId xmlns:a16="http://schemas.microsoft.com/office/drawing/2014/main" id="{9E035192-35D3-46BC-83B0-03821ABDC58A}"/>
            </a:ext>
          </a:extLst>
        </xdr:cNvPr>
        <xdr:cNvSpPr>
          <a:spLocks noChangeArrowheads="1"/>
        </xdr:cNvSpPr>
      </xdr:nvSpPr>
      <xdr:spPr bwMode="auto">
        <a:xfrm>
          <a:off x="5915025" y="5429250"/>
          <a:ext cx="76200" cy="676275"/>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xdr:col>
      <xdr:colOff>495300</xdr:colOff>
      <xdr:row>36</xdr:row>
      <xdr:rowOff>9525</xdr:rowOff>
    </xdr:from>
    <xdr:to>
      <xdr:col>10</xdr:col>
      <xdr:colOff>428625</xdr:colOff>
      <xdr:row>38</xdr:row>
      <xdr:rowOff>28575</xdr:rowOff>
    </xdr:to>
    <xdr:sp macro="" textlink="">
      <xdr:nvSpPr>
        <xdr:cNvPr id="19302" name="Line 26">
          <a:extLst>
            <a:ext uri="{FF2B5EF4-FFF2-40B4-BE49-F238E27FC236}">
              <a16:creationId xmlns:a16="http://schemas.microsoft.com/office/drawing/2014/main" id="{8CAC61A5-92CC-4E9E-8DA6-FA342F1BD293}"/>
            </a:ext>
          </a:extLst>
        </xdr:cNvPr>
        <xdr:cNvSpPr>
          <a:spLocks noChangeShapeType="1"/>
        </xdr:cNvSpPr>
      </xdr:nvSpPr>
      <xdr:spPr bwMode="auto">
        <a:xfrm>
          <a:off x="5981700" y="5915025"/>
          <a:ext cx="542925" cy="34290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504825</xdr:colOff>
      <xdr:row>31</xdr:row>
      <xdr:rowOff>152400</xdr:rowOff>
    </xdr:from>
    <xdr:to>
      <xdr:col>10</xdr:col>
      <xdr:colOff>438150</xdr:colOff>
      <xdr:row>34</xdr:row>
      <xdr:rowOff>9525</xdr:rowOff>
    </xdr:to>
    <xdr:sp macro="" textlink="">
      <xdr:nvSpPr>
        <xdr:cNvPr id="19303" name="Line 27">
          <a:extLst>
            <a:ext uri="{FF2B5EF4-FFF2-40B4-BE49-F238E27FC236}">
              <a16:creationId xmlns:a16="http://schemas.microsoft.com/office/drawing/2014/main" id="{0BA4B601-1899-4737-9919-A1761FB1371E}"/>
            </a:ext>
          </a:extLst>
        </xdr:cNvPr>
        <xdr:cNvSpPr>
          <a:spLocks noChangeShapeType="1"/>
        </xdr:cNvSpPr>
      </xdr:nvSpPr>
      <xdr:spPr bwMode="auto">
        <a:xfrm flipV="1">
          <a:off x="5991225" y="5248275"/>
          <a:ext cx="542925" cy="34290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276225</xdr:colOff>
      <xdr:row>34</xdr:row>
      <xdr:rowOff>0</xdr:rowOff>
    </xdr:from>
    <xdr:to>
      <xdr:col>9</xdr:col>
      <xdr:colOff>285750</xdr:colOff>
      <xdr:row>36</xdr:row>
      <xdr:rowOff>19050</xdr:rowOff>
    </xdr:to>
    <xdr:sp macro="" textlink="">
      <xdr:nvSpPr>
        <xdr:cNvPr id="19304" name="Rectangle 28">
          <a:extLst>
            <a:ext uri="{FF2B5EF4-FFF2-40B4-BE49-F238E27FC236}">
              <a16:creationId xmlns:a16="http://schemas.microsoft.com/office/drawing/2014/main" id="{CDD260BA-77CE-45FC-A4CF-B8FE737EC85B}"/>
            </a:ext>
          </a:extLst>
        </xdr:cNvPr>
        <xdr:cNvSpPr>
          <a:spLocks noChangeArrowheads="1"/>
        </xdr:cNvSpPr>
      </xdr:nvSpPr>
      <xdr:spPr bwMode="auto">
        <a:xfrm>
          <a:off x="5153025" y="5581650"/>
          <a:ext cx="619125" cy="342900"/>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xdr:col>
      <xdr:colOff>295275</xdr:colOff>
      <xdr:row>35</xdr:row>
      <xdr:rowOff>9525</xdr:rowOff>
    </xdr:from>
    <xdr:to>
      <xdr:col>9</xdr:col>
      <xdr:colOff>419100</xdr:colOff>
      <xdr:row>35</xdr:row>
      <xdr:rowOff>9525</xdr:rowOff>
    </xdr:to>
    <xdr:sp macro="" textlink="">
      <xdr:nvSpPr>
        <xdr:cNvPr id="19305" name="Line 29">
          <a:extLst>
            <a:ext uri="{FF2B5EF4-FFF2-40B4-BE49-F238E27FC236}">
              <a16:creationId xmlns:a16="http://schemas.microsoft.com/office/drawing/2014/main" id="{B44FBDF4-7C87-4FDE-A28B-46E7F3EAE6AA}"/>
            </a:ext>
          </a:extLst>
        </xdr:cNvPr>
        <xdr:cNvSpPr>
          <a:spLocks noChangeShapeType="1"/>
        </xdr:cNvSpPr>
      </xdr:nvSpPr>
      <xdr:spPr bwMode="auto">
        <a:xfrm flipH="1">
          <a:off x="5781675" y="5753100"/>
          <a:ext cx="1238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19306" name="Line 30">
          <a:extLst>
            <a:ext uri="{FF2B5EF4-FFF2-40B4-BE49-F238E27FC236}">
              <a16:creationId xmlns:a16="http://schemas.microsoft.com/office/drawing/2014/main" id="{1497BC78-E23F-4850-A31E-1A7F4C64C149}"/>
            </a:ext>
          </a:extLst>
        </xdr:cNvPr>
        <xdr:cNvSpPr>
          <a:spLocks noChangeShapeType="1"/>
        </xdr:cNvSpPr>
      </xdr:nvSpPr>
      <xdr:spPr bwMode="auto">
        <a:xfrm flipH="1">
          <a:off x="4362450" y="5743575"/>
          <a:ext cx="7810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xdr:colOff>
      <xdr:row>34</xdr:row>
      <xdr:rowOff>123825</xdr:rowOff>
    </xdr:from>
    <xdr:to>
      <xdr:col>7</xdr:col>
      <xdr:colOff>142875</xdr:colOff>
      <xdr:row>35</xdr:row>
      <xdr:rowOff>38100</xdr:rowOff>
    </xdr:to>
    <xdr:sp macro="" textlink="">
      <xdr:nvSpPr>
        <xdr:cNvPr id="19307" name="AutoShape 31">
          <a:extLst>
            <a:ext uri="{FF2B5EF4-FFF2-40B4-BE49-F238E27FC236}">
              <a16:creationId xmlns:a16="http://schemas.microsoft.com/office/drawing/2014/main" id="{E3E5E243-418D-42C3-AE64-22153EB81EB7}"/>
            </a:ext>
          </a:extLst>
        </xdr:cNvPr>
        <xdr:cNvSpPr>
          <a:spLocks noChangeArrowheads="1"/>
        </xdr:cNvSpPr>
      </xdr:nvSpPr>
      <xdr:spPr bwMode="auto">
        <a:xfrm rot="-5400000">
          <a:off x="4305300" y="5676900"/>
          <a:ext cx="76200" cy="133350"/>
        </a:xfrm>
        <a:custGeom>
          <a:avLst/>
          <a:gdLst>
            <a:gd name="T0" fmla="*/ 66675 w 21600"/>
            <a:gd name="T1" fmla="*/ 66675 h 21600"/>
            <a:gd name="T2" fmla="*/ 38100 w 21600"/>
            <a:gd name="T3" fmla="*/ 133350 h 21600"/>
            <a:gd name="T4" fmla="*/ 9525 w 21600"/>
            <a:gd name="T5" fmla="*/ 66675 h 21600"/>
            <a:gd name="T6" fmla="*/ 38100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10</xdr:col>
      <xdr:colOff>238125</xdr:colOff>
      <xdr:row>34</xdr:row>
      <xdr:rowOff>76200</xdr:rowOff>
    </xdr:from>
    <xdr:ext cx="496161" cy="170560"/>
    <xdr:sp macro="" textlink="">
      <xdr:nvSpPr>
        <xdr:cNvPr id="18464" name="Text Box 32">
          <a:extLst>
            <a:ext uri="{FF2B5EF4-FFF2-40B4-BE49-F238E27FC236}">
              <a16:creationId xmlns:a16="http://schemas.microsoft.com/office/drawing/2014/main" id="{45E00404-07C5-482C-897B-2052D7A5EC31}"/>
            </a:ext>
          </a:extLst>
        </xdr:cNvPr>
        <xdr:cNvSpPr txBox="1">
          <a:spLocks noChangeArrowheads="1"/>
        </xdr:cNvSpPr>
      </xdr:nvSpPr>
      <xdr:spPr bwMode="auto">
        <a:xfrm>
          <a:off x="6334125" y="5657850"/>
          <a:ext cx="49616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Antenna</a:t>
          </a:r>
        </a:p>
      </xdr:txBody>
    </xdr:sp>
    <xdr:clientData/>
  </xdr:oneCellAnchor>
  <xdr:oneCellAnchor>
    <xdr:from>
      <xdr:col>8</xdr:col>
      <xdr:colOff>295275</xdr:colOff>
      <xdr:row>34</xdr:row>
      <xdr:rowOff>0</xdr:rowOff>
    </xdr:from>
    <xdr:ext cx="557204" cy="318036"/>
    <xdr:sp macro="" textlink="">
      <xdr:nvSpPr>
        <xdr:cNvPr id="18465" name="Text Box 33">
          <a:extLst>
            <a:ext uri="{FF2B5EF4-FFF2-40B4-BE49-F238E27FC236}">
              <a16:creationId xmlns:a16="http://schemas.microsoft.com/office/drawing/2014/main" id="{E28DD726-22D8-4018-A954-0D4B7A8F433E}"/>
            </a:ext>
          </a:extLst>
        </xdr:cNvPr>
        <xdr:cNvSpPr txBox="1">
          <a:spLocks noChangeArrowheads="1"/>
        </xdr:cNvSpPr>
      </xdr:nvSpPr>
      <xdr:spPr bwMode="auto">
        <a:xfrm>
          <a:off x="5172075" y="5581650"/>
          <a:ext cx="557204"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0" i="0" u="none" strike="noStrike" baseline="0">
              <a:solidFill>
                <a:srgbClr val="000000"/>
              </a:solidFill>
              <a:latin typeface="Arial"/>
              <a:cs typeface="Arial"/>
            </a:rPr>
            <a:t>Matching</a:t>
          </a:r>
        </a:p>
        <a:p>
          <a:pPr algn="ctr" rtl="0">
            <a:defRPr sz="1000"/>
          </a:pPr>
          <a:r>
            <a:rPr lang="en-US" sz="1000" b="0" i="0" u="none" strike="noStrike" baseline="0">
              <a:solidFill>
                <a:srgbClr val="000000"/>
              </a:solidFill>
              <a:latin typeface="Arial"/>
              <a:cs typeface="Arial"/>
            </a:rPr>
            <a:t>Network</a:t>
          </a:r>
        </a:p>
      </xdr:txBody>
    </xdr:sp>
    <xdr:clientData/>
  </xdr:oneCellAnchor>
  <xdr:twoCellAnchor>
    <xdr:from>
      <xdr:col>6</xdr:col>
      <xdr:colOff>0</xdr:colOff>
      <xdr:row>33</xdr:row>
      <xdr:rowOff>9525</xdr:rowOff>
    </xdr:from>
    <xdr:to>
      <xdr:col>7</xdr:col>
      <xdr:colOff>0</xdr:colOff>
      <xdr:row>40</xdr:row>
      <xdr:rowOff>0</xdr:rowOff>
    </xdr:to>
    <xdr:sp macro="" textlink="">
      <xdr:nvSpPr>
        <xdr:cNvPr id="19310" name="Rectangle 34">
          <a:extLst>
            <a:ext uri="{FF2B5EF4-FFF2-40B4-BE49-F238E27FC236}">
              <a16:creationId xmlns:a16="http://schemas.microsoft.com/office/drawing/2014/main" id="{B6631784-DDBB-4F23-B3DC-FEE40D06884B}"/>
            </a:ext>
          </a:extLst>
        </xdr:cNvPr>
        <xdr:cNvSpPr>
          <a:spLocks noChangeArrowheads="1"/>
        </xdr:cNvSpPr>
      </xdr:nvSpPr>
      <xdr:spPr bwMode="auto">
        <a:xfrm>
          <a:off x="3657600" y="5429250"/>
          <a:ext cx="609600" cy="1123950"/>
        </a:xfrm>
        <a:prstGeom prst="rect">
          <a:avLst/>
        </a:prstGeom>
        <a:solidFill>
          <a:srgbClr xmlns:mc="http://schemas.openxmlformats.org/markup-compatibility/2006" xmlns:a14="http://schemas.microsoft.com/office/drawing/2010/main" val="99CCFF" mc:Ignorable="a14" a14:legacySpreadsheetColorIndex="44"/>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76200</xdr:colOff>
      <xdr:row>33</xdr:row>
      <xdr:rowOff>114300</xdr:rowOff>
    </xdr:from>
    <xdr:to>
      <xdr:col>6</xdr:col>
      <xdr:colOff>523875</xdr:colOff>
      <xdr:row>36</xdr:row>
      <xdr:rowOff>57150</xdr:rowOff>
    </xdr:to>
    <xdr:sp macro="" textlink="">
      <xdr:nvSpPr>
        <xdr:cNvPr id="19311" name="Oval 35">
          <a:extLst>
            <a:ext uri="{FF2B5EF4-FFF2-40B4-BE49-F238E27FC236}">
              <a16:creationId xmlns:a16="http://schemas.microsoft.com/office/drawing/2014/main" id="{18254713-9553-4C30-960F-610D6BBEF8DE}"/>
            </a:ext>
          </a:extLst>
        </xdr:cNvPr>
        <xdr:cNvSpPr>
          <a:spLocks noChangeArrowheads="1"/>
        </xdr:cNvSpPr>
      </xdr:nvSpPr>
      <xdr:spPr bwMode="auto">
        <a:xfrm>
          <a:off x="3733800" y="5534025"/>
          <a:ext cx="447675" cy="428625"/>
        </a:xfrm>
        <a:prstGeom prst="ellipse">
          <a:avLst/>
        </a:prstGeom>
        <a:solidFill>
          <a:srgbClr xmlns:mc="http://schemas.openxmlformats.org/markup-compatibility/2006" xmlns:a14="http://schemas.microsoft.com/office/drawing/2010/main" val="FFFF99" mc:Ignorable="a14" a14:legacySpreadsheetColorIndex="43"/>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171450</xdr:colOff>
      <xdr:row>34</xdr:row>
      <xdr:rowOff>95250</xdr:rowOff>
    </xdr:from>
    <xdr:to>
      <xdr:col>6</xdr:col>
      <xdr:colOff>276225</xdr:colOff>
      <xdr:row>35</xdr:row>
      <xdr:rowOff>114300</xdr:rowOff>
    </xdr:to>
    <xdr:sp macro="" textlink="">
      <xdr:nvSpPr>
        <xdr:cNvPr id="19312" name="Line 36">
          <a:extLst>
            <a:ext uri="{FF2B5EF4-FFF2-40B4-BE49-F238E27FC236}">
              <a16:creationId xmlns:a16="http://schemas.microsoft.com/office/drawing/2014/main" id="{004A2F5C-4C04-463A-9944-0646BD2A4929}"/>
            </a:ext>
          </a:extLst>
        </xdr:cNvPr>
        <xdr:cNvSpPr>
          <a:spLocks noChangeShapeType="1"/>
        </xdr:cNvSpPr>
      </xdr:nvSpPr>
      <xdr:spPr bwMode="auto">
        <a:xfrm flipH="1" flipV="1">
          <a:off x="3829050" y="5676900"/>
          <a:ext cx="104775"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485775</xdr:colOff>
      <xdr:row>34</xdr:row>
      <xdr:rowOff>123825</xdr:rowOff>
    </xdr:from>
    <xdr:to>
      <xdr:col>6</xdr:col>
      <xdr:colOff>9525</xdr:colOff>
      <xdr:row>35</xdr:row>
      <xdr:rowOff>38100</xdr:rowOff>
    </xdr:to>
    <xdr:sp macro="" textlink="">
      <xdr:nvSpPr>
        <xdr:cNvPr id="19313" name="AutoShape 37">
          <a:extLst>
            <a:ext uri="{FF2B5EF4-FFF2-40B4-BE49-F238E27FC236}">
              <a16:creationId xmlns:a16="http://schemas.microsoft.com/office/drawing/2014/main" id="{DE45B3D7-9E40-4874-91D9-B48953432ABF}"/>
            </a:ext>
          </a:extLst>
        </xdr:cNvPr>
        <xdr:cNvSpPr>
          <a:spLocks noChangeArrowheads="1"/>
        </xdr:cNvSpPr>
      </xdr:nvSpPr>
      <xdr:spPr bwMode="auto">
        <a:xfrm rot="5400000">
          <a:off x="3562350" y="5676900"/>
          <a:ext cx="76200" cy="133350"/>
        </a:xfrm>
        <a:custGeom>
          <a:avLst/>
          <a:gdLst>
            <a:gd name="T0" fmla="*/ 66675 w 21600"/>
            <a:gd name="T1" fmla="*/ 66675 h 21600"/>
            <a:gd name="T2" fmla="*/ 38100 w 21600"/>
            <a:gd name="T3" fmla="*/ 133350 h 21600"/>
            <a:gd name="T4" fmla="*/ 9525 w 21600"/>
            <a:gd name="T5" fmla="*/ 66675 h 21600"/>
            <a:gd name="T6" fmla="*/ 38100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304800</xdr:colOff>
      <xdr:row>34</xdr:row>
      <xdr:rowOff>123825</xdr:rowOff>
    </xdr:from>
    <xdr:to>
      <xdr:col>4</xdr:col>
      <xdr:colOff>438150</xdr:colOff>
      <xdr:row>35</xdr:row>
      <xdr:rowOff>38100</xdr:rowOff>
    </xdr:to>
    <xdr:sp macro="" textlink="">
      <xdr:nvSpPr>
        <xdr:cNvPr id="19314" name="AutoShape 38">
          <a:extLst>
            <a:ext uri="{FF2B5EF4-FFF2-40B4-BE49-F238E27FC236}">
              <a16:creationId xmlns:a16="http://schemas.microsoft.com/office/drawing/2014/main" id="{8AF794E8-7ED2-4395-8EF4-263B9FA31755}"/>
            </a:ext>
          </a:extLst>
        </xdr:cNvPr>
        <xdr:cNvSpPr>
          <a:spLocks noChangeArrowheads="1"/>
        </xdr:cNvSpPr>
      </xdr:nvSpPr>
      <xdr:spPr bwMode="auto">
        <a:xfrm rot="-5400000">
          <a:off x="2771775" y="5676900"/>
          <a:ext cx="76200" cy="133350"/>
        </a:xfrm>
        <a:custGeom>
          <a:avLst/>
          <a:gdLst>
            <a:gd name="T0" fmla="*/ 66675 w 21600"/>
            <a:gd name="T1" fmla="*/ 66675 h 21600"/>
            <a:gd name="T2" fmla="*/ 38100 w 21600"/>
            <a:gd name="T3" fmla="*/ 133350 h 21600"/>
            <a:gd name="T4" fmla="*/ 9525 w 21600"/>
            <a:gd name="T5" fmla="*/ 66675 h 21600"/>
            <a:gd name="T6" fmla="*/ 38100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xmlns:mc="http://schemas.openxmlformats.org/markup-compatibility/2006" xmlns:a14="http://schemas.microsoft.com/office/drawing/2010/main" val="0000FF" mc:Ignorable="a14" a14:legacySpreadsheetColorIndex="12"/>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4</xdr:col>
      <xdr:colOff>438150</xdr:colOff>
      <xdr:row>35</xdr:row>
      <xdr:rowOff>0</xdr:rowOff>
    </xdr:from>
    <xdr:to>
      <xdr:col>5</xdr:col>
      <xdr:colOff>485775</xdr:colOff>
      <xdr:row>35</xdr:row>
      <xdr:rowOff>0</xdr:rowOff>
    </xdr:to>
    <xdr:sp macro="" textlink="">
      <xdr:nvSpPr>
        <xdr:cNvPr id="19315" name="Line 39">
          <a:extLst>
            <a:ext uri="{FF2B5EF4-FFF2-40B4-BE49-F238E27FC236}">
              <a16:creationId xmlns:a16="http://schemas.microsoft.com/office/drawing/2014/main" id="{C28B18D4-948A-4217-8D63-74439096EB0D}"/>
            </a:ext>
          </a:extLst>
        </xdr:cNvPr>
        <xdr:cNvSpPr>
          <a:spLocks noChangeShapeType="1"/>
        </xdr:cNvSpPr>
      </xdr:nvSpPr>
      <xdr:spPr bwMode="auto">
        <a:xfrm>
          <a:off x="2876550" y="5743575"/>
          <a:ext cx="6572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361950</xdr:colOff>
      <xdr:row>31</xdr:row>
      <xdr:rowOff>38100</xdr:rowOff>
    </xdr:from>
    <xdr:ext cx="1073243" cy="170560"/>
    <xdr:sp macro="" textlink="">
      <xdr:nvSpPr>
        <xdr:cNvPr id="18472" name="Text Box 40">
          <a:extLst>
            <a:ext uri="{FF2B5EF4-FFF2-40B4-BE49-F238E27FC236}">
              <a16:creationId xmlns:a16="http://schemas.microsoft.com/office/drawing/2014/main" id="{561C027F-F894-40CB-8B06-28ABF002B731}"/>
            </a:ext>
          </a:extLst>
        </xdr:cNvPr>
        <xdr:cNvSpPr txBox="1">
          <a:spLocks noChangeArrowheads="1"/>
        </xdr:cNvSpPr>
      </xdr:nvSpPr>
      <xdr:spPr bwMode="auto">
        <a:xfrm>
          <a:off x="3409950" y="5133975"/>
          <a:ext cx="1073243"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In-Line Watt Meter</a:t>
          </a:r>
        </a:p>
      </xdr:txBody>
    </xdr:sp>
    <xdr:clientData/>
  </xdr:oneCellAnchor>
  <xdr:oneCellAnchor>
    <xdr:from>
      <xdr:col>5</xdr:col>
      <xdr:colOff>219075</xdr:colOff>
      <xdr:row>44</xdr:row>
      <xdr:rowOff>0</xdr:rowOff>
    </xdr:from>
    <xdr:ext cx="1678665" cy="170560"/>
    <xdr:sp macro="" textlink="">
      <xdr:nvSpPr>
        <xdr:cNvPr id="18473" name="Text Box 41">
          <a:extLst>
            <a:ext uri="{FF2B5EF4-FFF2-40B4-BE49-F238E27FC236}">
              <a16:creationId xmlns:a16="http://schemas.microsoft.com/office/drawing/2014/main" id="{C7F1B545-15EF-4775-95B7-3AE0F8409F84}"/>
            </a:ext>
          </a:extLst>
        </xdr:cNvPr>
        <xdr:cNvSpPr txBox="1">
          <a:spLocks noChangeArrowheads="1"/>
        </xdr:cNvSpPr>
      </xdr:nvSpPr>
      <xdr:spPr bwMode="auto">
        <a:xfrm>
          <a:off x="3267075" y="7200900"/>
          <a:ext cx="167866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TEST</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CONFIGURATION #2 </a:t>
          </a:r>
        </a:p>
      </xdr:txBody>
    </xdr:sp>
    <xdr:clientData/>
  </xdr:oneCellAnchor>
  <xdr:twoCellAnchor>
    <xdr:from>
      <xdr:col>6</xdr:col>
      <xdr:colOff>180975</xdr:colOff>
      <xdr:row>37</xdr:row>
      <xdr:rowOff>104775</xdr:rowOff>
    </xdr:from>
    <xdr:to>
      <xdr:col>6</xdr:col>
      <xdr:colOff>409575</xdr:colOff>
      <xdr:row>39</xdr:row>
      <xdr:rowOff>0</xdr:rowOff>
    </xdr:to>
    <xdr:sp macro="" textlink="">
      <xdr:nvSpPr>
        <xdr:cNvPr id="19318" name="Oval 42">
          <a:extLst>
            <a:ext uri="{FF2B5EF4-FFF2-40B4-BE49-F238E27FC236}">
              <a16:creationId xmlns:a16="http://schemas.microsoft.com/office/drawing/2014/main" id="{83E13F30-763C-470E-BD04-A360049282E9}"/>
            </a:ext>
          </a:extLst>
        </xdr:cNvPr>
        <xdr:cNvSpPr>
          <a:spLocks noChangeArrowheads="1"/>
        </xdr:cNvSpPr>
      </xdr:nvSpPr>
      <xdr:spPr bwMode="auto">
        <a:xfrm>
          <a:off x="3838575" y="6172200"/>
          <a:ext cx="228600" cy="219075"/>
        </a:xfrm>
        <a:prstGeom prst="ellipse">
          <a:avLst/>
        </a:prstGeom>
        <a:solidFill>
          <a:srgbClr xmlns:mc="http://schemas.openxmlformats.org/markup-compatibility/2006" xmlns:a14="http://schemas.microsoft.com/office/drawing/2010/main" val="FFCC00" mc:Ignorable="a14" a14:legacySpreadsheetColorIndex="51"/>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6</xdr:col>
      <xdr:colOff>219075</xdr:colOff>
      <xdr:row>38</xdr:row>
      <xdr:rowOff>47625</xdr:rowOff>
    </xdr:from>
    <xdr:to>
      <xdr:col>6</xdr:col>
      <xdr:colOff>361950</xdr:colOff>
      <xdr:row>38</xdr:row>
      <xdr:rowOff>47625</xdr:rowOff>
    </xdr:to>
    <xdr:sp macro="" textlink="">
      <xdr:nvSpPr>
        <xdr:cNvPr id="19319" name="Line 43">
          <a:extLst>
            <a:ext uri="{FF2B5EF4-FFF2-40B4-BE49-F238E27FC236}">
              <a16:creationId xmlns:a16="http://schemas.microsoft.com/office/drawing/2014/main" id="{4BBCCE74-6047-4810-A1E2-91BD2E9AB37D}"/>
            </a:ext>
          </a:extLst>
        </xdr:cNvPr>
        <xdr:cNvSpPr>
          <a:spLocks noChangeShapeType="1"/>
        </xdr:cNvSpPr>
      </xdr:nvSpPr>
      <xdr:spPr bwMode="auto">
        <a:xfrm>
          <a:off x="3876675" y="6276975"/>
          <a:ext cx="14287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495300</xdr:colOff>
      <xdr:row>37</xdr:row>
      <xdr:rowOff>104775</xdr:rowOff>
    </xdr:from>
    <xdr:to>
      <xdr:col>8</xdr:col>
      <xdr:colOff>114300</xdr:colOff>
      <xdr:row>39</xdr:row>
      <xdr:rowOff>0</xdr:rowOff>
    </xdr:to>
    <xdr:sp macro="" textlink="">
      <xdr:nvSpPr>
        <xdr:cNvPr id="19320" name="Oval 44">
          <a:extLst>
            <a:ext uri="{FF2B5EF4-FFF2-40B4-BE49-F238E27FC236}">
              <a16:creationId xmlns:a16="http://schemas.microsoft.com/office/drawing/2014/main" id="{BD52A39C-0DF3-4829-9F9E-837825136FB3}"/>
            </a:ext>
          </a:extLst>
        </xdr:cNvPr>
        <xdr:cNvSpPr>
          <a:spLocks noChangeArrowheads="1"/>
        </xdr:cNvSpPr>
      </xdr:nvSpPr>
      <xdr:spPr bwMode="auto">
        <a:xfrm>
          <a:off x="4762500" y="6172200"/>
          <a:ext cx="228600" cy="219075"/>
        </a:xfrm>
        <a:prstGeom prst="ellipse">
          <a:avLst/>
        </a:prstGeom>
        <a:solidFill>
          <a:srgbClr xmlns:mc="http://schemas.openxmlformats.org/markup-compatibility/2006" xmlns:a14="http://schemas.microsoft.com/office/drawing/2010/main" val="FFCC00" mc:Ignorable="a14" a14:legacySpreadsheetColorIndex="51"/>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7</xdr:col>
      <xdr:colOff>523875</xdr:colOff>
      <xdr:row>38</xdr:row>
      <xdr:rowOff>47625</xdr:rowOff>
    </xdr:from>
    <xdr:to>
      <xdr:col>8</xdr:col>
      <xdr:colOff>57150</xdr:colOff>
      <xdr:row>38</xdr:row>
      <xdr:rowOff>47625</xdr:rowOff>
    </xdr:to>
    <xdr:sp macro="" textlink="">
      <xdr:nvSpPr>
        <xdr:cNvPr id="19321" name="Line 45">
          <a:extLst>
            <a:ext uri="{FF2B5EF4-FFF2-40B4-BE49-F238E27FC236}">
              <a16:creationId xmlns:a16="http://schemas.microsoft.com/office/drawing/2014/main" id="{846A27F4-B711-4FD2-A8CE-45B648CF6820}"/>
            </a:ext>
          </a:extLst>
        </xdr:cNvPr>
        <xdr:cNvSpPr>
          <a:spLocks noChangeShapeType="1"/>
        </xdr:cNvSpPr>
      </xdr:nvSpPr>
      <xdr:spPr bwMode="auto">
        <a:xfrm>
          <a:off x="4791075" y="6276975"/>
          <a:ext cx="14287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123825</xdr:rowOff>
    </xdr:from>
    <xdr:ext cx="289182" cy="170560"/>
    <xdr:sp macro="" textlink="">
      <xdr:nvSpPr>
        <xdr:cNvPr id="18478" name="Text Box 46">
          <a:extLst>
            <a:ext uri="{FF2B5EF4-FFF2-40B4-BE49-F238E27FC236}">
              <a16:creationId xmlns:a16="http://schemas.microsoft.com/office/drawing/2014/main" id="{2E127455-1C3E-4180-B88E-301F64521A7F}"/>
            </a:ext>
          </a:extLst>
        </xdr:cNvPr>
        <xdr:cNvSpPr txBox="1">
          <a:spLocks noChangeArrowheads="1"/>
        </xdr:cNvSpPr>
      </xdr:nvSpPr>
      <xdr:spPr bwMode="auto">
        <a:xfrm>
          <a:off x="4410075" y="6191250"/>
          <a:ext cx="289182"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AND</a:t>
          </a:r>
        </a:p>
      </xdr:txBody>
    </xdr:sp>
    <xdr:clientData/>
  </xdr:oneCellAnchor>
  <xdr:oneCellAnchor>
    <xdr:from>
      <xdr:col>4</xdr:col>
      <xdr:colOff>457200</xdr:colOff>
      <xdr:row>37</xdr:row>
      <xdr:rowOff>152400</xdr:rowOff>
    </xdr:from>
    <xdr:ext cx="652615" cy="170560"/>
    <xdr:sp macro="" textlink="">
      <xdr:nvSpPr>
        <xdr:cNvPr id="18479" name="Text Box 47">
          <a:extLst>
            <a:ext uri="{FF2B5EF4-FFF2-40B4-BE49-F238E27FC236}">
              <a16:creationId xmlns:a16="http://schemas.microsoft.com/office/drawing/2014/main" id="{92BB7B97-EB36-44BF-A28C-D576047073C8}"/>
            </a:ext>
          </a:extLst>
        </xdr:cNvPr>
        <xdr:cNvSpPr txBox="1">
          <a:spLocks noChangeArrowheads="1"/>
        </xdr:cNvSpPr>
      </xdr:nvSpPr>
      <xdr:spPr bwMode="auto">
        <a:xfrm>
          <a:off x="2895600" y="6219825"/>
          <a:ext cx="65261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MEASURE</a:t>
          </a:r>
        </a:p>
      </xdr:txBody>
    </xdr:sp>
    <xdr:clientData/>
  </xdr:oneCellAnchor>
  <xdr:oneCellAnchor>
    <xdr:from>
      <xdr:col>8</xdr:col>
      <xdr:colOff>152400</xdr:colOff>
      <xdr:row>37</xdr:row>
      <xdr:rowOff>133350</xdr:rowOff>
    </xdr:from>
    <xdr:ext cx="1407821" cy="170560"/>
    <xdr:sp macro="" textlink="">
      <xdr:nvSpPr>
        <xdr:cNvPr id="18480" name="Text Box 48">
          <a:extLst>
            <a:ext uri="{FF2B5EF4-FFF2-40B4-BE49-F238E27FC236}">
              <a16:creationId xmlns:a16="http://schemas.microsoft.com/office/drawing/2014/main" id="{B0BC358D-850B-443C-B411-768465B5620C}"/>
            </a:ext>
          </a:extLst>
        </xdr:cNvPr>
        <xdr:cNvSpPr txBox="1">
          <a:spLocks noChangeArrowheads="1"/>
        </xdr:cNvSpPr>
      </xdr:nvSpPr>
      <xdr:spPr bwMode="auto">
        <a:xfrm>
          <a:off x="5029200" y="6200775"/>
          <a:ext cx="140782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TO DETERMINE VSWR</a:t>
          </a:r>
        </a:p>
      </xdr:txBody>
    </xdr:sp>
    <xdr:clientData/>
  </xdr:oneCellAnchor>
  <xdr:twoCellAnchor>
    <xdr:from>
      <xdr:col>9</xdr:col>
      <xdr:colOff>76200</xdr:colOff>
      <xdr:row>13</xdr:row>
      <xdr:rowOff>76200</xdr:rowOff>
    </xdr:from>
    <xdr:to>
      <xdr:col>9</xdr:col>
      <xdr:colOff>590550</xdr:colOff>
      <xdr:row>13</xdr:row>
      <xdr:rowOff>76200</xdr:rowOff>
    </xdr:to>
    <xdr:sp macro="" textlink="">
      <xdr:nvSpPr>
        <xdr:cNvPr id="19325" name="Line 51">
          <a:extLst>
            <a:ext uri="{FF2B5EF4-FFF2-40B4-BE49-F238E27FC236}">
              <a16:creationId xmlns:a16="http://schemas.microsoft.com/office/drawing/2014/main" id="{875586DA-0DAC-4612-81F4-2BD8CA81F968}"/>
            </a:ext>
          </a:extLst>
        </xdr:cNvPr>
        <xdr:cNvSpPr>
          <a:spLocks noChangeShapeType="1"/>
        </xdr:cNvSpPr>
      </xdr:nvSpPr>
      <xdr:spPr bwMode="auto">
        <a:xfrm flipH="1">
          <a:off x="5562600" y="2257425"/>
          <a:ext cx="5143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152400</xdr:rowOff>
    </xdr:from>
    <xdr:to>
      <xdr:col>17</xdr:col>
      <xdr:colOff>266700</xdr:colOff>
      <xdr:row>35</xdr:row>
      <xdr:rowOff>85725</xdr:rowOff>
    </xdr:to>
    <xdr:sp macro="" textlink="">
      <xdr:nvSpPr>
        <xdr:cNvPr id="19326" name="Line 52">
          <a:extLst>
            <a:ext uri="{FF2B5EF4-FFF2-40B4-BE49-F238E27FC236}">
              <a16:creationId xmlns:a16="http://schemas.microsoft.com/office/drawing/2014/main" id="{E6478E82-EF7D-4117-93EE-D0451D11DBBC}"/>
            </a:ext>
          </a:extLst>
        </xdr:cNvPr>
        <xdr:cNvSpPr>
          <a:spLocks noChangeShapeType="1"/>
        </xdr:cNvSpPr>
      </xdr:nvSpPr>
      <xdr:spPr bwMode="auto">
        <a:xfrm flipV="1">
          <a:off x="10315575" y="1200150"/>
          <a:ext cx="0" cy="4629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247650</xdr:colOff>
      <xdr:row>6</xdr:row>
      <xdr:rowOff>152400</xdr:rowOff>
    </xdr:from>
    <xdr:to>
      <xdr:col>17</xdr:col>
      <xdr:colOff>276225</xdr:colOff>
      <xdr:row>6</xdr:row>
      <xdr:rowOff>152400</xdr:rowOff>
    </xdr:to>
    <xdr:sp macro="" textlink="">
      <xdr:nvSpPr>
        <xdr:cNvPr id="19327" name="Line 53">
          <a:extLst>
            <a:ext uri="{FF2B5EF4-FFF2-40B4-BE49-F238E27FC236}">
              <a16:creationId xmlns:a16="http://schemas.microsoft.com/office/drawing/2014/main" id="{ED18BC98-D18C-424F-A97A-180DC547BE3A}"/>
            </a:ext>
          </a:extLst>
        </xdr:cNvPr>
        <xdr:cNvSpPr>
          <a:spLocks noChangeShapeType="1"/>
        </xdr:cNvSpPr>
      </xdr:nvSpPr>
      <xdr:spPr bwMode="auto">
        <a:xfrm flipH="1" flipV="1">
          <a:off x="5734050" y="1200150"/>
          <a:ext cx="45910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76200</xdr:rowOff>
    </xdr:from>
    <xdr:to>
      <xdr:col>17</xdr:col>
      <xdr:colOff>266700</xdr:colOff>
      <xdr:row>35</xdr:row>
      <xdr:rowOff>76200</xdr:rowOff>
    </xdr:to>
    <xdr:sp macro="" textlink="">
      <xdr:nvSpPr>
        <xdr:cNvPr id="19328" name="Line 54">
          <a:extLst>
            <a:ext uri="{FF2B5EF4-FFF2-40B4-BE49-F238E27FC236}">
              <a16:creationId xmlns:a16="http://schemas.microsoft.com/office/drawing/2014/main" id="{01A62856-9AD6-4F89-BC62-5E0C8C98A6DE}"/>
            </a:ext>
          </a:extLst>
        </xdr:cNvPr>
        <xdr:cNvSpPr>
          <a:spLocks noChangeShapeType="1"/>
        </xdr:cNvSpPr>
      </xdr:nvSpPr>
      <xdr:spPr bwMode="auto">
        <a:xfrm>
          <a:off x="10048875" y="5819775"/>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9525</xdr:colOff>
      <xdr:row>6</xdr:row>
      <xdr:rowOff>152400</xdr:rowOff>
    </xdr:from>
    <xdr:to>
      <xdr:col>9</xdr:col>
      <xdr:colOff>247650</xdr:colOff>
      <xdr:row>7</xdr:row>
      <xdr:rowOff>95250</xdr:rowOff>
    </xdr:to>
    <xdr:sp macro="" textlink="">
      <xdr:nvSpPr>
        <xdr:cNvPr id="19329" name="Line 55">
          <a:extLst>
            <a:ext uri="{FF2B5EF4-FFF2-40B4-BE49-F238E27FC236}">
              <a16:creationId xmlns:a16="http://schemas.microsoft.com/office/drawing/2014/main" id="{4ED52820-AC68-4692-8365-BC5EF9DB1151}"/>
            </a:ext>
          </a:extLst>
        </xdr:cNvPr>
        <xdr:cNvSpPr>
          <a:spLocks noChangeShapeType="1"/>
        </xdr:cNvSpPr>
      </xdr:nvSpPr>
      <xdr:spPr bwMode="auto">
        <a:xfrm flipH="1">
          <a:off x="5495925" y="1200150"/>
          <a:ext cx="238125" cy="104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152400</xdr:rowOff>
    </xdr:from>
    <xdr:ext cx="1643014" cy="170560"/>
    <xdr:sp macro="" textlink="">
      <xdr:nvSpPr>
        <xdr:cNvPr id="18488" name="Text Box 56">
          <a:extLst>
            <a:ext uri="{FF2B5EF4-FFF2-40B4-BE49-F238E27FC236}">
              <a16:creationId xmlns:a16="http://schemas.microsoft.com/office/drawing/2014/main" id="{FBEE6381-6EED-4BB6-B851-C1D09B6A8B92}"/>
            </a:ext>
          </a:extLst>
        </xdr:cNvPr>
        <xdr:cNvSpPr txBox="1">
          <a:spLocks noChangeArrowheads="1"/>
        </xdr:cNvSpPr>
      </xdr:nvSpPr>
      <xdr:spPr bwMode="auto">
        <a:xfrm>
          <a:off x="3209925" y="4600575"/>
          <a:ext cx="164301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TEST CONFIGURATION #1</a:t>
          </a:r>
        </a:p>
      </xdr:txBody>
    </xdr:sp>
    <xdr:clientData/>
  </xdr:oneCellAnchor>
  <xdr:twoCellAnchor>
    <xdr:from>
      <xdr:col>15</xdr:col>
      <xdr:colOff>0</xdr:colOff>
      <xdr:row>22</xdr:row>
      <xdr:rowOff>76200</xdr:rowOff>
    </xdr:from>
    <xdr:to>
      <xdr:col>17</xdr:col>
      <xdr:colOff>266700</xdr:colOff>
      <xdr:row>22</xdr:row>
      <xdr:rowOff>76200</xdr:rowOff>
    </xdr:to>
    <xdr:sp macro="" textlink="">
      <xdr:nvSpPr>
        <xdr:cNvPr id="19331" name="Line 57">
          <a:extLst>
            <a:ext uri="{FF2B5EF4-FFF2-40B4-BE49-F238E27FC236}">
              <a16:creationId xmlns:a16="http://schemas.microsoft.com/office/drawing/2014/main" id="{6E248359-4112-406A-B19F-27D1225F9D46}"/>
            </a:ext>
          </a:extLst>
        </xdr:cNvPr>
        <xdr:cNvSpPr>
          <a:spLocks noChangeShapeType="1"/>
        </xdr:cNvSpPr>
      </xdr:nvSpPr>
      <xdr:spPr bwMode="auto">
        <a:xfrm>
          <a:off x="9239250" y="3714750"/>
          <a:ext cx="10763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342900</xdr:colOff>
      <xdr:row>32</xdr:row>
      <xdr:rowOff>142875</xdr:rowOff>
    </xdr:from>
    <xdr:to>
      <xdr:col>14</xdr:col>
      <xdr:colOff>571500</xdr:colOff>
      <xdr:row>34</xdr:row>
      <xdr:rowOff>38100</xdr:rowOff>
    </xdr:to>
    <xdr:sp macro="" textlink="">
      <xdr:nvSpPr>
        <xdr:cNvPr id="19332" name="Oval 60">
          <a:extLst>
            <a:ext uri="{FF2B5EF4-FFF2-40B4-BE49-F238E27FC236}">
              <a16:creationId xmlns:a16="http://schemas.microsoft.com/office/drawing/2014/main" id="{6C36EE96-4E8A-4652-A890-4169E8532035}"/>
            </a:ext>
          </a:extLst>
        </xdr:cNvPr>
        <xdr:cNvSpPr>
          <a:spLocks noChangeArrowheads="1"/>
        </xdr:cNvSpPr>
      </xdr:nvSpPr>
      <xdr:spPr bwMode="auto">
        <a:xfrm>
          <a:off x="8972550" y="5400675"/>
          <a:ext cx="228600" cy="219075"/>
        </a:xfrm>
        <a:prstGeom prst="ellipse">
          <a:avLst/>
        </a:prstGeom>
        <a:solidFill>
          <a:srgbClr xmlns:mc="http://schemas.openxmlformats.org/markup-compatibility/2006" xmlns:a14="http://schemas.microsoft.com/office/drawing/2010/main" val="FFCC00" mc:Ignorable="a14" a14:legacySpreadsheetColorIndex="51"/>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14</xdr:col>
      <xdr:colOff>333375</xdr:colOff>
      <xdr:row>30</xdr:row>
      <xdr:rowOff>152400</xdr:rowOff>
    </xdr:from>
    <xdr:to>
      <xdr:col>14</xdr:col>
      <xdr:colOff>561975</xdr:colOff>
      <xdr:row>32</xdr:row>
      <xdr:rowOff>47625</xdr:rowOff>
    </xdr:to>
    <xdr:sp macro="" textlink="">
      <xdr:nvSpPr>
        <xdr:cNvPr id="19333" name="Oval 61">
          <a:extLst>
            <a:ext uri="{FF2B5EF4-FFF2-40B4-BE49-F238E27FC236}">
              <a16:creationId xmlns:a16="http://schemas.microsoft.com/office/drawing/2014/main" id="{2C935DC2-486D-4729-98C3-DC2A1F1C4E9A}"/>
            </a:ext>
          </a:extLst>
        </xdr:cNvPr>
        <xdr:cNvSpPr>
          <a:spLocks noChangeArrowheads="1"/>
        </xdr:cNvSpPr>
      </xdr:nvSpPr>
      <xdr:spPr bwMode="auto">
        <a:xfrm>
          <a:off x="8963025" y="5086350"/>
          <a:ext cx="228600" cy="219075"/>
        </a:xfrm>
        <a:prstGeom prst="ellipse">
          <a:avLst/>
        </a:prstGeom>
        <a:solidFill>
          <a:srgbClr xmlns:mc="http://schemas.openxmlformats.org/markup-compatibility/2006" xmlns:a14="http://schemas.microsoft.com/office/drawing/2010/main" val="FFCC00" mc:Ignorable="a14" a14:legacySpreadsheetColorIndex="51"/>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twoCellAnchor>
    <xdr:from>
      <xdr:col>14</xdr:col>
      <xdr:colOff>381000</xdr:colOff>
      <xdr:row>31</xdr:row>
      <xdr:rowOff>85725</xdr:rowOff>
    </xdr:from>
    <xdr:to>
      <xdr:col>14</xdr:col>
      <xdr:colOff>523875</xdr:colOff>
      <xdr:row>31</xdr:row>
      <xdr:rowOff>85725</xdr:rowOff>
    </xdr:to>
    <xdr:sp macro="" textlink="">
      <xdr:nvSpPr>
        <xdr:cNvPr id="19334" name="Line 62">
          <a:extLst>
            <a:ext uri="{FF2B5EF4-FFF2-40B4-BE49-F238E27FC236}">
              <a16:creationId xmlns:a16="http://schemas.microsoft.com/office/drawing/2014/main" id="{08B64720-E0C0-4FA5-B950-71401E97FFB9}"/>
            </a:ext>
          </a:extLst>
        </xdr:cNvPr>
        <xdr:cNvSpPr>
          <a:spLocks noChangeShapeType="1"/>
        </xdr:cNvSpPr>
      </xdr:nvSpPr>
      <xdr:spPr bwMode="auto">
        <a:xfrm>
          <a:off x="9010650" y="5181600"/>
          <a:ext cx="14287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85725</xdr:rowOff>
    </xdr:from>
    <xdr:to>
      <xdr:col>14</xdr:col>
      <xdr:colOff>523875</xdr:colOff>
      <xdr:row>33</xdr:row>
      <xdr:rowOff>85725</xdr:rowOff>
    </xdr:to>
    <xdr:sp macro="" textlink="">
      <xdr:nvSpPr>
        <xdr:cNvPr id="19335" name="Line 63">
          <a:extLst>
            <a:ext uri="{FF2B5EF4-FFF2-40B4-BE49-F238E27FC236}">
              <a16:creationId xmlns:a16="http://schemas.microsoft.com/office/drawing/2014/main" id="{BE653D4F-E552-4334-8623-C4D42541433F}"/>
            </a:ext>
          </a:extLst>
        </xdr:cNvPr>
        <xdr:cNvSpPr>
          <a:spLocks noChangeShapeType="1"/>
        </xdr:cNvSpPr>
      </xdr:nvSpPr>
      <xdr:spPr bwMode="auto">
        <a:xfrm>
          <a:off x="9010650" y="5505450"/>
          <a:ext cx="142875"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85725</xdr:rowOff>
    </xdr:from>
    <xdr:to>
      <xdr:col>9</xdr:col>
      <xdr:colOff>600075</xdr:colOff>
      <xdr:row>9</xdr:row>
      <xdr:rowOff>85725</xdr:rowOff>
    </xdr:to>
    <xdr:sp macro="" textlink="">
      <xdr:nvSpPr>
        <xdr:cNvPr id="19336" name="Line 64">
          <a:extLst>
            <a:ext uri="{FF2B5EF4-FFF2-40B4-BE49-F238E27FC236}">
              <a16:creationId xmlns:a16="http://schemas.microsoft.com/office/drawing/2014/main" id="{34AC412F-7C45-4A19-A77D-E1C28AE7A50D}"/>
            </a:ext>
          </a:extLst>
        </xdr:cNvPr>
        <xdr:cNvSpPr>
          <a:spLocks noChangeShapeType="1"/>
        </xdr:cNvSpPr>
      </xdr:nvSpPr>
      <xdr:spPr bwMode="auto">
        <a:xfrm>
          <a:off x="5486400" y="1619250"/>
          <a:ext cx="600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9525</xdr:colOff>
      <xdr:row>11</xdr:row>
      <xdr:rowOff>76200</xdr:rowOff>
    </xdr:from>
    <xdr:to>
      <xdr:col>10</xdr:col>
      <xdr:colOff>0</xdr:colOff>
      <xdr:row>11</xdr:row>
      <xdr:rowOff>76200</xdr:rowOff>
    </xdr:to>
    <xdr:sp macro="" textlink="">
      <xdr:nvSpPr>
        <xdr:cNvPr id="19337" name="Line 65">
          <a:extLst>
            <a:ext uri="{FF2B5EF4-FFF2-40B4-BE49-F238E27FC236}">
              <a16:creationId xmlns:a16="http://schemas.microsoft.com/office/drawing/2014/main" id="{B7E9B343-E2D8-46C1-9A82-E7E671C1F866}"/>
            </a:ext>
          </a:extLst>
        </xdr:cNvPr>
        <xdr:cNvSpPr>
          <a:spLocks noChangeShapeType="1"/>
        </xdr:cNvSpPr>
      </xdr:nvSpPr>
      <xdr:spPr bwMode="auto">
        <a:xfrm>
          <a:off x="5495925" y="1933575"/>
          <a:ext cx="600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10</xdr:row>
      <xdr:rowOff>9525</xdr:rowOff>
    </xdr:from>
    <xdr:to>
      <xdr:col>3</xdr:col>
      <xdr:colOff>790575</xdr:colOff>
      <xdr:row>14</xdr:row>
      <xdr:rowOff>0</xdr:rowOff>
    </xdr:to>
    <xdr:sp macro="" textlink="">
      <xdr:nvSpPr>
        <xdr:cNvPr id="12289" name="Rectangle 1">
          <a:extLst>
            <a:ext uri="{FF2B5EF4-FFF2-40B4-BE49-F238E27FC236}">
              <a16:creationId xmlns:a16="http://schemas.microsoft.com/office/drawing/2014/main" id="{81D91896-7877-422E-8BCA-B21F335AE49B}"/>
            </a:ext>
          </a:extLst>
        </xdr:cNvPr>
        <xdr:cNvSpPr>
          <a:spLocks noChangeArrowheads="1"/>
        </xdr:cNvSpPr>
      </xdr:nvSpPr>
      <xdr:spPr bwMode="auto">
        <a:xfrm>
          <a:off x="1819275" y="1828800"/>
          <a:ext cx="800100" cy="704850"/>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TX</a:t>
          </a:r>
        </a:p>
      </xdr:txBody>
    </xdr:sp>
    <xdr:clientData/>
  </xdr:twoCellAnchor>
  <xdr:twoCellAnchor>
    <xdr:from>
      <xdr:col>3</xdr:col>
      <xdr:colOff>790575</xdr:colOff>
      <xdr:row>12</xdr:row>
      <xdr:rowOff>0</xdr:rowOff>
    </xdr:from>
    <xdr:to>
      <xdr:col>4</xdr:col>
      <xdr:colOff>0</xdr:colOff>
      <xdr:row>12</xdr:row>
      <xdr:rowOff>0</xdr:rowOff>
    </xdr:to>
    <xdr:sp macro="" textlink="">
      <xdr:nvSpPr>
        <xdr:cNvPr id="12583" name="Line 2">
          <a:extLst>
            <a:ext uri="{FF2B5EF4-FFF2-40B4-BE49-F238E27FC236}">
              <a16:creationId xmlns:a16="http://schemas.microsoft.com/office/drawing/2014/main" id="{4A6F0F49-7820-494E-B55A-98A1D8B3C710}"/>
            </a:ext>
          </a:extLst>
        </xdr:cNvPr>
        <xdr:cNvSpPr>
          <a:spLocks noChangeShapeType="1"/>
        </xdr:cNvSpPr>
      </xdr:nvSpPr>
      <xdr:spPr bwMode="auto">
        <a:xfrm>
          <a:off x="2619375" y="2200275"/>
          <a:ext cx="7715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10</xdr:row>
      <xdr:rowOff>95250</xdr:rowOff>
    </xdr:from>
    <xdr:to>
      <xdr:col>5</xdr:col>
      <xdr:colOff>0</xdr:colOff>
      <xdr:row>13</xdr:row>
      <xdr:rowOff>66675</xdr:rowOff>
    </xdr:to>
    <xdr:sp macro="" textlink="">
      <xdr:nvSpPr>
        <xdr:cNvPr id="12291" name="Rectangle 3">
          <a:extLst>
            <a:ext uri="{FF2B5EF4-FFF2-40B4-BE49-F238E27FC236}">
              <a16:creationId xmlns:a16="http://schemas.microsoft.com/office/drawing/2014/main" id="{B1F0930E-4906-44F6-9AD9-1C82CFAA5FC8}"/>
            </a:ext>
          </a:extLst>
        </xdr:cNvPr>
        <xdr:cNvSpPr>
          <a:spLocks noChangeArrowheads="1"/>
        </xdr:cNvSpPr>
      </xdr:nvSpPr>
      <xdr:spPr bwMode="auto">
        <a:xfrm>
          <a:off x="3390900" y="1914525"/>
          <a:ext cx="638175" cy="514350"/>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Filter</a:t>
          </a:r>
        </a:p>
      </xdr:txBody>
    </xdr:sp>
    <xdr:clientData/>
  </xdr:twoCellAnchor>
  <xdr:twoCellAnchor>
    <xdr:from>
      <xdr:col>6</xdr:col>
      <xdr:colOff>0</xdr:colOff>
      <xdr:row>10</xdr:row>
      <xdr:rowOff>104775</xdr:rowOff>
    </xdr:from>
    <xdr:to>
      <xdr:col>7</xdr:col>
      <xdr:colOff>47625</xdr:colOff>
      <xdr:row>13</xdr:row>
      <xdr:rowOff>114300</xdr:rowOff>
    </xdr:to>
    <xdr:sp macro="" textlink="">
      <xdr:nvSpPr>
        <xdr:cNvPr id="12292" name="Rectangle 4">
          <a:extLst>
            <a:ext uri="{FF2B5EF4-FFF2-40B4-BE49-F238E27FC236}">
              <a16:creationId xmlns:a16="http://schemas.microsoft.com/office/drawing/2014/main" id="{CAE53E13-A690-47B9-A397-9EFF1BECDA90}"/>
            </a:ext>
          </a:extLst>
        </xdr:cNvPr>
        <xdr:cNvSpPr>
          <a:spLocks noChangeArrowheads="1"/>
        </xdr:cNvSpPr>
      </xdr:nvSpPr>
      <xdr:spPr bwMode="auto">
        <a:xfrm>
          <a:off x="4648200" y="1924050"/>
          <a:ext cx="647700" cy="552450"/>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900" b="1" i="0" u="none" strike="noStrike" baseline="0">
              <a:solidFill>
                <a:srgbClr val="000000"/>
              </a:solidFill>
              <a:latin typeface="Arial"/>
              <a:cs typeface="Arial"/>
            </a:rPr>
            <a:t>Other</a:t>
          </a:r>
          <a:r>
            <a:rPr lang="en-US" sz="1000" b="1" i="0" u="none" strike="noStrike" baseline="0">
              <a:solidFill>
                <a:srgbClr val="000000"/>
              </a:solidFill>
              <a:latin typeface="Arial"/>
              <a:cs typeface="Arial"/>
            </a:rPr>
            <a:t> </a:t>
          </a:r>
        </a:p>
        <a:p>
          <a:pPr algn="ctr" rtl="0">
            <a:defRPr sz="1000"/>
          </a:pPr>
          <a:r>
            <a:rPr lang="en-US" sz="900" b="1" i="0" u="none" strike="noStrike" baseline="0">
              <a:solidFill>
                <a:srgbClr val="000000"/>
              </a:solidFill>
              <a:latin typeface="Arial"/>
              <a:cs typeface="Arial"/>
            </a:rPr>
            <a:t>In</a:t>
          </a:r>
          <a:r>
            <a:rPr lang="en-US" sz="1000" b="1" i="0" u="none" strike="noStrike" baseline="0">
              <a:solidFill>
                <a:srgbClr val="000000"/>
              </a:solidFill>
              <a:latin typeface="Arial"/>
              <a:cs typeface="Arial"/>
            </a:rPr>
            <a:t>-</a:t>
          </a:r>
          <a:r>
            <a:rPr lang="en-US" sz="900" b="1" i="0" u="none" strike="noStrike" baseline="0">
              <a:solidFill>
                <a:srgbClr val="000000"/>
              </a:solidFill>
              <a:latin typeface="Arial"/>
              <a:cs typeface="Arial"/>
            </a:rPr>
            <a:t>Line</a:t>
          </a:r>
          <a:endParaRPr lang="en-US" sz="1000" b="1"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Device</a:t>
          </a:r>
          <a:r>
            <a:rPr lang="en-US" sz="900" b="1" i="0" u="none" strike="noStrike" baseline="0">
              <a:solidFill>
                <a:srgbClr val="000000"/>
              </a:solidFill>
              <a:latin typeface="Arial"/>
              <a:cs typeface="Arial"/>
            </a:rPr>
            <a:t>:</a:t>
          </a:r>
        </a:p>
      </xdr:txBody>
    </xdr:sp>
    <xdr:clientData/>
  </xdr:twoCellAnchor>
  <xdr:twoCellAnchor>
    <xdr:from>
      <xdr:col>5</xdr:col>
      <xdr:colOff>9525</xdr:colOff>
      <xdr:row>12</xdr:row>
      <xdr:rowOff>0</xdr:rowOff>
    </xdr:from>
    <xdr:to>
      <xdr:col>5</xdr:col>
      <xdr:colOff>609600</xdr:colOff>
      <xdr:row>12</xdr:row>
      <xdr:rowOff>0</xdr:rowOff>
    </xdr:to>
    <xdr:sp macro="" textlink="">
      <xdr:nvSpPr>
        <xdr:cNvPr id="12586" name="Line 5">
          <a:extLst>
            <a:ext uri="{FF2B5EF4-FFF2-40B4-BE49-F238E27FC236}">
              <a16:creationId xmlns:a16="http://schemas.microsoft.com/office/drawing/2014/main" id="{4258C894-FAB4-43C6-9624-4B630015E62F}"/>
            </a:ext>
          </a:extLst>
        </xdr:cNvPr>
        <xdr:cNvSpPr>
          <a:spLocks noChangeShapeType="1"/>
        </xdr:cNvSpPr>
      </xdr:nvSpPr>
      <xdr:spPr bwMode="auto">
        <a:xfrm>
          <a:off x="4038600" y="2200275"/>
          <a:ext cx="6000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8</xdr:row>
      <xdr:rowOff>28575</xdr:rowOff>
    </xdr:from>
    <xdr:to>
      <xdr:col>8</xdr:col>
      <xdr:colOff>523875</xdr:colOff>
      <xdr:row>10</xdr:row>
      <xdr:rowOff>133350</xdr:rowOff>
    </xdr:to>
    <xdr:sp macro="" textlink="">
      <xdr:nvSpPr>
        <xdr:cNvPr id="12587" name="AutoShape 6">
          <a:extLst>
            <a:ext uri="{FF2B5EF4-FFF2-40B4-BE49-F238E27FC236}">
              <a16:creationId xmlns:a16="http://schemas.microsoft.com/office/drawing/2014/main" id="{1D4203CA-5426-40CE-B623-483267967461}"/>
            </a:ext>
          </a:extLst>
        </xdr:cNvPr>
        <xdr:cNvSpPr>
          <a:spLocks noChangeArrowheads="1"/>
        </xdr:cNvSpPr>
      </xdr:nvSpPr>
      <xdr:spPr bwMode="auto">
        <a:xfrm rot="10800000">
          <a:off x="5848350" y="1514475"/>
          <a:ext cx="533400" cy="43815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257175</xdr:colOff>
      <xdr:row>8</xdr:row>
      <xdr:rowOff>19050</xdr:rowOff>
    </xdr:from>
    <xdr:to>
      <xdr:col>8</xdr:col>
      <xdr:colOff>257175</xdr:colOff>
      <xdr:row>12</xdr:row>
      <xdr:rowOff>0</xdr:rowOff>
    </xdr:to>
    <xdr:sp macro="" textlink="">
      <xdr:nvSpPr>
        <xdr:cNvPr id="12588" name="Line 7">
          <a:extLst>
            <a:ext uri="{FF2B5EF4-FFF2-40B4-BE49-F238E27FC236}">
              <a16:creationId xmlns:a16="http://schemas.microsoft.com/office/drawing/2014/main" id="{EE605975-C039-43A2-A416-5DFE6245DE86}"/>
            </a:ext>
          </a:extLst>
        </xdr:cNvPr>
        <xdr:cNvSpPr>
          <a:spLocks noChangeShapeType="1"/>
        </xdr:cNvSpPr>
      </xdr:nvSpPr>
      <xdr:spPr bwMode="auto">
        <a:xfrm>
          <a:off x="6115050" y="1504950"/>
          <a:ext cx="0" cy="6953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38100</xdr:colOff>
      <xdr:row>12</xdr:row>
      <xdr:rowOff>0</xdr:rowOff>
    </xdr:from>
    <xdr:to>
      <xdr:col>8</xdr:col>
      <xdr:colOff>247650</xdr:colOff>
      <xdr:row>12</xdr:row>
      <xdr:rowOff>0</xdr:rowOff>
    </xdr:to>
    <xdr:sp macro="" textlink="">
      <xdr:nvSpPr>
        <xdr:cNvPr id="12589" name="Line 8">
          <a:extLst>
            <a:ext uri="{FF2B5EF4-FFF2-40B4-BE49-F238E27FC236}">
              <a16:creationId xmlns:a16="http://schemas.microsoft.com/office/drawing/2014/main" id="{0A037F1A-53BB-4D65-AC3E-D58B12830BDB}"/>
            </a:ext>
          </a:extLst>
        </xdr:cNvPr>
        <xdr:cNvSpPr>
          <a:spLocks noChangeShapeType="1"/>
        </xdr:cNvSpPr>
      </xdr:nvSpPr>
      <xdr:spPr bwMode="auto">
        <a:xfrm>
          <a:off x="5286375" y="2200275"/>
          <a:ext cx="8191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19050</xdr:colOff>
      <xdr:row>45</xdr:row>
      <xdr:rowOff>0</xdr:rowOff>
    </xdr:from>
    <xdr:to>
      <xdr:col>3</xdr:col>
      <xdr:colOff>819150</xdr:colOff>
      <xdr:row>48</xdr:row>
      <xdr:rowOff>152400</xdr:rowOff>
    </xdr:to>
    <xdr:sp macro="" textlink="">
      <xdr:nvSpPr>
        <xdr:cNvPr id="12297" name="Rectangle 9">
          <a:extLst>
            <a:ext uri="{FF2B5EF4-FFF2-40B4-BE49-F238E27FC236}">
              <a16:creationId xmlns:a16="http://schemas.microsoft.com/office/drawing/2014/main" id="{2F373010-DDC6-41B7-B32C-7577481B3AF9}"/>
            </a:ext>
          </a:extLst>
        </xdr:cNvPr>
        <xdr:cNvSpPr>
          <a:spLocks noChangeArrowheads="1"/>
        </xdr:cNvSpPr>
      </xdr:nvSpPr>
      <xdr:spPr bwMode="auto">
        <a:xfrm>
          <a:off x="1847850" y="7696200"/>
          <a:ext cx="800100" cy="695325"/>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1000" b="0" i="0" u="none" strike="noStrike" baseline="0">
              <a:solidFill>
                <a:srgbClr val="000000"/>
              </a:solidFill>
              <a:latin typeface="Arial"/>
              <a:cs typeface="Arial"/>
            </a:rPr>
            <a:t>TX</a:t>
          </a:r>
        </a:p>
      </xdr:txBody>
    </xdr:sp>
    <xdr:clientData/>
  </xdr:twoCellAnchor>
  <xdr:twoCellAnchor>
    <xdr:from>
      <xdr:col>3</xdr:col>
      <xdr:colOff>809625</xdr:colOff>
      <xdr:row>46</xdr:row>
      <xdr:rowOff>152400</xdr:rowOff>
    </xdr:from>
    <xdr:to>
      <xdr:col>4</xdr:col>
      <xdr:colOff>19050</xdr:colOff>
      <xdr:row>46</xdr:row>
      <xdr:rowOff>152400</xdr:rowOff>
    </xdr:to>
    <xdr:sp macro="" textlink="">
      <xdr:nvSpPr>
        <xdr:cNvPr id="12591" name="Line 10">
          <a:extLst>
            <a:ext uri="{FF2B5EF4-FFF2-40B4-BE49-F238E27FC236}">
              <a16:creationId xmlns:a16="http://schemas.microsoft.com/office/drawing/2014/main" id="{78CF7B38-F226-45B6-85F0-F665D9CBE2E0}"/>
            </a:ext>
          </a:extLst>
        </xdr:cNvPr>
        <xdr:cNvSpPr>
          <a:spLocks noChangeShapeType="1"/>
        </xdr:cNvSpPr>
      </xdr:nvSpPr>
      <xdr:spPr bwMode="auto">
        <a:xfrm>
          <a:off x="2638425" y="8058150"/>
          <a:ext cx="77152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19050</xdr:colOff>
      <xdr:row>45</xdr:row>
      <xdr:rowOff>85725</xdr:rowOff>
    </xdr:from>
    <xdr:to>
      <xdr:col>5</xdr:col>
      <xdr:colOff>19050</xdr:colOff>
      <xdr:row>48</xdr:row>
      <xdr:rowOff>57150</xdr:rowOff>
    </xdr:to>
    <xdr:sp macro="" textlink="">
      <xdr:nvSpPr>
        <xdr:cNvPr id="12299" name="Rectangle 11">
          <a:extLst>
            <a:ext uri="{FF2B5EF4-FFF2-40B4-BE49-F238E27FC236}">
              <a16:creationId xmlns:a16="http://schemas.microsoft.com/office/drawing/2014/main" id="{CF2F94EF-8567-4CFC-AEF9-95419E16028C}"/>
            </a:ext>
          </a:extLst>
        </xdr:cNvPr>
        <xdr:cNvSpPr>
          <a:spLocks noChangeArrowheads="1"/>
        </xdr:cNvSpPr>
      </xdr:nvSpPr>
      <xdr:spPr bwMode="auto">
        <a:xfrm>
          <a:off x="3409950" y="7781925"/>
          <a:ext cx="638175" cy="514350"/>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endParaRPr lang="en-US" sz="1000" b="0" i="0" u="none" strike="noStrike" baseline="0">
            <a:solidFill>
              <a:srgbClr val="000000"/>
            </a:solidFill>
            <a:latin typeface="Arial"/>
            <a:cs typeface="Arial"/>
          </a:endParaRPr>
        </a:p>
        <a:p>
          <a:pPr algn="ctr" rtl="0">
            <a:defRPr sz="1000"/>
          </a:pPr>
          <a:r>
            <a:rPr lang="en-US" sz="1000" b="0" i="0" u="none" strike="noStrike" baseline="0">
              <a:solidFill>
                <a:srgbClr val="000000"/>
              </a:solidFill>
              <a:latin typeface="Arial"/>
              <a:cs typeface="Arial"/>
            </a:rPr>
            <a:t>Filter</a:t>
          </a:r>
        </a:p>
      </xdr:txBody>
    </xdr:sp>
    <xdr:clientData/>
  </xdr:twoCellAnchor>
  <xdr:twoCellAnchor>
    <xdr:from>
      <xdr:col>6</xdr:col>
      <xdr:colOff>19050</xdr:colOff>
      <xdr:row>45</xdr:row>
      <xdr:rowOff>95250</xdr:rowOff>
    </xdr:from>
    <xdr:to>
      <xdr:col>7</xdr:col>
      <xdr:colOff>28575</xdr:colOff>
      <xdr:row>48</xdr:row>
      <xdr:rowOff>133350</xdr:rowOff>
    </xdr:to>
    <xdr:sp macro="" textlink="">
      <xdr:nvSpPr>
        <xdr:cNvPr id="12300" name="Rectangle 12">
          <a:extLst>
            <a:ext uri="{FF2B5EF4-FFF2-40B4-BE49-F238E27FC236}">
              <a16:creationId xmlns:a16="http://schemas.microsoft.com/office/drawing/2014/main" id="{78A6BA97-C47A-456E-A99A-75B5637775CC}"/>
            </a:ext>
          </a:extLst>
        </xdr:cNvPr>
        <xdr:cNvSpPr>
          <a:spLocks noChangeArrowheads="1"/>
        </xdr:cNvSpPr>
      </xdr:nvSpPr>
      <xdr:spPr bwMode="auto">
        <a:xfrm>
          <a:off x="4667250" y="7791450"/>
          <a:ext cx="609600" cy="581025"/>
        </a:xfrm>
        <a:prstGeom prst="rect">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Other</a:t>
          </a:r>
        </a:p>
        <a:p>
          <a:pPr algn="ctr" rtl="0">
            <a:defRPr sz="1000"/>
          </a:pPr>
          <a:r>
            <a:rPr lang="en-US" sz="1000" b="0" i="0" u="none" strike="noStrike" baseline="0">
              <a:solidFill>
                <a:srgbClr val="000000"/>
              </a:solidFill>
              <a:latin typeface="Arial"/>
              <a:cs typeface="Arial"/>
            </a:rPr>
            <a:t>In-Line</a:t>
          </a:r>
        </a:p>
        <a:p>
          <a:pPr algn="ctr" rtl="0">
            <a:defRPr sz="1000"/>
          </a:pPr>
          <a:r>
            <a:rPr lang="en-US" sz="1000" b="0" i="0" u="none" strike="noStrike" baseline="0">
              <a:solidFill>
                <a:srgbClr val="000000"/>
              </a:solidFill>
              <a:latin typeface="Arial"/>
              <a:cs typeface="Arial"/>
            </a:rPr>
            <a:t>Losses:</a:t>
          </a:r>
        </a:p>
      </xdr:txBody>
    </xdr:sp>
    <xdr:clientData/>
  </xdr:twoCellAnchor>
  <xdr:twoCellAnchor>
    <xdr:from>
      <xdr:col>5</xdr:col>
      <xdr:colOff>28575</xdr:colOff>
      <xdr:row>46</xdr:row>
      <xdr:rowOff>152400</xdr:rowOff>
    </xdr:from>
    <xdr:to>
      <xdr:col>6</xdr:col>
      <xdr:colOff>9525</xdr:colOff>
      <xdr:row>46</xdr:row>
      <xdr:rowOff>152400</xdr:rowOff>
    </xdr:to>
    <xdr:sp macro="" textlink="">
      <xdr:nvSpPr>
        <xdr:cNvPr id="12594" name="Line 13">
          <a:extLst>
            <a:ext uri="{FF2B5EF4-FFF2-40B4-BE49-F238E27FC236}">
              <a16:creationId xmlns:a16="http://schemas.microsoft.com/office/drawing/2014/main" id="{5EDB42A2-B77E-4FEB-A455-D9003062EE13}"/>
            </a:ext>
          </a:extLst>
        </xdr:cNvPr>
        <xdr:cNvSpPr>
          <a:spLocks noChangeShapeType="1"/>
        </xdr:cNvSpPr>
      </xdr:nvSpPr>
      <xdr:spPr bwMode="auto">
        <a:xfrm>
          <a:off x="4057650" y="8058150"/>
          <a:ext cx="600075"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xdr:colOff>
      <xdr:row>43</xdr:row>
      <xdr:rowOff>19050</xdr:rowOff>
    </xdr:from>
    <xdr:to>
      <xdr:col>8</xdr:col>
      <xdr:colOff>542925</xdr:colOff>
      <xdr:row>45</xdr:row>
      <xdr:rowOff>123825</xdr:rowOff>
    </xdr:to>
    <xdr:sp macro="" textlink="">
      <xdr:nvSpPr>
        <xdr:cNvPr id="12595" name="AutoShape 14">
          <a:extLst>
            <a:ext uri="{FF2B5EF4-FFF2-40B4-BE49-F238E27FC236}">
              <a16:creationId xmlns:a16="http://schemas.microsoft.com/office/drawing/2014/main" id="{EA44F656-46E7-4D80-9350-5B86DD035FA7}"/>
            </a:ext>
          </a:extLst>
        </xdr:cNvPr>
        <xdr:cNvSpPr>
          <a:spLocks noChangeArrowheads="1"/>
        </xdr:cNvSpPr>
      </xdr:nvSpPr>
      <xdr:spPr bwMode="auto">
        <a:xfrm rot="10800000">
          <a:off x="5867400" y="7381875"/>
          <a:ext cx="533400" cy="43815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19050">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276225</xdr:colOff>
      <xdr:row>43</xdr:row>
      <xdr:rowOff>9525</xdr:rowOff>
    </xdr:from>
    <xdr:to>
      <xdr:col>8</xdr:col>
      <xdr:colOff>276225</xdr:colOff>
      <xdr:row>46</xdr:row>
      <xdr:rowOff>152400</xdr:rowOff>
    </xdr:to>
    <xdr:sp macro="" textlink="">
      <xdr:nvSpPr>
        <xdr:cNvPr id="12596" name="Line 15">
          <a:extLst>
            <a:ext uri="{FF2B5EF4-FFF2-40B4-BE49-F238E27FC236}">
              <a16:creationId xmlns:a16="http://schemas.microsoft.com/office/drawing/2014/main" id="{23E70FD2-2AB6-445C-944D-C74CCD6EE09D}"/>
            </a:ext>
          </a:extLst>
        </xdr:cNvPr>
        <xdr:cNvSpPr>
          <a:spLocks noChangeShapeType="1"/>
        </xdr:cNvSpPr>
      </xdr:nvSpPr>
      <xdr:spPr bwMode="auto">
        <a:xfrm>
          <a:off x="6134100" y="7372350"/>
          <a:ext cx="0" cy="6858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19050</xdr:colOff>
      <xdr:row>46</xdr:row>
      <xdr:rowOff>152400</xdr:rowOff>
    </xdr:from>
    <xdr:to>
      <xdr:col>8</xdr:col>
      <xdr:colOff>266700</xdr:colOff>
      <xdr:row>46</xdr:row>
      <xdr:rowOff>152400</xdr:rowOff>
    </xdr:to>
    <xdr:sp macro="" textlink="">
      <xdr:nvSpPr>
        <xdr:cNvPr id="12597" name="Line 16">
          <a:extLst>
            <a:ext uri="{FF2B5EF4-FFF2-40B4-BE49-F238E27FC236}">
              <a16:creationId xmlns:a16="http://schemas.microsoft.com/office/drawing/2014/main" id="{D47B1626-6809-4440-B5FA-6967D935E056}"/>
            </a:ext>
          </a:extLst>
        </xdr:cNvPr>
        <xdr:cNvSpPr>
          <a:spLocks noChangeShapeType="1"/>
        </xdr:cNvSpPr>
      </xdr:nvSpPr>
      <xdr:spPr bwMode="auto">
        <a:xfrm>
          <a:off x="5267325" y="8058150"/>
          <a:ext cx="85725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990600</xdr:colOff>
      <xdr:row>10</xdr:row>
      <xdr:rowOff>0</xdr:rowOff>
    </xdr:from>
    <xdr:ext cx="382028" cy="170560"/>
    <xdr:sp macro="" textlink="">
      <xdr:nvSpPr>
        <xdr:cNvPr id="12308" name="Text Box 20">
          <a:extLst>
            <a:ext uri="{FF2B5EF4-FFF2-40B4-BE49-F238E27FC236}">
              <a16:creationId xmlns:a16="http://schemas.microsoft.com/office/drawing/2014/main" id="{1FB8356E-FD19-4A3D-A7DD-23C19371D28F}"/>
            </a:ext>
          </a:extLst>
        </xdr:cNvPr>
        <xdr:cNvSpPr txBox="1">
          <a:spLocks noChangeArrowheads="1"/>
        </xdr:cNvSpPr>
      </xdr:nvSpPr>
      <xdr:spPr bwMode="auto">
        <a:xfrm>
          <a:off x="2819400" y="1819275"/>
          <a:ext cx="38202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Line A</a:t>
          </a:r>
        </a:p>
      </xdr:txBody>
    </xdr:sp>
    <xdr:clientData/>
  </xdr:oneCellAnchor>
  <xdr:twoCellAnchor>
    <xdr:from>
      <xdr:col>8</xdr:col>
      <xdr:colOff>523875</xdr:colOff>
      <xdr:row>9</xdr:row>
      <xdr:rowOff>152400</xdr:rowOff>
    </xdr:from>
    <xdr:to>
      <xdr:col>8</xdr:col>
      <xdr:colOff>523875</xdr:colOff>
      <xdr:row>11</xdr:row>
      <xdr:rowOff>95250</xdr:rowOff>
    </xdr:to>
    <xdr:sp macro="" textlink="">
      <xdr:nvSpPr>
        <xdr:cNvPr id="12599" name="Line 21">
          <a:extLst>
            <a:ext uri="{FF2B5EF4-FFF2-40B4-BE49-F238E27FC236}">
              <a16:creationId xmlns:a16="http://schemas.microsoft.com/office/drawing/2014/main" id="{EE98B187-A96F-4762-B9E2-FEF21E5D8CD8}"/>
            </a:ext>
          </a:extLst>
        </xdr:cNvPr>
        <xdr:cNvSpPr>
          <a:spLocks noChangeShapeType="1"/>
        </xdr:cNvSpPr>
      </xdr:nvSpPr>
      <xdr:spPr bwMode="auto">
        <a:xfrm>
          <a:off x="6381750" y="1800225"/>
          <a:ext cx="0" cy="323850"/>
        </a:xfrm>
        <a:prstGeom prst="line">
          <a:avLst/>
        </a:prstGeom>
        <a:noFill/>
        <a:ln w="9525">
          <a:solidFill>
            <a:srgbClr xmlns:mc="http://schemas.openxmlformats.org/markup-compatibility/2006" xmlns:a14="http://schemas.microsoft.com/office/drawing/2010/main" val="FF0000" mc:Ignorable="a14" a14:legacySpreadsheetColorIndex="1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581025</xdr:colOff>
      <xdr:row>43</xdr:row>
      <xdr:rowOff>142875</xdr:rowOff>
    </xdr:from>
    <xdr:to>
      <xdr:col>8</xdr:col>
      <xdr:colOff>581025</xdr:colOff>
      <xdr:row>45</xdr:row>
      <xdr:rowOff>85725</xdr:rowOff>
    </xdr:to>
    <xdr:sp macro="" textlink="">
      <xdr:nvSpPr>
        <xdr:cNvPr id="12600" name="Line 25">
          <a:extLst>
            <a:ext uri="{FF2B5EF4-FFF2-40B4-BE49-F238E27FC236}">
              <a16:creationId xmlns:a16="http://schemas.microsoft.com/office/drawing/2014/main" id="{DB736C80-9F6F-42AE-A455-2C6974B23ED5}"/>
            </a:ext>
          </a:extLst>
        </xdr:cNvPr>
        <xdr:cNvSpPr>
          <a:spLocks noChangeShapeType="1"/>
        </xdr:cNvSpPr>
      </xdr:nvSpPr>
      <xdr:spPr bwMode="auto">
        <a:xfrm>
          <a:off x="6438900" y="7505700"/>
          <a:ext cx="0" cy="2762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304800</xdr:colOff>
      <xdr:row>9</xdr:row>
      <xdr:rowOff>0</xdr:rowOff>
    </xdr:from>
    <xdr:to>
      <xdr:col>3</xdr:col>
      <xdr:colOff>314325</xdr:colOff>
      <xdr:row>12</xdr:row>
      <xdr:rowOff>95250</xdr:rowOff>
    </xdr:to>
    <xdr:sp macro="" textlink="">
      <xdr:nvSpPr>
        <xdr:cNvPr id="86207" name="AutoShape 2">
          <a:extLst>
            <a:ext uri="{FF2B5EF4-FFF2-40B4-BE49-F238E27FC236}">
              <a16:creationId xmlns:a16="http://schemas.microsoft.com/office/drawing/2014/main" id="{C87122F4-725E-4A25-96DA-6B024A533CD0}"/>
            </a:ext>
          </a:extLst>
        </xdr:cNvPr>
        <xdr:cNvSpPr>
          <a:spLocks noChangeArrowheads="1"/>
        </xdr:cNvSpPr>
      </xdr:nvSpPr>
      <xdr:spPr bwMode="auto">
        <a:xfrm rot="10800000">
          <a:off x="1524000" y="1609725"/>
          <a:ext cx="619125" cy="64770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0</xdr:colOff>
      <xdr:row>9</xdr:row>
      <xdr:rowOff>0</xdr:rowOff>
    </xdr:from>
    <xdr:to>
      <xdr:col>3</xdr:col>
      <xdr:colOff>0</xdr:colOff>
      <xdr:row>15</xdr:row>
      <xdr:rowOff>9525</xdr:rowOff>
    </xdr:to>
    <xdr:sp macro="" textlink="">
      <xdr:nvSpPr>
        <xdr:cNvPr id="86208" name="Line 3">
          <a:extLst>
            <a:ext uri="{FF2B5EF4-FFF2-40B4-BE49-F238E27FC236}">
              <a16:creationId xmlns:a16="http://schemas.microsoft.com/office/drawing/2014/main" id="{7B2DA614-6154-4E6F-8467-0373610552EA}"/>
            </a:ext>
          </a:extLst>
        </xdr:cNvPr>
        <xdr:cNvSpPr>
          <a:spLocks noChangeShapeType="1"/>
        </xdr:cNvSpPr>
      </xdr:nvSpPr>
      <xdr:spPr bwMode="auto">
        <a:xfrm>
          <a:off x="1828800" y="1609725"/>
          <a:ext cx="0" cy="1104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xdr:colOff>
      <xdr:row>15</xdr:row>
      <xdr:rowOff>9525</xdr:rowOff>
    </xdr:from>
    <xdr:to>
      <xdr:col>4</xdr:col>
      <xdr:colOff>0</xdr:colOff>
      <xdr:row>15</xdr:row>
      <xdr:rowOff>9525</xdr:rowOff>
    </xdr:to>
    <xdr:sp macro="" textlink="">
      <xdr:nvSpPr>
        <xdr:cNvPr id="86209" name="Line 4">
          <a:extLst>
            <a:ext uri="{FF2B5EF4-FFF2-40B4-BE49-F238E27FC236}">
              <a16:creationId xmlns:a16="http://schemas.microsoft.com/office/drawing/2014/main" id="{13374652-14EF-458A-82CD-010D276F0F10}"/>
            </a:ext>
          </a:extLst>
        </xdr:cNvPr>
        <xdr:cNvSpPr>
          <a:spLocks noChangeShapeType="1"/>
        </xdr:cNvSpPr>
      </xdr:nvSpPr>
      <xdr:spPr bwMode="auto">
        <a:xfrm>
          <a:off x="1838325" y="2714625"/>
          <a:ext cx="600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13</xdr:row>
      <xdr:rowOff>0</xdr:rowOff>
    </xdr:from>
    <xdr:to>
      <xdr:col>5</xdr:col>
      <xdr:colOff>295275</xdr:colOff>
      <xdr:row>17</xdr:row>
      <xdr:rowOff>0</xdr:rowOff>
    </xdr:to>
    <xdr:sp macro="" textlink="">
      <xdr:nvSpPr>
        <xdr:cNvPr id="86210" name="Rectangle 5">
          <a:extLst>
            <a:ext uri="{FF2B5EF4-FFF2-40B4-BE49-F238E27FC236}">
              <a16:creationId xmlns:a16="http://schemas.microsoft.com/office/drawing/2014/main" id="{5B1C3AC4-5933-49EC-97D9-728196B48E0C}"/>
            </a:ext>
          </a:extLst>
        </xdr:cNvPr>
        <xdr:cNvSpPr>
          <a:spLocks noChangeArrowheads="1"/>
        </xdr:cNvSpPr>
      </xdr:nvSpPr>
      <xdr:spPr bwMode="auto">
        <a:xfrm>
          <a:off x="2438400" y="2324100"/>
          <a:ext cx="904875" cy="714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0</xdr:colOff>
      <xdr:row>13</xdr:row>
      <xdr:rowOff>0</xdr:rowOff>
    </xdr:from>
    <xdr:to>
      <xdr:col>7</xdr:col>
      <xdr:colOff>295275</xdr:colOff>
      <xdr:row>17</xdr:row>
      <xdr:rowOff>0</xdr:rowOff>
    </xdr:to>
    <xdr:sp macro="" textlink="">
      <xdr:nvSpPr>
        <xdr:cNvPr id="86211" name="Rectangle 6">
          <a:extLst>
            <a:ext uri="{FF2B5EF4-FFF2-40B4-BE49-F238E27FC236}">
              <a16:creationId xmlns:a16="http://schemas.microsoft.com/office/drawing/2014/main" id="{F35955AF-04B9-493E-AA1A-195AD9E958A9}"/>
            </a:ext>
          </a:extLst>
        </xdr:cNvPr>
        <xdr:cNvSpPr>
          <a:spLocks noChangeArrowheads="1"/>
        </xdr:cNvSpPr>
      </xdr:nvSpPr>
      <xdr:spPr bwMode="auto">
        <a:xfrm>
          <a:off x="3657600" y="2324100"/>
          <a:ext cx="904875" cy="714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0</xdr:colOff>
      <xdr:row>12</xdr:row>
      <xdr:rowOff>76200</xdr:rowOff>
    </xdr:from>
    <xdr:to>
      <xdr:col>9</xdr:col>
      <xdr:colOff>219075</xdr:colOff>
      <xdr:row>17</xdr:row>
      <xdr:rowOff>104775</xdr:rowOff>
    </xdr:to>
    <xdr:sp macro="" textlink="">
      <xdr:nvSpPr>
        <xdr:cNvPr id="13319" name="AutoShape 7">
          <a:extLst>
            <a:ext uri="{FF2B5EF4-FFF2-40B4-BE49-F238E27FC236}">
              <a16:creationId xmlns:a16="http://schemas.microsoft.com/office/drawing/2014/main" id="{98B96B57-30FC-456A-B1C4-12595E57DE6D}"/>
            </a:ext>
          </a:extLst>
        </xdr:cNvPr>
        <xdr:cNvSpPr>
          <a:spLocks noChangeArrowheads="1"/>
        </xdr:cNvSpPr>
      </xdr:nvSpPr>
      <xdr:spPr bwMode="auto">
        <a:xfrm rot="5400000">
          <a:off x="5005387" y="2109788"/>
          <a:ext cx="904875" cy="116205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295275</xdr:colOff>
      <xdr:row>15</xdr:row>
      <xdr:rowOff>0</xdr:rowOff>
    </xdr:from>
    <xdr:to>
      <xdr:col>6</xdr:col>
      <xdr:colOff>0</xdr:colOff>
      <xdr:row>15</xdr:row>
      <xdr:rowOff>0</xdr:rowOff>
    </xdr:to>
    <xdr:sp macro="" textlink="">
      <xdr:nvSpPr>
        <xdr:cNvPr id="86213" name="Line 8">
          <a:extLst>
            <a:ext uri="{FF2B5EF4-FFF2-40B4-BE49-F238E27FC236}">
              <a16:creationId xmlns:a16="http://schemas.microsoft.com/office/drawing/2014/main" id="{8125B0FC-B8AA-46C7-AFFA-94B2CE159163}"/>
            </a:ext>
          </a:extLst>
        </xdr:cNvPr>
        <xdr:cNvSpPr>
          <a:spLocks noChangeShapeType="1"/>
        </xdr:cNvSpPr>
      </xdr:nvSpPr>
      <xdr:spPr bwMode="auto">
        <a:xfrm>
          <a:off x="3343275" y="2705100"/>
          <a:ext cx="3143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295275</xdr:colOff>
      <xdr:row>15</xdr:row>
      <xdr:rowOff>0</xdr:rowOff>
    </xdr:from>
    <xdr:to>
      <xdr:col>7</xdr:col>
      <xdr:colOff>600075</xdr:colOff>
      <xdr:row>15</xdr:row>
      <xdr:rowOff>0</xdr:rowOff>
    </xdr:to>
    <xdr:sp macro="" textlink="">
      <xdr:nvSpPr>
        <xdr:cNvPr id="86214" name="Line 9">
          <a:extLst>
            <a:ext uri="{FF2B5EF4-FFF2-40B4-BE49-F238E27FC236}">
              <a16:creationId xmlns:a16="http://schemas.microsoft.com/office/drawing/2014/main" id="{FC4CF780-D9CB-4BF1-A8E8-A228FD821C32}"/>
            </a:ext>
          </a:extLst>
        </xdr:cNvPr>
        <xdr:cNvSpPr>
          <a:spLocks noChangeShapeType="1"/>
        </xdr:cNvSpPr>
      </xdr:nvSpPr>
      <xdr:spPr bwMode="auto">
        <a:xfrm>
          <a:off x="4562475" y="270510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209550</xdr:colOff>
      <xdr:row>15</xdr:row>
      <xdr:rowOff>0</xdr:rowOff>
    </xdr:from>
    <xdr:to>
      <xdr:col>10</xdr:col>
      <xdr:colOff>0</xdr:colOff>
      <xdr:row>15</xdr:row>
      <xdr:rowOff>0</xdr:rowOff>
    </xdr:to>
    <xdr:sp macro="" textlink="">
      <xdr:nvSpPr>
        <xdr:cNvPr id="86215" name="Line 10">
          <a:extLst>
            <a:ext uri="{FF2B5EF4-FFF2-40B4-BE49-F238E27FC236}">
              <a16:creationId xmlns:a16="http://schemas.microsoft.com/office/drawing/2014/main" id="{C09D9533-C23B-4127-9246-37FA8DF7B20B}"/>
            </a:ext>
          </a:extLst>
        </xdr:cNvPr>
        <xdr:cNvSpPr>
          <a:spLocks noChangeShapeType="1"/>
        </xdr:cNvSpPr>
      </xdr:nvSpPr>
      <xdr:spPr bwMode="auto">
        <a:xfrm>
          <a:off x="6029325" y="2705100"/>
          <a:ext cx="457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304800</xdr:colOff>
      <xdr:row>14</xdr:row>
      <xdr:rowOff>133350</xdr:rowOff>
    </xdr:from>
    <xdr:to>
      <xdr:col>11</xdr:col>
      <xdr:colOff>381000</xdr:colOff>
      <xdr:row>15</xdr:row>
      <xdr:rowOff>47625</xdr:rowOff>
    </xdr:to>
    <xdr:sp macro="" textlink="">
      <xdr:nvSpPr>
        <xdr:cNvPr id="86216" name="Oval 11">
          <a:extLst>
            <a:ext uri="{FF2B5EF4-FFF2-40B4-BE49-F238E27FC236}">
              <a16:creationId xmlns:a16="http://schemas.microsoft.com/office/drawing/2014/main" id="{A4DCA5A4-9B72-4567-A46B-28F15FA689F3}"/>
            </a:ext>
          </a:extLst>
        </xdr:cNvPr>
        <xdr:cNvSpPr>
          <a:spLocks noChangeArrowheads="1"/>
        </xdr:cNvSpPr>
      </xdr:nvSpPr>
      <xdr:spPr bwMode="auto">
        <a:xfrm>
          <a:off x="7400925" y="2628900"/>
          <a:ext cx="76200" cy="123825"/>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8</xdr:col>
      <xdr:colOff>66675</xdr:colOff>
      <xdr:row>14</xdr:row>
      <xdr:rowOff>85725</xdr:rowOff>
    </xdr:from>
    <xdr:ext cx="282000" cy="170560"/>
    <xdr:sp macro="" textlink="">
      <xdr:nvSpPr>
        <xdr:cNvPr id="13325" name="Text Box 13">
          <a:extLst>
            <a:ext uri="{FF2B5EF4-FFF2-40B4-BE49-F238E27FC236}">
              <a16:creationId xmlns:a16="http://schemas.microsoft.com/office/drawing/2014/main" id="{0B7748BC-2DB3-4ED0-9755-5961AAAD6CD1}"/>
            </a:ext>
          </a:extLst>
        </xdr:cNvPr>
        <xdr:cNvSpPr txBox="1">
          <a:spLocks noChangeArrowheads="1"/>
        </xdr:cNvSpPr>
      </xdr:nvSpPr>
      <xdr:spPr bwMode="auto">
        <a:xfrm>
          <a:off x="4943475" y="2581275"/>
          <a:ext cx="282000"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LNA</a:t>
          </a:r>
        </a:p>
      </xdr:txBody>
    </xdr:sp>
    <xdr:clientData/>
  </xdr:oneCellAnchor>
  <xdr:oneCellAnchor>
    <xdr:from>
      <xdr:col>6</xdr:col>
      <xdr:colOff>123825</xdr:colOff>
      <xdr:row>13</xdr:row>
      <xdr:rowOff>142875</xdr:rowOff>
    </xdr:from>
    <xdr:ext cx="649793" cy="318036"/>
    <xdr:sp macro="" textlink="">
      <xdr:nvSpPr>
        <xdr:cNvPr id="13326" name="Text Box 14">
          <a:extLst>
            <a:ext uri="{FF2B5EF4-FFF2-40B4-BE49-F238E27FC236}">
              <a16:creationId xmlns:a16="http://schemas.microsoft.com/office/drawing/2014/main" id="{DF8D1F5D-0EF3-4EB0-BEEB-AA15C9D42503}"/>
            </a:ext>
          </a:extLst>
        </xdr:cNvPr>
        <xdr:cNvSpPr txBox="1">
          <a:spLocks noChangeArrowheads="1"/>
        </xdr:cNvSpPr>
      </xdr:nvSpPr>
      <xdr:spPr bwMode="auto">
        <a:xfrm>
          <a:off x="3781425" y="2466975"/>
          <a:ext cx="649793"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Bandpass</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Filter</a:t>
          </a:r>
        </a:p>
      </xdr:txBody>
    </xdr:sp>
    <xdr:clientData/>
  </xdr:oneCellAnchor>
  <xdr:oneCellAnchor>
    <xdr:from>
      <xdr:col>4</xdr:col>
      <xdr:colOff>200025</xdr:colOff>
      <xdr:row>13</xdr:row>
      <xdr:rowOff>66675</xdr:rowOff>
    </xdr:from>
    <xdr:ext cx="457305" cy="465512"/>
    <xdr:sp macro="" textlink="">
      <xdr:nvSpPr>
        <xdr:cNvPr id="13327" name="Text Box 15">
          <a:extLst>
            <a:ext uri="{FF2B5EF4-FFF2-40B4-BE49-F238E27FC236}">
              <a16:creationId xmlns:a16="http://schemas.microsoft.com/office/drawing/2014/main" id="{FCF2211E-7D42-4F1A-978D-DF866C1317B9}"/>
            </a:ext>
          </a:extLst>
        </xdr:cNvPr>
        <xdr:cNvSpPr txBox="1">
          <a:spLocks noChangeArrowheads="1"/>
        </xdr:cNvSpPr>
      </xdr:nvSpPr>
      <xdr:spPr bwMode="auto">
        <a:xfrm>
          <a:off x="2638425" y="2390775"/>
          <a:ext cx="457305" cy="46551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Other</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In-Line</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Device</a:t>
          </a:r>
        </a:p>
      </xdr:txBody>
    </xdr:sp>
    <xdr:clientData/>
  </xdr:oneCellAnchor>
  <xdr:twoCellAnchor>
    <xdr:from>
      <xdr:col>10</xdr:col>
      <xdr:colOff>0</xdr:colOff>
      <xdr:row>13</xdr:row>
      <xdr:rowOff>28575</xdr:rowOff>
    </xdr:from>
    <xdr:to>
      <xdr:col>10</xdr:col>
      <xdr:colOff>571500</xdr:colOff>
      <xdr:row>16</xdr:row>
      <xdr:rowOff>133350</xdr:rowOff>
    </xdr:to>
    <xdr:sp macro="" textlink="">
      <xdr:nvSpPr>
        <xdr:cNvPr id="86220" name="AutoShape 16">
          <a:extLst>
            <a:ext uri="{FF2B5EF4-FFF2-40B4-BE49-F238E27FC236}">
              <a16:creationId xmlns:a16="http://schemas.microsoft.com/office/drawing/2014/main" id="{DBE471F0-E9FE-4B3B-9C29-0DA4FB2EA3D1}"/>
            </a:ext>
          </a:extLst>
        </xdr:cNvPr>
        <xdr:cNvSpPr>
          <a:spLocks noChangeArrowheads="1"/>
        </xdr:cNvSpPr>
      </xdr:nvSpPr>
      <xdr:spPr bwMode="auto">
        <a:xfrm rot="5400000">
          <a:off x="6443662" y="2395538"/>
          <a:ext cx="657225" cy="57150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581025</xdr:colOff>
      <xdr:row>15</xdr:row>
      <xdr:rowOff>0</xdr:rowOff>
    </xdr:from>
    <xdr:to>
      <xdr:col>11</xdr:col>
      <xdr:colOff>295275</xdr:colOff>
      <xdr:row>15</xdr:row>
      <xdr:rowOff>0</xdr:rowOff>
    </xdr:to>
    <xdr:sp macro="" textlink="">
      <xdr:nvSpPr>
        <xdr:cNvPr id="86221" name="Line 17">
          <a:extLst>
            <a:ext uri="{FF2B5EF4-FFF2-40B4-BE49-F238E27FC236}">
              <a16:creationId xmlns:a16="http://schemas.microsoft.com/office/drawing/2014/main" id="{539DFCC4-5315-43E7-8021-63C43049A00C}"/>
            </a:ext>
          </a:extLst>
        </xdr:cNvPr>
        <xdr:cNvSpPr>
          <a:spLocks noChangeShapeType="1"/>
        </xdr:cNvSpPr>
      </xdr:nvSpPr>
      <xdr:spPr bwMode="auto">
        <a:xfrm>
          <a:off x="7067550" y="2705100"/>
          <a:ext cx="3238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xdr:colOff>
      <xdr:row>9</xdr:row>
      <xdr:rowOff>0</xdr:rowOff>
    </xdr:from>
    <xdr:to>
      <xdr:col>8</xdr:col>
      <xdr:colOff>9525</xdr:colOff>
      <xdr:row>12</xdr:row>
      <xdr:rowOff>57150</xdr:rowOff>
    </xdr:to>
    <xdr:sp macro="" textlink="">
      <xdr:nvSpPr>
        <xdr:cNvPr id="86222" name="Line 18">
          <a:extLst>
            <a:ext uri="{FF2B5EF4-FFF2-40B4-BE49-F238E27FC236}">
              <a16:creationId xmlns:a16="http://schemas.microsoft.com/office/drawing/2014/main" id="{0E91DFA3-2DEC-4235-A283-61D5CE80C814}"/>
            </a:ext>
          </a:extLst>
        </xdr:cNvPr>
        <xdr:cNvSpPr>
          <a:spLocks noChangeShapeType="1"/>
        </xdr:cNvSpPr>
      </xdr:nvSpPr>
      <xdr:spPr bwMode="auto">
        <a:xfrm>
          <a:off x="4886325" y="1609725"/>
          <a:ext cx="0" cy="6096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17</xdr:row>
      <xdr:rowOff>123825</xdr:rowOff>
    </xdr:from>
    <xdr:to>
      <xdr:col>7</xdr:col>
      <xdr:colOff>600075</xdr:colOff>
      <xdr:row>21</xdr:row>
      <xdr:rowOff>19050</xdr:rowOff>
    </xdr:to>
    <xdr:sp macro="" textlink="">
      <xdr:nvSpPr>
        <xdr:cNvPr id="86223" name="Line 19">
          <a:extLst>
            <a:ext uri="{FF2B5EF4-FFF2-40B4-BE49-F238E27FC236}">
              <a16:creationId xmlns:a16="http://schemas.microsoft.com/office/drawing/2014/main" id="{0AD87AAE-0377-4C43-8C25-5FC57B898947}"/>
            </a:ext>
          </a:extLst>
        </xdr:cNvPr>
        <xdr:cNvSpPr>
          <a:spLocks noChangeShapeType="1"/>
        </xdr:cNvSpPr>
      </xdr:nvSpPr>
      <xdr:spPr bwMode="auto">
        <a:xfrm>
          <a:off x="4867275" y="3162300"/>
          <a:ext cx="0"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9</xdr:row>
      <xdr:rowOff>123825</xdr:rowOff>
    </xdr:from>
    <xdr:to>
      <xdr:col>10</xdr:col>
      <xdr:colOff>0</xdr:colOff>
      <xdr:row>13</xdr:row>
      <xdr:rowOff>19050</xdr:rowOff>
    </xdr:to>
    <xdr:sp macro="" textlink="">
      <xdr:nvSpPr>
        <xdr:cNvPr id="86224" name="Line 20">
          <a:extLst>
            <a:ext uri="{FF2B5EF4-FFF2-40B4-BE49-F238E27FC236}">
              <a16:creationId xmlns:a16="http://schemas.microsoft.com/office/drawing/2014/main" id="{FAEA1FC3-498E-434C-B7DA-78A47B4491B5}"/>
            </a:ext>
          </a:extLst>
        </xdr:cNvPr>
        <xdr:cNvSpPr>
          <a:spLocks noChangeShapeType="1"/>
        </xdr:cNvSpPr>
      </xdr:nvSpPr>
      <xdr:spPr bwMode="auto">
        <a:xfrm>
          <a:off x="6486525" y="1733550"/>
          <a:ext cx="0" cy="6096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16</xdr:row>
      <xdr:rowOff>152400</xdr:rowOff>
    </xdr:from>
    <xdr:to>
      <xdr:col>10</xdr:col>
      <xdr:colOff>0</xdr:colOff>
      <xdr:row>20</xdr:row>
      <xdr:rowOff>47625</xdr:rowOff>
    </xdr:to>
    <xdr:sp macro="" textlink="">
      <xdr:nvSpPr>
        <xdr:cNvPr id="86225" name="Line 22">
          <a:extLst>
            <a:ext uri="{FF2B5EF4-FFF2-40B4-BE49-F238E27FC236}">
              <a16:creationId xmlns:a16="http://schemas.microsoft.com/office/drawing/2014/main" id="{0DC58142-A236-4D09-A72B-C8E0156BF3B8}"/>
            </a:ext>
          </a:extLst>
        </xdr:cNvPr>
        <xdr:cNvSpPr>
          <a:spLocks noChangeShapeType="1"/>
        </xdr:cNvSpPr>
      </xdr:nvSpPr>
      <xdr:spPr bwMode="auto">
        <a:xfrm>
          <a:off x="6486525" y="3028950"/>
          <a:ext cx="0"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14</xdr:row>
      <xdr:rowOff>0</xdr:rowOff>
    </xdr:from>
    <xdr:to>
      <xdr:col>10</xdr:col>
      <xdr:colOff>390525</xdr:colOff>
      <xdr:row>15</xdr:row>
      <xdr:rowOff>152400</xdr:rowOff>
    </xdr:to>
    <xdr:sp macro="" textlink="">
      <xdr:nvSpPr>
        <xdr:cNvPr id="13335" name="Text Box 23">
          <a:extLst>
            <a:ext uri="{FF2B5EF4-FFF2-40B4-BE49-F238E27FC236}">
              <a16:creationId xmlns:a16="http://schemas.microsoft.com/office/drawing/2014/main" id="{77E168F4-5258-47E1-B575-E4612C300B40}"/>
            </a:ext>
          </a:extLst>
        </xdr:cNvPr>
        <xdr:cNvSpPr txBox="1">
          <a:spLocks noChangeArrowheads="1"/>
        </xdr:cNvSpPr>
      </xdr:nvSpPr>
      <xdr:spPr bwMode="auto">
        <a:xfrm>
          <a:off x="6505575" y="2495550"/>
          <a:ext cx="371475" cy="3619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en-US" sz="800" b="1" i="0" u="none" strike="noStrike" baseline="0">
              <a:solidFill>
                <a:srgbClr val="000000"/>
              </a:solidFill>
              <a:latin typeface="Arial"/>
              <a:cs typeface="Arial"/>
            </a:rPr>
            <a:t>2nd</a:t>
          </a:r>
          <a:endParaRPr lang="en-US" sz="800" b="0" i="0" u="none" strike="noStrike" baseline="0">
            <a:solidFill>
              <a:srgbClr val="000000"/>
            </a:solidFill>
            <a:latin typeface="Arial"/>
            <a:cs typeface="Arial"/>
          </a:endParaRPr>
        </a:p>
        <a:p>
          <a:pPr algn="l" rtl="0">
            <a:defRPr sz="1000"/>
          </a:pPr>
          <a:r>
            <a:rPr lang="en-US" sz="800" b="1" i="0" u="none" strike="noStrike" baseline="0">
              <a:solidFill>
                <a:srgbClr val="000000"/>
              </a:solidFill>
              <a:latin typeface="Arial"/>
              <a:cs typeface="Arial"/>
            </a:rPr>
            <a:t>Stage</a:t>
          </a:r>
        </a:p>
      </xdr:txBody>
    </xdr:sp>
    <xdr:clientData/>
  </xdr:twoCellAnchor>
  <xdr:twoCellAnchor editAs="oneCell">
    <xdr:from>
      <xdr:col>6</xdr:col>
      <xdr:colOff>333375</xdr:colOff>
      <xdr:row>18</xdr:row>
      <xdr:rowOff>0</xdr:rowOff>
    </xdr:from>
    <xdr:to>
      <xdr:col>6</xdr:col>
      <xdr:colOff>409575</xdr:colOff>
      <xdr:row>19</xdr:row>
      <xdr:rowOff>19050</xdr:rowOff>
    </xdr:to>
    <xdr:sp macro="" textlink="">
      <xdr:nvSpPr>
        <xdr:cNvPr id="86227" name="Text Box 24">
          <a:extLst>
            <a:ext uri="{FF2B5EF4-FFF2-40B4-BE49-F238E27FC236}">
              <a16:creationId xmlns:a16="http://schemas.microsoft.com/office/drawing/2014/main" id="{243FDBCC-E123-41FE-B18B-C1FACDDEABAB}"/>
            </a:ext>
          </a:extLst>
        </xdr:cNvPr>
        <xdr:cNvSpPr txBox="1">
          <a:spLocks noChangeArrowheads="1"/>
        </xdr:cNvSpPr>
      </xdr:nvSpPr>
      <xdr:spPr bwMode="auto">
        <a:xfrm>
          <a:off x="3990975" y="3200400"/>
          <a:ext cx="76200"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6</xdr:col>
      <xdr:colOff>257175</xdr:colOff>
      <xdr:row>17</xdr:row>
      <xdr:rowOff>9525</xdr:rowOff>
    </xdr:from>
    <xdr:ext cx="289246" cy="170560"/>
    <xdr:sp macro="" textlink="">
      <xdr:nvSpPr>
        <xdr:cNvPr id="13337" name="Text Box 25">
          <a:extLst>
            <a:ext uri="{FF2B5EF4-FFF2-40B4-BE49-F238E27FC236}">
              <a16:creationId xmlns:a16="http://schemas.microsoft.com/office/drawing/2014/main" id="{5AA9ED00-749D-420B-A5EA-9C5369A8A0E5}"/>
            </a:ext>
          </a:extLst>
        </xdr:cNvPr>
        <xdr:cNvSpPr txBox="1">
          <a:spLocks noChangeArrowheads="1"/>
        </xdr:cNvSpPr>
      </xdr:nvSpPr>
      <xdr:spPr bwMode="auto">
        <a:xfrm>
          <a:off x="3914775" y="3048000"/>
          <a:ext cx="28924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a:t>
          </a:r>
          <a:r>
            <a:rPr lang="en-US" sz="800" b="0" i="0" u="none" strike="noStrike" baseline="0">
              <a:solidFill>
                <a:srgbClr val="000000"/>
              </a:solidFill>
              <a:latin typeface="Arial"/>
              <a:cs typeface="Arial"/>
            </a:rPr>
            <a:t>BPF</a:t>
          </a:r>
        </a:p>
      </xdr:txBody>
    </xdr:sp>
    <xdr:clientData/>
  </xdr:oneCellAnchor>
  <xdr:twoCellAnchor>
    <xdr:from>
      <xdr:col>6</xdr:col>
      <xdr:colOff>0</xdr:colOff>
      <xdr:row>17</xdr:row>
      <xdr:rowOff>85725</xdr:rowOff>
    </xdr:from>
    <xdr:to>
      <xdr:col>6</xdr:col>
      <xdr:colOff>247650</xdr:colOff>
      <xdr:row>17</xdr:row>
      <xdr:rowOff>85725</xdr:rowOff>
    </xdr:to>
    <xdr:sp macro="" textlink="">
      <xdr:nvSpPr>
        <xdr:cNvPr id="86229" name="Line 26">
          <a:extLst>
            <a:ext uri="{FF2B5EF4-FFF2-40B4-BE49-F238E27FC236}">
              <a16:creationId xmlns:a16="http://schemas.microsoft.com/office/drawing/2014/main" id="{31E80055-DE7B-497F-909B-E25CB6E7F931}"/>
            </a:ext>
          </a:extLst>
        </xdr:cNvPr>
        <xdr:cNvSpPr>
          <a:spLocks noChangeShapeType="1"/>
        </xdr:cNvSpPr>
      </xdr:nvSpPr>
      <xdr:spPr bwMode="auto">
        <a:xfrm flipH="1">
          <a:off x="3657600" y="3124200"/>
          <a:ext cx="247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9525</xdr:colOff>
      <xdr:row>17</xdr:row>
      <xdr:rowOff>85725</xdr:rowOff>
    </xdr:from>
    <xdr:to>
      <xdr:col>7</xdr:col>
      <xdr:colOff>276225</xdr:colOff>
      <xdr:row>17</xdr:row>
      <xdr:rowOff>85725</xdr:rowOff>
    </xdr:to>
    <xdr:sp macro="" textlink="">
      <xdr:nvSpPr>
        <xdr:cNvPr id="86230" name="Line 27">
          <a:extLst>
            <a:ext uri="{FF2B5EF4-FFF2-40B4-BE49-F238E27FC236}">
              <a16:creationId xmlns:a16="http://schemas.microsoft.com/office/drawing/2014/main" id="{7E8EC038-ACB7-46D1-BB6F-AD7025E7320B}"/>
            </a:ext>
          </a:extLst>
        </xdr:cNvPr>
        <xdr:cNvSpPr>
          <a:spLocks noChangeShapeType="1"/>
        </xdr:cNvSpPr>
      </xdr:nvSpPr>
      <xdr:spPr bwMode="auto">
        <a:xfrm>
          <a:off x="4276725" y="3124200"/>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600075</xdr:colOff>
      <xdr:row>17</xdr:row>
      <xdr:rowOff>95250</xdr:rowOff>
    </xdr:from>
    <xdr:to>
      <xdr:col>4</xdr:col>
      <xdr:colOff>238125</xdr:colOff>
      <xdr:row>17</xdr:row>
      <xdr:rowOff>95250</xdr:rowOff>
    </xdr:to>
    <xdr:sp macro="" textlink="">
      <xdr:nvSpPr>
        <xdr:cNvPr id="86231" name="Line 28">
          <a:extLst>
            <a:ext uri="{FF2B5EF4-FFF2-40B4-BE49-F238E27FC236}">
              <a16:creationId xmlns:a16="http://schemas.microsoft.com/office/drawing/2014/main" id="{CA283C2D-DFE9-4DF5-89D8-67B2B88AE13D}"/>
            </a:ext>
          </a:extLst>
        </xdr:cNvPr>
        <xdr:cNvSpPr>
          <a:spLocks noChangeShapeType="1"/>
        </xdr:cNvSpPr>
      </xdr:nvSpPr>
      <xdr:spPr bwMode="auto">
        <a:xfrm flipH="1">
          <a:off x="2428875" y="3133725"/>
          <a:ext cx="247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28575</xdr:colOff>
      <xdr:row>17</xdr:row>
      <xdr:rowOff>85725</xdr:rowOff>
    </xdr:from>
    <xdr:to>
      <xdr:col>5</xdr:col>
      <xdr:colOff>295275</xdr:colOff>
      <xdr:row>17</xdr:row>
      <xdr:rowOff>85725</xdr:rowOff>
    </xdr:to>
    <xdr:sp macro="" textlink="">
      <xdr:nvSpPr>
        <xdr:cNvPr id="86232" name="Line 29">
          <a:extLst>
            <a:ext uri="{FF2B5EF4-FFF2-40B4-BE49-F238E27FC236}">
              <a16:creationId xmlns:a16="http://schemas.microsoft.com/office/drawing/2014/main" id="{F3C74436-760A-484B-9D8D-F31D22582B95}"/>
            </a:ext>
          </a:extLst>
        </xdr:cNvPr>
        <xdr:cNvSpPr>
          <a:spLocks noChangeShapeType="1"/>
        </xdr:cNvSpPr>
      </xdr:nvSpPr>
      <xdr:spPr bwMode="auto">
        <a:xfrm>
          <a:off x="3076575" y="3124200"/>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17</xdr:row>
      <xdr:rowOff>9525</xdr:rowOff>
    </xdr:from>
    <xdr:ext cx="323850" cy="180975"/>
    <xdr:sp macro="" textlink="">
      <xdr:nvSpPr>
        <xdr:cNvPr id="13342" name="Text Box 30">
          <a:extLst>
            <a:ext uri="{FF2B5EF4-FFF2-40B4-BE49-F238E27FC236}">
              <a16:creationId xmlns:a16="http://schemas.microsoft.com/office/drawing/2014/main" id="{3656B6EB-1D57-4F68-AB7B-CBC792D408DA}"/>
            </a:ext>
          </a:extLst>
        </xdr:cNvPr>
        <xdr:cNvSpPr txBox="1">
          <a:spLocks noChangeArrowheads="1"/>
        </xdr:cNvSpPr>
      </xdr:nvSpPr>
      <xdr:spPr bwMode="auto">
        <a:xfrm>
          <a:off x="2695575" y="3048000"/>
          <a:ext cx="3810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a:t>
          </a:r>
          <a:r>
            <a:rPr lang="en-US" sz="800" b="0" i="0" u="none" strike="noStrike" baseline="0">
              <a:solidFill>
                <a:srgbClr val="000000"/>
              </a:solidFill>
              <a:latin typeface="Arial"/>
              <a:cs typeface="Arial"/>
            </a:rPr>
            <a:t>other</a:t>
          </a:r>
        </a:p>
      </xdr:txBody>
    </xdr:sp>
    <xdr:clientData/>
  </xdr:oneCellAnchor>
  <xdr:twoCellAnchor>
    <xdr:from>
      <xdr:col>17</xdr:col>
      <xdr:colOff>295275</xdr:colOff>
      <xdr:row>63</xdr:row>
      <xdr:rowOff>47625</xdr:rowOff>
    </xdr:from>
    <xdr:to>
      <xdr:col>17</xdr:col>
      <xdr:colOff>295275</xdr:colOff>
      <xdr:row>65</xdr:row>
      <xdr:rowOff>38100</xdr:rowOff>
    </xdr:to>
    <xdr:sp macro="" textlink="">
      <xdr:nvSpPr>
        <xdr:cNvPr id="86234" name="Line 35">
          <a:extLst>
            <a:ext uri="{FF2B5EF4-FFF2-40B4-BE49-F238E27FC236}">
              <a16:creationId xmlns:a16="http://schemas.microsoft.com/office/drawing/2014/main" id="{CB858E3A-2F2E-4DEB-85DD-6D1523A8327D}"/>
            </a:ext>
          </a:extLst>
        </xdr:cNvPr>
        <xdr:cNvSpPr>
          <a:spLocks noChangeShapeType="1"/>
        </xdr:cNvSpPr>
      </xdr:nvSpPr>
      <xdr:spPr bwMode="auto">
        <a:xfrm flipV="1">
          <a:off x="11049000" y="10534650"/>
          <a:ext cx="0" cy="3143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295275</xdr:colOff>
      <xdr:row>59</xdr:row>
      <xdr:rowOff>85725</xdr:rowOff>
    </xdr:from>
    <xdr:to>
      <xdr:col>17</xdr:col>
      <xdr:colOff>295275</xdr:colOff>
      <xdr:row>61</xdr:row>
      <xdr:rowOff>76200</xdr:rowOff>
    </xdr:to>
    <xdr:sp macro="" textlink="">
      <xdr:nvSpPr>
        <xdr:cNvPr id="86235" name="Line 36">
          <a:extLst>
            <a:ext uri="{FF2B5EF4-FFF2-40B4-BE49-F238E27FC236}">
              <a16:creationId xmlns:a16="http://schemas.microsoft.com/office/drawing/2014/main" id="{F5477358-0CE3-4AEC-90C7-1F13DB7C9EDD}"/>
            </a:ext>
          </a:extLst>
        </xdr:cNvPr>
        <xdr:cNvSpPr>
          <a:spLocks noChangeShapeType="1"/>
        </xdr:cNvSpPr>
      </xdr:nvSpPr>
      <xdr:spPr bwMode="auto">
        <a:xfrm flipV="1">
          <a:off x="11049000" y="9925050"/>
          <a:ext cx="0" cy="3143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304800</xdr:colOff>
      <xdr:row>63</xdr:row>
      <xdr:rowOff>47625</xdr:rowOff>
    </xdr:from>
    <xdr:to>
      <xdr:col>20</xdr:col>
      <xdr:colOff>304800</xdr:colOff>
      <xdr:row>65</xdr:row>
      <xdr:rowOff>38100</xdr:rowOff>
    </xdr:to>
    <xdr:sp macro="" textlink="">
      <xdr:nvSpPr>
        <xdr:cNvPr id="86236" name="Line 37">
          <a:extLst>
            <a:ext uri="{FF2B5EF4-FFF2-40B4-BE49-F238E27FC236}">
              <a16:creationId xmlns:a16="http://schemas.microsoft.com/office/drawing/2014/main" id="{AC0E02B8-14E1-4F17-97E7-B8BA97BEEC7B}"/>
            </a:ext>
          </a:extLst>
        </xdr:cNvPr>
        <xdr:cNvSpPr>
          <a:spLocks noChangeShapeType="1"/>
        </xdr:cNvSpPr>
      </xdr:nvSpPr>
      <xdr:spPr bwMode="auto">
        <a:xfrm flipV="1">
          <a:off x="12887325" y="10534650"/>
          <a:ext cx="0" cy="3143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304800</xdr:colOff>
      <xdr:row>59</xdr:row>
      <xdr:rowOff>85725</xdr:rowOff>
    </xdr:from>
    <xdr:to>
      <xdr:col>20</xdr:col>
      <xdr:colOff>304800</xdr:colOff>
      <xdr:row>61</xdr:row>
      <xdr:rowOff>76200</xdr:rowOff>
    </xdr:to>
    <xdr:sp macro="" textlink="">
      <xdr:nvSpPr>
        <xdr:cNvPr id="86237" name="Line 38">
          <a:extLst>
            <a:ext uri="{FF2B5EF4-FFF2-40B4-BE49-F238E27FC236}">
              <a16:creationId xmlns:a16="http://schemas.microsoft.com/office/drawing/2014/main" id="{F2C7B027-9770-4AA6-B478-5365C82C1928}"/>
            </a:ext>
          </a:extLst>
        </xdr:cNvPr>
        <xdr:cNvSpPr>
          <a:spLocks noChangeShapeType="1"/>
        </xdr:cNvSpPr>
      </xdr:nvSpPr>
      <xdr:spPr bwMode="auto">
        <a:xfrm flipV="1">
          <a:off x="12887325" y="9925050"/>
          <a:ext cx="0" cy="3143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133350</xdr:colOff>
      <xdr:row>51</xdr:row>
      <xdr:rowOff>9525</xdr:rowOff>
    </xdr:from>
    <xdr:to>
      <xdr:col>13</xdr:col>
      <xdr:colOff>561975</xdr:colOff>
      <xdr:row>68</xdr:row>
      <xdr:rowOff>142875</xdr:rowOff>
    </xdr:to>
    <xdr:sp macro="" textlink="">
      <xdr:nvSpPr>
        <xdr:cNvPr id="86238" name="AutoShape 39">
          <a:extLst>
            <a:ext uri="{FF2B5EF4-FFF2-40B4-BE49-F238E27FC236}">
              <a16:creationId xmlns:a16="http://schemas.microsoft.com/office/drawing/2014/main" id="{C5F8B67C-FBF8-4E50-96B1-2B6CBA51B9F7}"/>
            </a:ext>
          </a:extLst>
        </xdr:cNvPr>
        <xdr:cNvSpPr>
          <a:spLocks/>
        </xdr:cNvSpPr>
      </xdr:nvSpPr>
      <xdr:spPr bwMode="auto">
        <a:xfrm>
          <a:off x="8448675" y="8553450"/>
          <a:ext cx="428625" cy="2886075"/>
        </a:xfrm>
        <a:prstGeom prst="leftBrace">
          <a:avLst>
            <a:gd name="adj1" fmla="val 104803"/>
            <a:gd name="adj2" fmla="val 5469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xdr:col>
      <xdr:colOff>304800</xdr:colOff>
      <xdr:row>80</xdr:row>
      <xdr:rowOff>0</xdr:rowOff>
    </xdr:from>
    <xdr:to>
      <xdr:col>3</xdr:col>
      <xdr:colOff>314325</xdr:colOff>
      <xdr:row>83</xdr:row>
      <xdr:rowOff>95250</xdr:rowOff>
    </xdr:to>
    <xdr:sp macro="" textlink="">
      <xdr:nvSpPr>
        <xdr:cNvPr id="86239" name="AutoShape 40">
          <a:extLst>
            <a:ext uri="{FF2B5EF4-FFF2-40B4-BE49-F238E27FC236}">
              <a16:creationId xmlns:a16="http://schemas.microsoft.com/office/drawing/2014/main" id="{1A2AA1BA-BB9C-4548-9DBF-3F7F566F1E83}"/>
            </a:ext>
          </a:extLst>
        </xdr:cNvPr>
        <xdr:cNvSpPr>
          <a:spLocks noChangeArrowheads="1"/>
        </xdr:cNvSpPr>
      </xdr:nvSpPr>
      <xdr:spPr bwMode="auto">
        <a:xfrm rot="10800000">
          <a:off x="1524000" y="13315950"/>
          <a:ext cx="619125" cy="64770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xdr:col>
      <xdr:colOff>0</xdr:colOff>
      <xdr:row>80</xdr:row>
      <xdr:rowOff>0</xdr:rowOff>
    </xdr:from>
    <xdr:to>
      <xdr:col>3</xdr:col>
      <xdr:colOff>0</xdr:colOff>
      <xdr:row>86</xdr:row>
      <xdr:rowOff>9525</xdr:rowOff>
    </xdr:to>
    <xdr:sp macro="" textlink="">
      <xdr:nvSpPr>
        <xdr:cNvPr id="86240" name="Line 41">
          <a:extLst>
            <a:ext uri="{FF2B5EF4-FFF2-40B4-BE49-F238E27FC236}">
              <a16:creationId xmlns:a16="http://schemas.microsoft.com/office/drawing/2014/main" id="{96B754F1-96A8-491B-A02B-56B4BC2B4923}"/>
            </a:ext>
          </a:extLst>
        </xdr:cNvPr>
        <xdr:cNvSpPr>
          <a:spLocks noChangeShapeType="1"/>
        </xdr:cNvSpPr>
      </xdr:nvSpPr>
      <xdr:spPr bwMode="auto">
        <a:xfrm>
          <a:off x="1828800" y="13315950"/>
          <a:ext cx="0" cy="11049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9525</xdr:colOff>
      <xdr:row>86</xdr:row>
      <xdr:rowOff>9525</xdr:rowOff>
    </xdr:from>
    <xdr:to>
      <xdr:col>4</xdr:col>
      <xdr:colOff>0</xdr:colOff>
      <xdr:row>86</xdr:row>
      <xdr:rowOff>9525</xdr:rowOff>
    </xdr:to>
    <xdr:sp macro="" textlink="">
      <xdr:nvSpPr>
        <xdr:cNvPr id="86241" name="Line 42">
          <a:extLst>
            <a:ext uri="{FF2B5EF4-FFF2-40B4-BE49-F238E27FC236}">
              <a16:creationId xmlns:a16="http://schemas.microsoft.com/office/drawing/2014/main" id="{F27C9EC0-13A4-40FC-8B65-2C94D27858CE}"/>
            </a:ext>
          </a:extLst>
        </xdr:cNvPr>
        <xdr:cNvSpPr>
          <a:spLocks noChangeShapeType="1"/>
        </xdr:cNvSpPr>
      </xdr:nvSpPr>
      <xdr:spPr bwMode="auto">
        <a:xfrm>
          <a:off x="1838325" y="14420850"/>
          <a:ext cx="600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0</xdr:colOff>
      <xdr:row>84</xdr:row>
      <xdr:rowOff>0</xdr:rowOff>
    </xdr:from>
    <xdr:to>
      <xdr:col>5</xdr:col>
      <xdr:colOff>295275</xdr:colOff>
      <xdr:row>88</xdr:row>
      <xdr:rowOff>0</xdr:rowOff>
    </xdr:to>
    <xdr:sp macro="" textlink="">
      <xdr:nvSpPr>
        <xdr:cNvPr id="86242" name="Rectangle 43">
          <a:extLst>
            <a:ext uri="{FF2B5EF4-FFF2-40B4-BE49-F238E27FC236}">
              <a16:creationId xmlns:a16="http://schemas.microsoft.com/office/drawing/2014/main" id="{4FE3DB6D-457B-4AEA-BF0E-3882AD8CCE33}"/>
            </a:ext>
          </a:extLst>
        </xdr:cNvPr>
        <xdr:cNvSpPr>
          <a:spLocks noChangeArrowheads="1"/>
        </xdr:cNvSpPr>
      </xdr:nvSpPr>
      <xdr:spPr bwMode="auto">
        <a:xfrm>
          <a:off x="2438400" y="14030325"/>
          <a:ext cx="904875" cy="714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0</xdr:colOff>
      <xdr:row>84</xdr:row>
      <xdr:rowOff>0</xdr:rowOff>
    </xdr:from>
    <xdr:to>
      <xdr:col>7</xdr:col>
      <xdr:colOff>295275</xdr:colOff>
      <xdr:row>88</xdr:row>
      <xdr:rowOff>0</xdr:rowOff>
    </xdr:to>
    <xdr:sp macro="" textlink="">
      <xdr:nvSpPr>
        <xdr:cNvPr id="86243" name="Rectangle 44">
          <a:extLst>
            <a:ext uri="{FF2B5EF4-FFF2-40B4-BE49-F238E27FC236}">
              <a16:creationId xmlns:a16="http://schemas.microsoft.com/office/drawing/2014/main" id="{6EC7048F-A9F9-410D-B635-4C6734DB0D38}"/>
            </a:ext>
          </a:extLst>
        </xdr:cNvPr>
        <xdr:cNvSpPr>
          <a:spLocks noChangeArrowheads="1"/>
        </xdr:cNvSpPr>
      </xdr:nvSpPr>
      <xdr:spPr bwMode="auto">
        <a:xfrm>
          <a:off x="3657600" y="14030325"/>
          <a:ext cx="904875" cy="7143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8</xdr:col>
      <xdr:colOff>0</xdr:colOff>
      <xdr:row>84</xdr:row>
      <xdr:rowOff>9525</xdr:rowOff>
    </xdr:from>
    <xdr:to>
      <xdr:col>8</xdr:col>
      <xdr:colOff>590550</xdr:colOff>
      <xdr:row>87</xdr:row>
      <xdr:rowOff>152400</xdr:rowOff>
    </xdr:to>
    <xdr:sp macro="" textlink="">
      <xdr:nvSpPr>
        <xdr:cNvPr id="13357" name="AutoShape 45">
          <a:extLst>
            <a:ext uri="{FF2B5EF4-FFF2-40B4-BE49-F238E27FC236}">
              <a16:creationId xmlns:a16="http://schemas.microsoft.com/office/drawing/2014/main" id="{EC41114B-278E-47AF-9F04-B6D546754BE4}"/>
            </a:ext>
          </a:extLst>
        </xdr:cNvPr>
        <xdr:cNvSpPr>
          <a:spLocks noChangeArrowheads="1"/>
        </xdr:cNvSpPr>
      </xdr:nvSpPr>
      <xdr:spPr bwMode="auto">
        <a:xfrm rot="5400000">
          <a:off x="4824412" y="14092238"/>
          <a:ext cx="695325" cy="590550"/>
        </a:xfrm>
        <a:prstGeom prst="triangle">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5</xdr:col>
      <xdr:colOff>295275</xdr:colOff>
      <xdr:row>86</xdr:row>
      <xdr:rowOff>0</xdr:rowOff>
    </xdr:from>
    <xdr:to>
      <xdr:col>6</xdr:col>
      <xdr:colOff>0</xdr:colOff>
      <xdr:row>86</xdr:row>
      <xdr:rowOff>0</xdr:rowOff>
    </xdr:to>
    <xdr:sp macro="" textlink="">
      <xdr:nvSpPr>
        <xdr:cNvPr id="86245" name="Line 46">
          <a:extLst>
            <a:ext uri="{FF2B5EF4-FFF2-40B4-BE49-F238E27FC236}">
              <a16:creationId xmlns:a16="http://schemas.microsoft.com/office/drawing/2014/main" id="{5DAA2423-0FD0-44B2-B985-0F864F5CF0E9}"/>
            </a:ext>
          </a:extLst>
        </xdr:cNvPr>
        <xdr:cNvSpPr>
          <a:spLocks noChangeShapeType="1"/>
        </xdr:cNvSpPr>
      </xdr:nvSpPr>
      <xdr:spPr bwMode="auto">
        <a:xfrm>
          <a:off x="3343275" y="14411325"/>
          <a:ext cx="3143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295275</xdr:colOff>
      <xdr:row>86</xdr:row>
      <xdr:rowOff>0</xdr:rowOff>
    </xdr:from>
    <xdr:to>
      <xdr:col>7</xdr:col>
      <xdr:colOff>600075</xdr:colOff>
      <xdr:row>86</xdr:row>
      <xdr:rowOff>0</xdr:rowOff>
    </xdr:to>
    <xdr:sp macro="" textlink="">
      <xdr:nvSpPr>
        <xdr:cNvPr id="86246" name="Line 47">
          <a:extLst>
            <a:ext uri="{FF2B5EF4-FFF2-40B4-BE49-F238E27FC236}">
              <a16:creationId xmlns:a16="http://schemas.microsoft.com/office/drawing/2014/main" id="{FA4517B3-232F-4F51-BF69-1F9276865EC8}"/>
            </a:ext>
          </a:extLst>
        </xdr:cNvPr>
        <xdr:cNvSpPr>
          <a:spLocks noChangeShapeType="1"/>
        </xdr:cNvSpPr>
      </xdr:nvSpPr>
      <xdr:spPr bwMode="auto">
        <a:xfrm>
          <a:off x="4562475" y="14411325"/>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581025</xdr:colOff>
      <xdr:row>86</xdr:row>
      <xdr:rowOff>0</xdr:rowOff>
    </xdr:from>
    <xdr:to>
      <xdr:col>10</xdr:col>
      <xdr:colOff>0</xdr:colOff>
      <xdr:row>86</xdr:row>
      <xdr:rowOff>0</xdr:rowOff>
    </xdr:to>
    <xdr:sp macro="" textlink="">
      <xdr:nvSpPr>
        <xdr:cNvPr id="86247" name="Line 48">
          <a:extLst>
            <a:ext uri="{FF2B5EF4-FFF2-40B4-BE49-F238E27FC236}">
              <a16:creationId xmlns:a16="http://schemas.microsoft.com/office/drawing/2014/main" id="{31B3AE30-F566-42FC-B6B0-8EFE530D8CEE}"/>
            </a:ext>
          </a:extLst>
        </xdr:cNvPr>
        <xdr:cNvSpPr>
          <a:spLocks noChangeShapeType="1"/>
        </xdr:cNvSpPr>
      </xdr:nvSpPr>
      <xdr:spPr bwMode="auto">
        <a:xfrm>
          <a:off x="5457825" y="14411325"/>
          <a:ext cx="10287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314325</xdr:colOff>
      <xdr:row>85</xdr:row>
      <xdr:rowOff>123825</xdr:rowOff>
    </xdr:from>
    <xdr:to>
      <xdr:col>12</xdr:col>
      <xdr:colOff>390525</xdr:colOff>
      <xdr:row>86</xdr:row>
      <xdr:rowOff>38100</xdr:rowOff>
    </xdr:to>
    <xdr:sp macro="" textlink="">
      <xdr:nvSpPr>
        <xdr:cNvPr id="86248" name="Oval 49">
          <a:extLst>
            <a:ext uri="{FF2B5EF4-FFF2-40B4-BE49-F238E27FC236}">
              <a16:creationId xmlns:a16="http://schemas.microsoft.com/office/drawing/2014/main" id="{233165A6-1579-45CB-8C21-59FF9F389FE0}"/>
            </a:ext>
          </a:extLst>
        </xdr:cNvPr>
        <xdr:cNvSpPr>
          <a:spLocks noChangeArrowheads="1"/>
        </xdr:cNvSpPr>
      </xdr:nvSpPr>
      <xdr:spPr bwMode="auto">
        <a:xfrm>
          <a:off x="8020050" y="14325600"/>
          <a:ext cx="76200" cy="123825"/>
        </a:xfrm>
        <a:prstGeom prst="ellipse">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sp>
    <xdr:clientData/>
  </xdr:twoCellAnchor>
  <xdr:oneCellAnchor>
    <xdr:from>
      <xdr:col>8</xdr:col>
      <xdr:colOff>66675</xdr:colOff>
      <xdr:row>85</xdr:row>
      <xdr:rowOff>85725</xdr:rowOff>
    </xdr:from>
    <xdr:ext cx="282000" cy="170560"/>
    <xdr:sp macro="" textlink="">
      <xdr:nvSpPr>
        <xdr:cNvPr id="13362" name="Text Box 50">
          <a:extLst>
            <a:ext uri="{FF2B5EF4-FFF2-40B4-BE49-F238E27FC236}">
              <a16:creationId xmlns:a16="http://schemas.microsoft.com/office/drawing/2014/main" id="{A9A71E74-62E1-4092-B8B1-320725DD47C9}"/>
            </a:ext>
          </a:extLst>
        </xdr:cNvPr>
        <xdr:cNvSpPr txBox="1">
          <a:spLocks noChangeArrowheads="1"/>
        </xdr:cNvSpPr>
      </xdr:nvSpPr>
      <xdr:spPr bwMode="auto">
        <a:xfrm>
          <a:off x="4943475" y="14287500"/>
          <a:ext cx="282000"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LNA</a:t>
          </a:r>
        </a:p>
      </xdr:txBody>
    </xdr:sp>
    <xdr:clientData/>
  </xdr:oneCellAnchor>
  <xdr:oneCellAnchor>
    <xdr:from>
      <xdr:col>6</xdr:col>
      <xdr:colOff>123825</xdr:colOff>
      <xdr:row>84</xdr:row>
      <xdr:rowOff>142875</xdr:rowOff>
    </xdr:from>
    <xdr:ext cx="649793" cy="318036"/>
    <xdr:sp macro="" textlink="">
      <xdr:nvSpPr>
        <xdr:cNvPr id="13363" name="Text Box 51">
          <a:extLst>
            <a:ext uri="{FF2B5EF4-FFF2-40B4-BE49-F238E27FC236}">
              <a16:creationId xmlns:a16="http://schemas.microsoft.com/office/drawing/2014/main" id="{7ACE6A48-BB5F-4EEB-95CF-5AB714E210DA}"/>
            </a:ext>
          </a:extLst>
        </xdr:cNvPr>
        <xdr:cNvSpPr txBox="1">
          <a:spLocks noChangeArrowheads="1"/>
        </xdr:cNvSpPr>
      </xdr:nvSpPr>
      <xdr:spPr bwMode="auto">
        <a:xfrm>
          <a:off x="3781425" y="14173200"/>
          <a:ext cx="649793"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Bandpass</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Filter</a:t>
          </a:r>
        </a:p>
      </xdr:txBody>
    </xdr:sp>
    <xdr:clientData/>
  </xdr:oneCellAnchor>
  <xdr:oneCellAnchor>
    <xdr:from>
      <xdr:col>4</xdr:col>
      <xdr:colOff>200025</xdr:colOff>
      <xdr:row>84</xdr:row>
      <xdr:rowOff>66675</xdr:rowOff>
    </xdr:from>
    <xdr:ext cx="457305" cy="465512"/>
    <xdr:sp macro="" textlink="">
      <xdr:nvSpPr>
        <xdr:cNvPr id="13364" name="Text Box 52">
          <a:extLst>
            <a:ext uri="{FF2B5EF4-FFF2-40B4-BE49-F238E27FC236}">
              <a16:creationId xmlns:a16="http://schemas.microsoft.com/office/drawing/2014/main" id="{8A1DE22E-42CE-496B-ACA6-3E5BD4B9DDAD}"/>
            </a:ext>
          </a:extLst>
        </xdr:cNvPr>
        <xdr:cNvSpPr txBox="1">
          <a:spLocks noChangeArrowheads="1"/>
        </xdr:cNvSpPr>
      </xdr:nvSpPr>
      <xdr:spPr bwMode="auto">
        <a:xfrm>
          <a:off x="2638425" y="14097000"/>
          <a:ext cx="457305" cy="46551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Other</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In-Line</a:t>
          </a:r>
          <a:endParaRPr lang="en-US" sz="1000" b="0" i="0" u="none" strike="noStrike" baseline="0">
            <a:solidFill>
              <a:srgbClr val="000000"/>
            </a:solidFill>
            <a:latin typeface="Arial"/>
            <a:cs typeface="Arial"/>
          </a:endParaRPr>
        </a:p>
        <a:p>
          <a:pPr algn="ctr" rtl="0">
            <a:defRPr sz="1000"/>
          </a:pPr>
          <a:r>
            <a:rPr lang="en-US" sz="1000" b="1" i="0" u="none" strike="noStrike" baseline="0">
              <a:solidFill>
                <a:srgbClr val="000000"/>
              </a:solidFill>
              <a:latin typeface="Arial"/>
              <a:cs typeface="Arial"/>
            </a:rPr>
            <a:t>Device</a:t>
          </a:r>
        </a:p>
      </xdr:txBody>
    </xdr:sp>
    <xdr:clientData/>
  </xdr:oneCellAnchor>
  <xdr:twoCellAnchor>
    <xdr:from>
      <xdr:col>11</xdr:col>
      <xdr:colOff>171450</xdr:colOff>
      <xdr:row>86</xdr:row>
      <xdr:rowOff>0</xdr:rowOff>
    </xdr:from>
    <xdr:to>
      <xdr:col>12</xdr:col>
      <xdr:colOff>295275</xdr:colOff>
      <xdr:row>86</xdr:row>
      <xdr:rowOff>0</xdr:rowOff>
    </xdr:to>
    <xdr:sp macro="" textlink="">
      <xdr:nvSpPr>
        <xdr:cNvPr id="86252" name="Line 54">
          <a:extLst>
            <a:ext uri="{FF2B5EF4-FFF2-40B4-BE49-F238E27FC236}">
              <a16:creationId xmlns:a16="http://schemas.microsoft.com/office/drawing/2014/main" id="{C833E125-3139-4E87-BDA6-01CF21B1BF9F}"/>
            </a:ext>
          </a:extLst>
        </xdr:cNvPr>
        <xdr:cNvSpPr>
          <a:spLocks noChangeShapeType="1"/>
        </xdr:cNvSpPr>
      </xdr:nvSpPr>
      <xdr:spPr bwMode="auto">
        <a:xfrm flipV="1">
          <a:off x="7267575" y="14411325"/>
          <a:ext cx="7334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xdr:colOff>
      <xdr:row>80</xdr:row>
      <xdr:rowOff>0</xdr:rowOff>
    </xdr:from>
    <xdr:to>
      <xdr:col>8</xdr:col>
      <xdr:colOff>9525</xdr:colOff>
      <xdr:row>83</xdr:row>
      <xdr:rowOff>57150</xdr:rowOff>
    </xdr:to>
    <xdr:sp macro="" textlink="">
      <xdr:nvSpPr>
        <xdr:cNvPr id="86253" name="Line 55">
          <a:extLst>
            <a:ext uri="{FF2B5EF4-FFF2-40B4-BE49-F238E27FC236}">
              <a16:creationId xmlns:a16="http://schemas.microsoft.com/office/drawing/2014/main" id="{AA65E394-6184-4C91-9214-432C0968D04F}"/>
            </a:ext>
          </a:extLst>
        </xdr:cNvPr>
        <xdr:cNvSpPr>
          <a:spLocks noChangeShapeType="1"/>
        </xdr:cNvSpPr>
      </xdr:nvSpPr>
      <xdr:spPr bwMode="auto">
        <a:xfrm>
          <a:off x="4886325" y="13315950"/>
          <a:ext cx="0" cy="6096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7</xdr:col>
      <xdr:colOff>600075</xdr:colOff>
      <xdr:row>88</xdr:row>
      <xdr:rowOff>123825</xdr:rowOff>
    </xdr:from>
    <xdr:to>
      <xdr:col>7</xdr:col>
      <xdr:colOff>600075</xdr:colOff>
      <xdr:row>92</xdr:row>
      <xdr:rowOff>19050</xdr:rowOff>
    </xdr:to>
    <xdr:sp macro="" textlink="">
      <xdr:nvSpPr>
        <xdr:cNvPr id="86254" name="Line 56">
          <a:extLst>
            <a:ext uri="{FF2B5EF4-FFF2-40B4-BE49-F238E27FC236}">
              <a16:creationId xmlns:a16="http://schemas.microsoft.com/office/drawing/2014/main" id="{DDCBC6F7-C655-440E-8F5A-296B1307BA99}"/>
            </a:ext>
          </a:extLst>
        </xdr:cNvPr>
        <xdr:cNvSpPr>
          <a:spLocks noChangeShapeType="1"/>
        </xdr:cNvSpPr>
      </xdr:nvSpPr>
      <xdr:spPr bwMode="auto">
        <a:xfrm>
          <a:off x="4867275" y="14868525"/>
          <a:ext cx="0"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80</xdr:row>
      <xdr:rowOff>123825</xdr:rowOff>
    </xdr:from>
    <xdr:to>
      <xdr:col>10</xdr:col>
      <xdr:colOff>0</xdr:colOff>
      <xdr:row>84</xdr:row>
      <xdr:rowOff>19050</xdr:rowOff>
    </xdr:to>
    <xdr:sp macro="" textlink="">
      <xdr:nvSpPr>
        <xdr:cNvPr id="86255" name="Line 57">
          <a:extLst>
            <a:ext uri="{FF2B5EF4-FFF2-40B4-BE49-F238E27FC236}">
              <a16:creationId xmlns:a16="http://schemas.microsoft.com/office/drawing/2014/main" id="{C48D901B-01E4-4A25-8E74-9A1292F3C146}"/>
            </a:ext>
          </a:extLst>
        </xdr:cNvPr>
        <xdr:cNvSpPr>
          <a:spLocks noChangeShapeType="1"/>
        </xdr:cNvSpPr>
      </xdr:nvSpPr>
      <xdr:spPr bwMode="auto">
        <a:xfrm>
          <a:off x="6486525" y="13439775"/>
          <a:ext cx="0" cy="6096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87</xdr:row>
      <xdr:rowOff>152400</xdr:rowOff>
    </xdr:from>
    <xdr:to>
      <xdr:col>10</xdr:col>
      <xdr:colOff>0</xdr:colOff>
      <xdr:row>91</xdr:row>
      <xdr:rowOff>47625</xdr:rowOff>
    </xdr:to>
    <xdr:sp macro="" textlink="">
      <xdr:nvSpPr>
        <xdr:cNvPr id="86256" name="Line 58">
          <a:extLst>
            <a:ext uri="{FF2B5EF4-FFF2-40B4-BE49-F238E27FC236}">
              <a16:creationId xmlns:a16="http://schemas.microsoft.com/office/drawing/2014/main" id="{3772FB3C-A4E0-4DA3-92EA-73645F8214D6}"/>
            </a:ext>
          </a:extLst>
        </xdr:cNvPr>
        <xdr:cNvSpPr>
          <a:spLocks noChangeShapeType="1"/>
        </xdr:cNvSpPr>
      </xdr:nvSpPr>
      <xdr:spPr bwMode="auto">
        <a:xfrm>
          <a:off x="6486525" y="14735175"/>
          <a:ext cx="0" cy="5429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10</xdr:col>
      <xdr:colOff>19050</xdr:colOff>
      <xdr:row>85</xdr:row>
      <xdr:rowOff>0</xdr:rowOff>
    </xdr:from>
    <xdr:to>
      <xdr:col>10</xdr:col>
      <xdr:colOff>390525</xdr:colOff>
      <xdr:row>87</xdr:row>
      <xdr:rowOff>0</xdr:rowOff>
    </xdr:to>
    <xdr:sp macro="" textlink="">
      <xdr:nvSpPr>
        <xdr:cNvPr id="13371" name="Text Box 59">
          <a:extLst>
            <a:ext uri="{FF2B5EF4-FFF2-40B4-BE49-F238E27FC236}">
              <a16:creationId xmlns:a16="http://schemas.microsoft.com/office/drawing/2014/main" id="{9EB764E8-6047-47A0-B678-E168DA1C8B1D}"/>
            </a:ext>
          </a:extLst>
        </xdr:cNvPr>
        <xdr:cNvSpPr txBox="1">
          <a:spLocks noChangeArrowheads="1"/>
        </xdr:cNvSpPr>
      </xdr:nvSpPr>
      <xdr:spPr bwMode="auto">
        <a:xfrm>
          <a:off x="6505575" y="14201775"/>
          <a:ext cx="371475" cy="3619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xdr:txBody>
    </xdr:sp>
    <xdr:clientData/>
  </xdr:twoCellAnchor>
  <xdr:twoCellAnchor editAs="oneCell">
    <xdr:from>
      <xdr:col>6</xdr:col>
      <xdr:colOff>333375</xdr:colOff>
      <xdr:row>89</xdr:row>
      <xdr:rowOff>0</xdr:rowOff>
    </xdr:from>
    <xdr:to>
      <xdr:col>6</xdr:col>
      <xdr:colOff>409575</xdr:colOff>
      <xdr:row>90</xdr:row>
      <xdr:rowOff>19050</xdr:rowOff>
    </xdr:to>
    <xdr:sp macro="" textlink="">
      <xdr:nvSpPr>
        <xdr:cNvPr id="86258" name="Text Box 60">
          <a:extLst>
            <a:ext uri="{FF2B5EF4-FFF2-40B4-BE49-F238E27FC236}">
              <a16:creationId xmlns:a16="http://schemas.microsoft.com/office/drawing/2014/main" id="{E482161E-B596-43F3-AF18-D213748649F1}"/>
            </a:ext>
          </a:extLst>
        </xdr:cNvPr>
        <xdr:cNvSpPr txBox="1">
          <a:spLocks noChangeArrowheads="1"/>
        </xdr:cNvSpPr>
      </xdr:nvSpPr>
      <xdr:spPr bwMode="auto">
        <a:xfrm>
          <a:off x="3990975" y="14906625"/>
          <a:ext cx="76200"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6</xdr:col>
      <xdr:colOff>257175</xdr:colOff>
      <xdr:row>88</xdr:row>
      <xdr:rowOff>9525</xdr:rowOff>
    </xdr:from>
    <xdr:ext cx="289246" cy="170560"/>
    <xdr:sp macro="" textlink="">
      <xdr:nvSpPr>
        <xdr:cNvPr id="13373" name="Text Box 61">
          <a:extLst>
            <a:ext uri="{FF2B5EF4-FFF2-40B4-BE49-F238E27FC236}">
              <a16:creationId xmlns:a16="http://schemas.microsoft.com/office/drawing/2014/main" id="{2FDE3CE0-6A09-4569-AFC9-686892CCF568}"/>
            </a:ext>
          </a:extLst>
        </xdr:cNvPr>
        <xdr:cNvSpPr txBox="1">
          <a:spLocks noChangeArrowheads="1"/>
        </xdr:cNvSpPr>
      </xdr:nvSpPr>
      <xdr:spPr bwMode="auto">
        <a:xfrm>
          <a:off x="3914775" y="14754225"/>
          <a:ext cx="28924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a:t>
          </a:r>
          <a:r>
            <a:rPr lang="en-US" sz="800" b="0" i="0" u="none" strike="noStrike" baseline="0">
              <a:solidFill>
                <a:srgbClr val="000000"/>
              </a:solidFill>
              <a:latin typeface="Arial"/>
              <a:cs typeface="Arial"/>
            </a:rPr>
            <a:t>BPF</a:t>
          </a:r>
        </a:p>
      </xdr:txBody>
    </xdr:sp>
    <xdr:clientData/>
  </xdr:oneCellAnchor>
  <xdr:twoCellAnchor>
    <xdr:from>
      <xdr:col>6</xdr:col>
      <xdr:colOff>0</xdr:colOff>
      <xdr:row>88</xdr:row>
      <xdr:rowOff>85725</xdr:rowOff>
    </xdr:from>
    <xdr:to>
      <xdr:col>6</xdr:col>
      <xdr:colOff>247650</xdr:colOff>
      <xdr:row>88</xdr:row>
      <xdr:rowOff>85725</xdr:rowOff>
    </xdr:to>
    <xdr:sp macro="" textlink="">
      <xdr:nvSpPr>
        <xdr:cNvPr id="86260" name="Line 62">
          <a:extLst>
            <a:ext uri="{FF2B5EF4-FFF2-40B4-BE49-F238E27FC236}">
              <a16:creationId xmlns:a16="http://schemas.microsoft.com/office/drawing/2014/main" id="{89D2D677-082D-471C-905C-8477A1EC7CC7}"/>
            </a:ext>
          </a:extLst>
        </xdr:cNvPr>
        <xdr:cNvSpPr>
          <a:spLocks noChangeShapeType="1"/>
        </xdr:cNvSpPr>
      </xdr:nvSpPr>
      <xdr:spPr bwMode="auto">
        <a:xfrm flipH="1">
          <a:off x="3657600" y="14830425"/>
          <a:ext cx="247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9525</xdr:colOff>
      <xdr:row>88</xdr:row>
      <xdr:rowOff>85725</xdr:rowOff>
    </xdr:from>
    <xdr:to>
      <xdr:col>7</xdr:col>
      <xdr:colOff>276225</xdr:colOff>
      <xdr:row>88</xdr:row>
      <xdr:rowOff>85725</xdr:rowOff>
    </xdr:to>
    <xdr:sp macro="" textlink="">
      <xdr:nvSpPr>
        <xdr:cNvPr id="86261" name="Line 63">
          <a:extLst>
            <a:ext uri="{FF2B5EF4-FFF2-40B4-BE49-F238E27FC236}">
              <a16:creationId xmlns:a16="http://schemas.microsoft.com/office/drawing/2014/main" id="{8FA75B47-7960-4447-BF70-205C6FBD06B7}"/>
            </a:ext>
          </a:extLst>
        </xdr:cNvPr>
        <xdr:cNvSpPr>
          <a:spLocks noChangeShapeType="1"/>
        </xdr:cNvSpPr>
      </xdr:nvSpPr>
      <xdr:spPr bwMode="auto">
        <a:xfrm>
          <a:off x="4276725" y="14830425"/>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600075</xdr:colOff>
      <xdr:row>88</xdr:row>
      <xdr:rowOff>95250</xdr:rowOff>
    </xdr:from>
    <xdr:to>
      <xdr:col>4</xdr:col>
      <xdr:colOff>238125</xdr:colOff>
      <xdr:row>88</xdr:row>
      <xdr:rowOff>95250</xdr:rowOff>
    </xdr:to>
    <xdr:sp macro="" textlink="">
      <xdr:nvSpPr>
        <xdr:cNvPr id="86262" name="Line 64">
          <a:extLst>
            <a:ext uri="{FF2B5EF4-FFF2-40B4-BE49-F238E27FC236}">
              <a16:creationId xmlns:a16="http://schemas.microsoft.com/office/drawing/2014/main" id="{7BC76D2A-5D36-4FDE-9BE8-496525036354}"/>
            </a:ext>
          </a:extLst>
        </xdr:cNvPr>
        <xdr:cNvSpPr>
          <a:spLocks noChangeShapeType="1"/>
        </xdr:cNvSpPr>
      </xdr:nvSpPr>
      <xdr:spPr bwMode="auto">
        <a:xfrm flipH="1">
          <a:off x="2428875" y="14839950"/>
          <a:ext cx="247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28575</xdr:colOff>
      <xdr:row>88</xdr:row>
      <xdr:rowOff>85725</xdr:rowOff>
    </xdr:from>
    <xdr:to>
      <xdr:col>5</xdr:col>
      <xdr:colOff>295275</xdr:colOff>
      <xdr:row>88</xdr:row>
      <xdr:rowOff>85725</xdr:rowOff>
    </xdr:to>
    <xdr:sp macro="" textlink="">
      <xdr:nvSpPr>
        <xdr:cNvPr id="86263" name="Line 65">
          <a:extLst>
            <a:ext uri="{FF2B5EF4-FFF2-40B4-BE49-F238E27FC236}">
              <a16:creationId xmlns:a16="http://schemas.microsoft.com/office/drawing/2014/main" id="{12721AEB-B93E-43D7-BEC4-2A8A5A71E9C0}"/>
            </a:ext>
          </a:extLst>
        </xdr:cNvPr>
        <xdr:cNvSpPr>
          <a:spLocks noChangeShapeType="1"/>
        </xdr:cNvSpPr>
      </xdr:nvSpPr>
      <xdr:spPr bwMode="auto">
        <a:xfrm>
          <a:off x="3076575" y="14830425"/>
          <a:ext cx="2667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xdr:col>
      <xdr:colOff>257175</xdr:colOff>
      <xdr:row>88</xdr:row>
      <xdr:rowOff>9525</xdr:rowOff>
    </xdr:from>
    <xdr:ext cx="323850" cy="180975"/>
    <xdr:sp macro="" textlink="">
      <xdr:nvSpPr>
        <xdr:cNvPr id="13378" name="Text Box 66">
          <a:extLst>
            <a:ext uri="{FF2B5EF4-FFF2-40B4-BE49-F238E27FC236}">
              <a16:creationId xmlns:a16="http://schemas.microsoft.com/office/drawing/2014/main" id="{94F7D46C-8527-4DD5-9EF2-5D316893201B}"/>
            </a:ext>
          </a:extLst>
        </xdr:cNvPr>
        <xdr:cNvSpPr txBox="1">
          <a:spLocks noChangeArrowheads="1"/>
        </xdr:cNvSpPr>
      </xdr:nvSpPr>
      <xdr:spPr bwMode="auto">
        <a:xfrm>
          <a:off x="2695575" y="14754225"/>
          <a:ext cx="3810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a:t>
          </a:r>
          <a:r>
            <a:rPr lang="en-US" sz="800" b="0" i="0" u="none" strike="noStrike" baseline="0">
              <a:solidFill>
                <a:srgbClr val="000000"/>
              </a:solidFill>
              <a:latin typeface="Arial"/>
              <a:cs typeface="Arial"/>
            </a:rPr>
            <a:t>other</a:t>
          </a:r>
        </a:p>
      </xdr:txBody>
    </xdr:sp>
    <xdr:clientData/>
  </xdr:oneCellAnchor>
  <xdr:twoCellAnchor>
    <xdr:from>
      <xdr:col>13</xdr:col>
      <xdr:colOff>28575</xdr:colOff>
      <xdr:row>119</xdr:row>
      <xdr:rowOff>0</xdr:rowOff>
    </xdr:from>
    <xdr:to>
      <xdr:col>13</xdr:col>
      <xdr:colOff>571500</xdr:colOff>
      <xdr:row>142</xdr:row>
      <xdr:rowOff>0</xdr:rowOff>
    </xdr:to>
    <xdr:sp macro="" textlink="">
      <xdr:nvSpPr>
        <xdr:cNvPr id="86265" name="AutoShape 74">
          <a:extLst>
            <a:ext uri="{FF2B5EF4-FFF2-40B4-BE49-F238E27FC236}">
              <a16:creationId xmlns:a16="http://schemas.microsoft.com/office/drawing/2014/main" id="{800E8D73-10C0-47E2-B0EE-4AFD8A7599AE}"/>
            </a:ext>
          </a:extLst>
        </xdr:cNvPr>
        <xdr:cNvSpPr>
          <a:spLocks/>
        </xdr:cNvSpPr>
      </xdr:nvSpPr>
      <xdr:spPr bwMode="auto">
        <a:xfrm>
          <a:off x="8343900" y="19764375"/>
          <a:ext cx="542925" cy="3724275"/>
        </a:xfrm>
        <a:prstGeom prst="leftBrace">
          <a:avLst>
            <a:gd name="adj1" fmla="val 57164"/>
            <a:gd name="adj2" fmla="val 37597"/>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161925</xdr:colOff>
      <xdr:row>127</xdr:row>
      <xdr:rowOff>104775</xdr:rowOff>
    </xdr:from>
    <xdr:to>
      <xdr:col>12</xdr:col>
      <xdr:colOff>542925</xdr:colOff>
      <xdr:row>127</xdr:row>
      <xdr:rowOff>104775</xdr:rowOff>
    </xdr:to>
    <xdr:sp macro="" textlink="">
      <xdr:nvSpPr>
        <xdr:cNvPr id="86266" name="Line 75">
          <a:extLst>
            <a:ext uri="{FF2B5EF4-FFF2-40B4-BE49-F238E27FC236}">
              <a16:creationId xmlns:a16="http://schemas.microsoft.com/office/drawing/2014/main" id="{CA61BBE6-F48F-428F-859C-B21049B5E3E0}"/>
            </a:ext>
          </a:extLst>
        </xdr:cNvPr>
        <xdr:cNvSpPr>
          <a:spLocks noChangeShapeType="1"/>
        </xdr:cNvSpPr>
      </xdr:nvSpPr>
      <xdr:spPr bwMode="auto">
        <a:xfrm flipH="1">
          <a:off x="6648450" y="21164550"/>
          <a:ext cx="16002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238125</xdr:colOff>
      <xdr:row>60</xdr:row>
      <xdr:rowOff>114300</xdr:rowOff>
    </xdr:from>
    <xdr:to>
      <xdr:col>13</xdr:col>
      <xdr:colOff>57150</xdr:colOff>
      <xdr:row>60</xdr:row>
      <xdr:rowOff>114300</xdr:rowOff>
    </xdr:to>
    <xdr:sp macro="" textlink="">
      <xdr:nvSpPr>
        <xdr:cNvPr id="86267" name="Line 77">
          <a:extLst>
            <a:ext uri="{FF2B5EF4-FFF2-40B4-BE49-F238E27FC236}">
              <a16:creationId xmlns:a16="http://schemas.microsoft.com/office/drawing/2014/main" id="{53BE78B8-3FC1-4731-BA00-E2C6092DA29F}"/>
            </a:ext>
          </a:extLst>
        </xdr:cNvPr>
        <xdr:cNvSpPr>
          <a:spLocks noChangeShapeType="1"/>
        </xdr:cNvSpPr>
      </xdr:nvSpPr>
      <xdr:spPr bwMode="auto">
        <a:xfrm flipH="1">
          <a:off x="6724650" y="10115550"/>
          <a:ext cx="16478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28575</xdr:colOff>
      <xdr:row>60</xdr:row>
      <xdr:rowOff>114300</xdr:rowOff>
    </xdr:from>
    <xdr:to>
      <xdr:col>12</xdr:col>
      <xdr:colOff>28575</xdr:colOff>
      <xdr:row>64</xdr:row>
      <xdr:rowOff>95250</xdr:rowOff>
    </xdr:to>
    <xdr:sp macro="" textlink="">
      <xdr:nvSpPr>
        <xdr:cNvPr id="86268" name="Line 78">
          <a:extLst>
            <a:ext uri="{FF2B5EF4-FFF2-40B4-BE49-F238E27FC236}">
              <a16:creationId xmlns:a16="http://schemas.microsoft.com/office/drawing/2014/main" id="{47793479-5CE2-4CC5-8500-7C339790FA33}"/>
            </a:ext>
          </a:extLst>
        </xdr:cNvPr>
        <xdr:cNvSpPr>
          <a:spLocks noChangeShapeType="1"/>
        </xdr:cNvSpPr>
      </xdr:nvSpPr>
      <xdr:spPr bwMode="auto">
        <a:xfrm>
          <a:off x="7734300" y="10115550"/>
          <a:ext cx="0" cy="628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276225</xdr:colOff>
      <xdr:row>64</xdr:row>
      <xdr:rowOff>95250</xdr:rowOff>
    </xdr:from>
    <xdr:to>
      <xdr:col>12</xdr:col>
      <xdr:colOff>28575</xdr:colOff>
      <xdr:row>64</xdr:row>
      <xdr:rowOff>95250</xdr:rowOff>
    </xdr:to>
    <xdr:sp macro="" textlink="">
      <xdr:nvSpPr>
        <xdr:cNvPr id="86269" name="Line 79">
          <a:extLst>
            <a:ext uri="{FF2B5EF4-FFF2-40B4-BE49-F238E27FC236}">
              <a16:creationId xmlns:a16="http://schemas.microsoft.com/office/drawing/2014/main" id="{AB24C553-3B20-4153-AF4B-A0730D12DBAF}"/>
            </a:ext>
          </a:extLst>
        </xdr:cNvPr>
        <xdr:cNvSpPr>
          <a:spLocks noChangeShapeType="1"/>
        </xdr:cNvSpPr>
      </xdr:nvSpPr>
      <xdr:spPr bwMode="auto">
        <a:xfrm flipH="1">
          <a:off x="6762750" y="10744200"/>
          <a:ext cx="9715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228600</xdr:colOff>
      <xdr:row>119</xdr:row>
      <xdr:rowOff>76200</xdr:rowOff>
    </xdr:from>
    <xdr:to>
      <xdr:col>11</xdr:col>
      <xdr:colOff>190500</xdr:colOff>
      <xdr:row>119</xdr:row>
      <xdr:rowOff>76200</xdr:rowOff>
    </xdr:to>
    <xdr:sp macro="" textlink="">
      <xdr:nvSpPr>
        <xdr:cNvPr id="86270" name="Line 82">
          <a:extLst>
            <a:ext uri="{FF2B5EF4-FFF2-40B4-BE49-F238E27FC236}">
              <a16:creationId xmlns:a16="http://schemas.microsoft.com/office/drawing/2014/main" id="{B7979F62-3430-4F3B-A61D-FA7955426046}"/>
            </a:ext>
          </a:extLst>
        </xdr:cNvPr>
        <xdr:cNvSpPr>
          <a:spLocks noChangeShapeType="1"/>
        </xdr:cNvSpPr>
      </xdr:nvSpPr>
      <xdr:spPr bwMode="auto">
        <a:xfrm flipH="1">
          <a:off x="6715125" y="19840575"/>
          <a:ext cx="571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200025</xdr:colOff>
      <xdr:row>119</xdr:row>
      <xdr:rowOff>76200</xdr:rowOff>
    </xdr:from>
    <xdr:to>
      <xdr:col>11</xdr:col>
      <xdr:colOff>200025</xdr:colOff>
      <xdr:row>121</xdr:row>
      <xdr:rowOff>76200</xdr:rowOff>
    </xdr:to>
    <xdr:sp macro="" textlink="">
      <xdr:nvSpPr>
        <xdr:cNvPr id="86271" name="Line 83">
          <a:extLst>
            <a:ext uri="{FF2B5EF4-FFF2-40B4-BE49-F238E27FC236}">
              <a16:creationId xmlns:a16="http://schemas.microsoft.com/office/drawing/2014/main" id="{520EC539-BC3C-49F6-9DB5-E3F5E92463F5}"/>
            </a:ext>
          </a:extLst>
        </xdr:cNvPr>
        <xdr:cNvSpPr>
          <a:spLocks noChangeShapeType="1"/>
        </xdr:cNvSpPr>
      </xdr:nvSpPr>
      <xdr:spPr bwMode="auto">
        <a:xfrm>
          <a:off x="7296150" y="19840575"/>
          <a:ext cx="0" cy="323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9525</xdr:colOff>
      <xdr:row>121</xdr:row>
      <xdr:rowOff>76200</xdr:rowOff>
    </xdr:from>
    <xdr:to>
      <xdr:col>11</xdr:col>
      <xdr:colOff>200025</xdr:colOff>
      <xdr:row>121</xdr:row>
      <xdr:rowOff>76200</xdr:rowOff>
    </xdr:to>
    <xdr:sp macro="" textlink="">
      <xdr:nvSpPr>
        <xdr:cNvPr id="86272" name="Line 84">
          <a:extLst>
            <a:ext uri="{FF2B5EF4-FFF2-40B4-BE49-F238E27FC236}">
              <a16:creationId xmlns:a16="http://schemas.microsoft.com/office/drawing/2014/main" id="{6434C224-6E6E-4CA6-8967-92D74B4FA00C}"/>
            </a:ext>
          </a:extLst>
        </xdr:cNvPr>
        <xdr:cNvSpPr>
          <a:spLocks noChangeShapeType="1"/>
        </xdr:cNvSpPr>
      </xdr:nvSpPr>
      <xdr:spPr bwMode="auto">
        <a:xfrm flipH="1">
          <a:off x="7105650" y="20164425"/>
          <a:ext cx="190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228600</xdr:colOff>
      <xdr:row>48</xdr:row>
      <xdr:rowOff>85725</xdr:rowOff>
    </xdr:from>
    <xdr:to>
      <xdr:col>11</xdr:col>
      <xdr:colOff>228600</xdr:colOff>
      <xdr:row>48</xdr:row>
      <xdr:rowOff>85725</xdr:rowOff>
    </xdr:to>
    <xdr:sp macro="" textlink="">
      <xdr:nvSpPr>
        <xdr:cNvPr id="86273" name="Line 85">
          <a:extLst>
            <a:ext uri="{FF2B5EF4-FFF2-40B4-BE49-F238E27FC236}">
              <a16:creationId xmlns:a16="http://schemas.microsoft.com/office/drawing/2014/main" id="{41A7FB20-DAA5-43DE-A464-87B4D3F34153}"/>
            </a:ext>
          </a:extLst>
        </xdr:cNvPr>
        <xdr:cNvSpPr>
          <a:spLocks noChangeShapeType="1"/>
        </xdr:cNvSpPr>
      </xdr:nvSpPr>
      <xdr:spPr bwMode="auto">
        <a:xfrm flipH="1">
          <a:off x="6715125" y="8143875"/>
          <a:ext cx="6096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228600</xdr:colOff>
      <xdr:row>48</xdr:row>
      <xdr:rowOff>85725</xdr:rowOff>
    </xdr:from>
    <xdr:to>
      <xdr:col>11</xdr:col>
      <xdr:colOff>238125</xdr:colOff>
      <xdr:row>50</xdr:row>
      <xdr:rowOff>85725</xdr:rowOff>
    </xdr:to>
    <xdr:sp macro="" textlink="">
      <xdr:nvSpPr>
        <xdr:cNvPr id="86274" name="Line 87">
          <a:extLst>
            <a:ext uri="{FF2B5EF4-FFF2-40B4-BE49-F238E27FC236}">
              <a16:creationId xmlns:a16="http://schemas.microsoft.com/office/drawing/2014/main" id="{50A13F25-13A5-4D7A-9BEA-C6D99DCD9301}"/>
            </a:ext>
          </a:extLst>
        </xdr:cNvPr>
        <xdr:cNvSpPr>
          <a:spLocks noChangeShapeType="1"/>
        </xdr:cNvSpPr>
      </xdr:nvSpPr>
      <xdr:spPr bwMode="auto">
        <a:xfrm flipH="1">
          <a:off x="7324725" y="8143875"/>
          <a:ext cx="9525" cy="3238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50</xdr:row>
      <xdr:rowOff>76200</xdr:rowOff>
    </xdr:from>
    <xdr:to>
      <xdr:col>11</xdr:col>
      <xdr:colOff>228600</xdr:colOff>
      <xdr:row>50</xdr:row>
      <xdr:rowOff>76200</xdr:rowOff>
    </xdr:to>
    <xdr:sp macro="" textlink="">
      <xdr:nvSpPr>
        <xdr:cNvPr id="86275" name="Line 88">
          <a:extLst>
            <a:ext uri="{FF2B5EF4-FFF2-40B4-BE49-F238E27FC236}">
              <a16:creationId xmlns:a16="http://schemas.microsoft.com/office/drawing/2014/main" id="{BE4E5638-E0E7-4CC9-9330-0EDD282C109C}"/>
            </a:ext>
          </a:extLst>
        </xdr:cNvPr>
        <xdr:cNvSpPr>
          <a:spLocks noChangeShapeType="1"/>
        </xdr:cNvSpPr>
      </xdr:nvSpPr>
      <xdr:spPr bwMode="auto">
        <a:xfrm flipH="1">
          <a:off x="7096125" y="8458200"/>
          <a:ext cx="2286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0</xdr:colOff>
      <xdr:row>84</xdr:row>
      <xdr:rowOff>9525</xdr:rowOff>
    </xdr:from>
    <xdr:to>
      <xdr:col>11</xdr:col>
      <xdr:colOff>495300</xdr:colOff>
      <xdr:row>87</xdr:row>
      <xdr:rowOff>152400</xdr:rowOff>
    </xdr:to>
    <xdr:sp macro="" textlink="">
      <xdr:nvSpPr>
        <xdr:cNvPr id="86276" name="Rectangle 90">
          <a:extLst>
            <a:ext uri="{FF2B5EF4-FFF2-40B4-BE49-F238E27FC236}">
              <a16:creationId xmlns:a16="http://schemas.microsoft.com/office/drawing/2014/main" id="{D6F7B531-1134-43CE-B704-69AD724B79CF}"/>
            </a:ext>
          </a:extLst>
        </xdr:cNvPr>
        <xdr:cNvSpPr>
          <a:spLocks noChangeArrowheads="1"/>
        </xdr:cNvSpPr>
      </xdr:nvSpPr>
      <xdr:spPr bwMode="auto">
        <a:xfrm>
          <a:off x="6486525" y="14039850"/>
          <a:ext cx="1104900" cy="6953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10</xdr:col>
      <xdr:colOff>9525</xdr:colOff>
      <xdr:row>84</xdr:row>
      <xdr:rowOff>152400</xdr:rowOff>
    </xdr:from>
    <xdr:ext cx="1077218" cy="318036"/>
    <xdr:sp macro="" textlink="">
      <xdr:nvSpPr>
        <xdr:cNvPr id="13403" name="Text Box 91">
          <a:extLst>
            <a:ext uri="{FF2B5EF4-FFF2-40B4-BE49-F238E27FC236}">
              <a16:creationId xmlns:a16="http://schemas.microsoft.com/office/drawing/2014/main" id="{440ADE8D-D6D0-45C8-A178-58F70D5B3363}"/>
            </a:ext>
          </a:extLst>
        </xdr:cNvPr>
        <xdr:cNvSpPr txBox="1">
          <a:spLocks noChangeArrowheads="1"/>
        </xdr:cNvSpPr>
      </xdr:nvSpPr>
      <xdr:spPr bwMode="auto">
        <a:xfrm>
          <a:off x="6496050" y="14182725"/>
          <a:ext cx="1077218"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18288" bIns="0" anchor="t" upright="1">
          <a:spAutoFit/>
        </a:bodyPr>
        <a:lstStyle/>
        <a:p>
          <a:pPr algn="ctr" rtl="0">
            <a:defRPr sz="1000"/>
          </a:pPr>
          <a:r>
            <a:rPr lang="en-US" sz="1000" b="1" i="0" u="none" strike="noStrike" baseline="0">
              <a:solidFill>
                <a:srgbClr val="000000"/>
              </a:solidFill>
              <a:latin typeface="Arial"/>
              <a:cs typeface="Arial"/>
            </a:rPr>
            <a:t>Communications</a:t>
          </a:r>
        </a:p>
        <a:p>
          <a:pPr algn="ctr" rtl="0">
            <a:defRPr sz="1000"/>
          </a:pPr>
          <a:r>
            <a:rPr lang="en-US" sz="1000" b="1" i="0" u="none" strike="noStrike" baseline="0">
              <a:solidFill>
                <a:srgbClr val="000000"/>
              </a:solidFill>
              <a:latin typeface="Arial"/>
              <a:cs typeface="Arial"/>
            </a:rPr>
            <a:t>Receiver</a:t>
          </a:r>
        </a:p>
      </xdr:txBody>
    </xdr:sp>
    <xdr:clientData/>
  </xdr:oneCellAnchor>
  <xdr:oneCellAnchor>
    <xdr:from>
      <xdr:col>9</xdr:col>
      <xdr:colOff>0</xdr:colOff>
      <xdr:row>84</xdr:row>
      <xdr:rowOff>0</xdr:rowOff>
    </xdr:from>
    <xdr:ext cx="163827" cy="170560"/>
    <xdr:sp macro="" textlink="">
      <xdr:nvSpPr>
        <xdr:cNvPr id="13404" name="Text Box 92">
          <a:extLst>
            <a:ext uri="{FF2B5EF4-FFF2-40B4-BE49-F238E27FC236}">
              <a16:creationId xmlns:a16="http://schemas.microsoft.com/office/drawing/2014/main" id="{55486BF9-71C5-4932-9C6E-39593F821D59}"/>
            </a:ext>
          </a:extLst>
        </xdr:cNvPr>
        <xdr:cNvSpPr txBox="1">
          <a:spLocks noChangeArrowheads="1"/>
        </xdr:cNvSpPr>
      </xdr:nvSpPr>
      <xdr:spPr bwMode="auto">
        <a:xfrm>
          <a:off x="5819775" y="14030325"/>
          <a:ext cx="163827"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a:t>
          </a:r>
          <a:r>
            <a:rPr lang="en-US" sz="800" b="0" i="0" u="none" strike="noStrike" baseline="0">
              <a:solidFill>
                <a:srgbClr val="000000"/>
              </a:solidFill>
              <a:latin typeface="Arial"/>
              <a:cs typeface="Arial"/>
            </a:rPr>
            <a:t>D</a:t>
          </a:r>
        </a:p>
      </xdr:txBody>
    </xdr:sp>
    <xdr:clientData/>
  </xdr:oneCellAnchor>
  <xdr:oneCellAnchor>
    <xdr:from>
      <xdr:col>8</xdr:col>
      <xdr:colOff>466725</xdr:colOff>
      <xdr:row>86</xdr:row>
      <xdr:rowOff>133350</xdr:rowOff>
    </xdr:from>
    <xdr:ext cx="1023357" cy="318036"/>
    <xdr:sp macro="" textlink="">
      <xdr:nvSpPr>
        <xdr:cNvPr id="13405" name="Text Box 93">
          <a:extLst>
            <a:ext uri="{FF2B5EF4-FFF2-40B4-BE49-F238E27FC236}">
              <a16:creationId xmlns:a16="http://schemas.microsoft.com/office/drawing/2014/main" id="{0C177DAE-0B52-46DC-A4AF-61257F81D794}"/>
            </a:ext>
          </a:extLst>
        </xdr:cNvPr>
        <xdr:cNvSpPr txBox="1">
          <a:spLocks noChangeArrowheads="1"/>
        </xdr:cNvSpPr>
      </xdr:nvSpPr>
      <xdr:spPr bwMode="auto">
        <a:xfrm>
          <a:off x="5343525" y="14544675"/>
          <a:ext cx="1023357"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Long Cable Run</a:t>
          </a:r>
        </a:p>
        <a:p>
          <a:pPr algn="l" rtl="0">
            <a:defRPr sz="1000"/>
          </a:pPr>
          <a:r>
            <a:rPr lang="en-US" sz="1000" b="0" i="0" u="none" strike="noStrike" baseline="0">
              <a:solidFill>
                <a:srgbClr val="000000"/>
              </a:solidFill>
              <a:latin typeface="Arial"/>
              <a:cs typeface="Arial"/>
            </a:rPr>
            <a:t>(See Note Below)</a:t>
          </a:r>
        </a:p>
      </xdr:txBody>
    </xdr:sp>
    <xdr:clientData/>
  </xdr:oneCellAnchor>
  <xdr:twoCellAnchor>
    <xdr:from>
      <xdr:col>12</xdr:col>
      <xdr:colOff>323850</xdr:colOff>
      <xdr:row>159</xdr:row>
      <xdr:rowOff>9525</xdr:rowOff>
    </xdr:from>
    <xdr:to>
      <xdr:col>14</xdr:col>
      <xdr:colOff>409575</xdr:colOff>
      <xdr:row>161</xdr:row>
      <xdr:rowOff>0</xdr:rowOff>
    </xdr:to>
    <xdr:pic>
      <xdr:nvPicPr>
        <xdr:cNvPr id="86280" name="Picture 100">
          <a:extLst>
            <a:ext uri="{FF2B5EF4-FFF2-40B4-BE49-F238E27FC236}">
              <a16:creationId xmlns:a16="http://schemas.microsoft.com/office/drawing/2014/main" id="{671A3D6C-0CBF-49C2-A406-7810FD6E0D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29575" y="26269950"/>
          <a:ext cx="130492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10</xdr:col>
      <xdr:colOff>9525</xdr:colOff>
      <xdr:row>164</xdr:row>
      <xdr:rowOff>38100</xdr:rowOff>
    </xdr:from>
    <xdr:to>
      <xdr:col>12</xdr:col>
      <xdr:colOff>342900</xdr:colOff>
      <xdr:row>166</xdr:row>
      <xdr:rowOff>28575</xdr:rowOff>
    </xdr:to>
    <xdr:pic>
      <xdr:nvPicPr>
        <xdr:cNvPr id="86281" name="Picture 99">
          <a:extLst>
            <a:ext uri="{FF2B5EF4-FFF2-40B4-BE49-F238E27FC236}">
              <a16:creationId xmlns:a16="http://schemas.microsoft.com/office/drawing/2014/main" id="{1AF79246-C9B9-49B9-8436-C04FF7E6E2F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96050" y="27108150"/>
          <a:ext cx="1552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657225</xdr:colOff>
      <xdr:row>174</xdr:row>
      <xdr:rowOff>66675</xdr:rowOff>
    </xdr:from>
    <xdr:to>
      <xdr:col>12</xdr:col>
      <xdr:colOff>47625</xdr:colOff>
      <xdr:row>176</xdr:row>
      <xdr:rowOff>85725</xdr:rowOff>
    </xdr:to>
    <xdr:sp macro="" textlink="">
      <xdr:nvSpPr>
        <xdr:cNvPr id="86282" name="AutoShape 101">
          <a:extLst>
            <a:ext uri="{FF2B5EF4-FFF2-40B4-BE49-F238E27FC236}">
              <a16:creationId xmlns:a16="http://schemas.microsoft.com/office/drawing/2014/main" id="{6E3B82CC-36B6-4CEF-8E7C-47161F248F66}"/>
            </a:ext>
          </a:extLst>
        </xdr:cNvPr>
        <xdr:cNvSpPr>
          <a:spLocks noChangeAspect="1" noChangeArrowheads="1"/>
        </xdr:cNvSpPr>
      </xdr:nvSpPr>
      <xdr:spPr bwMode="auto">
        <a:xfrm>
          <a:off x="5534025" y="28803600"/>
          <a:ext cx="22193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657225</xdr:colOff>
      <xdr:row>174</xdr:row>
      <xdr:rowOff>66675</xdr:rowOff>
    </xdr:from>
    <xdr:to>
      <xdr:col>12</xdr:col>
      <xdr:colOff>47625</xdr:colOff>
      <xdr:row>176</xdr:row>
      <xdr:rowOff>85725</xdr:rowOff>
    </xdr:to>
    <xdr:sp macro="" textlink="">
      <xdr:nvSpPr>
        <xdr:cNvPr id="86283" name="AutoShape 102">
          <a:extLst>
            <a:ext uri="{FF2B5EF4-FFF2-40B4-BE49-F238E27FC236}">
              <a16:creationId xmlns:a16="http://schemas.microsoft.com/office/drawing/2014/main" id="{4D26BD3B-1297-4E04-A4B7-9BB80BD3D078}"/>
            </a:ext>
          </a:extLst>
        </xdr:cNvPr>
        <xdr:cNvSpPr>
          <a:spLocks noChangeAspect="1" noChangeArrowheads="1"/>
        </xdr:cNvSpPr>
      </xdr:nvSpPr>
      <xdr:spPr bwMode="auto">
        <a:xfrm>
          <a:off x="5534025" y="28803600"/>
          <a:ext cx="22193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657225</xdr:colOff>
      <xdr:row>174</xdr:row>
      <xdr:rowOff>66675</xdr:rowOff>
    </xdr:from>
    <xdr:to>
      <xdr:col>12</xdr:col>
      <xdr:colOff>47625</xdr:colOff>
      <xdr:row>176</xdr:row>
      <xdr:rowOff>85725</xdr:rowOff>
    </xdr:to>
    <xdr:sp macro="" textlink="">
      <xdr:nvSpPr>
        <xdr:cNvPr id="86284" name="AutoShape 103">
          <a:extLst>
            <a:ext uri="{FF2B5EF4-FFF2-40B4-BE49-F238E27FC236}">
              <a16:creationId xmlns:a16="http://schemas.microsoft.com/office/drawing/2014/main" id="{B62E0603-E7D6-4EC1-8CAC-05D17FC04A5E}"/>
            </a:ext>
          </a:extLst>
        </xdr:cNvPr>
        <xdr:cNvSpPr>
          <a:spLocks noChangeAspect="1" noChangeArrowheads="1"/>
        </xdr:cNvSpPr>
      </xdr:nvSpPr>
      <xdr:spPr bwMode="auto">
        <a:xfrm>
          <a:off x="5534025" y="28803600"/>
          <a:ext cx="22193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8</xdr:col>
      <xdr:colOff>657225</xdr:colOff>
      <xdr:row>174</xdr:row>
      <xdr:rowOff>66675</xdr:rowOff>
    </xdr:from>
    <xdr:to>
      <xdr:col>12</xdr:col>
      <xdr:colOff>47625</xdr:colOff>
      <xdr:row>176</xdr:row>
      <xdr:rowOff>85725</xdr:rowOff>
    </xdr:to>
    <xdr:sp macro="" textlink="">
      <xdr:nvSpPr>
        <xdr:cNvPr id="86285" name="AutoShape 104">
          <a:extLst>
            <a:ext uri="{FF2B5EF4-FFF2-40B4-BE49-F238E27FC236}">
              <a16:creationId xmlns:a16="http://schemas.microsoft.com/office/drawing/2014/main" id="{BF86E5D0-EB20-4908-8326-D3482176E25C}"/>
            </a:ext>
          </a:extLst>
        </xdr:cNvPr>
        <xdr:cNvSpPr>
          <a:spLocks noChangeAspect="1" noChangeArrowheads="1"/>
        </xdr:cNvSpPr>
      </xdr:nvSpPr>
      <xdr:spPr bwMode="auto">
        <a:xfrm>
          <a:off x="5534025" y="28803600"/>
          <a:ext cx="2219325" cy="342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342900</xdr:colOff>
      <xdr:row>9</xdr:row>
      <xdr:rowOff>85725</xdr:rowOff>
    </xdr:from>
    <xdr:to>
      <xdr:col>4</xdr:col>
      <xdr:colOff>600075</xdr:colOff>
      <xdr:row>9</xdr:row>
      <xdr:rowOff>85725</xdr:rowOff>
    </xdr:to>
    <xdr:sp macro="" textlink="">
      <xdr:nvSpPr>
        <xdr:cNvPr id="8363" name="Line 12">
          <a:extLst>
            <a:ext uri="{FF2B5EF4-FFF2-40B4-BE49-F238E27FC236}">
              <a16:creationId xmlns:a16="http://schemas.microsoft.com/office/drawing/2014/main" id="{75E083DB-A204-45CC-8DFA-5BFF1CF4F0C4}"/>
            </a:ext>
          </a:extLst>
        </xdr:cNvPr>
        <xdr:cNvSpPr>
          <a:spLocks noChangeShapeType="1"/>
        </xdr:cNvSpPr>
      </xdr:nvSpPr>
      <xdr:spPr bwMode="auto">
        <a:xfrm flipH="1" flipV="1">
          <a:off x="2781300" y="1847850"/>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9</xdr:row>
      <xdr:rowOff>85725</xdr:rowOff>
    </xdr:from>
    <xdr:to>
      <xdr:col>4</xdr:col>
      <xdr:colOff>342900</xdr:colOff>
      <xdr:row>10</xdr:row>
      <xdr:rowOff>0</xdr:rowOff>
    </xdr:to>
    <xdr:sp macro="" textlink="">
      <xdr:nvSpPr>
        <xdr:cNvPr id="8364" name="Line 13">
          <a:extLst>
            <a:ext uri="{FF2B5EF4-FFF2-40B4-BE49-F238E27FC236}">
              <a16:creationId xmlns:a16="http://schemas.microsoft.com/office/drawing/2014/main" id="{AB497316-1F7B-42EF-8AA1-18BE34333F2C}"/>
            </a:ext>
          </a:extLst>
        </xdr:cNvPr>
        <xdr:cNvSpPr>
          <a:spLocks noChangeShapeType="1"/>
        </xdr:cNvSpPr>
      </xdr:nvSpPr>
      <xdr:spPr bwMode="auto">
        <a:xfrm flipH="1">
          <a:off x="2781300" y="1847850"/>
          <a:ext cx="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342900</xdr:colOff>
      <xdr:row>54</xdr:row>
      <xdr:rowOff>85725</xdr:rowOff>
    </xdr:from>
    <xdr:to>
      <xdr:col>4</xdr:col>
      <xdr:colOff>600075</xdr:colOff>
      <xdr:row>54</xdr:row>
      <xdr:rowOff>85725</xdr:rowOff>
    </xdr:to>
    <xdr:sp macro="" textlink="">
      <xdr:nvSpPr>
        <xdr:cNvPr id="8365" name="Line 17">
          <a:extLst>
            <a:ext uri="{FF2B5EF4-FFF2-40B4-BE49-F238E27FC236}">
              <a16:creationId xmlns:a16="http://schemas.microsoft.com/office/drawing/2014/main" id="{73DCB503-E2EE-42F2-AE43-71AB953D1013}"/>
            </a:ext>
          </a:extLst>
        </xdr:cNvPr>
        <xdr:cNvSpPr>
          <a:spLocks noChangeShapeType="1"/>
        </xdr:cNvSpPr>
      </xdr:nvSpPr>
      <xdr:spPr bwMode="auto">
        <a:xfrm flipH="1" flipV="1">
          <a:off x="2781300" y="13906500"/>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54</xdr:row>
      <xdr:rowOff>85725</xdr:rowOff>
    </xdr:from>
    <xdr:to>
      <xdr:col>4</xdr:col>
      <xdr:colOff>342900</xdr:colOff>
      <xdr:row>55</xdr:row>
      <xdr:rowOff>0</xdr:rowOff>
    </xdr:to>
    <xdr:sp macro="" textlink="">
      <xdr:nvSpPr>
        <xdr:cNvPr id="8366" name="Line 18">
          <a:extLst>
            <a:ext uri="{FF2B5EF4-FFF2-40B4-BE49-F238E27FC236}">
              <a16:creationId xmlns:a16="http://schemas.microsoft.com/office/drawing/2014/main" id="{FA5BF000-B91C-4E7A-8443-23CAA6BFE953}"/>
            </a:ext>
          </a:extLst>
        </xdr:cNvPr>
        <xdr:cNvSpPr>
          <a:spLocks noChangeShapeType="1"/>
        </xdr:cNvSpPr>
      </xdr:nvSpPr>
      <xdr:spPr bwMode="auto">
        <a:xfrm flipH="1">
          <a:off x="2781300" y="13906500"/>
          <a:ext cx="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123825</xdr:colOff>
      <xdr:row>32</xdr:row>
      <xdr:rowOff>9525</xdr:rowOff>
    </xdr:from>
    <xdr:to>
      <xdr:col>3</xdr:col>
      <xdr:colOff>123825</xdr:colOff>
      <xdr:row>32</xdr:row>
      <xdr:rowOff>200025</xdr:rowOff>
    </xdr:to>
    <xdr:sp macro="" textlink="">
      <xdr:nvSpPr>
        <xdr:cNvPr id="8367" name="Line 20">
          <a:extLst>
            <a:ext uri="{FF2B5EF4-FFF2-40B4-BE49-F238E27FC236}">
              <a16:creationId xmlns:a16="http://schemas.microsoft.com/office/drawing/2014/main" id="{8CFECF30-0F69-4382-BE12-355091A9C770}"/>
            </a:ext>
          </a:extLst>
        </xdr:cNvPr>
        <xdr:cNvSpPr>
          <a:spLocks noChangeShapeType="1"/>
        </xdr:cNvSpPr>
      </xdr:nvSpPr>
      <xdr:spPr bwMode="auto">
        <a:xfrm flipV="1">
          <a:off x="1952625" y="8410575"/>
          <a:ext cx="0" cy="19050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257175</xdr:colOff>
      <xdr:row>32</xdr:row>
      <xdr:rowOff>9525</xdr:rowOff>
    </xdr:from>
    <xdr:to>
      <xdr:col>10</xdr:col>
      <xdr:colOff>257175</xdr:colOff>
      <xdr:row>33</xdr:row>
      <xdr:rowOff>0</xdr:rowOff>
    </xdr:to>
    <xdr:sp macro="" textlink="">
      <xdr:nvSpPr>
        <xdr:cNvPr id="8368" name="Line 21">
          <a:extLst>
            <a:ext uri="{FF2B5EF4-FFF2-40B4-BE49-F238E27FC236}">
              <a16:creationId xmlns:a16="http://schemas.microsoft.com/office/drawing/2014/main" id="{9613E05E-31F8-4543-B80A-25A861C42105}"/>
            </a:ext>
          </a:extLst>
        </xdr:cNvPr>
        <xdr:cNvSpPr>
          <a:spLocks noChangeShapeType="1"/>
        </xdr:cNvSpPr>
      </xdr:nvSpPr>
      <xdr:spPr bwMode="auto">
        <a:xfrm>
          <a:off x="6724650" y="8410575"/>
          <a:ext cx="0" cy="20002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342900</xdr:colOff>
      <xdr:row>23</xdr:row>
      <xdr:rowOff>76200</xdr:rowOff>
    </xdr:from>
    <xdr:to>
      <xdr:col>4</xdr:col>
      <xdr:colOff>600075</xdr:colOff>
      <xdr:row>23</xdr:row>
      <xdr:rowOff>76200</xdr:rowOff>
    </xdr:to>
    <xdr:sp macro="" textlink="">
      <xdr:nvSpPr>
        <xdr:cNvPr id="8369" name="Line 22">
          <a:extLst>
            <a:ext uri="{FF2B5EF4-FFF2-40B4-BE49-F238E27FC236}">
              <a16:creationId xmlns:a16="http://schemas.microsoft.com/office/drawing/2014/main" id="{1A02445C-BDEF-4B65-A93B-EC8420550129}"/>
            </a:ext>
          </a:extLst>
        </xdr:cNvPr>
        <xdr:cNvSpPr>
          <a:spLocks noChangeShapeType="1"/>
        </xdr:cNvSpPr>
      </xdr:nvSpPr>
      <xdr:spPr bwMode="auto">
        <a:xfrm flipH="1" flipV="1">
          <a:off x="2781300" y="5467350"/>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23</xdr:row>
      <xdr:rowOff>76200</xdr:rowOff>
    </xdr:from>
    <xdr:to>
      <xdr:col>4</xdr:col>
      <xdr:colOff>342900</xdr:colOff>
      <xdr:row>23</xdr:row>
      <xdr:rowOff>161925</xdr:rowOff>
    </xdr:to>
    <xdr:sp macro="" textlink="">
      <xdr:nvSpPr>
        <xdr:cNvPr id="8370" name="Line 23">
          <a:extLst>
            <a:ext uri="{FF2B5EF4-FFF2-40B4-BE49-F238E27FC236}">
              <a16:creationId xmlns:a16="http://schemas.microsoft.com/office/drawing/2014/main" id="{6A7F754F-5326-4A49-B01B-D9BC0022CAB2}"/>
            </a:ext>
          </a:extLst>
        </xdr:cNvPr>
        <xdr:cNvSpPr>
          <a:spLocks noChangeShapeType="1"/>
        </xdr:cNvSpPr>
      </xdr:nvSpPr>
      <xdr:spPr bwMode="auto">
        <a:xfrm flipH="1">
          <a:off x="2781300" y="5467350"/>
          <a:ext cx="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333375</xdr:colOff>
      <xdr:row>39</xdr:row>
      <xdr:rowOff>95250</xdr:rowOff>
    </xdr:from>
    <xdr:to>
      <xdr:col>4</xdr:col>
      <xdr:colOff>333375</xdr:colOff>
      <xdr:row>40</xdr:row>
      <xdr:rowOff>9525</xdr:rowOff>
    </xdr:to>
    <xdr:sp macro="" textlink="">
      <xdr:nvSpPr>
        <xdr:cNvPr id="8371" name="Line 24">
          <a:extLst>
            <a:ext uri="{FF2B5EF4-FFF2-40B4-BE49-F238E27FC236}">
              <a16:creationId xmlns:a16="http://schemas.microsoft.com/office/drawing/2014/main" id="{4346C382-4E93-447C-B994-A400661F3146}"/>
            </a:ext>
          </a:extLst>
        </xdr:cNvPr>
        <xdr:cNvSpPr>
          <a:spLocks noChangeShapeType="1"/>
        </xdr:cNvSpPr>
      </xdr:nvSpPr>
      <xdr:spPr bwMode="auto">
        <a:xfrm flipH="1">
          <a:off x="2771775" y="9829800"/>
          <a:ext cx="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342900</xdr:colOff>
      <xdr:row>39</xdr:row>
      <xdr:rowOff>85725</xdr:rowOff>
    </xdr:from>
    <xdr:to>
      <xdr:col>4</xdr:col>
      <xdr:colOff>600075</xdr:colOff>
      <xdr:row>39</xdr:row>
      <xdr:rowOff>85725</xdr:rowOff>
    </xdr:to>
    <xdr:sp macro="" textlink="">
      <xdr:nvSpPr>
        <xdr:cNvPr id="8372" name="Line 26">
          <a:extLst>
            <a:ext uri="{FF2B5EF4-FFF2-40B4-BE49-F238E27FC236}">
              <a16:creationId xmlns:a16="http://schemas.microsoft.com/office/drawing/2014/main" id="{8B145C3E-D08A-46C0-8A09-4E7DA69954A1}"/>
            </a:ext>
          </a:extLst>
        </xdr:cNvPr>
        <xdr:cNvSpPr>
          <a:spLocks noChangeShapeType="1"/>
        </xdr:cNvSpPr>
      </xdr:nvSpPr>
      <xdr:spPr bwMode="auto">
        <a:xfrm flipH="1" flipV="1">
          <a:off x="2781300" y="9820275"/>
          <a:ext cx="2571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133350</xdr:colOff>
      <xdr:row>4</xdr:row>
      <xdr:rowOff>95250</xdr:rowOff>
    </xdr:from>
    <xdr:to>
      <xdr:col>2</xdr:col>
      <xdr:colOff>409575</xdr:colOff>
      <xdr:row>6</xdr:row>
      <xdr:rowOff>0</xdr:rowOff>
    </xdr:to>
    <xdr:sp macro="" textlink="">
      <xdr:nvSpPr>
        <xdr:cNvPr id="74585" name="Rectangle 1">
          <a:extLst>
            <a:ext uri="{FF2B5EF4-FFF2-40B4-BE49-F238E27FC236}">
              <a16:creationId xmlns:a16="http://schemas.microsoft.com/office/drawing/2014/main" id="{2ED9341B-A201-41D4-85F9-5D60B04FE270}"/>
            </a:ext>
          </a:extLst>
        </xdr:cNvPr>
        <xdr:cNvSpPr>
          <a:spLocks noChangeArrowheads="1"/>
        </xdr:cNvSpPr>
      </xdr:nvSpPr>
      <xdr:spPr bwMode="auto">
        <a:xfrm rot="-1662453">
          <a:off x="1352550" y="819150"/>
          <a:ext cx="276225" cy="228600"/>
        </a:xfrm>
        <a:prstGeom prst="rect">
          <a:avLst/>
        </a:prstGeom>
        <a:solidFill>
          <a:srgbClr xmlns:mc="http://schemas.openxmlformats.org/markup-compatibility/2006" xmlns:a14="http://schemas.microsoft.com/office/drawing/2010/main" val="3366FF" mc:Ignorable="a14" a14:legacySpreadsheetColorIndex="4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171450</xdr:colOff>
      <xdr:row>3</xdr:row>
      <xdr:rowOff>104775</xdr:rowOff>
    </xdr:from>
    <xdr:to>
      <xdr:col>2</xdr:col>
      <xdr:colOff>171450</xdr:colOff>
      <xdr:row>4</xdr:row>
      <xdr:rowOff>114300</xdr:rowOff>
    </xdr:to>
    <xdr:sp macro="" textlink="">
      <xdr:nvSpPr>
        <xdr:cNvPr id="74586" name="Line 2">
          <a:extLst>
            <a:ext uri="{FF2B5EF4-FFF2-40B4-BE49-F238E27FC236}">
              <a16:creationId xmlns:a16="http://schemas.microsoft.com/office/drawing/2014/main" id="{9F64B78B-8D76-455E-A352-52CFF933E98E}"/>
            </a:ext>
          </a:extLst>
        </xdr:cNvPr>
        <xdr:cNvSpPr>
          <a:spLocks noChangeShapeType="1"/>
        </xdr:cNvSpPr>
      </xdr:nvSpPr>
      <xdr:spPr bwMode="auto">
        <a:xfrm rot="-1651313">
          <a:off x="1390650" y="666750"/>
          <a:ext cx="0" cy="1714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9525</xdr:colOff>
      <xdr:row>20</xdr:row>
      <xdr:rowOff>47625</xdr:rowOff>
    </xdr:from>
    <xdr:to>
      <xdr:col>2</xdr:col>
      <xdr:colOff>533400</xdr:colOff>
      <xdr:row>20</xdr:row>
      <xdr:rowOff>133350</xdr:rowOff>
    </xdr:to>
    <xdr:sp macro="" textlink="">
      <xdr:nvSpPr>
        <xdr:cNvPr id="74587" name="AutoShape 5">
          <a:extLst>
            <a:ext uri="{FF2B5EF4-FFF2-40B4-BE49-F238E27FC236}">
              <a16:creationId xmlns:a16="http://schemas.microsoft.com/office/drawing/2014/main" id="{7E2777EB-0D32-4718-A613-8303F219F9E9}"/>
            </a:ext>
          </a:extLst>
        </xdr:cNvPr>
        <xdr:cNvSpPr>
          <a:spLocks noChangeArrowheads="1"/>
        </xdr:cNvSpPr>
      </xdr:nvSpPr>
      <xdr:spPr bwMode="auto">
        <a:xfrm rot="-6288120">
          <a:off x="1447800" y="3143250"/>
          <a:ext cx="85725" cy="523875"/>
        </a:xfrm>
        <a:prstGeom prst="moon">
          <a:avLst>
            <a:gd name="adj" fmla="val 50000"/>
          </a:avLst>
        </a:prstGeom>
        <a:solidFill>
          <a:srgbClr xmlns:mc="http://schemas.openxmlformats.org/markup-compatibility/2006" xmlns:a14="http://schemas.microsoft.com/office/drawing/2010/main" val="969696" mc:Ignorable="a14" a14:legacySpreadsheetColorIndex="5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xdr:col>
      <xdr:colOff>257175</xdr:colOff>
      <xdr:row>5</xdr:row>
      <xdr:rowOff>38100</xdr:rowOff>
    </xdr:from>
    <xdr:to>
      <xdr:col>2</xdr:col>
      <xdr:colOff>266700</xdr:colOff>
      <xdr:row>20</xdr:row>
      <xdr:rowOff>76200</xdr:rowOff>
    </xdr:to>
    <xdr:sp macro="" textlink="">
      <xdr:nvSpPr>
        <xdr:cNvPr id="74588" name="Line 6">
          <a:extLst>
            <a:ext uri="{FF2B5EF4-FFF2-40B4-BE49-F238E27FC236}">
              <a16:creationId xmlns:a16="http://schemas.microsoft.com/office/drawing/2014/main" id="{188A213D-20CE-4EE6-BA88-B5A69C0F1798}"/>
            </a:ext>
          </a:extLst>
        </xdr:cNvPr>
        <xdr:cNvSpPr>
          <a:spLocks noChangeShapeType="1"/>
        </xdr:cNvSpPr>
      </xdr:nvSpPr>
      <xdr:spPr bwMode="auto">
        <a:xfrm flipH="1">
          <a:off x="1476375" y="923925"/>
          <a:ext cx="9525" cy="2466975"/>
        </a:xfrm>
        <a:prstGeom prst="line">
          <a:avLst/>
        </a:prstGeom>
        <a:noFill/>
        <a:ln w="28575">
          <a:solidFill>
            <a:srgbClr xmlns:mc="http://schemas.openxmlformats.org/markup-compatibility/2006" xmlns:a14="http://schemas.microsoft.com/office/drawing/2010/main" val="FF0000" mc:Ignorable="a14" a14:legacySpreadsheetColorIndex="1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304800</xdr:colOff>
      <xdr:row>13</xdr:row>
      <xdr:rowOff>123825</xdr:rowOff>
    </xdr:to>
    <xdr:sp macro="" textlink="">
      <xdr:nvSpPr>
        <xdr:cNvPr id="74589" name="Line 7">
          <a:extLst>
            <a:ext uri="{FF2B5EF4-FFF2-40B4-BE49-F238E27FC236}">
              <a16:creationId xmlns:a16="http://schemas.microsoft.com/office/drawing/2014/main" id="{2B4B99FB-30AE-4F09-8EC4-DDED6CFE0FC0}"/>
            </a:ext>
          </a:extLst>
        </xdr:cNvPr>
        <xdr:cNvSpPr>
          <a:spLocks noChangeShapeType="1"/>
        </xdr:cNvSpPr>
      </xdr:nvSpPr>
      <xdr:spPr bwMode="auto">
        <a:xfrm>
          <a:off x="1485900" y="923925"/>
          <a:ext cx="647700" cy="13811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561975</xdr:colOff>
      <xdr:row>11</xdr:row>
      <xdr:rowOff>66675</xdr:rowOff>
    </xdr:from>
    <xdr:to>
      <xdr:col>2</xdr:col>
      <xdr:colOff>238125</xdr:colOff>
      <xdr:row>20</xdr:row>
      <xdr:rowOff>66675</xdr:rowOff>
    </xdr:to>
    <xdr:sp macro="" textlink="">
      <xdr:nvSpPr>
        <xdr:cNvPr id="74590" name="Line 8">
          <a:extLst>
            <a:ext uri="{FF2B5EF4-FFF2-40B4-BE49-F238E27FC236}">
              <a16:creationId xmlns:a16="http://schemas.microsoft.com/office/drawing/2014/main" id="{B1518E52-D341-4F61-B80C-955D186394B8}"/>
            </a:ext>
          </a:extLst>
        </xdr:cNvPr>
        <xdr:cNvSpPr>
          <a:spLocks noChangeShapeType="1"/>
        </xdr:cNvSpPr>
      </xdr:nvSpPr>
      <xdr:spPr bwMode="auto">
        <a:xfrm flipH="1" flipV="1">
          <a:off x="1171575" y="1924050"/>
          <a:ext cx="285750" cy="14573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495300</xdr:colOff>
      <xdr:row>12</xdr:row>
      <xdr:rowOff>85725</xdr:rowOff>
    </xdr:from>
    <xdr:ext cx="144848" cy="170560"/>
    <xdr:sp macro="" textlink="">
      <xdr:nvSpPr>
        <xdr:cNvPr id="10249" name="Text Box 9">
          <a:extLst>
            <a:ext uri="{FF2B5EF4-FFF2-40B4-BE49-F238E27FC236}">
              <a16:creationId xmlns:a16="http://schemas.microsoft.com/office/drawing/2014/main" id="{DA789938-9DB1-463A-BFF3-6668F770AF41}"/>
            </a:ext>
          </a:extLst>
        </xdr:cNvPr>
        <xdr:cNvSpPr txBox="1">
          <a:spLocks noChangeArrowheads="1"/>
        </xdr:cNvSpPr>
      </xdr:nvSpPr>
      <xdr:spPr bwMode="auto">
        <a:xfrm>
          <a:off x="1714500" y="2105025"/>
          <a:ext cx="1448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2</a:t>
          </a:r>
        </a:p>
      </xdr:txBody>
    </xdr:sp>
    <xdr:clientData/>
  </xdr:oneCellAnchor>
  <xdr:twoCellAnchor>
    <xdr:from>
      <xdr:col>2</xdr:col>
      <xdr:colOff>285750</xdr:colOff>
      <xdr:row>13</xdr:row>
      <xdr:rowOff>57150</xdr:rowOff>
    </xdr:from>
    <xdr:to>
      <xdr:col>2</xdr:col>
      <xdr:colOff>476250</xdr:colOff>
      <xdr:row>13</xdr:row>
      <xdr:rowOff>114300</xdr:rowOff>
    </xdr:to>
    <xdr:sp macro="" textlink="">
      <xdr:nvSpPr>
        <xdr:cNvPr id="74592" name="Line 10">
          <a:extLst>
            <a:ext uri="{FF2B5EF4-FFF2-40B4-BE49-F238E27FC236}">
              <a16:creationId xmlns:a16="http://schemas.microsoft.com/office/drawing/2014/main" id="{CC44B24A-1934-4BCC-B601-B6FB60743389}"/>
            </a:ext>
          </a:extLst>
        </xdr:cNvPr>
        <xdr:cNvSpPr>
          <a:spLocks noChangeShapeType="1"/>
        </xdr:cNvSpPr>
      </xdr:nvSpPr>
      <xdr:spPr bwMode="auto">
        <a:xfrm flipH="1">
          <a:off x="1504950" y="2238375"/>
          <a:ext cx="190500" cy="57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38100</xdr:colOff>
      <xdr:row>12</xdr:row>
      <xdr:rowOff>57150</xdr:rowOff>
    </xdr:from>
    <xdr:to>
      <xdr:col>3</xdr:col>
      <xdr:colOff>180975</xdr:colOff>
      <xdr:row>12</xdr:row>
      <xdr:rowOff>133350</xdr:rowOff>
    </xdr:to>
    <xdr:sp macro="" textlink="">
      <xdr:nvSpPr>
        <xdr:cNvPr id="74593" name="Line 11">
          <a:extLst>
            <a:ext uri="{FF2B5EF4-FFF2-40B4-BE49-F238E27FC236}">
              <a16:creationId xmlns:a16="http://schemas.microsoft.com/office/drawing/2014/main" id="{52932C2F-AC37-47DA-8F9D-40EE7A97EBE1}"/>
            </a:ext>
          </a:extLst>
        </xdr:cNvPr>
        <xdr:cNvSpPr>
          <a:spLocks noChangeShapeType="1"/>
        </xdr:cNvSpPr>
      </xdr:nvSpPr>
      <xdr:spPr bwMode="auto">
        <a:xfrm flipV="1">
          <a:off x="1866900" y="2076450"/>
          <a:ext cx="142875" cy="7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66675</xdr:rowOff>
    </xdr:from>
    <xdr:ext cx="144848" cy="170560"/>
    <xdr:sp macro="" textlink="">
      <xdr:nvSpPr>
        <xdr:cNvPr id="10252" name="Text Box 12">
          <a:extLst>
            <a:ext uri="{FF2B5EF4-FFF2-40B4-BE49-F238E27FC236}">
              <a16:creationId xmlns:a16="http://schemas.microsoft.com/office/drawing/2014/main" id="{968B96A1-E15E-4E55-AAF8-A7450963E1E0}"/>
            </a:ext>
          </a:extLst>
        </xdr:cNvPr>
        <xdr:cNvSpPr txBox="1">
          <a:spLocks noChangeArrowheads="1"/>
        </xdr:cNvSpPr>
      </xdr:nvSpPr>
      <xdr:spPr bwMode="auto">
        <a:xfrm>
          <a:off x="1247775" y="1924050"/>
          <a:ext cx="1448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1</a:t>
          </a:r>
        </a:p>
      </xdr:txBody>
    </xdr:sp>
    <xdr:clientData/>
  </xdr:oneCellAnchor>
  <xdr:twoCellAnchor>
    <xdr:from>
      <xdr:col>2</xdr:col>
      <xdr:colOff>180975</xdr:colOff>
      <xdr:row>11</xdr:row>
      <xdr:rowOff>76200</xdr:rowOff>
    </xdr:from>
    <xdr:to>
      <xdr:col>2</xdr:col>
      <xdr:colOff>276225</xdr:colOff>
      <xdr:row>11</xdr:row>
      <xdr:rowOff>104775</xdr:rowOff>
    </xdr:to>
    <xdr:sp macro="" textlink="">
      <xdr:nvSpPr>
        <xdr:cNvPr id="74595" name="Line 13">
          <a:extLst>
            <a:ext uri="{FF2B5EF4-FFF2-40B4-BE49-F238E27FC236}">
              <a16:creationId xmlns:a16="http://schemas.microsoft.com/office/drawing/2014/main" id="{55A2C376-21F6-4DA7-9F55-46F2313C69AE}"/>
            </a:ext>
          </a:extLst>
        </xdr:cNvPr>
        <xdr:cNvSpPr>
          <a:spLocks noChangeShapeType="1"/>
        </xdr:cNvSpPr>
      </xdr:nvSpPr>
      <xdr:spPr bwMode="auto">
        <a:xfrm flipV="1">
          <a:off x="1400175" y="1933575"/>
          <a:ext cx="95250"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581025</xdr:colOff>
      <xdr:row>12</xdr:row>
      <xdr:rowOff>0</xdr:rowOff>
    </xdr:from>
    <xdr:to>
      <xdr:col>2</xdr:col>
      <xdr:colOff>38100</xdr:colOff>
      <xdr:row>12</xdr:row>
      <xdr:rowOff>28575</xdr:rowOff>
    </xdr:to>
    <xdr:sp macro="" textlink="">
      <xdr:nvSpPr>
        <xdr:cNvPr id="74596" name="Line 14">
          <a:extLst>
            <a:ext uri="{FF2B5EF4-FFF2-40B4-BE49-F238E27FC236}">
              <a16:creationId xmlns:a16="http://schemas.microsoft.com/office/drawing/2014/main" id="{3EE8023B-54BB-45EA-88D2-BD4BD1FB2A01}"/>
            </a:ext>
          </a:extLst>
        </xdr:cNvPr>
        <xdr:cNvSpPr>
          <a:spLocks noChangeShapeType="1"/>
        </xdr:cNvSpPr>
      </xdr:nvSpPr>
      <xdr:spPr bwMode="auto">
        <a:xfrm flipH="1">
          <a:off x="1190625" y="2019300"/>
          <a:ext cx="66675"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152400</xdr:rowOff>
    </xdr:from>
    <xdr:to>
      <xdr:col>2</xdr:col>
      <xdr:colOff>342900</xdr:colOff>
      <xdr:row>22</xdr:row>
      <xdr:rowOff>57150</xdr:rowOff>
    </xdr:to>
    <xdr:sp macro="" textlink="">
      <xdr:nvSpPr>
        <xdr:cNvPr id="74597" name="AutoShape 15">
          <a:extLst>
            <a:ext uri="{FF2B5EF4-FFF2-40B4-BE49-F238E27FC236}">
              <a16:creationId xmlns:a16="http://schemas.microsoft.com/office/drawing/2014/main" id="{B90F86FE-408C-4267-96C7-D6F57E60B2E5}"/>
            </a:ext>
          </a:extLst>
        </xdr:cNvPr>
        <xdr:cNvSpPr>
          <a:spLocks noChangeArrowheads="1"/>
        </xdr:cNvSpPr>
      </xdr:nvSpPr>
      <xdr:spPr bwMode="auto">
        <a:xfrm>
          <a:off x="1371600" y="3467100"/>
          <a:ext cx="190500" cy="2286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xdr:col>
      <xdr:colOff>457200</xdr:colOff>
      <xdr:row>5</xdr:row>
      <xdr:rowOff>114300</xdr:rowOff>
    </xdr:from>
    <xdr:to>
      <xdr:col>2</xdr:col>
      <xdr:colOff>133350</xdr:colOff>
      <xdr:row>6</xdr:row>
      <xdr:rowOff>104775</xdr:rowOff>
    </xdr:to>
    <xdr:sp macro="" textlink="">
      <xdr:nvSpPr>
        <xdr:cNvPr id="74598" name="Line 16">
          <a:extLst>
            <a:ext uri="{FF2B5EF4-FFF2-40B4-BE49-F238E27FC236}">
              <a16:creationId xmlns:a16="http://schemas.microsoft.com/office/drawing/2014/main" id="{96434D81-E4D3-4AC4-A11C-C63297D16643}"/>
            </a:ext>
          </a:extLst>
        </xdr:cNvPr>
        <xdr:cNvSpPr>
          <a:spLocks noChangeShapeType="1"/>
        </xdr:cNvSpPr>
      </xdr:nvSpPr>
      <xdr:spPr bwMode="auto">
        <a:xfrm flipH="1">
          <a:off x="1066800" y="1000125"/>
          <a:ext cx="285750"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400050</xdr:colOff>
      <xdr:row>3</xdr:row>
      <xdr:rowOff>142875</xdr:rowOff>
    </xdr:from>
    <xdr:to>
      <xdr:col>3</xdr:col>
      <xdr:colOff>76200</xdr:colOff>
      <xdr:row>4</xdr:row>
      <xdr:rowOff>133350</xdr:rowOff>
    </xdr:to>
    <xdr:sp macro="" textlink="">
      <xdr:nvSpPr>
        <xdr:cNvPr id="74599" name="Line 17">
          <a:extLst>
            <a:ext uri="{FF2B5EF4-FFF2-40B4-BE49-F238E27FC236}">
              <a16:creationId xmlns:a16="http://schemas.microsoft.com/office/drawing/2014/main" id="{B885362A-C7B2-4BE3-9A3E-1E8D9927C3FF}"/>
            </a:ext>
          </a:extLst>
        </xdr:cNvPr>
        <xdr:cNvSpPr>
          <a:spLocks noChangeShapeType="1"/>
        </xdr:cNvSpPr>
      </xdr:nvSpPr>
      <xdr:spPr bwMode="auto">
        <a:xfrm flipH="1">
          <a:off x="1619250" y="704850"/>
          <a:ext cx="285750"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257175</xdr:colOff>
      <xdr:row>5</xdr:row>
      <xdr:rowOff>152400</xdr:rowOff>
    </xdr:from>
    <xdr:to>
      <xdr:col>2</xdr:col>
      <xdr:colOff>457200</xdr:colOff>
      <xdr:row>6</xdr:row>
      <xdr:rowOff>66675</xdr:rowOff>
    </xdr:to>
    <xdr:sp macro="" textlink="">
      <xdr:nvSpPr>
        <xdr:cNvPr id="74600" name="AutoShape 18">
          <a:extLst>
            <a:ext uri="{FF2B5EF4-FFF2-40B4-BE49-F238E27FC236}">
              <a16:creationId xmlns:a16="http://schemas.microsoft.com/office/drawing/2014/main" id="{DD623B74-AC67-4207-9BE0-BE9AA0879923}"/>
            </a:ext>
          </a:extLst>
        </xdr:cNvPr>
        <xdr:cNvSpPr>
          <a:spLocks noChangeArrowheads="1"/>
        </xdr:cNvSpPr>
      </xdr:nvSpPr>
      <xdr:spPr bwMode="auto">
        <a:xfrm rot="3473625">
          <a:off x="1538288" y="976312"/>
          <a:ext cx="76200" cy="200025"/>
        </a:xfrm>
        <a:prstGeom prst="moon">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114300</xdr:colOff>
      <xdr:row>4</xdr:row>
      <xdr:rowOff>85725</xdr:rowOff>
    </xdr:from>
    <xdr:to>
      <xdr:col>6</xdr:col>
      <xdr:colOff>390525</xdr:colOff>
      <xdr:row>5</xdr:row>
      <xdr:rowOff>152400</xdr:rowOff>
    </xdr:to>
    <xdr:sp macro="" textlink="">
      <xdr:nvSpPr>
        <xdr:cNvPr id="74601" name="Rectangle 19">
          <a:extLst>
            <a:ext uri="{FF2B5EF4-FFF2-40B4-BE49-F238E27FC236}">
              <a16:creationId xmlns:a16="http://schemas.microsoft.com/office/drawing/2014/main" id="{CF76FE5E-2FD1-4526-ACF7-760DDF51B4BC}"/>
            </a:ext>
          </a:extLst>
        </xdr:cNvPr>
        <xdr:cNvSpPr>
          <a:spLocks noChangeArrowheads="1"/>
        </xdr:cNvSpPr>
      </xdr:nvSpPr>
      <xdr:spPr bwMode="auto">
        <a:xfrm rot="-1662453">
          <a:off x="3819525" y="809625"/>
          <a:ext cx="276225" cy="228600"/>
        </a:xfrm>
        <a:prstGeom prst="rect">
          <a:avLst/>
        </a:prstGeom>
        <a:solidFill>
          <a:srgbClr xmlns:mc="http://schemas.openxmlformats.org/markup-compatibility/2006" xmlns:a14="http://schemas.microsoft.com/office/drawing/2010/main" val="3366FF" mc:Ignorable="a14" a14:legacySpreadsheetColorIndex="48"/>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152400</xdr:colOff>
      <xdr:row>3</xdr:row>
      <xdr:rowOff>95250</xdr:rowOff>
    </xdr:from>
    <xdr:to>
      <xdr:col>6</xdr:col>
      <xdr:colOff>152400</xdr:colOff>
      <xdr:row>4</xdr:row>
      <xdr:rowOff>104775</xdr:rowOff>
    </xdr:to>
    <xdr:sp macro="" textlink="">
      <xdr:nvSpPr>
        <xdr:cNvPr id="74602" name="Line 20">
          <a:extLst>
            <a:ext uri="{FF2B5EF4-FFF2-40B4-BE49-F238E27FC236}">
              <a16:creationId xmlns:a16="http://schemas.microsoft.com/office/drawing/2014/main" id="{C52F335C-4F7B-453D-8D10-CEBCC5557BCC}"/>
            </a:ext>
          </a:extLst>
        </xdr:cNvPr>
        <xdr:cNvSpPr>
          <a:spLocks noChangeShapeType="1"/>
        </xdr:cNvSpPr>
      </xdr:nvSpPr>
      <xdr:spPr bwMode="auto">
        <a:xfrm rot="-1651313">
          <a:off x="3857625" y="657225"/>
          <a:ext cx="0" cy="17145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600075</xdr:colOff>
      <xdr:row>20</xdr:row>
      <xdr:rowOff>38100</xdr:rowOff>
    </xdr:from>
    <xdr:to>
      <xdr:col>6</xdr:col>
      <xdr:colOff>514350</xdr:colOff>
      <xdr:row>20</xdr:row>
      <xdr:rowOff>123825</xdr:rowOff>
    </xdr:to>
    <xdr:sp macro="" textlink="">
      <xdr:nvSpPr>
        <xdr:cNvPr id="74603" name="AutoShape 21">
          <a:extLst>
            <a:ext uri="{FF2B5EF4-FFF2-40B4-BE49-F238E27FC236}">
              <a16:creationId xmlns:a16="http://schemas.microsoft.com/office/drawing/2014/main" id="{6E2EC0B7-7320-4FA8-A0EB-CCE5C5B64EAE}"/>
            </a:ext>
          </a:extLst>
        </xdr:cNvPr>
        <xdr:cNvSpPr>
          <a:spLocks noChangeArrowheads="1"/>
        </xdr:cNvSpPr>
      </xdr:nvSpPr>
      <xdr:spPr bwMode="auto">
        <a:xfrm rot="-6288120">
          <a:off x="3914775" y="3133725"/>
          <a:ext cx="85725" cy="523875"/>
        </a:xfrm>
        <a:prstGeom prst="moon">
          <a:avLst>
            <a:gd name="adj" fmla="val 50000"/>
          </a:avLst>
        </a:prstGeom>
        <a:solidFill>
          <a:srgbClr xmlns:mc="http://schemas.openxmlformats.org/markup-compatibility/2006" xmlns:a14="http://schemas.microsoft.com/office/drawing/2010/main" val="969696" mc:Ignorable="a14" a14:legacySpreadsheetColorIndex="5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6</xdr:col>
      <xdr:colOff>238125</xdr:colOff>
      <xdr:row>5</xdr:row>
      <xdr:rowOff>28575</xdr:rowOff>
    </xdr:from>
    <xdr:to>
      <xdr:col>6</xdr:col>
      <xdr:colOff>247650</xdr:colOff>
      <xdr:row>20</xdr:row>
      <xdr:rowOff>66675</xdr:rowOff>
    </xdr:to>
    <xdr:sp macro="" textlink="">
      <xdr:nvSpPr>
        <xdr:cNvPr id="74604" name="Line 22">
          <a:extLst>
            <a:ext uri="{FF2B5EF4-FFF2-40B4-BE49-F238E27FC236}">
              <a16:creationId xmlns:a16="http://schemas.microsoft.com/office/drawing/2014/main" id="{24DEE740-91B6-4EAB-91C1-68BE141C4691}"/>
            </a:ext>
          </a:extLst>
        </xdr:cNvPr>
        <xdr:cNvSpPr>
          <a:spLocks noChangeShapeType="1"/>
        </xdr:cNvSpPr>
      </xdr:nvSpPr>
      <xdr:spPr bwMode="auto">
        <a:xfrm flipH="1">
          <a:off x="3943350" y="914400"/>
          <a:ext cx="9525" cy="2466975"/>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247650</xdr:colOff>
      <xdr:row>5</xdr:row>
      <xdr:rowOff>28575</xdr:rowOff>
    </xdr:from>
    <xdr:to>
      <xdr:col>7</xdr:col>
      <xdr:colOff>285750</xdr:colOff>
      <xdr:row>13</xdr:row>
      <xdr:rowOff>114300</xdr:rowOff>
    </xdr:to>
    <xdr:sp macro="" textlink="">
      <xdr:nvSpPr>
        <xdr:cNvPr id="74605" name="Line 23">
          <a:extLst>
            <a:ext uri="{FF2B5EF4-FFF2-40B4-BE49-F238E27FC236}">
              <a16:creationId xmlns:a16="http://schemas.microsoft.com/office/drawing/2014/main" id="{B23A4700-859A-4076-B6F7-D13C0395FC4C}"/>
            </a:ext>
          </a:extLst>
        </xdr:cNvPr>
        <xdr:cNvSpPr>
          <a:spLocks noChangeShapeType="1"/>
        </xdr:cNvSpPr>
      </xdr:nvSpPr>
      <xdr:spPr bwMode="auto">
        <a:xfrm>
          <a:off x="3952875" y="914400"/>
          <a:ext cx="647700" cy="13811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542925</xdr:colOff>
      <xdr:row>11</xdr:row>
      <xdr:rowOff>57150</xdr:rowOff>
    </xdr:from>
    <xdr:to>
      <xdr:col>6</xdr:col>
      <xdr:colOff>219075</xdr:colOff>
      <xdr:row>20</xdr:row>
      <xdr:rowOff>57150</xdr:rowOff>
    </xdr:to>
    <xdr:sp macro="" textlink="">
      <xdr:nvSpPr>
        <xdr:cNvPr id="74606" name="Line 24">
          <a:extLst>
            <a:ext uri="{FF2B5EF4-FFF2-40B4-BE49-F238E27FC236}">
              <a16:creationId xmlns:a16="http://schemas.microsoft.com/office/drawing/2014/main" id="{B36FC6E7-CD16-4763-B944-3B720B264D1D}"/>
            </a:ext>
          </a:extLst>
        </xdr:cNvPr>
        <xdr:cNvSpPr>
          <a:spLocks noChangeShapeType="1"/>
        </xdr:cNvSpPr>
      </xdr:nvSpPr>
      <xdr:spPr bwMode="auto">
        <a:xfrm flipH="1" flipV="1">
          <a:off x="3638550" y="1914525"/>
          <a:ext cx="285750" cy="14573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485775</xdr:colOff>
      <xdr:row>12</xdr:row>
      <xdr:rowOff>76200</xdr:rowOff>
    </xdr:from>
    <xdr:ext cx="144848" cy="170560"/>
    <xdr:sp macro="" textlink="">
      <xdr:nvSpPr>
        <xdr:cNvPr id="10265" name="Text Box 25">
          <a:extLst>
            <a:ext uri="{FF2B5EF4-FFF2-40B4-BE49-F238E27FC236}">
              <a16:creationId xmlns:a16="http://schemas.microsoft.com/office/drawing/2014/main" id="{E92DCE21-C158-48BD-BD15-16153217F1B5}"/>
            </a:ext>
          </a:extLst>
        </xdr:cNvPr>
        <xdr:cNvSpPr txBox="1">
          <a:spLocks noChangeArrowheads="1"/>
        </xdr:cNvSpPr>
      </xdr:nvSpPr>
      <xdr:spPr bwMode="auto">
        <a:xfrm>
          <a:off x="4191000" y="2095500"/>
          <a:ext cx="1448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3</a:t>
          </a:r>
        </a:p>
      </xdr:txBody>
    </xdr:sp>
    <xdr:clientData/>
  </xdr:oneCellAnchor>
  <xdr:twoCellAnchor>
    <xdr:from>
      <xdr:col>6</xdr:col>
      <xdr:colOff>266700</xdr:colOff>
      <xdr:row>13</xdr:row>
      <xdr:rowOff>47625</xdr:rowOff>
    </xdr:from>
    <xdr:to>
      <xdr:col>6</xdr:col>
      <xdr:colOff>457200</xdr:colOff>
      <xdr:row>13</xdr:row>
      <xdr:rowOff>104775</xdr:rowOff>
    </xdr:to>
    <xdr:sp macro="" textlink="">
      <xdr:nvSpPr>
        <xdr:cNvPr id="74608" name="Line 26">
          <a:extLst>
            <a:ext uri="{FF2B5EF4-FFF2-40B4-BE49-F238E27FC236}">
              <a16:creationId xmlns:a16="http://schemas.microsoft.com/office/drawing/2014/main" id="{688958BD-1608-46B5-9061-FE2EC0BAE11C}"/>
            </a:ext>
          </a:extLst>
        </xdr:cNvPr>
        <xdr:cNvSpPr>
          <a:spLocks noChangeShapeType="1"/>
        </xdr:cNvSpPr>
      </xdr:nvSpPr>
      <xdr:spPr bwMode="auto">
        <a:xfrm flipH="1">
          <a:off x="3971925" y="2228850"/>
          <a:ext cx="190500" cy="571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19050</xdr:colOff>
      <xdr:row>12</xdr:row>
      <xdr:rowOff>47625</xdr:rowOff>
    </xdr:from>
    <xdr:to>
      <xdr:col>7</xdr:col>
      <xdr:colOff>161925</xdr:colOff>
      <xdr:row>12</xdr:row>
      <xdr:rowOff>123825</xdr:rowOff>
    </xdr:to>
    <xdr:sp macro="" textlink="">
      <xdr:nvSpPr>
        <xdr:cNvPr id="74609" name="Line 27">
          <a:extLst>
            <a:ext uri="{FF2B5EF4-FFF2-40B4-BE49-F238E27FC236}">
              <a16:creationId xmlns:a16="http://schemas.microsoft.com/office/drawing/2014/main" id="{88D25CDC-E18C-45DF-A1D2-717A696B7908}"/>
            </a:ext>
          </a:extLst>
        </xdr:cNvPr>
        <xdr:cNvSpPr>
          <a:spLocks noChangeShapeType="1"/>
        </xdr:cNvSpPr>
      </xdr:nvSpPr>
      <xdr:spPr bwMode="auto">
        <a:xfrm flipV="1">
          <a:off x="4333875" y="2066925"/>
          <a:ext cx="142875" cy="762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4848" cy="170560"/>
    <xdr:sp macro="" textlink="">
      <xdr:nvSpPr>
        <xdr:cNvPr id="10268" name="Text Box 28">
          <a:extLst>
            <a:ext uri="{FF2B5EF4-FFF2-40B4-BE49-F238E27FC236}">
              <a16:creationId xmlns:a16="http://schemas.microsoft.com/office/drawing/2014/main" id="{11A4E5C6-C80A-4549-9BB4-946277821D9B}"/>
            </a:ext>
          </a:extLst>
        </xdr:cNvPr>
        <xdr:cNvSpPr txBox="1">
          <a:spLocks noChangeArrowheads="1"/>
        </xdr:cNvSpPr>
      </xdr:nvSpPr>
      <xdr:spPr bwMode="auto">
        <a:xfrm>
          <a:off x="3714750" y="1905000"/>
          <a:ext cx="1448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4</a:t>
          </a:r>
        </a:p>
      </xdr:txBody>
    </xdr:sp>
    <xdr:clientData/>
  </xdr:oneCellAnchor>
  <xdr:twoCellAnchor>
    <xdr:from>
      <xdr:col>6</xdr:col>
      <xdr:colOff>161925</xdr:colOff>
      <xdr:row>11</xdr:row>
      <xdr:rowOff>66675</xdr:rowOff>
    </xdr:from>
    <xdr:to>
      <xdr:col>6</xdr:col>
      <xdr:colOff>257175</xdr:colOff>
      <xdr:row>11</xdr:row>
      <xdr:rowOff>95250</xdr:rowOff>
    </xdr:to>
    <xdr:sp macro="" textlink="">
      <xdr:nvSpPr>
        <xdr:cNvPr id="74611" name="Line 29">
          <a:extLst>
            <a:ext uri="{FF2B5EF4-FFF2-40B4-BE49-F238E27FC236}">
              <a16:creationId xmlns:a16="http://schemas.microsoft.com/office/drawing/2014/main" id="{475088AA-1C3C-452B-B7E7-2A82D0EDB2BB}"/>
            </a:ext>
          </a:extLst>
        </xdr:cNvPr>
        <xdr:cNvSpPr>
          <a:spLocks noChangeShapeType="1"/>
        </xdr:cNvSpPr>
      </xdr:nvSpPr>
      <xdr:spPr bwMode="auto">
        <a:xfrm flipV="1">
          <a:off x="3867150" y="1924050"/>
          <a:ext cx="95250"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561975</xdr:colOff>
      <xdr:row>11</xdr:row>
      <xdr:rowOff>152400</xdr:rowOff>
    </xdr:from>
    <xdr:to>
      <xdr:col>6</xdr:col>
      <xdr:colOff>19050</xdr:colOff>
      <xdr:row>12</xdr:row>
      <xdr:rowOff>19050</xdr:rowOff>
    </xdr:to>
    <xdr:sp macro="" textlink="">
      <xdr:nvSpPr>
        <xdr:cNvPr id="74612" name="Line 30">
          <a:extLst>
            <a:ext uri="{FF2B5EF4-FFF2-40B4-BE49-F238E27FC236}">
              <a16:creationId xmlns:a16="http://schemas.microsoft.com/office/drawing/2014/main" id="{37E5D22B-8916-4AFF-99F5-C6B15B1336FE}"/>
            </a:ext>
          </a:extLst>
        </xdr:cNvPr>
        <xdr:cNvSpPr>
          <a:spLocks noChangeShapeType="1"/>
        </xdr:cNvSpPr>
      </xdr:nvSpPr>
      <xdr:spPr bwMode="auto">
        <a:xfrm flipH="1">
          <a:off x="3657600" y="2009775"/>
          <a:ext cx="66675"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133350</xdr:colOff>
      <xdr:row>20</xdr:row>
      <xdr:rowOff>142875</xdr:rowOff>
    </xdr:from>
    <xdr:to>
      <xdr:col>6</xdr:col>
      <xdr:colOff>323850</xdr:colOff>
      <xdr:row>22</xdr:row>
      <xdr:rowOff>47625</xdr:rowOff>
    </xdr:to>
    <xdr:sp macro="" textlink="">
      <xdr:nvSpPr>
        <xdr:cNvPr id="74613" name="AutoShape 31">
          <a:extLst>
            <a:ext uri="{FF2B5EF4-FFF2-40B4-BE49-F238E27FC236}">
              <a16:creationId xmlns:a16="http://schemas.microsoft.com/office/drawing/2014/main" id="{D926F59C-0E3F-49B0-BE95-7E16E91461C8}"/>
            </a:ext>
          </a:extLst>
        </xdr:cNvPr>
        <xdr:cNvSpPr>
          <a:spLocks noChangeArrowheads="1"/>
        </xdr:cNvSpPr>
      </xdr:nvSpPr>
      <xdr:spPr bwMode="auto">
        <a:xfrm>
          <a:off x="3838575" y="3457575"/>
          <a:ext cx="190500" cy="228600"/>
        </a:xfrm>
        <a:prstGeom prst="triangle">
          <a:avLst>
            <a:gd name="adj" fmla="val 50000"/>
          </a:avLst>
        </a:prstGeom>
        <a:solidFill>
          <a:srgbClr xmlns:mc="http://schemas.openxmlformats.org/markup-compatibility/2006" xmlns:a14="http://schemas.microsoft.com/office/drawing/2010/main" val="969696" mc:Ignorable="a14" a14:legacySpreadsheetColorIndex="5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5</xdr:col>
      <xdr:colOff>438150</xdr:colOff>
      <xdr:row>5</xdr:row>
      <xdr:rowOff>104775</xdr:rowOff>
    </xdr:from>
    <xdr:to>
      <xdr:col>6</xdr:col>
      <xdr:colOff>114300</xdr:colOff>
      <xdr:row>6</xdr:row>
      <xdr:rowOff>95250</xdr:rowOff>
    </xdr:to>
    <xdr:sp macro="" textlink="">
      <xdr:nvSpPr>
        <xdr:cNvPr id="74614" name="Line 32">
          <a:extLst>
            <a:ext uri="{FF2B5EF4-FFF2-40B4-BE49-F238E27FC236}">
              <a16:creationId xmlns:a16="http://schemas.microsoft.com/office/drawing/2014/main" id="{E2998B5F-5366-4253-B417-1464B7DD7622}"/>
            </a:ext>
          </a:extLst>
        </xdr:cNvPr>
        <xdr:cNvSpPr>
          <a:spLocks noChangeShapeType="1"/>
        </xdr:cNvSpPr>
      </xdr:nvSpPr>
      <xdr:spPr bwMode="auto">
        <a:xfrm flipH="1">
          <a:off x="3533775" y="990600"/>
          <a:ext cx="285750"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123825</xdr:rowOff>
    </xdr:to>
    <xdr:sp macro="" textlink="">
      <xdr:nvSpPr>
        <xdr:cNvPr id="74615" name="Line 33">
          <a:extLst>
            <a:ext uri="{FF2B5EF4-FFF2-40B4-BE49-F238E27FC236}">
              <a16:creationId xmlns:a16="http://schemas.microsoft.com/office/drawing/2014/main" id="{761F8FD0-910A-4390-95BF-EFF256DDB338}"/>
            </a:ext>
          </a:extLst>
        </xdr:cNvPr>
        <xdr:cNvSpPr>
          <a:spLocks noChangeShapeType="1"/>
        </xdr:cNvSpPr>
      </xdr:nvSpPr>
      <xdr:spPr bwMode="auto">
        <a:xfrm flipH="1">
          <a:off x="4086225" y="695325"/>
          <a:ext cx="285750" cy="1524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238125</xdr:colOff>
      <xdr:row>5</xdr:row>
      <xdr:rowOff>142875</xdr:rowOff>
    </xdr:from>
    <xdr:to>
      <xdr:col>6</xdr:col>
      <xdr:colOff>438150</xdr:colOff>
      <xdr:row>6</xdr:row>
      <xdr:rowOff>57150</xdr:rowOff>
    </xdr:to>
    <xdr:sp macro="" textlink="">
      <xdr:nvSpPr>
        <xdr:cNvPr id="74616" name="AutoShape 34">
          <a:extLst>
            <a:ext uri="{FF2B5EF4-FFF2-40B4-BE49-F238E27FC236}">
              <a16:creationId xmlns:a16="http://schemas.microsoft.com/office/drawing/2014/main" id="{5D98ABC3-4264-44FE-B840-8C1A35C62DF3}"/>
            </a:ext>
          </a:extLst>
        </xdr:cNvPr>
        <xdr:cNvSpPr>
          <a:spLocks noChangeArrowheads="1"/>
        </xdr:cNvSpPr>
      </xdr:nvSpPr>
      <xdr:spPr bwMode="auto">
        <a:xfrm rot="3473625">
          <a:off x="4005263" y="966787"/>
          <a:ext cx="76200" cy="200025"/>
        </a:xfrm>
        <a:prstGeom prst="moon">
          <a:avLst>
            <a:gd name="adj" fmla="val 50000"/>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oneCellAnchor>
    <xdr:from>
      <xdr:col>1</xdr:col>
      <xdr:colOff>600075</xdr:colOff>
      <xdr:row>3</xdr:row>
      <xdr:rowOff>76200</xdr:rowOff>
    </xdr:from>
    <xdr:ext cx="142875" cy="161925"/>
    <xdr:sp macro="" textlink="">
      <xdr:nvSpPr>
        <xdr:cNvPr id="10275" name="Text Box 35">
          <a:extLst>
            <a:ext uri="{FF2B5EF4-FFF2-40B4-BE49-F238E27FC236}">
              <a16:creationId xmlns:a16="http://schemas.microsoft.com/office/drawing/2014/main" id="{DC9169A8-590F-41EE-85FD-A0BE309DBE6D}"/>
            </a:ext>
          </a:extLst>
        </xdr:cNvPr>
        <xdr:cNvSpPr txBox="1">
          <a:spLocks noChangeArrowheads="1"/>
        </xdr:cNvSpPr>
      </xdr:nvSpPr>
      <xdr:spPr bwMode="auto">
        <a:xfrm>
          <a:off x="1209675" y="638175"/>
          <a:ext cx="200025"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+Z</a:t>
          </a:r>
        </a:p>
      </xdr:txBody>
    </xdr:sp>
    <xdr:clientData/>
  </xdr:oneCellAnchor>
  <xdr:oneCellAnchor>
    <xdr:from>
      <xdr:col>1</xdr:col>
      <xdr:colOff>342900</xdr:colOff>
      <xdr:row>6</xdr:row>
      <xdr:rowOff>38100</xdr:rowOff>
    </xdr:from>
    <xdr:ext cx="146771" cy="141001"/>
    <xdr:sp macro="" textlink="">
      <xdr:nvSpPr>
        <xdr:cNvPr id="10276" name="Text Box 36">
          <a:extLst>
            <a:ext uri="{FF2B5EF4-FFF2-40B4-BE49-F238E27FC236}">
              <a16:creationId xmlns:a16="http://schemas.microsoft.com/office/drawing/2014/main" id="{6AD1250F-E46A-4D5B-B228-5E0E5FEBC638}"/>
            </a:ext>
          </a:extLst>
        </xdr:cNvPr>
        <xdr:cNvSpPr txBox="1">
          <a:spLocks noChangeArrowheads="1"/>
        </xdr:cNvSpPr>
      </xdr:nvSpPr>
      <xdr:spPr bwMode="auto">
        <a:xfrm>
          <a:off x="952500" y="1085850"/>
          <a:ext cx="146771" cy="1410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+X</a:t>
          </a:r>
        </a:p>
      </xdr:txBody>
    </xdr:sp>
    <xdr:clientData/>
  </xdr:oneCellAnchor>
  <xdr:oneCellAnchor>
    <xdr:from>
      <xdr:col>2</xdr:col>
      <xdr:colOff>371475</xdr:colOff>
      <xdr:row>6</xdr:row>
      <xdr:rowOff>142875</xdr:rowOff>
    </xdr:from>
    <xdr:ext cx="123825" cy="161925"/>
    <xdr:sp macro="" textlink="">
      <xdr:nvSpPr>
        <xdr:cNvPr id="10277" name="Text Box 37">
          <a:extLst>
            <a:ext uri="{FF2B5EF4-FFF2-40B4-BE49-F238E27FC236}">
              <a16:creationId xmlns:a16="http://schemas.microsoft.com/office/drawing/2014/main" id="{BB1464EA-749C-48BB-8E6D-FBADE19E0A6B}"/>
            </a:ext>
          </a:extLst>
        </xdr:cNvPr>
        <xdr:cNvSpPr txBox="1">
          <a:spLocks noChangeArrowheads="1"/>
        </xdr:cNvSpPr>
      </xdr:nvSpPr>
      <xdr:spPr bwMode="auto">
        <a:xfrm>
          <a:off x="1590675" y="1190625"/>
          <a:ext cx="180975"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-Z</a:t>
          </a:r>
        </a:p>
      </xdr:txBody>
    </xdr:sp>
    <xdr:clientData/>
  </xdr:oneCellAnchor>
  <xdr:oneCellAnchor>
    <xdr:from>
      <xdr:col>5</xdr:col>
      <xdr:colOff>571500</xdr:colOff>
      <xdr:row>2</xdr:row>
      <xdr:rowOff>123825</xdr:rowOff>
    </xdr:from>
    <xdr:ext cx="142875" cy="161925"/>
    <xdr:sp macro="" textlink="">
      <xdr:nvSpPr>
        <xdr:cNvPr id="10278" name="Text Box 38">
          <a:extLst>
            <a:ext uri="{FF2B5EF4-FFF2-40B4-BE49-F238E27FC236}">
              <a16:creationId xmlns:a16="http://schemas.microsoft.com/office/drawing/2014/main" id="{F9F96B60-B9F1-487B-B86C-EFE91D9D4B9A}"/>
            </a:ext>
          </a:extLst>
        </xdr:cNvPr>
        <xdr:cNvSpPr txBox="1">
          <a:spLocks noChangeArrowheads="1"/>
        </xdr:cNvSpPr>
      </xdr:nvSpPr>
      <xdr:spPr bwMode="auto">
        <a:xfrm>
          <a:off x="3667125" y="523875"/>
          <a:ext cx="200025"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+Z</a:t>
          </a:r>
        </a:p>
      </xdr:txBody>
    </xdr:sp>
    <xdr:clientData/>
  </xdr:oneCellAnchor>
  <xdr:oneCellAnchor>
    <xdr:from>
      <xdr:col>5</xdr:col>
      <xdr:colOff>295275</xdr:colOff>
      <xdr:row>6</xdr:row>
      <xdr:rowOff>28575</xdr:rowOff>
    </xdr:from>
    <xdr:ext cx="146771" cy="141001"/>
    <xdr:sp macro="" textlink="">
      <xdr:nvSpPr>
        <xdr:cNvPr id="10279" name="Text Box 39">
          <a:extLst>
            <a:ext uri="{FF2B5EF4-FFF2-40B4-BE49-F238E27FC236}">
              <a16:creationId xmlns:a16="http://schemas.microsoft.com/office/drawing/2014/main" id="{004DB39D-0A63-4C5B-9C3B-96FF6704E227}"/>
            </a:ext>
          </a:extLst>
        </xdr:cNvPr>
        <xdr:cNvSpPr txBox="1">
          <a:spLocks noChangeArrowheads="1"/>
        </xdr:cNvSpPr>
      </xdr:nvSpPr>
      <xdr:spPr bwMode="auto">
        <a:xfrm>
          <a:off x="3390900" y="1076325"/>
          <a:ext cx="146771" cy="1410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+X</a:t>
          </a:r>
        </a:p>
      </xdr:txBody>
    </xdr:sp>
    <xdr:clientData/>
  </xdr:oneCellAnchor>
  <xdr:oneCellAnchor>
    <xdr:from>
      <xdr:col>6</xdr:col>
      <xdr:colOff>295275</xdr:colOff>
      <xdr:row>6</xdr:row>
      <xdr:rowOff>66675</xdr:rowOff>
    </xdr:from>
    <xdr:ext cx="123825" cy="161925"/>
    <xdr:sp macro="" textlink="">
      <xdr:nvSpPr>
        <xdr:cNvPr id="10280" name="Text Box 40">
          <a:extLst>
            <a:ext uri="{FF2B5EF4-FFF2-40B4-BE49-F238E27FC236}">
              <a16:creationId xmlns:a16="http://schemas.microsoft.com/office/drawing/2014/main" id="{DB9C6C3A-0421-4738-A674-DF51F5146E87}"/>
            </a:ext>
          </a:extLst>
        </xdr:cNvPr>
        <xdr:cNvSpPr txBox="1">
          <a:spLocks noChangeArrowheads="1"/>
        </xdr:cNvSpPr>
      </xdr:nvSpPr>
      <xdr:spPr bwMode="auto">
        <a:xfrm>
          <a:off x="4000500" y="1114425"/>
          <a:ext cx="180975"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1" i="0" u="none" strike="noStrike" baseline="0">
              <a:solidFill>
                <a:srgbClr val="000000"/>
              </a:solidFill>
              <a:latin typeface="Arial"/>
              <a:cs typeface="Arial"/>
            </a:rPr>
            <a:t>-Z</a:t>
          </a:r>
        </a:p>
      </xdr:txBody>
    </xdr:sp>
    <xdr:clientData/>
  </xdr:oneCellAnchor>
  <xdr:twoCellAnchor>
    <xdr:from>
      <xdr:col>4</xdr:col>
      <xdr:colOff>342900</xdr:colOff>
      <xdr:row>34</xdr:row>
      <xdr:rowOff>85725</xdr:rowOff>
    </xdr:from>
    <xdr:to>
      <xdr:col>4</xdr:col>
      <xdr:colOff>647700</xdr:colOff>
      <xdr:row>34</xdr:row>
      <xdr:rowOff>85725</xdr:rowOff>
    </xdr:to>
    <xdr:sp macro="" textlink="">
      <xdr:nvSpPr>
        <xdr:cNvPr id="74623" name="Line 41">
          <a:extLst>
            <a:ext uri="{FF2B5EF4-FFF2-40B4-BE49-F238E27FC236}">
              <a16:creationId xmlns:a16="http://schemas.microsoft.com/office/drawing/2014/main" id="{89FE37A4-F91D-49CB-AA6F-8A6979F0AF2D}"/>
            </a:ext>
          </a:extLst>
        </xdr:cNvPr>
        <xdr:cNvSpPr>
          <a:spLocks noChangeShapeType="1"/>
        </xdr:cNvSpPr>
      </xdr:nvSpPr>
      <xdr:spPr bwMode="auto">
        <a:xfrm flipH="1" flipV="1">
          <a:off x="2781300" y="5972175"/>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34</xdr:row>
      <xdr:rowOff>85725</xdr:rowOff>
    </xdr:from>
    <xdr:to>
      <xdr:col>4</xdr:col>
      <xdr:colOff>342900</xdr:colOff>
      <xdr:row>35</xdr:row>
      <xdr:rowOff>0</xdr:rowOff>
    </xdr:to>
    <xdr:sp macro="" textlink="">
      <xdr:nvSpPr>
        <xdr:cNvPr id="74624" name="Line 42">
          <a:extLst>
            <a:ext uri="{FF2B5EF4-FFF2-40B4-BE49-F238E27FC236}">
              <a16:creationId xmlns:a16="http://schemas.microsoft.com/office/drawing/2014/main" id="{82B24368-4651-494B-A966-5D1D4C5B7D75}"/>
            </a:ext>
          </a:extLst>
        </xdr:cNvPr>
        <xdr:cNvSpPr>
          <a:spLocks noChangeShapeType="1"/>
        </xdr:cNvSpPr>
      </xdr:nvSpPr>
      <xdr:spPr bwMode="auto">
        <a:xfrm flipH="1">
          <a:off x="2781300" y="5972175"/>
          <a:ext cx="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342900</xdr:colOff>
      <xdr:row>50</xdr:row>
      <xdr:rowOff>76200</xdr:rowOff>
    </xdr:from>
    <xdr:to>
      <xdr:col>4</xdr:col>
      <xdr:colOff>647700</xdr:colOff>
      <xdr:row>50</xdr:row>
      <xdr:rowOff>76200</xdr:rowOff>
    </xdr:to>
    <xdr:sp macro="" textlink="">
      <xdr:nvSpPr>
        <xdr:cNvPr id="74625" name="Line 44">
          <a:extLst>
            <a:ext uri="{FF2B5EF4-FFF2-40B4-BE49-F238E27FC236}">
              <a16:creationId xmlns:a16="http://schemas.microsoft.com/office/drawing/2014/main" id="{0F3DEA38-A8B1-4EC0-B0CE-0197D32EE400}"/>
            </a:ext>
          </a:extLst>
        </xdr:cNvPr>
        <xdr:cNvSpPr>
          <a:spLocks noChangeShapeType="1"/>
        </xdr:cNvSpPr>
      </xdr:nvSpPr>
      <xdr:spPr bwMode="auto">
        <a:xfrm flipH="1" flipV="1">
          <a:off x="2781300" y="996315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50</xdr:row>
      <xdr:rowOff>76200</xdr:rowOff>
    </xdr:from>
    <xdr:to>
      <xdr:col>4</xdr:col>
      <xdr:colOff>342900</xdr:colOff>
      <xdr:row>50</xdr:row>
      <xdr:rowOff>161925</xdr:rowOff>
    </xdr:to>
    <xdr:sp macro="" textlink="">
      <xdr:nvSpPr>
        <xdr:cNvPr id="74626" name="Line 45">
          <a:extLst>
            <a:ext uri="{FF2B5EF4-FFF2-40B4-BE49-F238E27FC236}">
              <a16:creationId xmlns:a16="http://schemas.microsoft.com/office/drawing/2014/main" id="{684B12F9-84E6-41FF-831E-17D1B7739844}"/>
            </a:ext>
          </a:extLst>
        </xdr:cNvPr>
        <xdr:cNvSpPr>
          <a:spLocks noChangeShapeType="1"/>
        </xdr:cNvSpPr>
      </xdr:nvSpPr>
      <xdr:spPr bwMode="auto">
        <a:xfrm flipH="1">
          <a:off x="2781300" y="9963150"/>
          <a:ext cx="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123825</xdr:rowOff>
    </xdr:from>
    <xdr:ext cx="1278620" cy="141001"/>
    <xdr:sp macro="" textlink="">
      <xdr:nvSpPr>
        <xdr:cNvPr id="10287" name="Text Box 47">
          <a:extLst>
            <a:ext uri="{FF2B5EF4-FFF2-40B4-BE49-F238E27FC236}">
              <a16:creationId xmlns:a16="http://schemas.microsoft.com/office/drawing/2014/main" id="{5262B39B-69AA-464F-BA2A-8258237DF873}"/>
            </a:ext>
          </a:extLst>
        </xdr:cNvPr>
        <xdr:cNvSpPr txBox="1">
          <a:spLocks noChangeArrowheads="1"/>
        </xdr:cNvSpPr>
      </xdr:nvSpPr>
      <xdr:spPr bwMode="auto">
        <a:xfrm>
          <a:off x="2257425" y="1495425"/>
          <a:ext cx="1278620" cy="1410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800" b="0" i="0" u="none" strike="noStrike" baseline="0">
              <a:solidFill>
                <a:srgbClr val="000000"/>
              </a:solidFill>
              <a:latin typeface="Arial"/>
              <a:cs typeface="Arial"/>
            </a:rPr>
            <a:t>Spacecraft Symmetry Axis  </a:t>
          </a:r>
        </a:p>
      </xdr:txBody>
    </xdr:sp>
    <xdr:clientData/>
  </xdr:oneCellAnchor>
  <xdr:twoCellAnchor>
    <xdr:from>
      <xdr:col>2</xdr:col>
      <xdr:colOff>600075</xdr:colOff>
      <xdr:row>9</xdr:row>
      <xdr:rowOff>28575</xdr:rowOff>
    </xdr:from>
    <xdr:to>
      <xdr:col>3</xdr:col>
      <xdr:colOff>400050</xdr:colOff>
      <xdr:row>9</xdr:row>
      <xdr:rowOff>76200</xdr:rowOff>
    </xdr:to>
    <xdr:sp macro="" textlink="">
      <xdr:nvSpPr>
        <xdr:cNvPr id="74628" name="Line 49">
          <a:extLst>
            <a:ext uri="{FF2B5EF4-FFF2-40B4-BE49-F238E27FC236}">
              <a16:creationId xmlns:a16="http://schemas.microsoft.com/office/drawing/2014/main" id="{B7A51F1B-80BF-411C-A16F-27361871BDC1}"/>
            </a:ext>
          </a:extLst>
        </xdr:cNvPr>
        <xdr:cNvSpPr>
          <a:spLocks noChangeShapeType="1"/>
        </xdr:cNvSpPr>
      </xdr:nvSpPr>
      <xdr:spPr bwMode="auto">
        <a:xfrm flipH="1">
          <a:off x="1819275" y="1562100"/>
          <a:ext cx="409575" cy="476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485775</xdr:colOff>
      <xdr:row>7</xdr:row>
      <xdr:rowOff>133350</xdr:rowOff>
    </xdr:from>
    <xdr:to>
      <xdr:col>6</xdr:col>
      <xdr:colOff>428625</xdr:colOff>
      <xdr:row>9</xdr:row>
      <xdr:rowOff>47625</xdr:rowOff>
    </xdr:to>
    <xdr:sp macro="" textlink="">
      <xdr:nvSpPr>
        <xdr:cNvPr id="74629" name="Line 50">
          <a:extLst>
            <a:ext uri="{FF2B5EF4-FFF2-40B4-BE49-F238E27FC236}">
              <a16:creationId xmlns:a16="http://schemas.microsoft.com/office/drawing/2014/main" id="{94FDD2AA-4203-42B0-A5E1-9DE0F4670D80}"/>
            </a:ext>
          </a:extLst>
        </xdr:cNvPr>
        <xdr:cNvSpPr>
          <a:spLocks noChangeShapeType="1"/>
        </xdr:cNvSpPr>
      </xdr:nvSpPr>
      <xdr:spPr bwMode="auto">
        <a:xfrm flipV="1">
          <a:off x="3581400" y="1343025"/>
          <a:ext cx="552450" cy="2381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257175</xdr:colOff>
      <xdr:row>31</xdr:row>
      <xdr:rowOff>152400</xdr:rowOff>
    </xdr:from>
    <xdr:to>
      <xdr:col>18</xdr:col>
      <xdr:colOff>266700</xdr:colOff>
      <xdr:row>36</xdr:row>
      <xdr:rowOff>38100</xdr:rowOff>
    </xdr:to>
    <xdr:sp macro="" textlink="">
      <xdr:nvSpPr>
        <xdr:cNvPr id="74630" name="Line 52">
          <a:extLst>
            <a:ext uri="{FF2B5EF4-FFF2-40B4-BE49-F238E27FC236}">
              <a16:creationId xmlns:a16="http://schemas.microsoft.com/office/drawing/2014/main" id="{0081D1F5-39D5-49C4-830D-31FA115CC57D}"/>
            </a:ext>
          </a:extLst>
        </xdr:cNvPr>
        <xdr:cNvSpPr>
          <a:spLocks noChangeShapeType="1"/>
        </xdr:cNvSpPr>
      </xdr:nvSpPr>
      <xdr:spPr bwMode="auto">
        <a:xfrm flipH="1">
          <a:off x="12439650" y="5448300"/>
          <a:ext cx="9525" cy="857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9525</xdr:colOff>
      <xdr:row>57</xdr:row>
      <xdr:rowOff>76200</xdr:rowOff>
    </xdr:from>
    <xdr:ext cx="2228174" cy="433452"/>
    <xdr:sp macro="" textlink="">
      <xdr:nvSpPr>
        <xdr:cNvPr id="10293" name="Text Box 53">
          <a:extLst>
            <a:ext uri="{FF2B5EF4-FFF2-40B4-BE49-F238E27FC236}">
              <a16:creationId xmlns:a16="http://schemas.microsoft.com/office/drawing/2014/main" id="{E4FD5EEA-14CD-4B6D-B2DD-5C0B3DA44DC8}"/>
            </a:ext>
          </a:extLst>
        </xdr:cNvPr>
        <xdr:cNvSpPr txBox="1">
          <a:spLocks noChangeArrowheads="1"/>
        </xdr:cNvSpPr>
      </xdr:nvSpPr>
      <xdr:spPr bwMode="auto">
        <a:xfrm>
          <a:off x="13411200" y="11744325"/>
          <a:ext cx="2228174" cy="43345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100"/>
            </a:lnSpc>
            <a:defRPr sz="1000"/>
          </a:pPr>
          <a:r>
            <a:rPr lang="en-US" sz="1000" b="0" i="0" u="none" strike="noStrike" baseline="0">
              <a:solidFill>
                <a:srgbClr val="000000"/>
              </a:solidFill>
              <a:latin typeface="Arial"/>
              <a:cs typeface="Arial"/>
            </a:rPr>
            <a:t>Link Model operator enter equation for </a:t>
          </a:r>
        </a:p>
        <a:p>
          <a:pPr algn="l" rtl="0">
            <a:lnSpc>
              <a:spcPts val="1100"/>
            </a:lnSpc>
            <a:defRPr sz="1000"/>
          </a:pPr>
          <a:r>
            <a:rPr lang="en-US" sz="1000" b="0" i="0" u="none" strike="noStrike" baseline="0">
              <a:solidFill>
                <a:srgbClr val="000000"/>
              </a:solidFill>
              <a:latin typeface="Arial"/>
              <a:cs typeface="Arial"/>
            </a:rPr>
            <a:t>functional behavior of user defined </a:t>
          </a:r>
        </a:p>
        <a:p>
          <a:pPr algn="l" rtl="0">
            <a:lnSpc>
              <a:spcPts val="1000"/>
            </a:lnSpc>
            <a:defRPr sz="1000"/>
          </a:pPr>
          <a:r>
            <a:rPr lang="en-US" sz="1000" b="0" i="0" u="none" strike="noStrike" baseline="0">
              <a:solidFill>
                <a:srgbClr val="000000"/>
              </a:solidFill>
              <a:latin typeface="Arial"/>
              <a:cs typeface="Arial"/>
            </a:rPr>
            <a:t>antenna here.</a:t>
          </a:r>
        </a:p>
      </xdr:txBody>
    </xdr:sp>
    <xdr:clientData/>
  </xdr:oneCellAnchor>
  <xdr:twoCellAnchor>
    <xdr:from>
      <xdr:col>19</xdr:col>
      <xdr:colOff>9525</xdr:colOff>
      <xdr:row>57</xdr:row>
      <xdr:rowOff>171450</xdr:rowOff>
    </xdr:from>
    <xdr:to>
      <xdr:col>20</xdr:col>
      <xdr:colOff>0</xdr:colOff>
      <xdr:row>57</xdr:row>
      <xdr:rowOff>171450</xdr:rowOff>
    </xdr:to>
    <xdr:sp macro="" textlink="">
      <xdr:nvSpPr>
        <xdr:cNvPr id="74632" name="Line 54">
          <a:extLst>
            <a:ext uri="{FF2B5EF4-FFF2-40B4-BE49-F238E27FC236}">
              <a16:creationId xmlns:a16="http://schemas.microsoft.com/office/drawing/2014/main" id="{AA4FDFAA-B31A-4B7E-B79A-676C5D1380BC}"/>
            </a:ext>
          </a:extLst>
        </xdr:cNvPr>
        <xdr:cNvSpPr>
          <a:spLocks noChangeShapeType="1"/>
        </xdr:cNvSpPr>
      </xdr:nvSpPr>
      <xdr:spPr bwMode="auto">
        <a:xfrm flipH="1">
          <a:off x="12801600" y="11839575"/>
          <a:ext cx="600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590550</xdr:colOff>
      <xdr:row>51</xdr:row>
      <xdr:rowOff>161925</xdr:rowOff>
    </xdr:from>
    <xdr:to>
      <xdr:col>17</xdr:col>
      <xdr:colOff>590550</xdr:colOff>
      <xdr:row>53</xdr:row>
      <xdr:rowOff>9525</xdr:rowOff>
    </xdr:to>
    <xdr:sp macro="" textlink="">
      <xdr:nvSpPr>
        <xdr:cNvPr id="74633" name="Line 55">
          <a:extLst>
            <a:ext uri="{FF2B5EF4-FFF2-40B4-BE49-F238E27FC236}">
              <a16:creationId xmlns:a16="http://schemas.microsoft.com/office/drawing/2014/main" id="{87667AE7-E241-4FE0-A624-097D60CF145A}"/>
            </a:ext>
          </a:extLst>
        </xdr:cNvPr>
        <xdr:cNvSpPr>
          <a:spLocks noChangeShapeType="1"/>
        </xdr:cNvSpPr>
      </xdr:nvSpPr>
      <xdr:spPr bwMode="auto">
        <a:xfrm>
          <a:off x="12134850" y="10220325"/>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590550</xdr:colOff>
      <xdr:row>48</xdr:row>
      <xdr:rowOff>0</xdr:rowOff>
    </xdr:from>
    <xdr:to>
      <xdr:col>17</xdr:col>
      <xdr:colOff>590550</xdr:colOff>
      <xdr:row>49</xdr:row>
      <xdr:rowOff>0</xdr:rowOff>
    </xdr:to>
    <xdr:sp macro="" textlink="">
      <xdr:nvSpPr>
        <xdr:cNvPr id="74634" name="Line 56">
          <a:extLst>
            <a:ext uri="{FF2B5EF4-FFF2-40B4-BE49-F238E27FC236}">
              <a16:creationId xmlns:a16="http://schemas.microsoft.com/office/drawing/2014/main" id="{C7D64648-B3CE-4049-A590-C653959D7E73}"/>
            </a:ext>
          </a:extLst>
        </xdr:cNvPr>
        <xdr:cNvSpPr>
          <a:spLocks noChangeShapeType="1"/>
        </xdr:cNvSpPr>
      </xdr:nvSpPr>
      <xdr:spPr bwMode="auto">
        <a:xfrm flipV="1">
          <a:off x="12134850" y="9505950"/>
          <a:ext cx="0"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64</xdr:row>
      <xdr:rowOff>0</xdr:rowOff>
    </xdr:from>
    <xdr:to>
      <xdr:col>3</xdr:col>
      <xdr:colOff>266700</xdr:colOff>
      <xdr:row>65</xdr:row>
      <xdr:rowOff>0</xdr:rowOff>
    </xdr:to>
    <xdr:sp macro="" textlink="">
      <xdr:nvSpPr>
        <xdr:cNvPr id="74635" name="Line 62">
          <a:extLst>
            <a:ext uri="{FF2B5EF4-FFF2-40B4-BE49-F238E27FC236}">
              <a16:creationId xmlns:a16="http://schemas.microsoft.com/office/drawing/2014/main" id="{6EC7BEE4-F959-4DAC-ADF0-54EF6EE27F15}"/>
            </a:ext>
          </a:extLst>
        </xdr:cNvPr>
        <xdr:cNvSpPr>
          <a:spLocks noChangeShapeType="1"/>
        </xdr:cNvSpPr>
      </xdr:nvSpPr>
      <xdr:spPr bwMode="auto">
        <a:xfrm flipV="1">
          <a:off x="2095500" y="12963525"/>
          <a:ext cx="0" cy="200025"/>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333375</xdr:colOff>
      <xdr:row>64</xdr:row>
      <xdr:rowOff>9525</xdr:rowOff>
    </xdr:from>
    <xdr:to>
      <xdr:col>10</xdr:col>
      <xdr:colOff>342900</xdr:colOff>
      <xdr:row>65</xdr:row>
      <xdr:rowOff>0</xdr:rowOff>
    </xdr:to>
    <xdr:sp macro="" textlink="">
      <xdr:nvSpPr>
        <xdr:cNvPr id="74636" name="Line 63">
          <a:extLst>
            <a:ext uri="{FF2B5EF4-FFF2-40B4-BE49-F238E27FC236}">
              <a16:creationId xmlns:a16="http://schemas.microsoft.com/office/drawing/2014/main" id="{22B6A0E3-FA39-4F78-8294-A34056634CF8}"/>
            </a:ext>
          </a:extLst>
        </xdr:cNvPr>
        <xdr:cNvSpPr>
          <a:spLocks noChangeShapeType="1"/>
        </xdr:cNvSpPr>
      </xdr:nvSpPr>
      <xdr:spPr bwMode="auto">
        <a:xfrm>
          <a:off x="6696075" y="12973050"/>
          <a:ext cx="9525" cy="19050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342900</xdr:colOff>
      <xdr:row>70</xdr:row>
      <xdr:rowOff>76200</xdr:rowOff>
    </xdr:from>
    <xdr:to>
      <xdr:col>4</xdr:col>
      <xdr:colOff>647700</xdr:colOff>
      <xdr:row>70</xdr:row>
      <xdr:rowOff>76200</xdr:rowOff>
    </xdr:to>
    <xdr:sp macro="" textlink="">
      <xdr:nvSpPr>
        <xdr:cNvPr id="74637" name="Line 64">
          <a:extLst>
            <a:ext uri="{FF2B5EF4-FFF2-40B4-BE49-F238E27FC236}">
              <a16:creationId xmlns:a16="http://schemas.microsoft.com/office/drawing/2014/main" id="{9186F0E2-8552-4ED7-B548-4D390482A818}"/>
            </a:ext>
          </a:extLst>
        </xdr:cNvPr>
        <xdr:cNvSpPr>
          <a:spLocks noChangeShapeType="1"/>
        </xdr:cNvSpPr>
      </xdr:nvSpPr>
      <xdr:spPr bwMode="auto">
        <a:xfrm flipH="1" flipV="1">
          <a:off x="2781300" y="1421130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70</xdr:row>
      <xdr:rowOff>76200</xdr:rowOff>
    </xdr:from>
    <xdr:to>
      <xdr:col>4</xdr:col>
      <xdr:colOff>342900</xdr:colOff>
      <xdr:row>70</xdr:row>
      <xdr:rowOff>161925</xdr:rowOff>
    </xdr:to>
    <xdr:sp macro="" textlink="">
      <xdr:nvSpPr>
        <xdr:cNvPr id="74638" name="Line 65">
          <a:extLst>
            <a:ext uri="{FF2B5EF4-FFF2-40B4-BE49-F238E27FC236}">
              <a16:creationId xmlns:a16="http://schemas.microsoft.com/office/drawing/2014/main" id="{92F6177C-BB83-42A2-9070-1A757251C3CB}"/>
            </a:ext>
          </a:extLst>
        </xdr:cNvPr>
        <xdr:cNvSpPr>
          <a:spLocks noChangeShapeType="1"/>
        </xdr:cNvSpPr>
      </xdr:nvSpPr>
      <xdr:spPr bwMode="auto">
        <a:xfrm flipH="1">
          <a:off x="2781300" y="14211300"/>
          <a:ext cx="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0</xdr:colOff>
      <xdr:row>77</xdr:row>
      <xdr:rowOff>28575</xdr:rowOff>
    </xdr:from>
    <xdr:ext cx="1729448" cy="279564"/>
    <xdr:sp macro="" textlink="">
      <xdr:nvSpPr>
        <xdr:cNvPr id="10306" name="Text Box 66">
          <a:extLst>
            <a:ext uri="{FF2B5EF4-FFF2-40B4-BE49-F238E27FC236}">
              <a16:creationId xmlns:a16="http://schemas.microsoft.com/office/drawing/2014/main" id="{F3C447C4-CE69-45F0-8B98-A56B1E4FBEC9}"/>
            </a:ext>
          </a:extLst>
        </xdr:cNvPr>
        <xdr:cNvSpPr txBox="1">
          <a:spLocks noChangeArrowheads="1"/>
        </xdr:cNvSpPr>
      </xdr:nvSpPr>
      <xdr:spPr bwMode="auto">
        <a:xfrm>
          <a:off x="13401675" y="15925800"/>
          <a:ext cx="1729448" cy="2795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000"/>
            </a:lnSpc>
            <a:defRPr sz="1000"/>
          </a:pPr>
          <a:r>
            <a:rPr lang="en-US" sz="1000" b="0" i="0" u="none" strike="noStrike" baseline="0">
              <a:solidFill>
                <a:srgbClr val="000000"/>
              </a:solidFill>
              <a:latin typeface="Arial"/>
              <a:cs typeface="Arial"/>
            </a:rPr>
            <a:t>Enter functional behavior</a:t>
          </a:r>
        </a:p>
        <a:p>
          <a:pPr algn="l" rtl="0">
            <a:lnSpc>
              <a:spcPts val="1000"/>
            </a:lnSpc>
            <a:defRPr sz="1000"/>
          </a:pPr>
          <a:r>
            <a:rPr lang="en-US" sz="1000" b="0" i="0" u="none" strike="noStrike" baseline="0">
              <a:solidFill>
                <a:srgbClr val="000000"/>
              </a:solidFill>
              <a:latin typeface="Arial"/>
              <a:cs typeface="Arial"/>
            </a:rPr>
            <a:t>of user defined antenna  here.</a:t>
          </a:r>
        </a:p>
      </xdr:txBody>
    </xdr:sp>
    <xdr:clientData/>
  </xdr:oneCellAnchor>
  <xdr:twoCellAnchor>
    <xdr:from>
      <xdr:col>19</xdr:col>
      <xdr:colOff>9525</xdr:colOff>
      <xdr:row>77</xdr:row>
      <xdr:rowOff>171450</xdr:rowOff>
    </xdr:from>
    <xdr:to>
      <xdr:col>20</xdr:col>
      <xdr:colOff>0</xdr:colOff>
      <xdr:row>77</xdr:row>
      <xdr:rowOff>171450</xdr:rowOff>
    </xdr:to>
    <xdr:sp macro="" textlink="">
      <xdr:nvSpPr>
        <xdr:cNvPr id="74640" name="Line 67">
          <a:extLst>
            <a:ext uri="{FF2B5EF4-FFF2-40B4-BE49-F238E27FC236}">
              <a16:creationId xmlns:a16="http://schemas.microsoft.com/office/drawing/2014/main" id="{8C4D4DC5-7A66-4564-A9CF-FC7CE44F78BB}"/>
            </a:ext>
          </a:extLst>
        </xdr:cNvPr>
        <xdr:cNvSpPr>
          <a:spLocks noChangeShapeType="1"/>
        </xdr:cNvSpPr>
      </xdr:nvSpPr>
      <xdr:spPr bwMode="auto">
        <a:xfrm flipH="1">
          <a:off x="12801600" y="16068675"/>
          <a:ext cx="6000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590550</xdr:colOff>
      <xdr:row>71</xdr:row>
      <xdr:rowOff>161925</xdr:rowOff>
    </xdr:from>
    <xdr:to>
      <xdr:col>17</xdr:col>
      <xdr:colOff>590550</xdr:colOff>
      <xdr:row>73</xdr:row>
      <xdr:rowOff>9525</xdr:rowOff>
    </xdr:to>
    <xdr:sp macro="" textlink="">
      <xdr:nvSpPr>
        <xdr:cNvPr id="74641" name="Line 68">
          <a:extLst>
            <a:ext uri="{FF2B5EF4-FFF2-40B4-BE49-F238E27FC236}">
              <a16:creationId xmlns:a16="http://schemas.microsoft.com/office/drawing/2014/main" id="{05ED292E-43CE-4559-8DA8-B029D1D4E940}"/>
            </a:ext>
          </a:extLst>
        </xdr:cNvPr>
        <xdr:cNvSpPr>
          <a:spLocks noChangeShapeType="1"/>
        </xdr:cNvSpPr>
      </xdr:nvSpPr>
      <xdr:spPr bwMode="auto">
        <a:xfrm>
          <a:off x="12134850" y="14468475"/>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590550</xdr:colOff>
      <xdr:row>68</xdr:row>
      <xdr:rowOff>0</xdr:rowOff>
    </xdr:from>
    <xdr:to>
      <xdr:col>17</xdr:col>
      <xdr:colOff>590550</xdr:colOff>
      <xdr:row>69</xdr:row>
      <xdr:rowOff>0</xdr:rowOff>
    </xdr:to>
    <xdr:sp macro="" textlink="">
      <xdr:nvSpPr>
        <xdr:cNvPr id="74642" name="Line 69">
          <a:extLst>
            <a:ext uri="{FF2B5EF4-FFF2-40B4-BE49-F238E27FC236}">
              <a16:creationId xmlns:a16="http://schemas.microsoft.com/office/drawing/2014/main" id="{58213F69-DFAF-4E6B-82EC-51E23E7ABF48}"/>
            </a:ext>
          </a:extLst>
        </xdr:cNvPr>
        <xdr:cNvSpPr>
          <a:spLocks noChangeShapeType="1"/>
        </xdr:cNvSpPr>
      </xdr:nvSpPr>
      <xdr:spPr bwMode="auto">
        <a:xfrm flipV="1">
          <a:off x="12134850" y="13754100"/>
          <a:ext cx="0" cy="1714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342900</xdr:colOff>
      <xdr:row>89</xdr:row>
      <xdr:rowOff>85725</xdr:rowOff>
    </xdr:from>
    <xdr:to>
      <xdr:col>4</xdr:col>
      <xdr:colOff>647700</xdr:colOff>
      <xdr:row>89</xdr:row>
      <xdr:rowOff>85725</xdr:rowOff>
    </xdr:to>
    <xdr:sp macro="" textlink="">
      <xdr:nvSpPr>
        <xdr:cNvPr id="74643" name="Line 70">
          <a:extLst>
            <a:ext uri="{FF2B5EF4-FFF2-40B4-BE49-F238E27FC236}">
              <a16:creationId xmlns:a16="http://schemas.microsoft.com/office/drawing/2014/main" id="{856EA44E-5F4B-4118-A0B4-05AF913C20CE}"/>
            </a:ext>
          </a:extLst>
        </xdr:cNvPr>
        <xdr:cNvSpPr>
          <a:spLocks noChangeShapeType="1"/>
        </xdr:cNvSpPr>
      </xdr:nvSpPr>
      <xdr:spPr bwMode="auto">
        <a:xfrm flipH="1" flipV="1">
          <a:off x="2781300" y="18202275"/>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342900</xdr:colOff>
      <xdr:row>89</xdr:row>
      <xdr:rowOff>85725</xdr:rowOff>
    </xdr:from>
    <xdr:to>
      <xdr:col>4</xdr:col>
      <xdr:colOff>342900</xdr:colOff>
      <xdr:row>90</xdr:row>
      <xdr:rowOff>0</xdr:rowOff>
    </xdr:to>
    <xdr:sp macro="" textlink="">
      <xdr:nvSpPr>
        <xdr:cNvPr id="74644" name="Line 71">
          <a:extLst>
            <a:ext uri="{FF2B5EF4-FFF2-40B4-BE49-F238E27FC236}">
              <a16:creationId xmlns:a16="http://schemas.microsoft.com/office/drawing/2014/main" id="{B688251E-DBE1-47C1-9383-F246F4F7B1F3}"/>
            </a:ext>
          </a:extLst>
        </xdr:cNvPr>
        <xdr:cNvSpPr>
          <a:spLocks noChangeShapeType="1"/>
        </xdr:cNvSpPr>
      </xdr:nvSpPr>
      <xdr:spPr bwMode="auto">
        <a:xfrm flipH="1">
          <a:off x="2781300" y="18202275"/>
          <a:ext cx="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28575</xdr:colOff>
      <xdr:row>35</xdr:row>
      <xdr:rowOff>190500</xdr:rowOff>
    </xdr:from>
    <xdr:to>
      <xdr:col>18</xdr:col>
      <xdr:colOff>590550</xdr:colOff>
      <xdr:row>36</xdr:row>
      <xdr:rowOff>161925</xdr:rowOff>
    </xdr:to>
    <xdr:sp macro="" textlink="">
      <xdr:nvSpPr>
        <xdr:cNvPr id="74645" name="AutoShape 74">
          <a:extLst>
            <a:ext uri="{FF2B5EF4-FFF2-40B4-BE49-F238E27FC236}">
              <a16:creationId xmlns:a16="http://schemas.microsoft.com/office/drawing/2014/main" id="{34282DE8-55E3-4718-9803-E5F7B6D981C0}"/>
            </a:ext>
          </a:extLst>
        </xdr:cNvPr>
        <xdr:cNvSpPr>
          <a:spLocks/>
        </xdr:cNvSpPr>
      </xdr:nvSpPr>
      <xdr:spPr bwMode="auto">
        <a:xfrm rot="-5400000">
          <a:off x="12082462" y="5738813"/>
          <a:ext cx="180975" cy="1200150"/>
        </a:xfrm>
        <a:prstGeom prst="rightBrace">
          <a:avLst>
            <a:gd name="adj1" fmla="val 55263"/>
            <a:gd name="adj2" fmla="val 72866"/>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11</xdr:col>
      <xdr:colOff>190500</xdr:colOff>
      <xdr:row>10</xdr:row>
      <xdr:rowOff>28575</xdr:rowOff>
    </xdr:from>
    <xdr:to>
      <xdr:col>12</xdr:col>
      <xdr:colOff>600075</xdr:colOff>
      <xdr:row>15</xdr:row>
      <xdr:rowOff>47625</xdr:rowOff>
    </xdr:to>
    <xdr:sp macro="" textlink="">
      <xdr:nvSpPr>
        <xdr:cNvPr id="74646" name="Rectangle 75" descr="Large grid">
          <a:extLst>
            <a:ext uri="{FF2B5EF4-FFF2-40B4-BE49-F238E27FC236}">
              <a16:creationId xmlns:a16="http://schemas.microsoft.com/office/drawing/2014/main" id="{7DA95E2F-1805-45F4-96B7-012F751BE668}"/>
            </a:ext>
          </a:extLst>
        </xdr:cNvPr>
        <xdr:cNvSpPr>
          <a:spLocks noChangeArrowheads="1"/>
        </xdr:cNvSpPr>
      </xdr:nvSpPr>
      <xdr:spPr bwMode="auto">
        <a:xfrm>
          <a:off x="7162800" y="1724025"/>
          <a:ext cx="1019175" cy="828675"/>
        </a:xfrm>
        <a:prstGeom prst="rect">
          <a:avLst/>
        </a:prstGeom>
        <a:blipFill dpi="0" rotWithShape="0">
          <a:blip xmlns:r="http://schemas.openxmlformats.org/officeDocument/2006/relationships" r:embed="rId1"/>
          <a:srcRect/>
          <a:tile tx="0" ty="0" sx="100000" sy="100000" flip="none" algn="tl"/>
        </a:blip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xdr:col>
      <xdr:colOff>190500</xdr:colOff>
      <xdr:row>15</xdr:row>
      <xdr:rowOff>47625</xdr:rowOff>
    </xdr:from>
    <xdr:to>
      <xdr:col>12</xdr:col>
      <xdr:colOff>600075</xdr:colOff>
      <xdr:row>15</xdr:row>
      <xdr:rowOff>123825</xdr:rowOff>
    </xdr:to>
    <xdr:sp macro="" textlink="">
      <xdr:nvSpPr>
        <xdr:cNvPr id="74647" name="Rectangle 76">
          <a:extLst>
            <a:ext uri="{FF2B5EF4-FFF2-40B4-BE49-F238E27FC236}">
              <a16:creationId xmlns:a16="http://schemas.microsoft.com/office/drawing/2014/main" id="{8AEAA479-DAFF-481B-B048-2AF58D77DE7F}"/>
            </a:ext>
          </a:extLst>
        </xdr:cNvPr>
        <xdr:cNvSpPr>
          <a:spLocks noChangeArrowheads="1"/>
        </xdr:cNvSpPr>
      </xdr:nvSpPr>
      <xdr:spPr bwMode="auto">
        <a:xfrm>
          <a:off x="7162800" y="2552700"/>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11</xdr:col>
      <xdr:colOff>190500</xdr:colOff>
      <xdr:row>9</xdr:row>
      <xdr:rowOff>104775</xdr:rowOff>
    </xdr:from>
    <xdr:to>
      <xdr:col>12</xdr:col>
      <xdr:colOff>600075</xdr:colOff>
      <xdr:row>10</xdr:row>
      <xdr:rowOff>19050</xdr:rowOff>
    </xdr:to>
    <xdr:sp macro="" textlink="">
      <xdr:nvSpPr>
        <xdr:cNvPr id="74648" name="Rectangle 77">
          <a:extLst>
            <a:ext uri="{FF2B5EF4-FFF2-40B4-BE49-F238E27FC236}">
              <a16:creationId xmlns:a16="http://schemas.microsoft.com/office/drawing/2014/main" id="{60E18098-0D6D-4C20-8F27-A59D4E9AF56A}"/>
            </a:ext>
          </a:extLst>
        </xdr:cNvPr>
        <xdr:cNvSpPr>
          <a:spLocks noChangeArrowheads="1"/>
        </xdr:cNvSpPr>
      </xdr:nvSpPr>
      <xdr:spPr bwMode="auto">
        <a:xfrm>
          <a:off x="7162800" y="1638300"/>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12</xdr:col>
      <xdr:colOff>104775</xdr:colOff>
      <xdr:row>7</xdr:row>
      <xdr:rowOff>38100</xdr:rowOff>
    </xdr:from>
    <xdr:to>
      <xdr:col>12</xdr:col>
      <xdr:colOff>104775</xdr:colOff>
      <xdr:row>9</xdr:row>
      <xdr:rowOff>104775</xdr:rowOff>
    </xdr:to>
    <xdr:sp macro="" textlink="">
      <xdr:nvSpPr>
        <xdr:cNvPr id="74649" name="Line 78">
          <a:extLst>
            <a:ext uri="{FF2B5EF4-FFF2-40B4-BE49-F238E27FC236}">
              <a16:creationId xmlns:a16="http://schemas.microsoft.com/office/drawing/2014/main" id="{FA6355A0-0BB1-4872-8F07-4766ED81D4F4}"/>
            </a:ext>
          </a:extLst>
        </xdr:cNvPr>
        <xdr:cNvSpPr>
          <a:spLocks noChangeShapeType="1"/>
        </xdr:cNvSpPr>
      </xdr:nvSpPr>
      <xdr:spPr bwMode="auto">
        <a:xfrm flipV="1">
          <a:off x="7686675" y="1247775"/>
          <a:ext cx="0" cy="390525"/>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76200</xdr:rowOff>
    </xdr:from>
    <xdr:to>
      <xdr:col>12</xdr:col>
      <xdr:colOff>95250</xdr:colOff>
      <xdr:row>6</xdr:row>
      <xdr:rowOff>133350</xdr:rowOff>
    </xdr:to>
    <xdr:sp macro="" textlink="">
      <xdr:nvSpPr>
        <xdr:cNvPr id="74650" name="Line 79">
          <a:extLst>
            <a:ext uri="{FF2B5EF4-FFF2-40B4-BE49-F238E27FC236}">
              <a16:creationId xmlns:a16="http://schemas.microsoft.com/office/drawing/2014/main" id="{04CC787C-4FD9-46F5-A8F6-04B41B51B9CF}"/>
            </a:ext>
          </a:extLst>
        </xdr:cNvPr>
        <xdr:cNvSpPr>
          <a:spLocks noChangeShapeType="1"/>
        </xdr:cNvSpPr>
      </xdr:nvSpPr>
      <xdr:spPr bwMode="auto">
        <a:xfrm flipV="1">
          <a:off x="7677150" y="476250"/>
          <a:ext cx="0" cy="70485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85725</xdr:colOff>
      <xdr:row>15</xdr:row>
      <xdr:rowOff>114300</xdr:rowOff>
    </xdr:from>
    <xdr:to>
      <xdr:col>12</xdr:col>
      <xdr:colOff>85725</xdr:colOff>
      <xdr:row>22</xdr:row>
      <xdr:rowOff>76200</xdr:rowOff>
    </xdr:to>
    <xdr:sp macro="" textlink="">
      <xdr:nvSpPr>
        <xdr:cNvPr id="74651" name="Line 80">
          <a:extLst>
            <a:ext uri="{FF2B5EF4-FFF2-40B4-BE49-F238E27FC236}">
              <a16:creationId xmlns:a16="http://schemas.microsoft.com/office/drawing/2014/main" id="{BF1AD3B8-219C-4731-83A9-AEE793FFC430}"/>
            </a:ext>
          </a:extLst>
        </xdr:cNvPr>
        <xdr:cNvSpPr>
          <a:spLocks noChangeShapeType="1"/>
        </xdr:cNvSpPr>
      </xdr:nvSpPr>
      <xdr:spPr bwMode="auto">
        <a:xfrm flipV="1">
          <a:off x="7667625" y="2619375"/>
          <a:ext cx="0" cy="10953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28575</xdr:colOff>
      <xdr:row>12</xdr:row>
      <xdr:rowOff>104775</xdr:rowOff>
    </xdr:from>
    <xdr:to>
      <xdr:col>14</xdr:col>
      <xdr:colOff>85725</xdr:colOff>
      <xdr:row>12</xdr:row>
      <xdr:rowOff>104775</xdr:rowOff>
    </xdr:to>
    <xdr:sp macro="" textlink="">
      <xdr:nvSpPr>
        <xdr:cNvPr id="74652" name="Line 81">
          <a:extLst>
            <a:ext uri="{FF2B5EF4-FFF2-40B4-BE49-F238E27FC236}">
              <a16:creationId xmlns:a16="http://schemas.microsoft.com/office/drawing/2014/main" id="{76794966-D8C7-4918-A14A-DEC5A5598404}"/>
            </a:ext>
          </a:extLst>
        </xdr:cNvPr>
        <xdr:cNvSpPr>
          <a:spLocks noChangeShapeType="1"/>
        </xdr:cNvSpPr>
      </xdr:nvSpPr>
      <xdr:spPr bwMode="auto">
        <a:xfrm>
          <a:off x="8448675" y="2124075"/>
          <a:ext cx="771525"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104775</xdr:rowOff>
    </xdr:from>
    <xdr:to>
      <xdr:col>11</xdr:col>
      <xdr:colOff>171450</xdr:colOff>
      <xdr:row>12</xdr:row>
      <xdr:rowOff>104775</xdr:rowOff>
    </xdr:to>
    <xdr:sp macro="" textlink="">
      <xdr:nvSpPr>
        <xdr:cNvPr id="74653" name="Line 82">
          <a:extLst>
            <a:ext uri="{FF2B5EF4-FFF2-40B4-BE49-F238E27FC236}">
              <a16:creationId xmlns:a16="http://schemas.microsoft.com/office/drawing/2014/main" id="{57DC6FCE-3B52-4903-AB1F-7615A8A2F515}"/>
            </a:ext>
          </a:extLst>
        </xdr:cNvPr>
        <xdr:cNvSpPr>
          <a:spLocks noChangeShapeType="1"/>
        </xdr:cNvSpPr>
      </xdr:nvSpPr>
      <xdr:spPr bwMode="auto">
        <a:xfrm>
          <a:off x="6477000" y="2124075"/>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238125</xdr:colOff>
      <xdr:row>2</xdr:row>
      <xdr:rowOff>9525</xdr:rowOff>
    </xdr:from>
    <xdr:to>
      <xdr:col>12</xdr:col>
      <xdr:colOff>314325</xdr:colOff>
      <xdr:row>3</xdr:row>
      <xdr:rowOff>47625</xdr:rowOff>
    </xdr:to>
    <xdr:sp macro="" textlink="">
      <xdr:nvSpPr>
        <xdr:cNvPr id="74654" name="Text Box 83">
          <a:extLst>
            <a:ext uri="{FF2B5EF4-FFF2-40B4-BE49-F238E27FC236}">
              <a16:creationId xmlns:a16="http://schemas.microsoft.com/office/drawing/2014/main" id="{06E702A7-63D6-45EC-8BC3-67D4977EA4FD}"/>
            </a:ext>
          </a:extLst>
        </xdr:cNvPr>
        <xdr:cNvSpPr txBox="1">
          <a:spLocks noChangeArrowheads="1"/>
        </xdr:cNvSpPr>
      </xdr:nvSpPr>
      <xdr:spPr bwMode="auto">
        <a:xfrm>
          <a:off x="7820025" y="4095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11</xdr:col>
      <xdr:colOff>600075</xdr:colOff>
      <xdr:row>1</xdr:row>
      <xdr:rowOff>28575</xdr:rowOff>
    </xdr:from>
    <xdr:ext cx="171714" cy="170560"/>
    <xdr:sp macro="" textlink="">
      <xdr:nvSpPr>
        <xdr:cNvPr id="10324" name="Text Box 84">
          <a:extLst>
            <a:ext uri="{FF2B5EF4-FFF2-40B4-BE49-F238E27FC236}">
              <a16:creationId xmlns:a16="http://schemas.microsoft.com/office/drawing/2014/main" id="{A8FBD21E-78C0-428A-AE7D-8FF5E8021AC7}"/>
            </a:ext>
          </a:extLst>
        </xdr:cNvPr>
        <xdr:cNvSpPr txBox="1">
          <a:spLocks noChangeArrowheads="1"/>
        </xdr:cNvSpPr>
      </xdr:nvSpPr>
      <xdr:spPr bwMode="auto">
        <a:xfrm>
          <a:off x="7572375" y="266700"/>
          <a:ext cx="17171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12</xdr:col>
      <xdr:colOff>0</xdr:colOff>
      <xdr:row>22</xdr:row>
      <xdr:rowOff>114300</xdr:rowOff>
    </xdr:from>
    <xdr:ext cx="139525" cy="170560"/>
    <xdr:sp macro="" textlink="">
      <xdr:nvSpPr>
        <xdr:cNvPr id="10325" name="Text Box 85">
          <a:extLst>
            <a:ext uri="{FF2B5EF4-FFF2-40B4-BE49-F238E27FC236}">
              <a16:creationId xmlns:a16="http://schemas.microsoft.com/office/drawing/2014/main" id="{E95AAAB2-2161-40C3-A03F-20FE273DC6B4}"/>
            </a:ext>
          </a:extLst>
        </xdr:cNvPr>
        <xdr:cNvSpPr txBox="1">
          <a:spLocks noChangeArrowheads="1"/>
        </xdr:cNvSpPr>
      </xdr:nvSpPr>
      <xdr:spPr bwMode="auto">
        <a:xfrm>
          <a:off x="7581900" y="3752850"/>
          <a:ext cx="13952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9</xdr:col>
      <xdr:colOff>581025</xdr:colOff>
      <xdr:row>12</xdr:row>
      <xdr:rowOff>28575</xdr:rowOff>
    </xdr:from>
    <xdr:ext cx="180975" cy="180975"/>
    <xdr:sp macro="" textlink="">
      <xdr:nvSpPr>
        <xdr:cNvPr id="10326" name="Text Box 86">
          <a:extLst>
            <a:ext uri="{FF2B5EF4-FFF2-40B4-BE49-F238E27FC236}">
              <a16:creationId xmlns:a16="http://schemas.microsoft.com/office/drawing/2014/main" id="{C911043F-1E20-4696-B621-22A7828D96E0}"/>
            </a:ext>
          </a:extLst>
        </xdr:cNvPr>
        <xdr:cNvSpPr txBox="1">
          <a:spLocks noChangeArrowheads="1"/>
        </xdr:cNvSpPr>
      </xdr:nvSpPr>
      <xdr:spPr bwMode="auto">
        <a:xfrm>
          <a:off x="6219825" y="2047875"/>
          <a:ext cx="238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2FC8AA45-8988-4A8A-AC10-2DC71FB324E6}"/>
            </a:ext>
          </a:extLst>
        </xdr:cNvPr>
        <xdr:cNvSpPr txBox="1">
          <a:spLocks noChangeArrowheads="1"/>
        </xdr:cNvSpPr>
      </xdr:nvSpPr>
      <xdr:spPr bwMode="auto">
        <a:xfrm>
          <a:off x="9239250" y="2028825"/>
          <a:ext cx="146707"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11</xdr:col>
      <xdr:colOff>581025</xdr:colOff>
      <xdr:row>12</xdr:row>
      <xdr:rowOff>0</xdr:rowOff>
    </xdr:from>
    <xdr:ext cx="178895" cy="170560"/>
    <xdr:sp macro="" textlink="">
      <xdr:nvSpPr>
        <xdr:cNvPr id="10328" name="Text Box 88">
          <a:extLst>
            <a:ext uri="{FF2B5EF4-FFF2-40B4-BE49-F238E27FC236}">
              <a16:creationId xmlns:a16="http://schemas.microsoft.com/office/drawing/2014/main" id="{BBEC16BC-C32C-4DEC-A8D6-4F2349593D18}"/>
            </a:ext>
          </a:extLst>
        </xdr:cNvPr>
        <xdr:cNvSpPr txBox="1">
          <a:spLocks noChangeArrowheads="1"/>
        </xdr:cNvSpPr>
      </xdr:nvSpPr>
      <xdr:spPr bwMode="auto">
        <a:xfrm>
          <a:off x="7553325" y="2019300"/>
          <a:ext cx="17889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47625</xdr:colOff>
      <xdr:row>9</xdr:row>
      <xdr:rowOff>66675</xdr:rowOff>
    </xdr:to>
    <xdr:sp macro="" textlink="">
      <xdr:nvSpPr>
        <xdr:cNvPr id="74660" name="Line 89">
          <a:extLst>
            <a:ext uri="{FF2B5EF4-FFF2-40B4-BE49-F238E27FC236}">
              <a16:creationId xmlns:a16="http://schemas.microsoft.com/office/drawing/2014/main" id="{D5FB0076-E9A3-4C9D-A378-7DF2E70744D1}"/>
            </a:ext>
          </a:extLst>
        </xdr:cNvPr>
        <xdr:cNvSpPr>
          <a:spLocks noChangeShapeType="1"/>
        </xdr:cNvSpPr>
      </xdr:nvSpPr>
      <xdr:spPr bwMode="auto">
        <a:xfrm flipH="1" flipV="1">
          <a:off x="6572250" y="352425"/>
          <a:ext cx="1057275" cy="1247775"/>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190500</xdr:colOff>
      <xdr:row>3</xdr:row>
      <xdr:rowOff>0</xdr:rowOff>
    </xdr:from>
    <xdr:ext cx="230448" cy="170560"/>
    <xdr:sp macro="" textlink="">
      <xdr:nvSpPr>
        <xdr:cNvPr id="10330" name="Text Box 90">
          <a:extLst>
            <a:ext uri="{FF2B5EF4-FFF2-40B4-BE49-F238E27FC236}">
              <a16:creationId xmlns:a16="http://schemas.microsoft.com/office/drawing/2014/main" id="{1F0272CB-764D-42B5-8FA4-0032DAA205E8}"/>
            </a:ext>
          </a:extLst>
        </xdr:cNvPr>
        <xdr:cNvSpPr txBox="1">
          <a:spLocks noChangeArrowheads="1"/>
        </xdr:cNvSpPr>
      </xdr:nvSpPr>
      <xdr:spPr bwMode="auto">
        <a:xfrm>
          <a:off x="7162800" y="561975"/>
          <a:ext cx="2304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2,3</a:t>
          </a:r>
        </a:p>
      </xdr:txBody>
    </xdr:sp>
    <xdr:clientData/>
  </xdr:oneCellAnchor>
  <xdr:twoCellAnchor>
    <xdr:from>
      <xdr:col>11</xdr:col>
      <xdr:colOff>47625</xdr:colOff>
      <xdr:row>4</xdr:row>
      <xdr:rowOff>19050</xdr:rowOff>
    </xdr:from>
    <xdr:to>
      <xdr:col>11</xdr:col>
      <xdr:colOff>161925</xdr:colOff>
      <xdr:row>4</xdr:row>
      <xdr:rowOff>104775</xdr:rowOff>
    </xdr:to>
    <xdr:sp macro="" textlink="">
      <xdr:nvSpPr>
        <xdr:cNvPr id="74662" name="Line 91">
          <a:extLst>
            <a:ext uri="{FF2B5EF4-FFF2-40B4-BE49-F238E27FC236}">
              <a16:creationId xmlns:a16="http://schemas.microsoft.com/office/drawing/2014/main" id="{3A9C389F-324A-418E-91BF-9F4429DF6C4D}"/>
            </a:ext>
          </a:extLst>
        </xdr:cNvPr>
        <xdr:cNvSpPr>
          <a:spLocks noChangeShapeType="1"/>
        </xdr:cNvSpPr>
      </xdr:nvSpPr>
      <xdr:spPr bwMode="auto">
        <a:xfrm flipH="1">
          <a:off x="7019925" y="742950"/>
          <a:ext cx="114300" cy="857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504825</xdr:colOff>
      <xdr:row>3</xdr:row>
      <xdr:rowOff>66675</xdr:rowOff>
    </xdr:from>
    <xdr:to>
      <xdr:col>12</xdr:col>
      <xdr:colOff>57150</xdr:colOff>
      <xdr:row>3</xdr:row>
      <xdr:rowOff>85725</xdr:rowOff>
    </xdr:to>
    <xdr:sp macro="" textlink="">
      <xdr:nvSpPr>
        <xdr:cNvPr id="74663" name="Line 92">
          <a:extLst>
            <a:ext uri="{FF2B5EF4-FFF2-40B4-BE49-F238E27FC236}">
              <a16:creationId xmlns:a16="http://schemas.microsoft.com/office/drawing/2014/main" id="{6461B888-FD87-489E-B239-BBE6940B8E37}"/>
            </a:ext>
          </a:extLst>
        </xdr:cNvPr>
        <xdr:cNvSpPr>
          <a:spLocks noChangeShapeType="1"/>
        </xdr:cNvSpPr>
      </xdr:nvSpPr>
      <xdr:spPr bwMode="auto">
        <a:xfrm flipV="1">
          <a:off x="7477125" y="628650"/>
          <a:ext cx="161925" cy="19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104775</xdr:rowOff>
    </xdr:from>
    <xdr:ext cx="517321" cy="170560"/>
    <xdr:sp macro="" textlink="">
      <xdr:nvSpPr>
        <xdr:cNvPr id="10333" name="Text Box 93">
          <a:extLst>
            <a:ext uri="{FF2B5EF4-FFF2-40B4-BE49-F238E27FC236}">
              <a16:creationId xmlns:a16="http://schemas.microsoft.com/office/drawing/2014/main" id="{E430B5D4-A771-41A1-9F84-29357FFCFDBF}"/>
            </a:ext>
          </a:extLst>
        </xdr:cNvPr>
        <xdr:cNvSpPr txBox="1">
          <a:spLocks noChangeArrowheads="1"/>
        </xdr:cNvSpPr>
      </xdr:nvSpPr>
      <xdr:spPr bwMode="auto">
        <a:xfrm>
          <a:off x="7391400" y="3905250"/>
          <a:ext cx="51732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Figure</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3</a:t>
          </a:r>
        </a:p>
      </xdr:txBody>
    </xdr:sp>
    <xdr:clientData/>
  </xdr:oneCellAnchor>
  <xdr:oneCellAnchor>
    <xdr:from>
      <xdr:col>12</xdr:col>
      <xdr:colOff>180975</xdr:colOff>
      <xdr:row>6</xdr:row>
      <xdr:rowOff>123825</xdr:rowOff>
    </xdr:from>
    <xdr:ext cx="581569" cy="170560"/>
    <xdr:sp macro="" textlink="">
      <xdr:nvSpPr>
        <xdr:cNvPr id="10334" name="Text Box 94">
          <a:extLst>
            <a:ext uri="{FF2B5EF4-FFF2-40B4-BE49-F238E27FC236}">
              <a16:creationId xmlns:a16="http://schemas.microsoft.com/office/drawing/2014/main" id="{9C257329-B058-4E66-8C6E-729A3929A093}"/>
            </a:ext>
          </a:extLst>
        </xdr:cNvPr>
        <xdr:cNvSpPr txBox="1">
          <a:spLocks noChangeArrowheads="1"/>
        </xdr:cNvSpPr>
      </xdr:nvSpPr>
      <xdr:spPr bwMode="auto">
        <a:xfrm>
          <a:off x="7762875" y="1171575"/>
          <a:ext cx="581569"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Monopole</a:t>
          </a:r>
        </a:p>
      </xdr:txBody>
    </xdr:sp>
    <xdr:clientData/>
  </xdr:oneCellAnchor>
  <xdr:twoCellAnchor>
    <xdr:from>
      <xdr:col>16</xdr:col>
      <xdr:colOff>342900</xdr:colOff>
      <xdr:row>10</xdr:row>
      <xdr:rowOff>38100</xdr:rowOff>
    </xdr:from>
    <xdr:to>
      <xdr:col>18</xdr:col>
      <xdr:colOff>114300</xdr:colOff>
      <xdr:row>15</xdr:row>
      <xdr:rowOff>57150</xdr:rowOff>
    </xdr:to>
    <xdr:sp macro="" textlink="">
      <xdr:nvSpPr>
        <xdr:cNvPr id="74666" name="Rectangle 95" descr="Large grid">
          <a:extLst>
            <a:ext uri="{FF2B5EF4-FFF2-40B4-BE49-F238E27FC236}">
              <a16:creationId xmlns:a16="http://schemas.microsoft.com/office/drawing/2014/main" id="{D3350C4C-BEFA-46EE-BA4F-1A0D85EB0BD4}"/>
            </a:ext>
          </a:extLst>
        </xdr:cNvPr>
        <xdr:cNvSpPr>
          <a:spLocks noChangeArrowheads="1"/>
        </xdr:cNvSpPr>
      </xdr:nvSpPr>
      <xdr:spPr bwMode="auto">
        <a:xfrm>
          <a:off x="11277600" y="1733550"/>
          <a:ext cx="1019175" cy="828675"/>
        </a:xfrm>
        <a:prstGeom prst="rect">
          <a:avLst/>
        </a:prstGeom>
        <a:blipFill dpi="0" rotWithShape="0">
          <a:blip xmlns:r="http://schemas.openxmlformats.org/officeDocument/2006/relationships" r:embed="rId1"/>
          <a:srcRect/>
          <a:tile tx="0" ty="0" sx="100000" sy="100000" flip="none" algn="tl"/>
        </a:blip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16</xdr:col>
      <xdr:colOff>342900</xdr:colOff>
      <xdr:row>15</xdr:row>
      <xdr:rowOff>57150</xdr:rowOff>
    </xdr:from>
    <xdr:to>
      <xdr:col>18</xdr:col>
      <xdr:colOff>114300</xdr:colOff>
      <xdr:row>15</xdr:row>
      <xdr:rowOff>133350</xdr:rowOff>
    </xdr:to>
    <xdr:sp macro="" textlink="">
      <xdr:nvSpPr>
        <xdr:cNvPr id="74667" name="Rectangle 96">
          <a:extLst>
            <a:ext uri="{FF2B5EF4-FFF2-40B4-BE49-F238E27FC236}">
              <a16:creationId xmlns:a16="http://schemas.microsoft.com/office/drawing/2014/main" id="{74DEC1EF-88F5-4D76-AFD2-5209FADCD292}"/>
            </a:ext>
          </a:extLst>
        </xdr:cNvPr>
        <xdr:cNvSpPr>
          <a:spLocks noChangeArrowheads="1"/>
        </xdr:cNvSpPr>
      </xdr:nvSpPr>
      <xdr:spPr bwMode="auto">
        <a:xfrm>
          <a:off x="11277600" y="2562225"/>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16</xdr:col>
      <xdr:colOff>342900</xdr:colOff>
      <xdr:row>9</xdr:row>
      <xdr:rowOff>114300</xdr:rowOff>
    </xdr:from>
    <xdr:to>
      <xdr:col>18</xdr:col>
      <xdr:colOff>114300</xdr:colOff>
      <xdr:row>10</xdr:row>
      <xdr:rowOff>28575</xdr:rowOff>
    </xdr:to>
    <xdr:sp macro="" textlink="">
      <xdr:nvSpPr>
        <xdr:cNvPr id="74668" name="Rectangle 97">
          <a:extLst>
            <a:ext uri="{FF2B5EF4-FFF2-40B4-BE49-F238E27FC236}">
              <a16:creationId xmlns:a16="http://schemas.microsoft.com/office/drawing/2014/main" id="{47B56567-B45C-40D2-89CD-6C8440DDB54C}"/>
            </a:ext>
          </a:extLst>
        </xdr:cNvPr>
        <xdr:cNvSpPr>
          <a:spLocks noChangeArrowheads="1"/>
        </xdr:cNvSpPr>
      </xdr:nvSpPr>
      <xdr:spPr bwMode="auto">
        <a:xfrm>
          <a:off x="11277600" y="1647825"/>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17</xdr:col>
      <xdr:colOff>247650</xdr:colOff>
      <xdr:row>2</xdr:row>
      <xdr:rowOff>85725</xdr:rowOff>
    </xdr:from>
    <xdr:to>
      <xdr:col>17</xdr:col>
      <xdr:colOff>247650</xdr:colOff>
      <xdr:row>9</xdr:row>
      <xdr:rowOff>104775</xdr:rowOff>
    </xdr:to>
    <xdr:sp macro="" textlink="">
      <xdr:nvSpPr>
        <xdr:cNvPr id="74669" name="Line 99">
          <a:extLst>
            <a:ext uri="{FF2B5EF4-FFF2-40B4-BE49-F238E27FC236}">
              <a16:creationId xmlns:a16="http://schemas.microsoft.com/office/drawing/2014/main" id="{8ED0501B-59C3-4A5F-A45B-8415CD2AA444}"/>
            </a:ext>
          </a:extLst>
        </xdr:cNvPr>
        <xdr:cNvSpPr>
          <a:spLocks noChangeShapeType="1"/>
        </xdr:cNvSpPr>
      </xdr:nvSpPr>
      <xdr:spPr bwMode="auto">
        <a:xfrm flipV="1">
          <a:off x="11791950" y="485775"/>
          <a:ext cx="0" cy="11525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238125</xdr:colOff>
      <xdr:row>15</xdr:row>
      <xdr:rowOff>123825</xdr:rowOff>
    </xdr:from>
    <xdr:to>
      <xdr:col>17</xdr:col>
      <xdr:colOff>238125</xdr:colOff>
      <xdr:row>22</xdr:row>
      <xdr:rowOff>85725</xdr:rowOff>
    </xdr:to>
    <xdr:sp macro="" textlink="">
      <xdr:nvSpPr>
        <xdr:cNvPr id="74670" name="Line 100">
          <a:extLst>
            <a:ext uri="{FF2B5EF4-FFF2-40B4-BE49-F238E27FC236}">
              <a16:creationId xmlns:a16="http://schemas.microsoft.com/office/drawing/2014/main" id="{75E75A67-7C80-4FF7-A384-68F5FB87E5C0}"/>
            </a:ext>
          </a:extLst>
        </xdr:cNvPr>
        <xdr:cNvSpPr>
          <a:spLocks noChangeShapeType="1"/>
        </xdr:cNvSpPr>
      </xdr:nvSpPr>
      <xdr:spPr bwMode="auto">
        <a:xfrm flipV="1">
          <a:off x="11782425" y="2628900"/>
          <a:ext cx="0" cy="10953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123825</xdr:colOff>
      <xdr:row>12</xdr:row>
      <xdr:rowOff>104775</xdr:rowOff>
    </xdr:from>
    <xdr:to>
      <xdr:col>19</xdr:col>
      <xdr:colOff>180975</xdr:colOff>
      <xdr:row>12</xdr:row>
      <xdr:rowOff>104775</xdr:rowOff>
    </xdr:to>
    <xdr:sp macro="" textlink="">
      <xdr:nvSpPr>
        <xdr:cNvPr id="74671" name="Line 101">
          <a:extLst>
            <a:ext uri="{FF2B5EF4-FFF2-40B4-BE49-F238E27FC236}">
              <a16:creationId xmlns:a16="http://schemas.microsoft.com/office/drawing/2014/main" id="{C35ABFB9-DF47-46F5-9487-56496BD638CB}"/>
            </a:ext>
          </a:extLst>
        </xdr:cNvPr>
        <xdr:cNvSpPr>
          <a:spLocks noChangeShapeType="1"/>
        </xdr:cNvSpPr>
      </xdr:nvSpPr>
      <xdr:spPr bwMode="auto">
        <a:xfrm>
          <a:off x="12306300" y="2124075"/>
          <a:ext cx="66675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295275</xdr:colOff>
      <xdr:row>12</xdr:row>
      <xdr:rowOff>104775</xdr:rowOff>
    </xdr:from>
    <xdr:to>
      <xdr:col>16</xdr:col>
      <xdr:colOff>352425</xdr:colOff>
      <xdr:row>12</xdr:row>
      <xdr:rowOff>104775</xdr:rowOff>
    </xdr:to>
    <xdr:sp macro="" textlink="">
      <xdr:nvSpPr>
        <xdr:cNvPr id="74672" name="Line 102">
          <a:extLst>
            <a:ext uri="{FF2B5EF4-FFF2-40B4-BE49-F238E27FC236}">
              <a16:creationId xmlns:a16="http://schemas.microsoft.com/office/drawing/2014/main" id="{991F78C2-F360-4D4C-B16B-3F41E21F8D08}"/>
            </a:ext>
          </a:extLst>
        </xdr:cNvPr>
        <xdr:cNvSpPr>
          <a:spLocks noChangeShapeType="1"/>
        </xdr:cNvSpPr>
      </xdr:nvSpPr>
      <xdr:spPr bwMode="auto">
        <a:xfrm>
          <a:off x="10620375" y="2124075"/>
          <a:ext cx="666750" cy="0"/>
        </a:xfrm>
        <a:prstGeom prst="line">
          <a:avLst/>
        </a:prstGeom>
        <a:noFill/>
        <a:ln w="381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390525</xdr:colOff>
      <xdr:row>2</xdr:row>
      <xdr:rowOff>28575</xdr:rowOff>
    </xdr:from>
    <xdr:to>
      <xdr:col>17</xdr:col>
      <xdr:colOff>466725</xdr:colOff>
      <xdr:row>3</xdr:row>
      <xdr:rowOff>66675</xdr:rowOff>
    </xdr:to>
    <xdr:sp macro="" textlink="">
      <xdr:nvSpPr>
        <xdr:cNvPr id="74673" name="Text Box 103">
          <a:extLst>
            <a:ext uri="{FF2B5EF4-FFF2-40B4-BE49-F238E27FC236}">
              <a16:creationId xmlns:a16="http://schemas.microsoft.com/office/drawing/2014/main" id="{8EB1941B-EC9D-4088-BB75-188EB2E47C83}"/>
            </a:ext>
          </a:extLst>
        </xdr:cNvPr>
        <xdr:cNvSpPr txBox="1">
          <a:spLocks noChangeArrowheads="1"/>
        </xdr:cNvSpPr>
      </xdr:nvSpPr>
      <xdr:spPr bwMode="auto">
        <a:xfrm>
          <a:off x="11934825" y="4286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17</xdr:col>
      <xdr:colOff>152400</xdr:colOff>
      <xdr:row>22</xdr:row>
      <xdr:rowOff>123825</xdr:rowOff>
    </xdr:from>
    <xdr:ext cx="139525" cy="170560"/>
    <xdr:sp macro="" textlink="">
      <xdr:nvSpPr>
        <xdr:cNvPr id="10344" name="Text Box 104">
          <a:extLst>
            <a:ext uri="{FF2B5EF4-FFF2-40B4-BE49-F238E27FC236}">
              <a16:creationId xmlns:a16="http://schemas.microsoft.com/office/drawing/2014/main" id="{BC65BB65-4116-40B8-88D4-72B55408B983}"/>
            </a:ext>
          </a:extLst>
        </xdr:cNvPr>
        <xdr:cNvSpPr txBox="1">
          <a:spLocks noChangeArrowheads="1"/>
        </xdr:cNvSpPr>
      </xdr:nvSpPr>
      <xdr:spPr bwMode="auto">
        <a:xfrm>
          <a:off x="11696700" y="3762375"/>
          <a:ext cx="13952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15</xdr:col>
      <xdr:colOff>9525</xdr:colOff>
      <xdr:row>12</xdr:row>
      <xdr:rowOff>28575</xdr:rowOff>
    </xdr:from>
    <xdr:ext cx="180975" cy="180975"/>
    <xdr:sp macro="" textlink="">
      <xdr:nvSpPr>
        <xdr:cNvPr id="10345" name="Text Box 105">
          <a:extLst>
            <a:ext uri="{FF2B5EF4-FFF2-40B4-BE49-F238E27FC236}">
              <a16:creationId xmlns:a16="http://schemas.microsoft.com/office/drawing/2014/main" id="{AC8CBD22-EB2C-426E-A0DF-3FC62EB3CD31}"/>
            </a:ext>
          </a:extLst>
        </xdr:cNvPr>
        <xdr:cNvSpPr txBox="1">
          <a:spLocks noChangeArrowheads="1"/>
        </xdr:cNvSpPr>
      </xdr:nvSpPr>
      <xdr:spPr bwMode="auto">
        <a:xfrm>
          <a:off x="10334625" y="2047875"/>
          <a:ext cx="238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19</xdr:col>
      <xdr:colOff>219075</xdr:colOff>
      <xdr:row>12</xdr:row>
      <xdr:rowOff>28575</xdr:rowOff>
    </xdr:from>
    <xdr:ext cx="146707" cy="170560"/>
    <xdr:sp macro="" textlink="">
      <xdr:nvSpPr>
        <xdr:cNvPr id="10346" name="Text Box 106">
          <a:extLst>
            <a:ext uri="{FF2B5EF4-FFF2-40B4-BE49-F238E27FC236}">
              <a16:creationId xmlns:a16="http://schemas.microsoft.com/office/drawing/2014/main" id="{EE67FAE4-D7E8-4F44-A282-646C3D5E7003}"/>
            </a:ext>
          </a:extLst>
        </xdr:cNvPr>
        <xdr:cNvSpPr txBox="1">
          <a:spLocks noChangeArrowheads="1"/>
        </xdr:cNvSpPr>
      </xdr:nvSpPr>
      <xdr:spPr bwMode="auto">
        <a:xfrm>
          <a:off x="13011150" y="2047875"/>
          <a:ext cx="146707"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17</xdr:col>
      <xdr:colOff>123825</xdr:colOff>
      <xdr:row>12</xdr:row>
      <xdr:rowOff>9525</xdr:rowOff>
    </xdr:from>
    <xdr:ext cx="178895" cy="170560"/>
    <xdr:sp macro="" textlink="">
      <xdr:nvSpPr>
        <xdr:cNvPr id="10347" name="Text Box 107">
          <a:extLst>
            <a:ext uri="{FF2B5EF4-FFF2-40B4-BE49-F238E27FC236}">
              <a16:creationId xmlns:a16="http://schemas.microsoft.com/office/drawing/2014/main" id="{3D084EBA-F787-457B-9C97-B164D1E91DAD}"/>
            </a:ext>
          </a:extLst>
        </xdr:cNvPr>
        <xdr:cNvSpPr txBox="1">
          <a:spLocks noChangeArrowheads="1"/>
        </xdr:cNvSpPr>
      </xdr:nvSpPr>
      <xdr:spPr bwMode="auto">
        <a:xfrm>
          <a:off x="11668125" y="2028825"/>
          <a:ext cx="17889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+Y</a:t>
          </a:r>
        </a:p>
      </xdr:txBody>
    </xdr:sp>
    <xdr:clientData/>
  </xdr:oneCellAnchor>
  <xdr:twoCellAnchor>
    <xdr:from>
      <xdr:col>15</xdr:col>
      <xdr:colOff>361950</xdr:colOff>
      <xdr:row>1</xdr:row>
      <xdr:rowOff>123825</xdr:rowOff>
    </xdr:from>
    <xdr:to>
      <xdr:col>17</xdr:col>
      <xdr:colOff>200025</xdr:colOff>
      <xdr:row>12</xdr:row>
      <xdr:rowOff>57150</xdr:rowOff>
    </xdr:to>
    <xdr:sp macro="" textlink="">
      <xdr:nvSpPr>
        <xdr:cNvPr id="74678" name="Line 108">
          <a:extLst>
            <a:ext uri="{FF2B5EF4-FFF2-40B4-BE49-F238E27FC236}">
              <a16:creationId xmlns:a16="http://schemas.microsoft.com/office/drawing/2014/main" id="{0C7D77D7-65D0-429C-8841-7DF81A305B22}"/>
            </a:ext>
          </a:extLst>
        </xdr:cNvPr>
        <xdr:cNvSpPr>
          <a:spLocks noChangeShapeType="1"/>
        </xdr:cNvSpPr>
      </xdr:nvSpPr>
      <xdr:spPr bwMode="auto">
        <a:xfrm flipH="1" flipV="1">
          <a:off x="10687050" y="361950"/>
          <a:ext cx="1057275" cy="1714500"/>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333375</xdr:colOff>
      <xdr:row>3</xdr:row>
      <xdr:rowOff>66675</xdr:rowOff>
    </xdr:from>
    <xdr:ext cx="230448" cy="170560"/>
    <xdr:sp macro="" textlink="">
      <xdr:nvSpPr>
        <xdr:cNvPr id="10349" name="Text Box 109">
          <a:extLst>
            <a:ext uri="{FF2B5EF4-FFF2-40B4-BE49-F238E27FC236}">
              <a16:creationId xmlns:a16="http://schemas.microsoft.com/office/drawing/2014/main" id="{60384944-3995-4A08-8CE1-8598083AE1FF}"/>
            </a:ext>
          </a:extLst>
        </xdr:cNvPr>
        <xdr:cNvSpPr txBox="1">
          <a:spLocks noChangeArrowheads="1"/>
        </xdr:cNvSpPr>
      </xdr:nvSpPr>
      <xdr:spPr bwMode="auto">
        <a:xfrm>
          <a:off x="11268075" y="628650"/>
          <a:ext cx="2304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2,3</a:t>
          </a:r>
        </a:p>
      </xdr:txBody>
    </xdr:sp>
    <xdr:clientData/>
  </xdr:oneCellAnchor>
  <xdr:twoCellAnchor>
    <xdr:from>
      <xdr:col>16</xdr:col>
      <xdr:colOff>123825</xdr:colOff>
      <xdr:row>4</xdr:row>
      <xdr:rowOff>47625</xdr:rowOff>
    </xdr:from>
    <xdr:to>
      <xdr:col>16</xdr:col>
      <xdr:colOff>314325</xdr:colOff>
      <xdr:row>5</xdr:row>
      <xdr:rowOff>19050</xdr:rowOff>
    </xdr:to>
    <xdr:sp macro="" textlink="">
      <xdr:nvSpPr>
        <xdr:cNvPr id="74680" name="Line 110">
          <a:extLst>
            <a:ext uri="{FF2B5EF4-FFF2-40B4-BE49-F238E27FC236}">
              <a16:creationId xmlns:a16="http://schemas.microsoft.com/office/drawing/2014/main" id="{A6ADBD56-DD16-4E37-8D1F-D66E15C1657B}"/>
            </a:ext>
          </a:extLst>
        </xdr:cNvPr>
        <xdr:cNvSpPr>
          <a:spLocks noChangeShapeType="1"/>
        </xdr:cNvSpPr>
      </xdr:nvSpPr>
      <xdr:spPr bwMode="auto">
        <a:xfrm flipH="1">
          <a:off x="11058525" y="771525"/>
          <a:ext cx="190500"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581025</xdr:colOff>
      <xdr:row>3</xdr:row>
      <xdr:rowOff>76200</xdr:rowOff>
    </xdr:from>
    <xdr:to>
      <xdr:col>17</xdr:col>
      <xdr:colOff>209550</xdr:colOff>
      <xdr:row>3</xdr:row>
      <xdr:rowOff>114300</xdr:rowOff>
    </xdr:to>
    <xdr:sp macro="" textlink="">
      <xdr:nvSpPr>
        <xdr:cNvPr id="74681" name="Line 111">
          <a:extLst>
            <a:ext uri="{FF2B5EF4-FFF2-40B4-BE49-F238E27FC236}">
              <a16:creationId xmlns:a16="http://schemas.microsoft.com/office/drawing/2014/main" id="{B2EE0878-5386-4E4D-9C12-3D535AF4F76D}"/>
            </a:ext>
          </a:extLst>
        </xdr:cNvPr>
        <xdr:cNvSpPr>
          <a:spLocks noChangeShapeType="1"/>
        </xdr:cNvSpPr>
      </xdr:nvSpPr>
      <xdr:spPr bwMode="auto">
        <a:xfrm flipV="1">
          <a:off x="11515725" y="638175"/>
          <a:ext cx="238125" cy="38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571500</xdr:colOff>
      <xdr:row>23</xdr:row>
      <xdr:rowOff>104775</xdr:rowOff>
    </xdr:from>
    <xdr:ext cx="517321" cy="170560"/>
    <xdr:sp macro="" textlink="">
      <xdr:nvSpPr>
        <xdr:cNvPr id="10352" name="Text Box 112">
          <a:extLst>
            <a:ext uri="{FF2B5EF4-FFF2-40B4-BE49-F238E27FC236}">
              <a16:creationId xmlns:a16="http://schemas.microsoft.com/office/drawing/2014/main" id="{8A7D82AC-D5D1-4744-B502-89B30FA36575}"/>
            </a:ext>
          </a:extLst>
        </xdr:cNvPr>
        <xdr:cNvSpPr txBox="1">
          <a:spLocks noChangeArrowheads="1"/>
        </xdr:cNvSpPr>
      </xdr:nvSpPr>
      <xdr:spPr bwMode="auto">
        <a:xfrm>
          <a:off x="11506200" y="3905250"/>
          <a:ext cx="51732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Figure</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4</a:t>
          </a:r>
        </a:p>
      </xdr:txBody>
    </xdr:sp>
    <xdr:clientData/>
  </xdr:oneCellAnchor>
  <xdr:oneCellAnchor>
    <xdr:from>
      <xdr:col>18</xdr:col>
      <xdr:colOff>219075</xdr:colOff>
      <xdr:row>13</xdr:row>
      <xdr:rowOff>47625</xdr:rowOff>
    </xdr:from>
    <xdr:ext cx="381899" cy="170560"/>
    <xdr:sp macro="" textlink="">
      <xdr:nvSpPr>
        <xdr:cNvPr id="10353" name="Text Box 113">
          <a:extLst>
            <a:ext uri="{FF2B5EF4-FFF2-40B4-BE49-F238E27FC236}">
              <a16:creationId xmlns:a16="http://schemas.microsoft.com/office/drawing/2014/main" id="{4580A3E0-5EB7-4BED-9667-5E0FCA1C909C}"/>
            </a:ext>
          </a:extLst>
        </xdr:cNvPr>
        <xdr:cNvSpPr txBox="1">
          <a:spLocks noChangeArrowheads="1"/>
        </xdr:cNvSpPr>
      </xdr:nvSpPr>
      <xdr:spPr bwMode="auto">
        <a:xfrm>
          <a:off x="12401550" y="2228850"/>
          <a:ext cx="381899"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Dipole</a:t>
          </a:r>
        </a:p>
      </xdr:txBody>
    </xdr:sp>
    <xdr:clientData/>
  </xdr:oneCellAnchor>
  <xdr:twoCellAnchor>
    <xdr:from>
      <xdr:col>22</xdr:col>
      <xdr:colOff>390525</xdr:colOff>
      <xdr:row>10</xdr:row>
      <xdr:rowOff>28575</xdr:rowOff>
    </xdr:from>
    <xdr:to>
      <xdr:col>24</xdr:col>
      <xdr:colOff>190500</xdr:colOff>
      <xdr:row>15</xdr:row>
      <xdr:rowOff>47625</xdr:rowOff>
    </xdr:to>
    <xdr:sp macro="" textlink="">
      <xdr:nvSpPr>
        <xdr:cNvPr id="74684" name="Rectangle 114" descr="Large grid">
          <a:extLst>
            <a:ext uri="{FF2B5EF4-FFF2-40B4-BE49-F238E27FC236}">
              <a16:creationId xmlns:a16="http://schemas.microsoft.com/office/drawing/2014/main" id="{9A19A436-1AF7-4208-9F5D-BC420FC26D18}"/>
            </a:ext>
          </a:extLst>
        </xdr:cNvPr>
        <xdr:cNvSpPr>
          <a:spLocks noChangeArrowheads="1"/>
        </xdr:cNvSpPr>
      </xdr:nvSpPr>
      <xdr:spPr bwMode="auto">
        <a:xfrm>
          <a:off x="15011400" y="1724025"/>
          <a:ext cx="1019175" cy="828675"/>
        </a:xfrm>
        <a:prstGeom prst="rect">
          <a:avLst/>
        </a:prstGeom>
        <a:blipFill dpi="0" rotWithShape="0">
          <a:blip xmlns:r="http://schemas.openxmlformats.org/officeDocument/2006/relationships" r:embed="rId1"/>
          <a:srcRect/>
          <a:tile tx="0" ty="0" sx="100000" sy="100000" flip="none" algn="tl"/>
        </a:blip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22</xdr:col>
      <xdr:colOff>390525</xdr:colOff>
      <xdr:row>15</xdr:row>
      <xdr:rowOff>47625</xdr:rowOff>
    </xdr:from>
    <xdr:to>
      <xdr:col>24</xdr:col>
      <xdr:colOff>190500</xdr:colOff>
      <xdr:row>15</xdr:row>
      <xdr:rowOff>123825</xdr:rowOff>
    </xdr:to>
    <xdr:sp macro="" textlink="">
      <xdr:nvSpPr>
        <xdr:cNvPr id="74685" name="Rectangle 115">
          <a:extLst>
            <a:ext uri="{FF2B5EF4-FFF2-40B4-BE49-F238E27FC236}">
              <a16:creationId xmlns:a16="http://schemas.microsoft.com/office/drawing/2014/main" id="{9EFBB32E-CA88-40DC-912F-0907CF82F34D}"/>
            </a:ext>
          </a:extLst>
        </xdr:cNvPr>
        <xdr:cNvSpPr>
          <a:spLocks noChangeArrowheads="1"/>
        </xdr:cNvSpPr>
      </xdr:nvSpPr>
      <xdr:spPr bwMode="auto">
        <a:xfrm>
          <a:off x="15011400" y="2552700"/>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22</xdr:col>
      <xdr:colOff>390525</xdr:colOff>
      <xdr:row>9</xdr:row>
      <xdr:rowOff>104775</xdr:rowOff>
    </xdr:from>
    <xdr:to>
      <xdr:col>24</xdr:col>
      <xdr:colOff>190500</xdr:colOff>
      <xdr:row>10</xdr:row>
      <xdr:rowOff>19050</xdr:rowOff>
    </xdr:to>
    <xdr:sp macro="" textlink="">
      <xdr:nvSpPr>
        <xdr:cNvPr id="74686" name="Rectangle 116">
          <a:extLst>
            <a:ext uri="{FF2B5EF4-FFF2-40B4-BE49-F238E27FC236}">
              <a16:creationId xmlns:a16="http://schemas.microsoft.com/office/drawing/2014/main" id="{F2AD3735-CDE3-476D-BCA0-6225548CA468}"/>
            </a:ext>
          </a:extLst>
        </xdr:cNvPr>
        <xdr:cNvSpPr>
          <a:spLocks noChangeArrowheads="1"/>
        </xdr:cNvSpPr>
      </xdr:nvSpPr>
      <xdr:spPr bwMode="auto">
        <a:xfrm>
          <a:off x="15011400" y="1638300"/>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22</xdr:col>
      <xdr:colOff>95250</xdr:colOff>
      <xdr:row>15</xdr:row>
      <xdr:rowOff>123825</xdr:rowOff>
    </xdr:from>
    <xdr:to>
      <xdr:col>22</xdr:col>
      <xdr:colOff>552450</xdr:colOff>
      <xdr:row>19</xdr:row>
      <xdr:rowOff>76200</xdr:rowOff>
    </xdr:to>
    <xdr:sp macro="" textlink="">
      <xdr:nvSpPr>
        <xdr:cNvPr id="74687" name="Line 117">
          <a:extLst>
            <a:ext uri="{FF2B5EF4-FFF2-40B4-BE49-F238E27FC236}">
              <a16:creationId xmlns:a16="http://schemas.microsoft.com/office/drawing/2014/main" id="{52A37FAB-B644-4654-AD52-A0F145DBAC9E}"/>
            </a:ext>
          </a:extLst>
        </xdr:cNvPr>
        <xdr:cNvSpPr>
          <a:spLocks noChangeShapeType="1"/>
        </xdr:cNvSpPr>
      </xdr:nvSpPr>
      <xdr:spPr bwMode="auto">
        <a:xfrm flipV="1">
          <a:off x="14716125" y="2628900"/>
          <a:ext cx="457200" cy="600075"/>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295275</xdr:colOff>
      <xdr:row>2</xdr:row>
      <xdr:rowOff>76200</xdr:rowOff>
    </xdr:from>
    <xdr:to>
      <xdr:col>23</xdr:col>
      <xdr:colOff>295275</xdr:colOff>
      <xdr:row>9</xdr:row>
      <xdr:rowOff>114300</xdr:rowOff>
    </xdr:to>
    <xdr:sp macro="" textlink="">
      <xdr:nvSpPr>
        <xdr:cNvPr id="74688" name="Line 118">
          <a:extLst>
            <a:ext uri="{FF2B5EF4-FFF2-40B4-BE49-F238E27FC236}">
              <a16:creationId xmlns:a16="http://schemas.microsoft.com/office/drawing/2014/main" id="{046BF0AB-96B6-4532-A0E8-43AAE6C92842}"/>
            </a:ext>
          </a:extLst>
        </xdr:cNvPr>
        <xdr:cNvSpPr>
          <a:spLocks noChangeShapeType="1"/>
        </xdr:cNvSpPr>
      </xdr:nvSpPr>
      <xdr:spPr bwMode="auto">
        <a:xfrm flipV="1">
          <a:off x="15525750" y="476250"/>
          <a:ext cx="0" cy="11715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285750</xdr:colOff>
      <xdr:row>15</xdr:row>
      <xdr:rowOff>114300</xdr:rowOff>
    </xdr:from>
    <xdr:to>
      <xdr:col>23</xdr:col>
      <xdr:colOff>285750</xdr:colOff>
      <xdr:row>22</xdr:row>
      <xdr:rowOff>76200</xdr:rowOff>
    </xdr:to>
    <xdr:sp macro="" textlink="">
      <xdr:nvSpPr>
        <xdr:cNvPr id="74689" name="Line 119">
          <a:extLst>
            <a:ext uri="{FF2B5EF4-FFF2-40B4-BE49-F238E27FC236}">
              <a16:creationId xmlns:a16="http://schemas.microsoft.com/office/drawing/2014/main" id="{0A9E2CF4-86FC-45CD-ADB7-FD40EDA7BA2A}"/>
            </a:ext>
          </a:extLst>
        </xdr:cNvPr>
        <xdr:cNvSpPr>
          <a:spLocks noChangeShapeType="1"/>
        </xdr:cNvSpPr>
      </xdr:nvSpPr>
      <xdr:spPr bwMode="auto">
        <a:xfrm flipV="1">
          <a:off x="15516225" y="2619375"/>
          <a:ext cx="0" cy="10953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228600</xdr:colOff>
      <xdr:row>12</xdr:row>
      <xdr:rowOff>104775</xdr:rowOff>
    </xdr:from>
    <xdr:to>
      <xdr:col>25</xdr:col>
      <xdr:colOff>285750</xdr:colOff>
      <xdr:row>12</xdr:row>
      <xdr:rowOff>104775</xdr:rowOff>
    </xdr:to>
    <xdr:sp macro="" textlink="">
      <xdr:nvSpPr>
        <xdr:cNvPr id="74690" name="Line 120">
          <a:extLst>
            <a:ext uri="{FF2B5EF4-FFF2-40B4-BE49-F238E27FC236}">
              <a16:creationId xmlns:a16="http://schemas.microsoft.com/office/drawing/2014/main" id="{063CA477-EDC9-4630-9772-6249243AC48E}"/>
            </a:ext>
          </a:extLst>
        </xdr:cNvPr>
        <xdr:cNvSpPr>
          <a:spLocks noChangeShapeType="1"/>
        </xdr:cNvSpPr>
      </xdr:nvSpPr>
      <xdr:spPr bwMode="auto">
        <a:xfrm>
          <a:off x="16068675" y="2124075"/>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314325</xdr:colOff>
      <xdr:row>12</xdr:row>
      <xdr:rowOff>104775</xdr:rowOff>
    </xdr:from>
    <xdr:to>
      <xdr:col>22</xdr:col>
      <xdr:colOff>371475</xdr:colOff>
      <xdr:row>12</xdr:row>
      <xdr:rowOff>104775</xdr:rowOff>
    </xdr:to>
    <xdr:sp macro="" textlink="">
      <xdr:nvSpPr>
        <xdr:cNvPr id="74691" name="Line 121">
          <a:extLst>
            <a:ext uri="{FF2B5EF4-FFF2-40B4-BE49-F238E27FC236}">
              <a16:creationId xmlns:a16="http://schemas.microsoft.com/office/drawing/2014/main" id="{1DA93AB0-EF53-485E-B100-84A0A69ACC50}"/>
            </a:ext>
          </a:extLst>
        </xdr:cNvPr>
        <xdr:cNvSpPr>
          <a:spLocks noChangeShapeType="1"/>
        </xdr:cNvSpPr>
      </xdr:nvSpPr>
      <xdr:spPr bwMode="auto">
        <a:xfrm>
          <a:off x="14325600" y="2124075"/>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447675</xdr:colOff>
      <xdr:row>2</xdr:row>
      <xdr:rowOff>9525</xdr:rowOff>
    </xdr:from>
    <xdr:to>
      <xdr:col>23</xdr:col>
      <xdr:colOff>523875</xdr:colOff>
      <xdr:row>3</xdr:row>
      <xdr:rowOff>47625</xdr:rowOff>
    </xdr:to>
    <xdr:sp macro="" textlink="">
      <xdr:nvSpPr>
        <xdr:cNvPr id="74692" name="Text Box 122">
          <a:extLst>
            <a:ext uri="{FF2B5EF4-FFF2-40B4-BE49-F238E27FC236}">
              <a16:creationId xmlns:a16="http://schemas.microsoft.com/office/drawing/2014/main" id="{61964F26-718A-4031-8829-695BA5292DB9}"/>
            </a:ext>
          </a:extLst>
        </xdr:cNvPr>
        <xdr:cNvSpPr txBox="1">
          <a:spLocks noChangeArrowheads="1"/>
        </xdr:cNvSpPr>
      </xdr:nvSpPr>
      <xdr:spPr bwMode="auto">
        <a:xfrm>
          <a:off x="15678150" y="40957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23</xdr:col>
      <xdr:colOff>200025</xdr:colOff>
      <xdr:row>22</xdr:row>
      <xdr:rowOff>114300</xdr:rowOff>
    </xdr:from>
    <xdr:ext cx="139525" cy="170560"/>
    <xdr:sp macro="" textlink="">
      <xdr:nvSpPr>
        <xdr:cNvPr id="10363" name="Text Box 123">
          <a:extLst>
            <a:ext uri="{FF2B5EF4-FFF2-40B4-BE49-F238E27FC236}">
              <a16:creationId xmlns:a16="http://schemas.microsoft.com/office/drawing/2014/main" id="{E9E04D58-D6A0-47E5-BF68-4B8D6D5E8A95}"/>
            </a:ext>
          </a:extLst>
        </xdr:cNvPr>
        <xdr:cNvSpPr txBox="1">
          <a:spLocks noChangeArrowheads="1"/>
        </xdr:cNvSpPr>
      </xdr:nvSpPr>
      <xdr:spPr bwMode="auto">
        <a:xfrm>
          <a:off x="15430500" y="3752850"/>
          <a:ext cx="13952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21</xdr:col>
      <xdr:colOff>66675</xdr:colOff>
      <xdr:row>12</xdr:row>
      <xdr:rowOff>28575</xdr:rowOff>
    </xdr:from>
    <xdr:ext cx="180975" cy="180975"/>
    <xdr:sp macro="" textlink="">
      <xdr:nvSpPr>
        <xdr:cNvPr id="10364" name="Text Box 124">
          <a:extLst>
            <a:ext uri="{FF2B5EF4-FFF2-40B4-BE49-F238E27FC236}">
              <a16:creationId xmlns:a16="http://schemas.microsoft.com/office/drawing/2014/main" id="{C8D1957F-8D39-409C-AB98-9C1881B2A030}"/>
            </a:ext>
          </a:extLst>
        </xdr:cNvPr>
        <xdr:cNvSpPr txBox="1">
          <a:spLocks noChangeArrowheads="1"/>
        </xdr:cNvSpPr>
      </xdr:nvSpPr>
      <xdr:spPr bwMode="auto">
        <a:xfrm>
          <a:off x="14077950" y="2047875"/>
          <a:ext cx="238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25</xdr:col>
      <xdr:colOff>295275</xdr:colOff>
      <xdr:row>12</xdr:row>
      <xdr:rowOff>9525</xdr:rowOff>
    </xdr:from>
    <xdr:ext cx="146707" cy="170560"/>
    <xdr:sp macro="" textlink="">
      <xdr:nvSpPr>
        <xdr:cNvPr id="10365" name="Text Box 125">
          <a:extLst>
            <a:ext uri="{FF2B5EF4-FFF2-40B4-BE49-F238E27FC236}">
              <a16:creationId xmlns:a16="http://schemas.microsoft.com/office/drawing/2014/main" id="{4A2C5B1B-0DC1-4DAC-8BC5-8C3ED8CAF2EA}"/>
            </a:ext>
          </a:extLst>
        </xdr:cNvPr>
        <xdr:cNvSpPr txBox="1">
          <a:spLocks noChangeArrowheads="1"/>
        </xdr:cNvSpPr>
      </xdr:nvSpPr>
      <xdr:spPr bwMode="auto">
        <a:xfrm>
          <a:off x="16744950" y="2028825"/>
          <a:ext cx="146707"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23</xdr:col>
      <xdr:colOff>180975</xdr:colOff>
      <xdr:row>12</xdr:row>
      <xdr:rowOff>0</xdr:rowOff>
    </xdr:from>
    <xdr:ext cx="178895" cy="170560"/>
    <xdr:sp macro="" textlink="">
      <xdr:nvSpPr>
        <xdr:cNvPr id="10366" name="Text Box 126">
          <a:extLst>
            <a:ext uri="{FF2B5EF4-FFF2-40B4-BE49-F238E27FC236}">
              <a16:creationId xmlns:a16="http://schemas.microsoft.com/office/drawing/2014/main" id="{F879324E-500D-404E-9069-982786709684}"/>
            </a:ext>
          </a:extLst>
        </xdr:cNvPr>
        <xdr:cNvSpPr txBox="1">
          <a:spLocks noChangeArrowheads="1"/>
        </xdr:cNvSpPr>
      </xdr:nvSpPr>
      <xdr:spPr bwMode="auto">
        <a:xfrm>
          <a:off x="15411450" y="2019300"/>
          <a:ext cx="17889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+Y</a:t>
          </a:r>
        </a:p>
      </xdr:txBody>
    </xdr:sp>
    <xdr:clientData/>
  </xdr:oneCellAnchor>
  <xdr:twoCellAnchor>
    <xdr:from>
      <xdr:col>22</xdr:col>
      <xdr:colOff>133350</xdr:colOff>
      <xdr:row>12</xdr:row>
      <xdr:rowOff>133350</xdr:rowOff>
    </xdr:from>
    <xdr:to>
      <xdr:col>23</xdr:col>
      <xdr:colOff>266700</xdr:colOff>
      <xdr:row>22</xdr:row>
      <xdr:rowOff>114300</xdr:rowOff>
    </xdr:to>
    <xdr:sp macro="" textlink="">
      <xdr:nvSpPr>
        <xdr:cNvPr id="74697" name="Line 127">
          <a:extLst>
            <a:ext uri="{FF2B5EF4-FFF2-40B4-BE49-F238E27FC236}">
              <a16:creationId xmlns:a16="http://schemas.microsoft.com/office/drawing/2014/main" id="{003DCE1E-4002-4E63-902D-25D704FF5D3B}"/>
            </a:ext>
          </a:extLst>
        </xdr:cNvPr>
        <xdr:cNvSpPr>
          <a:spLocks noChangeShapeType="1"/>
        </xdr:cNvSpPr>
      </xdr:nvSpPr>
      <xdr:spPr bwMode="auto">
        <a:xfrm flipH="1">
          <a:off x="14754225" y="2152650"/>
          <a:ext cx="742950" cy="1600200"/>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457200</xdr:colOff>
      <xdr:row>20</xdr:row>
      <xdr:rowOff>123825</xdr:rowOff>
    </xdr:from>
    <xdr:ext cx="230448" cy="170560"/>
    <xdr:sp macro="" textlink="">
      <xdr:nvSpPr>
        <xdr:cNvPr id="10368" name="Text Box 128">
          <a:extLst>
            <a:ext uri="{FF2B5EF4-FFF2-40B4-BE49-F238E27FC236}">
              <a16:creationId xmlns:a16="http://schemas.microsoft.com/office/drawing/2014/main" id="{B099C40D-17B1-4BD1-A6AF-1DCA55220869}"/>
            </a:ext>
          </a:extLst>
        </xdr:cNvPr>
        <xdr:cNvSpPr txBox="1">
          <a:spLocks noChangeArrowheads="1"/>
        </xdr:cNvSpPr>
      </xdr:nvSpPr>
      <xdr:spPr bwMode="auto">
        <a:xfrm>
          <a:off x="15078075" y="3438525"/>
          <a:ext cx="2304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47625</xdr:rowOff>
    </xdr:to>
    <xdr:sp macro="" textlink="">
      <xdr:nvSpPr>
        <xdr:cNvPr id="74699" name="Line 129">
          <a:extLst>
            <a:ext uri="{FF2B5EF4-FFF2-40B4-BE49-F238E27FC236}">
              <a16:creationId xmlns:a16="http://schemas.microsoft.com/office/drawing/2014/main" id="{8B452061-E398-4808-A997-5AB6D92FD41C}"/>
            </a:ext>
          </a:extLst>
        </xdr:cNvPr>
        <xdr:cNvSpPr>
          <a:spLocks noChangeShapeType="1"/>
        </xdr:cNvSpPr>
      </xdr:nvSpPr>
      <xdr:spPr bwMode="auto">
        <a:xfrm flipH="1" flipV="1">
          <a:off x="14887575" y="3476625"/>
          <a:ext cx="152400" cy="476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142875</xdr:colOff>
      <xdr:row>21</xdr:row>
      <xdr:rowOff>47625</xdr:rowOff>
    </xdr:from>
    <xdr:to>
      <xdr:col>23</xdr:col>
      <xdr:colOff>304800</xdr:colOff>
      <xdr:row>21</xdr:row>
      <xdr:rowOff>76200</xdr:rowOff>
    </xdr:to>
    <xdr:sp macro="" textlink="">
      <xdr:nvSpPr>
        <xdr:cNvPr id="74700" name="Line 130">
          <a:extLst>
            <a:ext uri="{FF2B5EF4-FFF2-40B4-BE49-F238E27FC236}">
              <a16:creationId xmlns:a16="http://schemas.microsoft.com/office/drawing/2014/main" id="{01A8C4B1-5CB8-41A6-B08A-D4A5CD2B1111}"/>
            </a:ext>
          </a:extLst>
        </xdr:cNvPr>
        <xdr:cNvSpPr>
          <a:spLocks noChangeShapeType="1"/>
        </xdr:cNvSpPr>
      </xdr:nvSpPr>
      <xdr:spPr bwMode="auto">
        <a:xfrm flipV="1">
          <a:off x="15373350" y="3524250"/>
          <a:ext cx="161925"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104775</xdr:rowOff>
    </xdr:from>
    <xdr:ext cx="517321" cy="170560"/>
    <xdr:sp macro="" textlink="">
      <xdr:nvSpPr>
        <xdr:cNvPr id="10371" name="Text Box 131">
          <a:extLst>
            <a:ext uri="{FF2B5EF4-FFF2-40B4-BE49-F238E27FC236}">
              <a16:creationId xmlns:a16="http://schemas.microsoft.com/office/drawing/2014/main" id="{5EC8D296-84FE-4106-AEE6-8C7EBCDDA8DB}"/>
            </a:ext>
          </a:extLst>
        </xdr:cNvPr>
        <xdr:cNvSpPr txBox="1">
          <a:spLocks noChangeArrowheads="1"/>
        </xdr:cNvSpPr>
      </xdr:nvSpPr>
      <xdr:spPr bwMode="auto">
        <a:xfrm>
          <a:off x="15240000" y="3905250"/>
          <a:ext cx="51732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Figure</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5</a:t>
          </a:r>
        </a:p>
      </xdr:txBody>
    </xdr:sp>
    <xdr:clientData/>
  </xdr:oneCellAnchor>
  <xdr:oneCellAnchor>
    <xdr:from>
      <xdr:col>23</xdr:col>
      <xdr:colOff>561975</xdr:colOff>
      <xdr:row>20</xdr:row>
      <xdr:rowOff>38100</xdr:rowOff>
    </xdr:from>
    <xdr:ext cx="994888" cy="170560"/>
    <xdr:sp macro="" textlink="">
      <xdr:nvSpPr>
        <xdr:cNvPr id="10372" name="Text Box 132">
          <a:extLst>
            <a:ext uri="{FF2B5EF4-FFF2-40B4-BE49-F238E27FC236}">
              <a16:creationId xmlns:a16="http://schemas.microsoft.com/office/drawing/2014/main" id="{389AFADF-46EA-443C-9478-6BEB209A9118}"/>
            </a:ext>
          </a:extLst>
        </xdr:cNvPr>
        <xdr:cNvSpPr txBox="1">
          <a:spLocks noChangeArrowheads="1"/>
        </xdr:cNvSpPr>
      </xdr:nvSpPr>
      <xdr:spPr bwMode="auto">
        <a:xfrm>
          <a:off x="15792450" y="3352800"/>
          <a:ext cx="99488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Canted Turnstyle</a:t>
          </a:r>
        </a:p>
      </xdr:txBody>
    </xdr:sp>
    <xdr:clientData/>
  </xdr:oneCellAnchor>
  <xdr:oneCellAnchor>
    <xdr:from>
      <xdr:col>17</xdr:col>
      <xdr:colOff>142875</xdr:colOff>
      <xdr:row>1</xdr:row>
      <xdr:rowOff>66675</xdr:rowOff>
    </xdr:from>
    <xdr:ext cx="171714" cy="170560"/>
    <xdr:sp macro="" textlink="">
      <xdr:nvSpPr>
        <xdr:cNvPr id="10373" name="Text Box 133">
          <a:extLst>
            <a:ext uri="{FF2B5EF4-FFF2-40B4-BE49-F238E27FC236}">
              <a16:creationId xmlns:a16="http://schemas.microsoft.com/office/drawing/2014/main" id="{0F9620ED-FF01-4BC9-82F2-32674FB1AEE6}"/>
            </a:ext>
          </a:extLst>
        </xdr:cNvPr>
        <xdr:cNvSpPr txBox="1">
          <a:spLocks noChangeArrowheads="1"/>
        </xdr:cNvSpPr>
      </xdr:nvSpPr>
      <xdr:spPr bwMode="auto">
        <a:xfrm>
          <a:off x="11687175" y="304800"/>
          <a:ext cx="17171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23</xdr:col>
      <xdr:colOff>190500</xdr:colOff>
      <xdr:row>1</xdr:row>
      <xdr:rowOff>66675</xdr:rowOff>
    </xdr:from>
    <xdr:ext cx="171714" cy="170560"/>
    <xdr:sp macro="" textlink="">
      <xdr:nvSpPr>
        <xdr:cNvPr id="10374" name="Text Box 134">
          <a:extLst>
            <a:ext uri="{FF2B5EF4-FFF2-40B4-BE49-F238E27FC236}">
              <a16:creationId xmlns:a16="http://schemas.microsoft.com/office/drawing/2014/main" id="{1B417DA7-B05D-4474-B9C9-991CE0CBCF25}"/>
            </a:ext>
          </a:extLst>
        </xdr:cNvPr>
        <xdr:cNvSpPr txBox="1">
          <a:spLocks noChangeArrowheads="1"/>
        </xdr:cNvSpPr>
      </xdr:nvSpPr>
      <xdr:spPr bwMode="auto">
        <a:xfrm>
          <a:off x="15420975" y="304800"/>
          <a:ext cx="17171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twoCellAnchor>
    <xdr:from>
      <xdr:col>24</xdr:col>
      <xdr:colOff>47625</xdr:colOff>
      <xdr:row>15</xdr:row>
      <xdr:rowOff>123825</xdr:rowOff>
    </xdr:from>
    <xdr:to>
      <xdr:col>24</xdr:col>
      <xdr:colOff>504825</xdr:colOff>
      <xdr:row>19</xdr:row>
      <xdr:rowOff>76200</xdr:rowOff>
    </xdr:to>
    <xdr:sp macro="" textlink="">
      <xdr:nvSpPr>
        <xdr:cNvPr id="74705" name="Line 135">
          <a:extLst>
            <a:ext uri="{FF2B5EF4-FFF2-40B4-BE49-F238E27FC236}">
              <a16:creationId xmlns:a16="http://schemas.microsoft.com/office/drawing/2014/main" id="{9D649BB9-5448-4FD9-83DC-3855F0F3B844}"/>
            </a:ext>
          </a:extLst>
        </xdr:cNvPr>
        <xdr:cNvSpPr>
          <a:spLocks noChangeShapeType="1"/>
        </xdr:cNvSpPr>
      </xdr:nvSpPr>
      <xdr:spPr bwMode="auto">
        <a:xfrm flipH="1" flipV="1">
          <a:off x="15887700" y="2628900"/>
          <a:ext cx="457200" cy="600075"/>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9525</xdr:rowOff>
    </xdr:from>
    <xdr:to>
      <xdr:col>30</xdr:col>
      <xdr:colOff>123825</xdr:colOff>
      <xdr:row>15</xdr:row>
      <xdr:rowOff>28575</xdr:rowOff>
    </xdr:to>
    <xdr:sp macro="" textlink="">
      <xdr:nvSpPr>
        <xdr:cNvPr id="74706" name="Rectangle 136" descr="Large grid">
          <a:extLst>
            <a:ext uri="{FF2B5EF4-FFF2-40B4-BE49-F238E27FC236}">
              <a16:creationId xmlns:a16="http://schemas.microsoft.com/office/drawing/2014/main" id="{0A51643B-9163-46A3-872E-A714F044DEB1}"/>
            </a:ext>
          </a:extLst>
        </xdr:cNvPr>
        <xdr:cNvSpPr>
          <a:spLocks noChangeArrowheads="1"/>
        </xdr:cNvSpPr>
      </xdr:nvSpPr>
      <xdr:spPr bwMode="auto">
        <a:xfrm>
          <a:off x="18602325" y="1704975"/>
          <a:ext cx="1019175" cy="828675"/>
        </a:xfrm>
        <a:prstGeom prst="rect">
          <a:avLst/>
        </a:prstGeom>
        <a:blipFill dpi="0" rotWithShape="0">
          <a:blip xmlns:r="http://schemas.openxmlformats.org/officeDocument/2006/relationships" r:embed="rId1"/>
          <a:srcRect/>
          <a:tile tx="0" ty="0" sx="100000" sy="100000" flip="none" algn="tl"/>
        </a:blip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28</xdr:col>
      <xdr:colOff>323850</xdr:colOff>
      <xdr:row>15</xdr:row>
      <xdr:rowOff>28575</xdr:rowOff>
    </xdr:from>
    <xdr:to>
      <xdr:col>30</xdr:col>
      <xdr:colOff>123825</xdr:colOff>
      <xdr:row>15</xdr:row>
      <xdr:rowOff>104775</xdr:rowOff>
    </xdr:to>
    <xdr:sp macro="" textlink="">
      <xdr:nvSpPr>
        <xdr:cNvPr id="74707" name="Rectangle 137">
          <a:extLst>
            <a:ext uri="{FF2B5EF4-FFF2-40B4-BE49-F238E27FC236}">
              <a16:creationId xmlns:a16="http://schemas.microsoft.com/office/drawing/2014/main" id="{165F7218-4BB0-4DBA-A5BB-704B6F170054}"/>
            </a:ext>
          </a:extLst>
        </xdr:cNvPr>
        <xdr:cNvSpPr>
          <a:spLocks noChangeArrowheads="1"/>
        </xdr:cNvSpPr>
      </xdr:nvSpPr>
      <xdr:spPr bwMode="auto">
        <a:xfrm>
          <a:off x="18602325" y="2533650"/>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28</xdr:col>
      <xdr:colOff>323850</xdr:colOff>
      <xdr:row>9</xdr:row>
      <xdr:rowOff>85725</xdr:rowOff>
    </xdr:from>
    <xdr:to>
      <xdr:col>30</xdr:col>
      <xdr:colOff>123825</xdr:colOff>
      <xdr:row>10</xdr:row>
      <xdr:rowOff>0</xdr:rowOff>
    </xdr:to>
    <xdr:sp macro="" textlink="">
      <xdr:nvSpPr>
        <xdr:cNvPr id="74708" name="Rectangle 138">
          <a:extLst>
            <a:ext uri="{FF2B5EF4-FFF2-40B4-BE49-F238E27FC236}">
              <a16:creationId xmlns:a16="http://schemas.microsoft.com/office/drawing/2014/main" id="{E302949D-726C-4D28-B68F-E79FC6D89C1B}"/>
            </a:ext>
          </a:extLst>
        </xdr:cNvPr>
        <xdr:cNvSpPr>
          <a:spLocks noChangeArrowheads="1"/>
        </xdr:cNvSpPr>
      </xdr:nvSpPr>
      <xdr:spPr bwMode="auto">
        <a:xfrm>
          <a:off x="18602325" y="1619250"/>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29</xdr:col>
      <xdr:colOff>238125</xdr:colOff>
      <xdr:row>7</xdr:row>
      <xdr:rowOff>28575</xdr:rowOff>
    </xdr:from>
    <xdr:to>
      <xdr:col>29</xdr:col>
      <xdr:colOff>238125</xdr:colOff>
      <xdr:row>9</xdr:row>
      <xdr:rowOff>85725</xdr:rowOff>
    </xdr:to>
    <xdr:sp macro="" textlink="">
      <xdr:nvSpPr>
        <xdr:cNvPr id="74709" name="Line 139">
          <a:extLst>
            <a:ext uri="{FF2B5EF4-FFF2-40B4-BE49-F238E27FC236}">
              <a16:creationId xmlns:a16="http://schemas.microsoft.com/office/drawing/2014/main" id="{6A4E1CCA-14E9-4365-8083-917FDA0B2D4C}"/>
            </a:ext>
          </a:extLst>
        </xdr:cNvPr>
        <xdr:cNvSpPr>
          <a:spLocks noChangeShapeType="1"/>
        </xdr:cNvSpPr>
      </xdr:nvSpPr>
      <xdr:spPr bwMode="auto">
        <a:xfrm flipV="1">
          <a:off x="19126200" y="1238250"/>
          <a:ext cx="0" cy="38100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228600</xdr:colOff>
      <xdr:row>2</xdr:row>
      <xdr:rowOff>57150</xdr:rowOff>
    </xdr:from>
    <xdr:to>
      <xdr:col>29</xdr:col>
      <xdr:colOff>228600</xdr:colOff>
      <xdr:row>5</xdr:row>
      <xdr:rowOff>0</xdr:rowOff>
    </xdr:to>
    <xdr:sp macro="" textlink="">
      <xdr:nvSpPr>
        <xdr:cNvPr id="74710" name="Line 140">
          <a:extLst>
            <a:ext uri="{FF2B5EF4-FFF2-40B4-BE49-F238E27FC236}">
              <a16:creationId xmlns:a16="http://schemas.microsoft.com/office/drawing/2014/main" id="{C966EE93-018A-444F-AE8D-04B2253D05E5}"/>
            </a:ext>
          </a:extLst>
        </xdr:cNvPr>
        <xdr:cNvSpPr>
          <a:spLocks noChangeShapeType="1"/>
        </xdr:cNvSpPr>
      </xdr:nvSpPr>
      <xdr:spPr bwMode="auto">
        <a:xfrm flipV="1">
          <a:off x="19116675" y="457200"/>
          <a:ext cx="0" cy="42862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219075</xdr:colOff>
      <xdr:row>15</xdr:row>
      <xdr:rowOff>95250</xdr:rowOff>
    </xdr:from>
    <xdr:to>
      <xdr:col>29</xdr:col>
      <xdr:colOff>219075</xdr:colOff>
      <xdr:row>22</xdr:row>
      <xdr:rowOff>57150</xdr:rowOff>
    </xdr:to>
    <xdr:sp macro="" textlink="">
      <xdr:nvSpPr>
        <xdr:cNvPr id="74711" name="Line 141">
          <a:extLst>
            <a:ext uri="{FF2B5EF4-FFF2-40B4-BE49-F238E27FC236}">
              <a16:creationId xmlns:a16="http://schemas.microsoft.com/office/drawing/2014/main" id="{6611E782-A734-44FE-9927-F65B52AE811A}"/>
            </a:ext>
          </a:extLst>
        </xdr:cNvPr>
        <xdr:cNvSpPr>
          <a:spLocks noChangeShapeType="1"/>
        </xdr:cNvSpPr>
      </xdr:nvSpPr>
      <xdr:spPr bwMode="auto">
        <a:xfrm flipV="1">
          <a:off x="19107150" y="2600325"/>
          <a:ext cx="0" cy="10953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161925</xdr:colOff>
      <xdr:row>12</xdr:row>
      <xdr:rowOff>85725</xdr:rowOff>
    </xdr:from>
    <xdr:to>
      <xdr:col>31</xdr:col>
      <xdr:colOff>219075</xdr:colOff>
      <xdr:row>12</xdr:row>
      <xdr:rowOff>85725</xdr:rowOff>
    </xdr:to>
    <xdr:sp macro="" textlink="">
      <xdr:nvSpPr>
        <xdr:cNvPr id="74712" name="Line 142">
          <a:extLst>
            <a:ext uri="{FF2B5EF4-FFF2-40B4-BE49-F238E27FC236}">
              <a16:creationId xmlns:a16="http://schemas.microsoft.com/office/drawing/2014/main" id="{3FC3E517-4063-42D5-A6FF-91127F5B1449}"/>
            </a:ext>
          </a:extLst>
        </xdr:cNvPr>
        <xdr:cNvSpPr>
          <a:spLocks noChangeShapeType="1"/>
        </xdr:cNvSpPr>
      </xdr:nvSpPr>
      <xdr:spPr bwMode="auto">
        <a:xfrm>
          <a:off x="19659600" y="2105025"/>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247650</xdr:colOff>
      <xdr:row>12</xdr:row>
      <xdr:rowOff>85725</xdr:rowOff>
    </xdr:from>
    <xdr:to>
      <xdr:col>28</xdr:col>
      <xdr:colOff>304800</xdr:colOff>
      <xdr:row>12</xdr:row>
      <xdr:rowOff>85725</xdr:rowOff>
    </xdr:to>
    <xdr:sp macro="" textlink="">
      <xdr:nvSpPr>
        <xdr:cNvPr id="74713" name="Line 143">
          <a:extLst>
            <a:ext uri="{FF2B5EF4-FFF2-40B4-BE49-F238E27FC236}">
              <a16:creationId xmlns:a16="http://schemas.microsoft.com/office/drawing/2014/main" id="{26EDE5D1-4222-41C1-B83D-5BBA88749A5D}"/>
            </a:ext>
          </a:extLst>
        </xdr:cNvPr>
        <xdr:cNvSpPr>
          <a:spLocks noChangeShapeType="1"/>
        </xdr:cNvSpPr>
      </xdr:nvSpPr>
      <xdr:spPr bwMode="auto">
        <a:xfrm>
          <a:off x="17916525" y="2105025"/>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371475</xdr:colOff>
      <xdr:row>1</xdr:row>
      <xdr:rowOff>152400</xdr:rowOff>
    </xdr:from>
    <xdr:to>
      <xdr:col>29</xdr:col>
      <xdr:colOff>447675</xdr:colOff>
      <xdr:row>3</xdr:row>
      <xdr:rowOff>28575</xdr:rowOff>
    </xdr:to>
    <xdr:sp macro="" textlink="">
      <xdr:nvSpPr>
        <xdr:cNvPr id="74714" name="Text Box 144">
          <a:extLst>
            <a:ext uri="{FF2B5EF4-FFF2-40B4-BE49-F238E27FC236}">
              <a16:creationId xmlns:a16="http://schemas.microsoft.com/office/drawing/2014/main" id="{B95163AA-A911-4F51-B515-6D9FB957734B}"/>
            </a:ext>
          </a:extLst>
        </xdr:cNvPr>
        <xdr:cNvSpPr txBox="1">
          <a:spLocks noChangeArrowheads="1"/>
        </xdr:cNvSpPr>
      </xdr:nvSpPr>
      <xdr:spPr bwMode="auto">
        <a:xfrm>
          <a:off x="19259550" y="3905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29</xdr:col>
      <xdr:colOff>123825</xdr:colOff>
      <xdr:row>1</xdr:row>
      <xdr:rowOff>0</xdr:rowOff>
    </xdr:from>
    <xdr:ext cx="171714" cy="170560"/>
    <xdr:sp macro="" textlink="">
      <xdr:nvSpPr>
        <xdr:cNvPr id="10385" name="Text Box 145">
          <a:extLst>
            <a:ext uri="{FF2B5EF4-FFF2-40B4-BE49-F238E27FC236}">
              <a16:creationId xmlns:a16="http://schemas.microsoft.com/office/drawing/2014/main" id="{F83D20FE-7704-42EF-94E2-797AF4C4542C}"/>
            </a:ext>
          </a:extLst>
        </xdr:cNvPr>
        <xdr:cNvSpPr txBox="1">
          <a:spLocks noChangeArrowheads="1"/>
        </xdr:cNvSpPr>
      </xdr:nvSpPr>
      <xdr:spPr bwMode="auto">
        <a:xfrm>
          <a:off x="19011900" y="238125"/>
          <a:ext cx="17171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29</xdr:col>
      <xdr:colOff>142875</xdr:colOff>
      <xdr:row>22</xdr:row>
      <xdr:rowOff>104775</xdr:rowOff>
    </xdr:from>
    <xdr:ext cx="139525" cy="170560"/>
    <xdr:sp macro="" textlink="">
      <xdr:nvSpPr>
        <xdr:cNvPr id="10386" name="Text Box 146">
          <a:extLst>
            <a:ext uri="{FF2B5EF4-FFF2-40B4-BE49-F238E27FC236}">
              <a16:creationId xmlns:a16="http://schemas.microsoft.com/office/drawing/2014/main" id="{536A1DFC-D380-4D33-B349-1804265AA1B0}"/>
            </a:ext>
          </a:extLst>
        </xdr:cNvPr>
        <xdr:cNvSpPr txBox="1">
          <a:spLocks noChangeArrowheads="1"/>
        </xdr:cNvSpPr>
      </xdr:nvSpPr>
      <xdr:spPr bwMode="auto">
        <a:xfrm>
          <a:off x="19030950" y="3743325"/>
          <a:ext cx="13952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26</xdr:col>
      <xdr:colOff>600075</xdr:colOff>
      <xdr:row>12</xdr:row>
      <xdr:rowOff>0</xdr:rowOff>
    </xdr:from>
    <xdr:ext cx="180975" cy="180975"/>
    <xdr:sp macro="" textlink="">
      <xdr:nvSpPr>
        <xdr:cNvPr id="10387" name="Text Box 147">
          <a:extLst>
            <a:ext uri="{FF2B5EF4-FFF2-40B4-BE49-F238E27FC236}">
              <a16:creationId xmlns:a16="http://schemas.microsoft.com/office/drawing/2014/main" id="{F7A6A284-D64A-4119-8940-59968DC6223A}"/>
            </a:ext>
          </a:extLst>
        </xdr:cNvPr>
        <xdr:cNvSpPr txBox="1">
          <a:spLocks noChangeArrowheads="1"/>
        </xdr:cNvSpPr>
      </xdr:nvSpPr>
      <xdr:spPr bwMode="auto">
        <a:xfrm>
          <a:off x="17659350" y="2019300"/>
          <a:ext cx="238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31</xdr:col>
      <xdr:colOff>228600</xdr:colOff>
      <xdr:row>11</xdr:row>
      <xdr:rowOff>152400</xdr:rowOff>
    </xdr:from>
    <xdr:ext cx="146707" cy="170560"/>
    <xdr:sp macro="" textlink="">
      <xdr:nvSpPr>
        <xdr:cNvPr id="10388" name="Text Box 148">
          <a:extLst>
            <a:ext uri="{FF2B5EF4-FFF2-40B4-BE49-F238E27FC236}">
              <a16:creationId xmlns:a16="http://schemas.microsoft.com/office/drawing/2014/main" id="{E71CBC99-B167-45A6-9BF9-A131BE1429D2}"/>
            </a:ext>
          </a:extLst>
        </xdr:cNvPr>
        <xdr:cNvSpPr txBox="1">
          <a:spLocks noChangeArrowheads="1"/>
        </xdr:cNvSpPr>
      </xdr:nvSpPr>
      <xdr:spPr bwMode="auto">
        <a:xfrm>
          <a:off x="20335875" y="2009775"/>
          <a:ext cx="146707"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29</xdr:col>
      <xdr:colOff>104775</xdr:colOff>
      <xdr:row>11</xdr:row>
      <xdr:rowOff>142875</xdr:rowOff>
    </xdr:from>
    <xdr:ext cx="178895" cy="170560"/>
    <xdr:sp macro="" textlink="">
      <xdr:nvSpPr>
        <xdr:cNvPr id="10389" name="Text Box 149">
          <a:extLst>
            <a:ext uri="{FF2B5EF4-FFF2-40B4-BE49-F238E27FC236}">
              <a16:creationId xmlns:a16="http://schemas.microsoft.com/office/drawing/2014/main" id="{78C2283F-C197-48B0-838C-EEA1F3EF45A5}"/>
            </a:ext>
          </a:extLst>
        </xdr:cNvPr>
        <xdr:cNvSpPr txBox="1">
          <a:spLocks noChangeArrowheads="1"/>
        </xdr:cNvSpPr>
      </xdr:nvSpPr>
      <xdr:spPr bwMode="auto">
        <a:xfrm>
          <a:off x="18992850" y="2000250"/>
          <a:ext cx="17889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+Y</a:t>
          </a:r>
        </a:p>
      </xdr:txBody>
    </xdr:sp>
    <xdr:clientData/>
  </xdr:oneCellAnchor>
  <xdr:twoCellAnchor>
    <xdr:from>
      <xdr:col>27</xdr:col>
      <xdr:colOff>342900</xdr:colOff>
      <xdr:row>1</xdr:row>
      <xdr:rowOff>95250</xdr:rowOff>
    </xdr:from>
    <xdr:to>
      <xdr:col>29</xdr:col>
      <xdr:colOff>190500</xdr:colOff>
      <xdr:row>9</xdr:row>
      <xdr:rowOff>85725</xdr:rowOff>
    </xdr:to>
    <xdr:sp macro="" textlink="">
      <xdr:nvSpPr>
        <xdr:cNvPr id="74720" name="Line 150">
          <a:extLst>
            <a:ext uri="{FF2B5EF4-FFF2-40B4-BE49-F238E27FC236}">
              <a16:creationId xmlns:a16="http://schemas.microsoft.com/office/drawing/2014/main" id="{EC01C019-66E8-41EB-B9D3-A7A9FD660613}"/>
            </a:ext>
          </a:extLst>
        </xdr:cNvPr>
        <xdr:cNvSpPr>
          <a:spLocks noChangeShapeType="1"/>
        </xdr:cNvSpPr>
      </xdr:nvSpPr>
      <xdr:spPr bwMode="auto">
        <a:xfrm flipH="1" flipV="1">
          <a:off x="18011775" y="333375"/>
          <a:ext cx="1066800" cy="1285875"/>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333375</xdr:colOff>
      <xdr:row>2</xdr:row>
      <xdr:rowOff>142875</xdr:rowOff>
    </xdr:from>
    <xdr:ext cx="230448" cy="170560"/>
    <xdr:sp macro="" textlink="">
      <xdr:nvSpPr>
        <xdr:cNvPr id="10391" name="Text Box 151">
          <a:extLst>
            <a:ext uri="{FF2B5EF4-FFF2-40B4-BE49-F238E27FC236}">
              <a16:creationId xmlns:a16="http://schemas.microsoft.com/office/drawing/2014/main" id="{3EC6A42E-046A-4DCD-8A76-139B5D1F5EF4}"/>
            </a:ext>
          </a:extLst>
        </xdr:cNvPr>
        <xdr:cNvSpPr txBox="1">
          <a:spLocks noChangeArrowheads="1"/>
        </xdr:cNvSpPr>
      </xdr:nvSpPr>
      <xdr:spPr bwMode="auto">
        <a:xfrm>
          <a:off x="18611850" y="542925"/>
          <a:ext cx="2304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2,3</a:t>
          </a:r>
        </a:p>
      </xdr:txBody>
    </xdr:sp>
    <xdr:clientData/>
  </xdr:oneCellAnchor>
  <xdr:twoCellAnchor>
    <xdr:from>
      <xdr:col>28</xdr:col>
      <xdr:colOff>161925</xdr:colOff>
      <xdr:row>4</xdr:row>
      <xdr:rowOff>0</xdr:rowOff>
    </xdr:from>
    <xdr:to>
      <xdr:col>28</xdr:col>
      <xdr:colOff>295275</xdr:colOff>
      <xdr:row>4</xdr:row>
      <xdr:rowOff>95250</xdr:rowOff>
    </xdr:to>
    <xdr:sp macro="" textlink="">
      <xdr:nvSpPr>
        <xdr:cNvPr id="74722" name="Line 152">
          <a:extLst>
            <a:ext uri="{FF2B5EF4-FFF2-40B4-BE49-F238E27FC236}">
              <a16:creationId xmlns:a16="http://schemas.microsoft.com/office/drawing/2014/main" id="{EB771BA0-4495-46F3-AD49-AD950ECB7ACE}"/>
            </a:ext>
          </a:extLst>
        </xdr:cNvPr>
        <xdr:cNvSpPr>
          <a:spLocks noChangeShapeType="1"/>
        </xdr:cNvSpPr>
      </xdr:nvSpPr>
      <xdr:spPr bwMode="auto">
        <a:xfrm flipH="1">
          <a:off x="18440400" y="723900"/>
          <a:ext cx="133350" cy="95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38100</xdr:colOff>
      <xdr:row>3</xdr:row>
      <xdr:rowOff>47625</xdr:rowOff>
    </xdr:from>
    <xdr:to>
      <xdr:col>29</xdr:col>
      <xdr:colOff>209550</xdr:colOff>
      <xdr:row>3</xdr:row>
      <xdr:rowOff>57150</xdr:rowOff>
    </xdr:to>
    <xdr:sp macro="" textlink="">
      <xdr:nvSpPr>
        <xdr:cNvPr id="74723" name="Line 153">
          <a:extLst>
            <a:ext uri="{FF2B5EF4-FFF2-40B4-BE49-F238E27FC236}">
              <a16:creationId xmlns:a16="http://schemas.microsoft.com/office/drawing/2014/main" id="{98706B68-F164-4239-8FCF-54A7A4796AC9}"/>
            </a:ext>
          </a:extLst>
        </xdr:cNvPr>
        <xdr:cNvSpPr>
          <a:spLocks noChangeShapeType="1"/>
        </xdr:cNvSpPr>
      </xdr:nvSpPr>
      <xdr:spPr bwMode="auto">
        <a:xfrm flipV="1">
          <a:off x="18926175" y="609600"/>
          <a:ext cx="171450"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561975</xdr:colOff>
      <xdr:row>23</xdr:row>
      <xdr:rowOff>76200</xdr:rowOff>
    </xdr:from>
    <xdr:ext cx="517321" cy="170560"/>
    <xdr:sp macro="" textlink="">
      <xdr:nvSpPr>
        <xdr:cNvPr id="10394" name="Text Box 154">
          <a:extLst>
            <a:ext uri="{FF2B5EF4-FFF2-40B4-BE49-F238E27FC236}">
              <a16:creationId xmlns:a16="http://schemas.microsoft.com/office/drawing/2014/main" id="{355239FC-3A5F-494F-82C4-49E697054C69}"/>
            </a:ext>
          </a:extLst>
        </xdr:cNvPr>
        <xdr:cNvSpPr txBox="1">
          <a:spLocks noChangeArrowheads="1"/>
        </xdr:cNvSpPr>
      </xdr:nvSpPr>
      <xdr:spPr bwMode="auto">
        <a:xfrm>
          <a:off x="18840450" y="3876675"/>
          <a:ext cx="51732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Figure</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6</a:t>
          </a:r>
        </a:p>
      </xdr:txBody>
    </xdr:sp>
    <xdr:clientData/>
  </xdr:oneCellAnchor>
  <xdr:oneCellAnchor>
    <xdr:from>
      <xdr:col>29</xdr:col>
      <xdr:colOff>495300</xdr:colOff>
      <xdr:row>5</xdr:row>
      <xdr:rowOff>104775</xdr:rowOff>
    </xdr:from>
    <xdr:ext cx="930511" cy="318036"/>
    <xdr:sp macro="" textlink="">
      <xdr:nvSpPr>
        <xdr:cNvPr id="10395" name="Text Box 155">
          <a:extLst>
            <a:ext uri="{FF2B5EF4-FFF2-40B4-BE49-F238E27FC236}">
              <a16:creationId xmlns:a16="http://schemas.microsoft.com/office/drawing/2014/main" id="{668CB8AE-75D1-480D-ACAD-77A9F8D8AE7B}"/>
            </a:ext>
          </a:extLst>
        </xdr:cNvPr>
        <xdr:cNvSpPr txBox="1">
          <a:spLocks noChangeArrowheads="1"/>
        </xdr:cNvSpPr>
      </xdr:nvSpPr>
      <xdr:spPr bwMode="auto">
        <a:xfrm>
          <a:off x="19383375" y="990600"/>
          <a:ext cx="930511"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Quadrifilar Helix</a:t>
          </a:r>
        </a:p>
        <a:p>
          <a:pPr algn="l" rtl="0">
            <a:defRPr sz="1000"/>
          </a:pPr>
          <a:r>
            <a:rPr lang="en-US" sz="1000" b="0" i="0" u="none" strike="noStrike" baseline="0">
              <a:solidFill>
                <a:srgbClr val="000000"/>
              </a:solidFill>
              <a:latin typeface="Arial"/>
              <a:cs typeface="Arial"/>
            </a:rPr>
            <a:t>(Wound RHCP)</a:t>
          </a:r>
        </a:p>
      </xdr:txBody>
    </xdr:sp>
    <xdr:clientData/>
  </xdr:oneCellAnchor>
  <xdr:twoCellAnchor>
    <xdr:from>
      <xdr:col>29</xdr:col>
      <xdr:colOff>114300</xdr:colOff>
      <xdr:row>7</xdr:row>
      <xdr:rowOff>19050</xdr:rowOff>
    </xdr:from>
    <xdr:to>
      <xdr:col>29</xdr:col>
      <xdr:colOff>352425</xdr:colOff>
      <xdr:row>7</xdr:row>
      <xdr:rowOff>19050</xdr:rowOff>
    </xdr:to>
    <xdr:sp macro="" textlink="">
      <xdr:nvSpPr>
        <xdr:cNvPr id="74726" name="Line 156">
          <a:extLst>
            <a:ext uri="{FF2B5EF4-FFF2-40B4-BE49-F238E27FC236}">
              <a16:creationId xmlns:a16="http://schemas.microsoft.com/office/drawing/2014/main" id="{4BDD5294-2B40-4453-9233-403AD25F3C4E}"/>
            </a:ext>
          </a:extLst>
        </xdr:cNvPr>
        <xdr:cNvSpPr>
          <a:spLocks noChangeShapeType="1"/>
        </xdr:cNvSpPr>
      </xdr:nvSpPr>
      <xdr:spPr bwMode="auto">
        <a:xfrm>
          <a:off x="19002375" y="1228725"/>
          <a:ext cx="238125"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104775</xdr:colOff>
      <xdr:row>8</xdr:row>
      <xdr:rowOff>123825</xdr:rowOff>
    </xdr:from>
    <xdr:to>
      <xdr:col>29</xdr:col>
      <xdr:colOff>352425</xdr:colOff>
      <xdr:row>8</xdr:row>
      <xdr:rowOff>123825</xdr:rowOff>
    </xdr:to>
    <xdr:sp macro="" textlink="">
      <xdr:nvSpPr>
        <xdr:cNvPr id="74727" name="Line 157">
          <a:extLst>
            <a:ext uri="{FF2B5EF4-FFF2-40B4-BE49-F238E27FC236}">
              <a16:creationId xmlns:a16="http://schemas.microsoft.com/office/drawing/2014/main" id="{93FCAD87-7BC0-44A7-863C-C553A8E4822D}"/>
            </a:ext>
          </a:extLst>
        </xdr:cNvPr>
        <xdr:cNvSpPr>
          <a:spLocks noChangeShapeType="1"/>
        </xdr:cNvSpPr>
      </xdr:nvSpPr>
      <xdr:spPr bwMode="auto">
        <a:xfrm>
          <a:off x="18992850" y="1495425"/>
          <a:ext cx="247650" cy="0"/>
        </a:xfrm>
        <a:prstGeom prst="line">
          <a:avLst/>
        </a:prstGeom>
        <a:noFill/>
        <a:ln w="1270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104775</xdr:colOff>
      <xdr:row>7</xdr:row>
      <xdr:rowOff>19050</xdr:rowOff>
    </xdr:from>
    <xdr:to>
      <xdr:col>29</xdr:col>
      <xdr:colOff>371475</xdr:colOff>
      <xdr:row>8</xdr:row>
      <xdr:rowOff>123825</xdr:rowOff>
    </xdr:to>
    <xdr:sp macro="" textlink="">
      <xdr:nvSpPr>
        <xdr:cNvPr id="74728" name="Freeform 158">
          <a:extLst>
            <a:ext uri="{FF2B5EF4-FFF2-40B4-BE49-F238E27FC236}">
              <a16:creationId xmlns:a16="http://schemas.microsoft.com/office/drawing/2014/main" id="{1F6605AA-3BBB-478A-A7AD-8C778D9BD8C3}"/>
            </a:ext>
          </a:extLst>
        </xdr:cNvPr>
        <xdr:cNvSpPr>
          <a:spLocks/>
        </xdr:cNvSpPr>
      </xdr:nvSpPr>
      <xdr:spPr bwMode="auto">
        <a:xfrm>
          <a:off x="18992850" y="1228725"/>
          <a:ext cx="266700" cy="266700"/>
        </a:xfrm>
        <a:custGeom>
          <a:avLst/>
          <a:gdLst>
            <a:gd name="T0" fmla="*/ 247650 w 28"/>
            <a:gd name="T1" fmla="*/ 0 h 28"/>
            <a:gd name="T2" fmla="*/ 257175 w 28"/>
            <a:gd name="T3" fmla="*/ 66675 h 28"/>
            <a:gd name="T4" fmla="*/ 209550 w 28"/>
            <a:gd name="T5" fmla="*/ 114300 h 28"/>
            <a:gd name="T6" fmla="*/ 133350 w 28"/>
            <a:gd name="T7" fmla="*/ 142875 h 28"/>
            <a:gd name="T8" fmla="*/ 19050 w 28"/>
            <a:gd name="T9" fmla="*/ 190500 h 28"/>
            <a:gd name="T10" fmla="*/ 0 w 28"/>
            <a:gd name="T11" fmla="*/ 266700 h 28"/>
            <a:gd name="T12" fmla="*/ 0 60000 65536"/>
            <a:gd name="T13" fmla="*/ 0 60000 65536"/>
            <a:gd name="T14" fmla="*/ 0 60000 65536"/>
            <a:gd name="T15" fmla="*/ 0 60000 65536"/>
            <a:gd name="T16" fmla="*/ 0 60000 65536"/>
            <a:gd name="T17" fmla="*/ 0 60000 65536"/>
          </a:gdLst>
          <a:ahLst/>
          <a:cxnLst>
            <a:cxn ang="T12">
              <a:pos x="T0" y="T1"/>
            </a:cxn>
            <a:cxn ang="T13">
              <a:pos x="T2" y="T3"/>
            </a:cxn>
            <a:cxn ang="T14">
              <a:pos x="T4" y="T5"/>
            </a:cxn>
            <a:cxn ang="T15">
              <a:pos x="T6" y="T7"/>
            </a:cxn>
            <a:cxn ang="T16">
              <a:pos x="T8" y="T9"/>
            </a:cxn>
            <a:cxn ang="T17">
              <a:pos x="T10" y="T11"/>
            </a:cxn>
          </a:cxnLst>
          <a:rect l="0" t="0" r="r" b="b"/>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29</xdr:col>
      <xdr:colOff>104775</xdr:colOff>
      <xdr:row>7</xdr:row>
      <xdr:rowOff>19050</xdr:rowOff>
    </xdr:from>
    <xdr:to>
      <xdr:col>29</xdr:col>
      <xdr:colOff>371475</xdr:colOff>
      <xdr:row>8</xdr:row>
      <xdr:rowOff>123825</xdr:rowOff>
    </xdr:to>
    <xdr:sp macro="" textlink="">
      <xdr:nvSpPr>
        <xdr:cNvPr id="74729" name="Freeform 159">
          <a:extLst>
            <a:ext uri="{FF2B5EF4-FFF2-40B4-BE49-F238E27FC236}">
              <a16:creationId xmlns:a16="http://schemas.microsoft.com/office/drawing/2014/main" id="{EFB9D434-CC22-4F9B-B4E7-3592788075BA}"/>
            </a:ext>
          </a:extLst>
        </xdr:cNvPr>
        <xdr:cNvSpPr>
          <a:spLocks/>
        </xdr:cNvSpPr>
      </xdr:nvSpPr>
      <xdr:spPr bwMode="auto">
        <a:xfrm flipH="1">
          <a:off x="18992850" y="1228725"/>
          <a:ext cx="266700" cy="266700"/>
        </a:xfrm>
        <a:custGeom>
          <a:avLst/>
          <a:gdLst>
            <a:gd name="T0" fmla="*/ 247650 w 28"/>
            <a:gd name="T1" fmla="*/ 0 h 28"/>
            <a:gd name="T2" fmla="*/ 257175 w 28"/>
            <a:gd name="T3" fmla="*/ 66675 h 28"/>
            <a:gd name="T4" fmla="*/ 209550 w 28"/>
            <a:gd name="T5" fmla="*/ 114300 h 28"/>
            <a:gd name="T6" fmla="*/ 133350 w 28"/>
            <a:gd name="T7" fmla="*/ 142875 h 28"/>
            <a:gd name="T8" fmla="*/ 19050 w 28"/>
            <a:gd name="T9" fmla="*/ 190500 h 28"/>
            <a:gd name="T10" fmla="*/ 0 w 28"/>
            <a:gd name="T11" fmla="*/ 266700 h 28"/>
            <a:gd name="T12" fmla="*/ 0 60000 65536"/>
            <a:gd name="T13" fmla="*/ 0 60000 65536"/>
            <a:gd name="T14" fmla="*/ 0 60000 65536"/>
            <a:gd name="T15" fmla="*/ 0 60000 65536"/>
            <a:gd name="T16" fmla="*/ 0 60000 65536"/>
            <a:gd name="T17" fmla="*/ 0 60000 65536"/>
          </a:gdLst>
          <a:ahLst/>
          <a:cxnLst>
            <a:cxn ang="T12">
              <a:pos x="T0" y="T1"/>
            </a:cxn>
            <a:cxn ang="T13">
              <a:pos x="T2" y="T3"/>
            </a:cxn>
            <a:cxn ang="T14">
              <a:pos x="T4" y="T5"/>
            </a:cxn>
            <a:cxn ang="T15">
              <a:pos x="T6" y="T7"/>
            </a:cxn>
            <a:cxn ang="T16">
              <a:pos x="T8" y="T9"/>
            </a:cxn>
            <a:cxn ang="T17">
              <a:pos x="T10" y="T11"/>
            </a:cxn>
          </a:cxnLst>
          <a:rect l="0" t="0" r="r" b="b"/>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34</xdr:col>
      <xdr:colOff>523875</xdr:colOff>
      <xdr:row>10</xdr:row>
      <xdr:rowOff>38100</xdr:rowOff>
    </xdr:from>
    <xdr:to>
      <xdr:col>36</xdr:col>
      <xdr:colOff>323850</xdr:colOff>
      <xdr:row>15</xdr:row>
      <xdr:rowOff>57150</xdr:rowOff>
    </xdr:to>
    <xdr:sp macro="" textlink="">
      <xdr:nvSpPr>
        <xdr:cNvPr id="74730" name="Rectangle 160" descr="Large grid">
          <a:extLst>
            <a:ext uri="{FF2B5EF4-FFF2-40B4-BE49-F238E27FC236}">
              <a16:creationId xmlns:a16="http://schemas.microsoft.com/office/drawing/2014/main" id="{E7AB10A1-D0C1-43BE-876D-DD3144F5BAF2}"/>
            </a:ext>
          </a:extLst>
        </xdr:cNvPr>
        <xdr:cNvSpPr>
          <a:spLocks noChangeArrowheads="1"/>
        </xdr:cNvSpPr>
      </xdr:nvSpPr>
      <xdr:spPr bwMode="auto">
        <a:xfrm>
          <a:off x="22459950" y="1733550"/>
          <a:ext cx="1019175" cy="828675"/>
        </a:xfrm>
        <a:prstGeom prst="rect">
          <a:avLst/>
        </a:prstGeom>
        <a:blipFill dpi="0" rotWithShape="0">
          <a:blip xmlns:r="http://schemas.openxmlformats.org/officeDocument/2006/relationships" r:embed="rId1"/>
          <a:srcRect/>
          <a:tile tx="0" ty="0" sx="100000" sy="100000" flip="none" algn="tl"/>
        </a:blip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34</xdr:col>
      <xdr:colOff>523875</xdr:colOff>
      <xdr:row>15</xdr:row>
      <xdr:rowOff>57150</xdr:rowOff>
    </xdr:from>
    <xdr:to>
      <xdr:col>36</xdr:col>
      <xdr:colOff>323850</xdr:colOff>
      <xdr:row>15</xdr:row>
      <xdr:rowOff>133350</xdr:rowOff>
    </xdr:to>
    <xdr:sp macro="" textlink="">
      <xdr:nvSpPr>
        <xdr:cNvPr id="74731" name="Rectangle 161">
          <a:extLst>
            <a:ext uri="{FF2B5EF4-FFF2-40B4-BE49-F238E27FC236}">
              <a16:creationId xmlns:a16="http://schemas.microsoft.com/office/drawing/2014/main" id="{54F57550-B820-4DE9-A4A1-8CE559F59266}"/>
            </a:ext>
          </a:extLst>
        </xdr:cNvPr>
        <xdr:cNvSpPr>
          <a:spLocks noChangeArrowheads="1"/>
        </xdr:cNvSpPr>
      </xdr:nvSpPr>
      <xdr:spPr bwMode="auto">
        <a:xfrm>
          <a:off x="22459950" y="2562225"/>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34</xdr:col>
      <xdr:colOff>523875</xdr:colOff>
      <xdr:row>9</xdr:row>
      <xdr:rowOff>114300</xdr:rowOff>
    </xdr:from>
    <xdr:to>
      <xdr:col>36</xdr:col>
      <xdr:colOff>323850</xdr:colOff>
      <xdr:row>10</xdr:row>
      <xdr:rowOff>28575</xdr:rowOff>
    </xdr:to>
    <xdr:sp macro="" textlink="">
      <xdr:nvSpPr>
        <xdr:cNvPr id="74732" name="Rectangle 162">
          <a:extLst>
            <a:ext uri="{FF2B5EF4-FFF2-40B4-BE49-F238E27FC236}">
              <a16:creationId xmlns:a16="http://schemas.microsoft.com/office/drawing/2014/main" id="{8CEDF015-0FF2-4105-88F8-E6F8CD3C7737}"/>
            </a:ext>
          </a:extLst>
        </xdr:cNvPr>
        <xdr:cNvSpPr>
          <a:spLocks noChangeArrowheads="1"/>
        </xdr:cNvSpPr>
      </xdr:nvSpPr>
      <xdr:spPr bwMode="auto">
        <a:xfrm>
          <a:off x="22459950" y="1647825"/>
          <a:ext cx="1019175" cy="76200"/>
        </a:xfrm>
        <a:prstGeom prst="rect">
          <a:avLst/>
        </a:prstGeom>
        <a:gradFill rotWithShape="1">
          <a:gsLst>
            <a:gs pos="0">
              <a:srgbClr xmlns:mc="http://schemas.openxmlformats.org/markup-compatibility/2006" xmlns:a14="http://schemas.microsoft.com/office/drawing/2010/main" val="969696" mc:Ignorable="a14" a14:legacySpreadsheetColorIndex="55"/>
            </a:gs>
            <a:gs pos="100000">
              <a:srgbClr val="454545"/>
            </a:gs>
          </a:gsLst>
          <a:lin ang="5400000" scaled="1"/>
        </a:gra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35</xdr:col>
      <xdr:colOff>428625</xdr:colOff>
      <xdr:row>2</xdr:row>
      <xdr:rowOff>85725</xdr:rowOff>
    </xdr:from>
    <xdr:to>
      <xdr:col>35</xdr:col>
      <xdr:colOff>428625</xdr:colOff>
      <xdr:row>9</xdr:row>
      <xdr:rowOff>57150</xdr:rowOff>
    </xdr:to>
    <xdr:sp macro="" textlink="">
      <xdr:nvSpPr>
        <xdr:cNvPr id="74733" name="Line 164">
          <a:extLst>
            <a:ext uri="{FF2B5EF4-FFF2-40B4-BE49-F238E27FC236}">
              <a16:creationId xmlns:a16="http://schemas.microsoft.com/office/drawing/2014/main" id="{563DC467-B240-43D1-A75A-A50E75831CEE}"/>
            </a:ext>
          </a:extLst>
        </xdr:cNvPr>
        <xdr:cNvSpPr>
          <a:spLocks noChangeShapeType="1"/>
        </xdr:cNvSpPr>
      </xdr:nvSpPr>
      <xdr:spPr bwMode="auto">
        <a:xfrm flipH="1" flipV="1">
          <a:off x="22974300" y="485775"/>
          <a:ext cx="0" cy="11049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123825</xdr:rowOff>
    </xdr:from>
    <xdr:to>
      <xdr:col>35</xdr:col>
      <xdr:colOff>419100</xdr:colOff>
      <xdr:row>22</xdr:row>
      <xdr:rowOff>85725</xdr:rowOff>
    </xdr:to>
    <xdr:sp macro="" textlink="">
      <xdr:nvSpPr>
        <xdr:cNvPr id="74734" name="Line 165">
          <a:extLst>
            <a:ext uri="{FF2B5EF4-FFF2-40B4-BE49-F238E27FC236}">
              <a16:creationId xmlns:a16="http://schemas.microsoft.com/office/drawing/2014/main" id="{73770D80-74F8-423F-8DAB-5CEF322A7952}"/>
            </a:ext>
          </a:extLst>
        </xdr:cNvPr>
        <xdr:cNvSpPr>
          <a:spLocks noChangeShapeType="1"/>
        </xdr:cNvSpPr>
      </xdr:nvSpPr>
      <xdr:spPr bwMode="auto">
        <a:xfrm flipV="1">
          <a:off x="22964775" y="2628900"/>
          <a:ext cx="0" cy="1095375"/>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114300</xdr:rowOff>
    </xdr:from>
    <xdr:to>
      <xdr:col>37</xdr:col>
      <xdr:colOff>419100</xdr:colOff>
      <xdr:row>12</xdr:row>
      <xdr:rowOff>114300</xdr:rowOff>
    </xdr:to>
    <xdr:sp macro="" textlink="">
      <xdr:nvSpPr>
        <xdr:cNvPr id="74735" name="Line 166">
          <a:extLst>
            <a:ext uri="{FF2B5EF4-FFF2-40B4-BE49-F238E27FC236}">
              <a16:creationId xmlns:a16="http://schemas.microsoft.com/office/drawing/2014/main" id="{FB2DC392-1EA3-4747-9014-A3C8D9BDADD9}"/>
            </a:ext>
          </a:extLst>
        </xdr:cNvPr>
        <xdr:cNvSpPr>
          <a:spLocks noChangeShapeType="1"/>
        </xdr:cNvSpPr>
      </xdr:nvSpPr>
      <xdr:spPr bwMode="auto">
        <a:xfrm>
          <a:off x="23517225" y="2133600"/>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447675</xdr:colOff>
      <xdr:row>12</xdr:row>
      <xdr:rowOff>114300</xdr:rowOff>
    </xdr:from>
    <xdr:to>
      <xdr:col>34</xdr:col>
      <xdr:colOff>504825</xdr:colOff>
      <xdr:row>12</xdr:row>
      <xdr:rowOff>114300</xdr:rowOff>
    </xdr:to>
    <xdr:sp macro="" textlink="">
      <xdr:nvSpPr>
        <xdr:cNvPr id="74736" name="Line 167">
          <a:extLst>
            <a:ext uri="{FF2B5EF4-FFF2-40B4-BE49-F238E27FC236}">
              <a16:creationId xmlns:a16="http://schemas.microsoft.com/office/drawing/2014/main" id="{7DF53726-5642-41E3-A024-6E1AEB0249D8}"/>
            </a:ext>
          </a:extLst>
        </xdr:cNvPr>
        <xdr:cNvSpPr>
          <a:spLocks noChangeShapeType="1"/>
        </xdr:cNvSpPr>
      </xdr:nvSpPr>
      <xdr:spPr bwMode="auto">
        <a:xfrm>
          <a:off x="21774150" y="2133600"/>
          <a:ext cx="666750" cy="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571500</xdr:colOff>
      <xdr:row>2</xdr:row>
      <xdr:rowOff>28575</xdr:rowOff>
    </xdr:from>
    <xdr:to>
      <xdr:col>36</xdr:col>
      <xdr:colOff>38100</xdr:colOff>
      <xdr:row>3</xdr:row>
      <xdr:rowOff>66675</xdr:rowOff>
    </xdr:to>
    <xdr:sp macro="" textlink="">
      <xdr:nvSpPr>
        <xdr:cNvPr id="74737" name="Text Box 168">
          <a:extLst>
            <a:ext uri="{FF2B5EF4-FFF2-40B4-BE49-F238E27FC236}">
              <a16:creationId xmlns:a16="http://schemas.microsoft.com/office/drawing/2014/main" id="{2A2B8FB2-CE1D-49C5-829C-C304F0C47C8C}"/>
            </a:ext>
          </a:extLst>
        </xdr:cNvPr>
        <xdr:cNvSpPr txBox="1">
          <a:spLocks noChangeArrowheads="1"/>
        </xdr:cNvSpPr>
      </xdr:nvSpPr>
      <xdr:spPr bwMode="auto">
        <a:xfrm>
          <a:off x="23117175" y="428625"/>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35</xdr:col>
      <xdr:colOff>333375</xdr:colOff>
      <xdr:row>1</xdr:row>
      <xdr:rowOff>28575</xdr:rowOff>
    </xdr:from>
    <xdr:ext cx="171714" cy="170560"/>
    <xdr:sp macro="" textlink="">
      <xdr:nvSpPr>
        <xdr:cNvPr id="10409" name="Text Box 169">
          <a:extLst>
            <a:ext uri="{FF2B5EF4-FFF2-40B4-BE49-F238E27FC236}">
              <a16:creationId xmlns:a16="http://schemas.microsoft.com/office/drawing/2014/main" id="{5206C1EF-2284-4FBA-8DF9-89CA212AB903}"/>
            </a:ext>
          </a:extLst>
        </xdr:cNvPr>
        <xdr:cNvSpPr txBox="1">
          <a:spLocks noChangeArrowheads="1"/>
        </xdr:cNvSpPr>
      </xdr:nvSpPr>
      <xdr:spPr bwMode="auto">
        <a:xfrm>
          <a:off x="22879050" y="266700"/>
          <a:ext cx="17171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35</xdr:col>
      <xdr:colOff>333375</xdr:colOff>
      <xdr:row>22</xdr:row>
      <xdr:rowOff>123825</xdr:rowOff>
    </xdr:from>
    <xdr:ext cx="139525" cy="170560"/>
    <xdr:sp macro="" textlink="">
      <xdr:nvSpPr>
        <xdr:cNvPr id="10410" name="Text Box 170">
          <a:extLst>
            <a:ext uri="{FF2B5EF4-FFF2-40B4-BE49-F238E27FC236}">
              <a16:creationId xmlns:a16="http://schemas.microsoft.com/office/drawing/2014/main" id="{A1F97BE1-B926-4A85-8D28-0D3D374BC688}"/>
            </a:ext>
          </a:extLst>
        </xdr:cNvPr>
        <xdr:cNvSpPr txBox="1">
          <a:spLocks noChangeArrowheads="1"/>
        </xdr:cNvSpPr>
      </xdr:nvSpPr>
      <xdr:spPr bwMode="auto">
        <a:xfrm>
          <a:off x="22879050" y="3762375"/>
          <a:ext cx="13952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-Z</a:t>
          </a:r>
        </a:p>
      </xdr:txBody>
    </xdr:sp>
    <xdr:clientData/>
  </xdr:oneCellAnchor>
  <xdr:oneCellAnchor>
    <xdr:from>
      <xdr:col>33</xdr:col>
      <xdr:colOff>190500</xdr:colOff>
      <xdr:row>12</xdr:row>
      <xdr:rowOff>28575</xdr:rowOff>
    </xdr:from>
    <xdr:ext cx="180975" cy="180975"/>
    <xdr:sp macro="" textlink="">
      <xdr:nvSpPr>
        <xdr:cNvPr id="10411" name="Text Box 171">
          <a:extLst>
            <a:ext uri="{FF2B5EF4-FFF2-40B4-BE49-F238E27FC236}">
              <a16:creationId xmlns:a16="http://schemas.microsoft.com/office/drawing/2014/main" id="{40796C70-C445-4B1D-B6B9-D9BFEF93C003}"/>
            </a:ext>
          </a:extLst>
        </xdr:cNvPr>
        <xdr:cNvSpPr txBox="1">
          <a:spLocks noChangeArrowheads="1"/>
        </xdr:cNvSpPr>
      </xdr:nvSpPr>
      <xdr:spPr bwMode="auto">
        <a:xfrm>
          <a:off x="21516975" y="2047875"/>
          <a:ext cx="238125"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37</xdr:col>
      <xdr:colOff>428625</xdr:colOff>
      <xdr:row>12</xdr:row>
      <xdr:rowOff>28575</xdr:rowOff>
    </xdr:from>
    <xdr:ext cx="146707" cy="170560"/>
    <xdr:sp macro="" textlink="">
      <xdr:nvSpPr>
        <xdr:cNvPr id="10412" name="Text Box 172">
          <a:extLst>
            <a:ext uri="{FF2B5EF4-FFF2-40B4-BE49-F238E27FC236}">
              <a16:creationId xmlns:a16="http://schemas.microsoft.com/office/drawing/2014/main" id="{F2A9F46A-B97B-47FA-A61B-B48D380F347D}"/>
            </a:ext>
          </a:extLst>
        </xdr:cNvPr>
        <xdr:cNvSpPr txBox="1">
          <a:spLocks noChangeArrowheads="1"/>
        </xdr:cNvSpPr>
      </xdr:nvSpPr>
      <xdr:spPr bwMode="auto">
        <a:xfrm>
          <a:off x="24193500" y="2047875"/>
          <a:ext cx="146707"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-X</a:t>
          </a:r>
        </a:p>
      </xdr:txBody>
    </xdr:sp>
    <xdr:clientData/>
  </xdr:oneCellAnchor>
  <xdr:oneCellAnchor>
    <xdr:from>
      <xdr:col>35</xdr:col>
      <xdr:colOff>304800</xdr:colOff>
      <xdr:row>12</xdr:row>
      <xdr:rowOff>9525</xdr:rowOff>
    </xdr:from>
    <xdr:ext cx="178895" cy="170560"/>
    <xdr:sp macro="" textlink="">
      <xdr:nvSpPr>
        <xdr:cNvPr id="10413" name="Text Box 173">
          <a:extLst>
            <a:ext uri="{FF2B5EF4-FFF2-40B4-BE49-F238E27FC236}">
              <a16:creationId xmlns:a16="http://schemas.microsoft.com/office/drawing/2014/main" id="{5FC847F4-F8CB-4985-8CE0-68E04B01FDD0}"/>
            </a:ext>
          </a:extLst>
        </xdr:cNvPr>
        <xdr:cNvSpPr txBox="1">
          <a:spLocks noChangeArrowheads="1"/>
        </xdr:cNvSpPr>
      </xdr:nvSpPr>
      <xdr:spPr bwMode="auto">
        <a:xfrm>
          <a:off x="22850475" y="2028825"/>
          <a:ext cx="178895"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+Y</a:t>
          </a:r>
        </a:p>
      </xdr:txBody>
    </xdr:sp>
    <xdr:clientData/>
  </xdr:oneCellAnchor>
  <xdr:twoCellAnchor>
    <xdr:from>
      <xdr:col>33</xdr:col>
      <xdr:colOff>542925</xdr:colOff>
      <xdr:row>1</xdr:row>
      <xdr:rowOff>123825</xdr:rowOff>
    </xdr:from>
    <xdr:to>
      <xdr:col>35</xdr:col>
      <xdr:colOff>400050</xdr:colOff>
      <xdr:row>9</xdr:row>
      <xdr:rowOff>66675</xdr:rowOff>
    </xdr:to>
    <xdr:sp macro="" textlink="">
      <xdr:nvSpPr>
        <xdr:cNvPr id="74743" name="Line 174">
          <a:extLst>
            <a:ext uri="{FF2B5EF4-FFF2-40B4-BE49-F238E27FC236}">
              <a16:creationId xmlns:a16="http://schemas.microsoft.com/office/drawing/2014/main" id="{08BC5CD6-ACE1-4B1D-87D1-F64F2E2EA93C}"/>
            </a:ext>
          </a:extLst>
        </xdr:cNvPr>
        <xdr:cNvSpPr>
          <a:spLocks noChangeShapeType="1"/>
        </xdr:cNvSpPr>
      </xdr:nvSpPr>
      <xdr:spPr bwMode="auto">
        <a:xfrm flipH="1" flipV="1">
          <a:off x="21869400" y="361950"/>
          <a:ext cx="1076325" cy="1238250"/>
        </a:xfrm>
        <a:prstGeom prst="line">
          <a:avLst/>
        </a:prstGeom>
        <a:noFill/>
        <a:ln w="9525">
          <a:solidFill>
            <a:srgbClr xmlns:mc="http://schemas.openxmlformats.org/markup-compatibility/2006" xmlns:a14="http://schemas.microsoft.com/office/drawing/2010/main" val="FF0000" mc:Ignorable="a14" a14:legacySpreadsheetColorIndex="1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523875</xdr:colOff>
      <xdr:row>3</xdr:row>
      <xdr:rowOff>38100</xdr:rowOff>
    </xdr:from>
    <xdr:ext cx="230448" cy="170560"/>
    <xdr:sp macro="" textlink="">
      <xdr:nvSpPr>
        <xdr:cNvPr id="10415" name="Text Box 175">
          <a:extLst>
            <a:ext uri="{FF2B5EF4-FFF2-40B4-BE49-F238E27FC236}">
              <a16:creationId xmlns:a16="http://schemas.microsoft.com/office/drawing/2014/main" id="{1873122E-4FF8-4A02-87EA-0980EF68CDA7}"/>
            </a:ext>
          </a:extLst>
        </xdr:cNvPr>
        <xdr:cNvSpPr txBox="1">
          <a:spLocks noChangeArrowheads="1"/>
        </xdr:cNvSpPr>
      </xdr:nvSpPr>
      <xdr:spPr bwMode="auto">
        <a:xfrm>
          <a:off x="22459950" y="600075"/>
          <a:ext cx="23044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θ</a:t>
          </a:r>
          <a:r>
            <a:rPr lang="en-US" sz="800" b="1" i="0" u="none" strike="noStrike" baseline="0">
              <a:solidFill>
                <a:srgbClr val="000000"/>
              </a:solidFill>
              <a:latin typeface="Arial"/>
              <a:cs typeface="Arial"/>
            </a:rPr>
            <a:t>2,3</a:t>
          </a:r>
        </a:p>
      </xdr:txBody>
    </xdr:sp>
    <xdr:clientData/>
  </xdr:oneCellAnchor>
  <xdr:twoCellAnchor>
    <xdr:from>
      <xdr:col>34</xdr:col>
      <xdr:colOff>381000</xdr:colOff>
      <xdr:row>4</xdr:row>
      <xdr:rowOff>28575</xdr:rowOff>
    </xdr:from>
    <xdr:to>
      <xdr:col>34</xdr:col>
      <xdr:colOff>495300</xdr:colOff>
      <xdr:row>4</xdr:row>
      <xdr:rowOff>123825</xdr:rowOff>
    </xdr:to>
    <xdr:sp macro="" textlink="">
      <xdr:nvSpPr>
        <xdr:cNvPr id="74745" name="Line 176">
          <a:extLst>
            <a:ext uri="{FF2B5EF4-FFF2-40B4-BE49-F238E27FC236}">
              <a16:creationId xmlns:a16="http://schemas.microsoft.com/office/drawing/2014/main" id="{E44B4D2E-30CD-4BBA-ACB8-2BE894F289DB}"/>
            </a:ext>
          </a:extLst>
        </xdr:cNvPr>
        <xdr:cNvSpPr>
          <a:spLocks noChangeShapeType="1"/>
        </xdr:cNvSpPr>
      </xdr:nvSpPr>
      <xdr:spPr bwMode="auto">
        <a:xfrm flipH="1">
          <a:off x="22317075" y="752475"/>
          <a:ext cx="114300" cy="95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190500</xdr:colOff>
      <xdr:row>3</xdr:row>
      <xdr:rowOff>66675</xdr:rowOff>
    </xdr:from>
    <xdr:to>
      <xdr:col>35</xdr:col>
      <xdr:colOff>409575</xdr:colOff>
      <xdr:row>3</xdr:row>
      <xdr:rowOff>95250</xdr:rowOff>
    </xdr:to>
    <xdr:sp macro="" textlink="">
      <xdr:nvSpPr>
        <xdr:cNvPr id="74746" name="Line 177">
          <a:extLst>
            <a:ext uri="{FF2B5EF4-FFF2-40B4-BE49-F238E27FC236}">
              <a16:creationId xmlns:a16="http://schemas.microsoft.com/office/drawing/2014/main" id="{198C4519-F260-4BFB-80D1-2375A4EF23AF}"/>
            </a:ext>
          </a:extLst>
        </xdr:cNvPr>
        <xdr:cNvSpPr>
          <a:spLocks noChangeShapeType="1"/>
        </xdr:cNvSpPr>
      </xdr:nvSpPr>
      <xdr:spPr bwMode="auto">
        <a:xfrm flipV="1">
          <a:off x="22736175" y="628650"/>
          <a:ext cx="219075" cy="285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104775</xdr:rowOff>
    </xdr:from>
    <xdr:ext cx="517321" cy="170560"/>
    <xdr:sp macro="" textlink="">
      <xdr:nvSpPr>
        <xdr:cNvPr id="10418" name="Text Box 178">
          <a:extLst>
            <a:ext uri="{FF2B5EF4-FFF2-40B4-BE49-F238E27FC236}">
              <a16:creationId xmlns:a16="http://schemas.microsoft.com/office/drawing/2014/main" id="{99A041E3-2520-4982-A93C-CAD76A6A4F7A}"/>
            </a:ext>
          </a:extLst>
        </xdr:cNvPr>
        <xdr:cNvSpPr txBox="1">
          <a:spLocks noChangeArrowheads="1"/>
        </xdr:cNvSpPr>
      </xdr:nvSpPr>
      <xdr:spPr bwMode="auto">
        <a:xfrm>
          <a:off x="22688550" y="3905250"/>
          <a:ext cx="517321"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Figure</a:t>
          </a:r>
          <a:r>
            <a:rPr lang="en-US" sz="1000" b="0" i="0" u="none" strike="noStrike" baseline="0">
              <a:solidFill>
                <a:srgbClr val="000000"/>
              </a:solidFill>
              <a:latin typeface="Arial"/>
              <a:cs typeface="Arial"/>
            </a:rPr>
            <a:t> </a:t>
          </a:r>
          <a:r>
            <a:rPr lang="en-US" sz="1000" b="1" i="0" u="none" strike="noStrike" baseline="0">
              <a:solidFill>
                <a:srgbClr val="000000"/>
              </a:solidFill>
              <a:latin typeface="Arial"/>
              <a:cs typeface="Arial"/>
            </a:rPr>
            <a:t>7</a:t>
          </a:r>
        </a:p>
      </xdr:txBody>
    </xdr:sp>
    <xdr:clientData/>
  </xdr:oneCellAnchor>
  <xdr:oneCellAnchor>
    <xdr:from>
      <xdr:col>36</xdr:col>
      <xdr:colOff>219075</xdr:colOff>
      <xdr:row>5</xdr:row>
      <xdr:rowOff>142875</xdr:rowOff>
    </xdr:from>
    <xdr:ext cx="1365374" cy="170560"/>
    <xdr:sp macro="" textlink="">
      <xdr:nvSpPr>
        <xdr:cNvPr id="10419" name="Text Box 179">
          <a:extLst>
            <a:ext uri="{FF2B5EF4-FFF2-40B4-BE49-F238E27FC236}">
              <a16:creationId xmlns:a16="http://schemas.microsoft.com/office/drawing/2014/main" id="{2B5DC4B2-63AF-4FC8-B826-7A54546511C4}"/>
            </a:ext>
          </a:extLst>
        </xdr:cNvPr>
        <xdr:cNvSpPr txBox="1">
          <a:spLocks noChangeArrowheads="1"/>
        </xdr:cNvSpPr>
      </xdr:nvSpPr>
      <xdr:spPr bwMode="auto">
        <a:xfrm>
          <a:off x="23374350" y="1028700"/>
          <a:ext cx="136537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85725</xdr:colOff>
      <xdr:row>9</xdr:row>
      <xdr:rowOff>95250</xdr:rowOff>
    </xdr:to>
    <xdr:sp macro="" textlink="">
      <xdr:nvSpPr>
        <xdr:cNvPr id="74749" name="Line 180">
          <a:extLst>
            <a:ext uri="{FF2B5EF4-FFF2-40B4-BE49-F238E27FC236}">
              <a16:creationId xmlns:a16="http://schemas.microsoft.com/office/drawing/2014/main" id="{41024FC1-7994-4368-B326-5F3A26075AC1}"/>
            </a:ext>
          </a:extLst>
        </xdr:cNvPr>
        <xdr:cNvSpPr>
          <a:spLocks noChangeShapeType="1"/>
        </xdr:cNvSpPr>
      </xdr:nvSpPr>
      <xdr:spPr bwMode="auto">
        <a:xfrm flipV="1">
          <a:off x="22717125" y="1628775"/>
          <a:ext cx="523875" cy="0"/>
        </a:xfrm>
        <a:prstGeom prst="line">
          <a:avLst/>
        </a:prstGeom>
        <a:noFill/>
        <a:ln w="38100">
          <a:pattFill prst="pct80">
            <a:fgClr>
              <a:srgbClr xmlns:mc="http://schemas.openxmlformats.org/markup-compatibility/2006" xmlns:a14="http://schemas.microsoft.com/office/drawing/2010/main" val="FF0000" mc:Ignorable="a14" a14:legacySpreadsheetColorIndex="1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76200</xdr:rowOff>
    </xdr:from>
    <xdr:to>
      <xdr:col>14</xdr:col>
      <xdr:colOff>200025</xdr:colOff>
      <xdr:row>12</xdr:row>
      <xdr:rowOff>76200</xdr:rowOff>
    </xdr:to>
    <xdr:sp macro="" textlink="">
      <xdr:nvSpPr>
        <xdr:cNvPr id="74750" name="Freeform 181">
          <a:extLst>
            <a:ext uri="{FF2B5EF4-FFF2-40B4-BE49-F238E27FC236}">
              <a16:creationId xmlns:a16="http://schemas.microsoft.com/office/drawing/2014/main" id="{4D63B8A2-5244-4A2C-9A78-D4A2E73FEBF3}"/>
            </a:ext>
          </a:extLst>
        </xdr:cNvPr>
        <xdr:cNvSpPr>
          <a:spLocks/>
        </xdr:cNvSpPr>
      </xdr:nvSpPr>
      <xdr:spPr bwMode="auto">
        <a:xfrm>
          <a:off x="7696200" y="476250"/>
          <a:ext cx="1638300" cy="1619250"/>
        </a:xfrm>
        <a:custGeom>
          <a:avLst/>
          <a:gdLst>
            <a:gd name="T0" fmla="*/ 0 w 137"/>
            <a:gd name="T1" fmla="*/ 695325 h 170"/>
            <a:gd name="T2" fmla="*/ 23917 w 137"/>
            <a:gd name="T3" fmla="*/ 219075 h 170"/>
            <a:gd name="T4" fmla="*/ 107626 w 137"/>
            <a:gd name="T5" fmla="*/ 85725 h 170"/>
            <a:gd name="T6" fmla="*/ 334835 w 137"/>
            <a:gd name="T7" fmla="*/ 28575 h 170"/>
            <a:gd name="T8" fmla="*/ 765337 w 137"/>
            <a:gd name="T9" fmla="*/ 19050 h 170"/>
            <a:gd name="T10" fmla="*/ 1159964 w 137"/>
            <a:gd name="T11" fmla="*/ 133350 h 170"/>
            <a:gd name="T12" fmla="*/ 1399132 w 137"/>
            <a:gd name="T13" fmla="*/ 342900 h 170"/>
            <a:gd name="T14" fmla="*/ 1554591 w 137"/>
            <a:gd name="T15" fmla="*/ 600075 h 170"/>
            <a:gd name="T16" fmla="*/ 1626342 w 137"/>
            <a:gd name="T17" fmla="*/ 923925 h 170"/>
            <a:gd name="T18" fmla="*/ 1614383 w 137"/>
            <a:gd name="T19" fmla="*/ 1057275 h 170"/>
            <a:gd name="T20" fmla="*/ 1554591 w 137"/>
            <a:gd name="T21" fmla="*/ 1352550 h 170"/>
            <a:gd name="T22" fmla="*/ 1315423 w 137"/>
            <a:gd name="T23" fmla="*/ 1543050 h 170"/>
            <a:gd name="T24" fmla="*/ 1028422 w 137"/>
            <a:gd name="T25" fmla="*/ 1590675 h 170"/>
            <a:gd name="T26" fmla="*/ 597920 w 137"/>
            <a:gd name="T27" fmla="*/ 1619250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0</xdr:colOff>
      <xdr:row>2</xdr:row>
      <xdr:rowOff>85725</xdr:rowOff>
    </xdr:from>
    <xdr:to>
      <xdr:col>12</xdr:col>
      <xdr:colOff>85725</xdr:colOff>
      <xdr:row>12</xdr:row>
      <xdr:rowOff>85725</xdr:rowOff>
    </xdr:to>
    <xdr:sp macro="" textlink="">
      <xdr:nvSpPr>
        <xdr:cNvPr id="74751" name="Freeform 182">
          <a:extLst>
            <a:ext uri="{FF2B5EF4-FFF2-40B4-BE49-F238E27FC236}">
              <a16:creationId xmlns:a16="http://schemas.microsoft.com/office/drawing/2014/main" id="{DBB78CF6-39B8-4BF2-81BB-137773145F69}"/>
            </a:ext>
          </a:extLst>
        </xdr:cNvPr>
        <xdr:cNvSpPr>
          <a:spLocks/>
        </xdr:cNvSpPr>
      </xdr:nvSpPr>
      <xdr:spPr bwMode="auto">
        <a:xfrm flipH="1">
          <a:off x="6362700" y="485775"/>
          <a:ext cx="1304925" cy="1619250"/>
        </a:xfrm>
        <a:custGeom>
          <a:avLst/>
          <a:gdLst>
            <a:gd name="T0" fmla="*/ 0 w 137"/>
            <a:gd name="T1" fmla="*/ 695325 h 170"/>
            <a:gd name="T2" fmla="*/ 19050 w 137"/>
            <a:gd name="T3" fmla="*/ 219075 h 170"/>
            <a:gd name="T4" fmla="*/ 85725 w 137"/>
            <a:gd name="T5" fmla="*/ 85725 h 170"/>
            <a:gd name="T6" fmla="*/ 266700 w 137"/>
            <a:gd name="T7" fmla="*/ 28575 h 170"/>
            <a:gd name="T8" fmla="*/ 609600 w 137"/>
            <a:gd name="T9" fmla="*/ 19050 h 170"/>
            <a:gd name="T10" fmla="*/ 923925 w 137"/>
            <a:gd name="T11" fmla="*/ 133350 h 170"/>
            <a:gd name="T12" fmla="*/ 1114425 w 137"/>
            <a:gd name="T13" fmla="*/ 342900 h 170"/>
            <a:gd name="T14" fmla="*/ 1238250 w 137"/>
            <a:gd name="T15" fmla="*/ 600075 h 170"/>
            <a:gd name="T16" fmla="*/ 1295400 w 137"/>
            <a:gd name="T17" fmla="*/ 923925 h 170"/>
            <a:gd name="T18" fmla="*/ 1285875 w 137"/>
            <a:gd name="T19" fmla="*/ 1057275 h 170"/>
            <a:gd name="T20" fmla="*/ 1238250 w 137"/>
            <a:gd name="T21" fmla="*/ 1352550 h 170"/>
            <a:gd name="T22" fmla="*/ 1047750 w 137"/>
            <a:gd name="T23" fmla="*/ 1543050 h 170"/>
            <a:gd name="T24" fmla="*/ 819150 w 137"/>
            <a:gd name="T25" fmla="*/ 1590675 h 170"/>
            <a:gd name="T26" fmla="*/ 476250 w 137"/>
            <a:gd name="T27" fmla="*/ 1619250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0" t="0" r="r" b="b"/>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17</xdr:col>
      <xdr:colOff>238125</xdr:colOff>
      <xdr:row>12</xdr:row>
      <xdr:rowOff>114300</xdr:rowOff>
    </xdr:from>
    <xdr:to>
      <xdr:col>20</xdr:col>
      <xdr:colOff>57150</xdr:colOff>
      <xdr:row>23</xdr:row>
      <xdr:rowOff>123825</xdr:rowOff>
    </xdr:to>
    <xdr:sp macro="" textlink="">
      <xdr:nvSpPr>
        <xdr:cNvPr id="102400" name="Freeform 183">
          <a:extLst>
            <a:ext uri="{FF2B5EF4-FFF2-40B4-BE49-F238E27FC236}">
              <a16:creationId xmlns:a16="http://schemas.microsoft.com/office/drawing/2014/main" id="{525E2C53-5FD8-48C3-89D0-A522D95B4B88}"/>
            </a:ext>
          </a:extLst>
        </xdr:cNvPr>
        <xdr:cNvSpPr>
          <a:spLocks/>
        </xdr:cNvSpPr>
      </xdr:nvSpPr>
      <xdr:spPr bwMode="auto">
        <a:xfrm>
          <a:off x="11782425" y="2133600"/>
          <a:ext cx="1676400" cy="1790700"/>
        </a:xfrm>
        <a:custGeom>
          <a:avLst/>
          <a:gdLst>
            <a:gd name="T0" fmla="*/ 523875 w 176"/>
            <a:gd name="T1" fmla="*/ 0 h 188"/>
            <a:gd name="T2" fmla="*/ 952500 w 176"/>
            <a:gd name="T3" fmla="*/ 28575 h 188"/>
            <a:gd name="T4" fmla="*/ 1200150 w 176"/>
            <a:gd name="T5" fmla="*/ 85725 h 188"/>
            <a:gd name="T6" fmla="*/ 1428750 w 176"/>
            <a:gd name="T7" fmla="*/ 247650 h 188"/>
            <a:gd name="T8" fmla="*/ 1638300 w 176"/>
            <a:gd name="T9" fmla="*/ 561975 h 188"/>
            <a:gd name="T10" fmla="*/ 1657350 w 176"/>
            <a:gd name="T11" fmla="*/ 942975 h 188"/>
            <a:gd name="T12" fmla="*/ 1600200 w 176"/>
            <a:gd name="T13" fmla="*/ 1295400 h 188"/>
            <a:gd name="T14" fmla="*/ 1343025 w 176"/>
            <a:gd name="T15" fmla="*/ 1552575 h 188"/>
            <a:gd name="T16" fmla="*/ 1009650 w 176"/>
            <a:gd name="T17" fmla="*/ 1695450 h 188"/>
            <a:gd name="T18" fmla="*/ 533400 w 176"/>
            <a:gd name="T19" fmla="*/ 1771650 h 188"/>
            <a:gd name="T20" fmla="*/ 0 w 176"/>
            <a:gd name="T21" fmla="*/ 1790700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14</xdr:col>
      <xdr:colOff>942975</xdr:colOff>
      <xdr:row>12</xdr:row>
      <xdr:rowOff>114300</xdr:rowOff>
    </xdr:from>
    <xdr:to>
      <xdr:col>17</xdr:col>
      <xdr:colOff>238125</xdr:colOff>
      <xdr:row>23</xdr:row>
      <xdr:rowOff>123825</xdr:rowOff>
    </xdr:to>
    <xdr:sp macro="" textlink="">
      <xdr:nvSpPr>
        <xdr:cNvPr id="102401" name="Freeform 184">
          <a:extLst>
            <a:ext uri="{FF2B5EF4-FFF2-40B4-BE49-F238E27FC236}">
              <a16:creationId xmlns:a16="http://schemas.microsoft.com/office/drawing/2014/main" id="{CEFA85F5-850F-4CCB-AE60-3FFB4235A4BF}"/>
            </a:ext>
          </a:extLst>
        </xdr:cNvPr>
        <xdr:cNvSpPr>
          <a:spLocks/>
        </xdr:cNvSpPr>
      </xdr:nvSpPr>
      <xdr:spPr bwMode="auto">
        <a:xfrm flipH="1">
          <a:off x="10077450" y="2133600"/>
          <a:ext cx="1704975" cy="1790700"/>
        </a:xfrm>
        <a:custGeom>
          <a:avLst/>
          <a:gdLst>
            <a:gd name="T0" fmla="*/ 532805 w 176"/>
            <a:gd name="T1" fmla="*/ 0 h 188"/>
            <a:gd name="T2" fmla="*/ 968736 w 176"/>
            <a:gd name="T3" fmla="*/ 28575 h 188"/>
            <a:gd name="T4" fmla="*/ 1220607 w 176"/>
            <a:gd name="T5" fmla="*/ 85725 h 188"/>
            <a:gd name="T6" fmla="*/ 1453104 w 176"/>
            <a:gd name="T7" fmla="*/ 247650 h 188"/>
            <a:gd name="T8" fmla="*/ 1666226 w 176"/>
            <a:gd name="T9" fmla="*/ 561975 h 188"/>
            <a:gd name="T10" fmla="*/ 1685600 w 176"/>
            <a:gd name="T11" fmla="*/ 942975 h 188"/>
            <a:gd name="T12" fmla="*/ 1627476 w 176"/>
            <a:gd name="T13" fmla="*/ 1295400 h 188"/>
            <a:gd name="T14" fmla="*/ 1365917 w 176"/>
            <a:gd name="T15" fmla="*/ 1552575 h 188"/>
            <a:gd name="T16" fmla="*/ 1026860 w 176"/>
            <a:gd name="T17" fmla="*/ 1695450 h 188"/>
            <a:gd name="T18" fmla="*/ 542492 w 176"/>
            <a:gd name="T19" fmla="*/ 1771650 h 188"/>
            <a:gd name="T20" fmla="*/ 0 w 176"/>
            <a:gd name="T21" fmla="*/ 1790700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17</xdr:col>
      <xdr:colOff>238125</xdr:colOff>
      <xdr:row>1</xdr:row>
      <xdr:rowOff>66675</xdr:rowOff>
    </xdr:from>
    <xdr:to>
      <xdr:col>20</xdr:col>
      <xdr:colOff>57150</xdr:colOff>
      <xdr:row>12</xdr:row>
      <xdr:rowOff>76200</xdr:rowOff>
    </xdr:to>
    <xdr:sp macro="" textlink="">
      <xdr:nvSpPr>
        <xdr:cNvPr id="102402" name="Freeform 185">
          <a:extLst>
            <a:ext uri="{FF2B5EF4-FFF2-40B4-BE49-F238E27FC236}">
              <a16:creationId xmlns:a16="http://schemas.microsoft.com/office/drawing/2014/main" id="{B79F8184-99E1-467F-A2CA-6BB6060C5A53}"/>
            </a:ext>
          </a:extLst>
        </xdr:cNvPr>
        <xdr:cNvSpPr>
          <a:spLocks/>
        </xdr:cNvSpPr>
      </xdr:nvSpPr>
      <xdr:spPr bwMode="auto">
        <a:xfrm flipV="1">
          <a:off x="11782425" y="304800"/>
          <a:ext cx="1676400" cy="1790700"/>
        </a:xfrm>
        <a:custGeom>
          <a:avLst/>
          <a:gdLst>
            <a:gd name="T0" fmla="*/ 523875 w 176"/>
            <a:gd name="T1" fmla="*/ 0 h 188"/>
            <a:gd name="T2" fmla="*/ 952500 w 176"/>
            <a:gd name="T3" fmla="*/ 28575 h 188"/>
            <a:gd name="T4" fmla="*/ 1200150 w 176"/>
            <a:gd name="T5" fmla="*/ 85725 h 188"/>
            <a:gd name="T6" fmla="*/ 1428750 w 176"/>
            <a:gd name="T7" fmla="*/ 247650 h 188"/>
            <a:gd name="T8" fmla="*/ 1638300 w 176"/>
            <a:gd name="T9" fmla="*/ 561975 h 188"/>
            <a:gd name="T10" fmla="*/ 1657350 w 176"/>
            <a:gd name="T11" fmla="*/ 942975 h 188"/>
            <a:gd name="T12" fmla="*/ 1600200 w 176"/>
            <a:gd name="T13" fmla="*/ 1295400 h 188"/>
            <a:gd name="T14" fmla="*/ 1343025 w 176"/>
            <a:gd name="T15" fmla="*/ 1552575 h 188"/>
            <a:gd name="T16" fmla="*/ 1009650 w 176"/>
            <a:gd name="T17" fmla="*/ 1695450 h 188"/>
            <a:gd name="T18" fmla="*/ 533400 w 176"/>
            <a:gd name="T19" fmla="*/ 1771650 h 188"/>
            <a:gd name="T20" fmla="*/ 0 w 176"/>
            <a:gd name="T21" fmla="*/ 1790700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14</xdr:col>
      <xdr:colOff>895350</xdr:colOff>
      <xdr:row>1</xdr:row>
      <xdr:rowOff>66675</xdr:rowOff>
    </xdr:from>
    <xdr:to>
      <xdr:col>17</xdr:col>
      <xdr:colOff>190500</xdr:colOff>
      <xdr:row>12</xdr:row>
      <xdr:rowOff>76200</xdr:rowOff>
    </xdr:to>
    <xdr:sp macro="" textlink="">
      <xdr:nvSpPr>
        <xdr:cNvPr id="102403" name="Freeform 186">
          <a:extLst>
            <a:ext uri="{FF2B5EF4-FFF2-40B4-BE49-F238E27FC236}">
              <a16:creationId xmlns:a16="http://schemas.microsoft.com/office/drawing/2014/main" id="{85C7D111-A29E-4CE3-8100-B95AF98D4BEE}"/>
            </a:ext>
          </a:extLst>
        </xdr:cNvPr>
        <xdr:cNvSpPr>
          <a:spLocks/>
        </xdr:cNvSpPr>
      </xdr:nvSpPr>
      <xdr:spPr bwMode="auto">
        <a:xfrm flipH="1" flipV="1">
          <a:off x="10029825" y="304800"/>
          <a:ext cx="1704975" cy="1790700"/>
        </a:xfrm>
        <a:custGeom>
          <a:avLst/>
          <a:gdLst>
            <a:gd name="T0" fmla="*/ 532805 w 176"/>
            <a:gd name="T1" fmla="*/ 0 h 188"/>
            <a:gd name="T2" fmla="*/ 968736 w 176"/>
            <a:gd name="T3" fmla="*/ 28575 h 188"/>
            <a:gd name="T4" fmla="*/ 1220607 w 176"/>
            <a:gd name="T5" fmla="*/ 85725 h 188"/>
            <a:gd name="T6" fmla="*/ 1453104 w 176"/>
            <a:gd name="T7" fmla="*/ 247650 h 188"/>
            <a:gd name="T8" fmla="*/ 1666226 w 176"/>
            <a:gd name="T9" fmla="*/ 561975 h 188"/>
            <a:gd name="T10" fmla="*/ 1685600 w 176"/>
            <a:gd name="T11" fmla="*/ 942975 h 188"/>
            <a:gd name="T12" fmla="*/ 1627476 w 176"/>
            <a:gd name="T13" fmla="*/ 1295400 h 188"/>
            <a:gd name="T14" fmla="*/ 1365917 w 176"/>
            <a:gd name="T15" fmla="*/ 1552575 h 188"/>
            <a:gd name="T16" fmla="*/ 1026860 w 176"/>
            <a:gd name="T17" fmla="*/ 1695450 h 188"/>
            <a:gd name="T18" fmla="*/ 542492 w 176"/>
            <a:gd name="T19" fmla="*/ 1771650 h 188"/>
            <a:gd name="T20" fmla="*/ 0 w 176"/>
            <a:gd name="T21" fmla="*/ 1790700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0" t="0" r="r" b="b"/>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38</xdr:col>
      <xdr:colOff>466725</xdr:colOff>
      <xdr:row>1</xdr:row>
      <xdr:rowOff>9525</xdr:rowOff>
    </xdr:from>
    <xdr:to>
      <xdr:col>50</xdr:col>
      <xdr:colOff>0</xdr:colOff>
      <xdr:row>38</xdr:row>
      <xdr:rowOff>152400</xdr:rowOff>
    </xdr:to>
    <xdr:graphicFrame macro="">
      <xdr:nvGraphicFramePr>
        <xdr:cNvPr id="102404" name="Chart 187">
          <a:extLst>
            <a:ext uri="{FF2B5EF4-FFF2-40B4-BE49-F238E27FC236}">
              <a16:creationId xmlns:a16="http://schemas.microsoft.com/office/drawing/2014/main" id="{635B79C0-6C8D-41C8-952B-C7900C52F6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46</xdr:col>
      <xdr:colOff>409575</xdr:colOff>
      <xdr:row>36</xdr:row>
      <xdr:rowOff>152400</xdr:rowOff>
    </xdr:from>
    <xdr:ext cx="626325" cy="204736"/>
    <xdr:sp macro="" textlink="">
      <xdr:nvSpPr>
        <xdr:cNvPr id="10428" name="Text Box 188">
          <a:extLst>
            <a:ext uri="{FF2B5EF4-FFF2-40B4-BE49-F238E27FC236}">
              <a16:creationId xmlns:a16="http://schemas.microsoft.com/office/drawing/2014/main" id="{B64C696F-2567-4551-9370-F8A03C84E410}"/>
            </a:ext>
          </a:extLst>
        </xdr:cNvPr>
        <xdr:cNvSpPr txBox="1">
          <a:spLocks noChangeArrowheads="1"/>
        </xdr:cNvSpPr>
      </xdr:nvSpPr>
      <xdr:spPr bwMode="auto">
        <a:xfrm>
          <a:off x="29660850" y="6419850"/>
          <a:ext cx="626325" cy="2047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200" b="1" i="0" u="none" strike="noStrike" baseline="0">
              <a:solidFill>
                <a:srgbClr val="000000"/>
              </a:solidFill>
              <a:latin typeface="Arial"/>
              <a:cs typeface="Arial"/>
            </a:rPr>
            <a:t>Figure 8</a:t>
          </a:r>
        </a:p>
      </xdr:txBody>
    </xdr:sp>
    <xdr:clientData/>
  </xdr:oneCellAnchor>
  <xdr:twoCellAnchor>
    <xdr:from>
      <xdr:col>34</xdr:col>
      <xdr:colOff>276225</xdr:colOff>
      <xdr:row>1</xdr:row>
      <xdr:rowOff>152400</xdr:rowOff>
    </xdr:from>
    <xdr:to>
      <xdr:col>35</xdr:col>
      <xdr:colOff>428625</xdr:colOff>
      <xdr:row>9</xdr:row>
      <xdr:rowOff>85725</xdr:rowOff>
    </xdr:to>
    <xdr:sp macro="" textlink="">
      <xdr:nvSpPr>
        <xdr:cNvPr id="102406" name="Freeform 191">
          <a:extLst>
            <a:ext uri="{FF2B5EF4-FFF2-40B4-BE49-F238E27FC236}">
              <a16:creationId xmlns:a16="http://schemas.microsoft.com/office/drawing/2014/main" id="{2112429C-4E54-4153-B807-265B19943C68}"/>
            </a:ext>
          </a:extLst>
        </xdr:cNvPr>
        <xdr:cNvSpPr>
          <a:spLocks/>
        </xdr:cNvSpPr>
      </xdr:nvSpPr>
      <xdr:spPr bwMode="auto">
        <a:xfrm>
          <a:off x="22212300" y="390525"/>
          <a:ext cx="762000" cy="1228725"/>
        </a:xfrm>
        <a:custGeom>
          <a:avLst/>
          <a:gdLst>
            <a:gd name="T0" fmla="*/ 762000 w 80"/>
            <a:gd name="T1" fmla="*/ 0 h 129"/>
            <a:gd name="T2" fmla="*/ 514350 w 80"/>
            <a:gd name="T3" fmla="*/ 28575 h 129"/>
            <a:gd name="T4" fmla="*/ 381000 w 80"/>
            <a:gd name="T5" fmla="*/ 76200 h 129"/>
            <a:gd name="T6" fmla="*/ 219075 w 80"/>
            <a:gd name="T7" fmla="*/ 161925 h 129"/>
            <a:gd name="T8" fmla="*/ 114300 w 80"/>
            <a:gd name="T9" fmla="*/ 266700 h 129"/>
            <a:gd name="T10" fmla="*/ 28575 w 80"/>
            <a:gd name="T11" fmla="*/ 419100 h 129"/>
            <a:gd name="T12" fmla="*/ 9525 w 80"/>
            <a:gd name="T13" fmla="*/ 628650 h 129"/>
            <a:gd name="T14" fmla="*/ 76200 w 80"/>
            <a:gd name="T15" fmla="*/ 895350 h 129"/>
            <a:gd name="T16" fmla="*/ 257175 w 80"/>
            <a:gd name="T17" fmla="*/ 1057275 h 129"/>
            <a:gd name="T18" fmla="*/ 752475 w 80"/>
            <a:gd name="T19" fmla="*/ 1228725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35</xdr:col>
      <xdr:colOff>447675</xdr:colOff>
      <xdr:row>1</xdr:row>
      <xdr:rowOff>152400</xdr:rowOff>
    </xdr:from>
    <xdr:to>
      <xdr:col>36</xdr:col>
      <xdr:colOff>600075</xdr:colOff>
      <xdr:row>9</xdr:row>
      <xdr:rowOff>85725</xdr:rowOff>
    </xdr:to>
    <xdr:sp macro="" textlink="">
      <xdr:nvSpPr>
        <xdr:cNvPr id="102407" name="Freeform 192">
          <a:extLst>
            <a:ext uri="{FF2B5EF4-FFF2-40B4-BE49-F238E27FC236}">
              <a16:creationId xmlns:a16="http://schemas.microsoft.com/office/drawing/2014/main" id="{2A88BF9F-4C98-4A2E-9BCE-5DA2290BEC59}"/>
            </a:ext>
          </a:extLst>
        </xdr:cNvPr>
        <xdr:cNvSpPr>
          <a:spLocks/>
        </xdr:cNvSpPr>
      </xdr:nvSpPr>
      <xdr:spPr bwMode="auto">
        <a:xfrm flipH="1">
          <a:off x="22993350" y="390525"/>
          <a:ext cx="762000" cy="1228725"/>
        </a:xfrm>
        <a:custGeom>
          <a:avLst/>
          <a:gdLst>
            <a:gd name="T0" fmla="*/ 762000 w 80"/>
            <a:gd name="T1" fmla="*/ 0 h 129"/>
            <a:gd name="T2" fmla="*/ 514350 w 80"/>
            <a:gd name="T3" fmla="*/ 28575 h 129"/>
            <a:gd name="T4" fmla="*/ 381000 w 80"/>
            <a:gd name="T5" fmla="*/ 76200 h 129"/>
            <a:gd name="T6" fmla="*/ 219075 w 80"/>
            <a:gd name="T7" fmla="*/ 161925 h 129"/>
            <a:gd name="T8" fmla="*/ 114300 w 80"/>
            <a:gd name="T9" fmla="*/ 266700 h 129"/>
            <a:gd name="T10" fmla="*/ 28575 w 80"/>
            <a:gd name="T11" fmla="*/ 419100 h 129"/>
            <a:gd name="T12" fmla="*/ 9525 w 80"/>
            <a:gd name="T13" fmla="*/ 628650 h 129"/>
            <a:gd name="T14" fmla="*/ 76200 w 80"/>
            <a:gd name="T15" fmla="*/ 895350 h 129"/>
            <a:gd name="T16" fmla="*/ 257175 w 80"/>
            <a:gd name="T17" fmla="*/ 1057275 h 129"/>
            <a:gd name="T18" fmla="*/ 752475 w 80"/>
            <a:gd name="T19" fmla="*/ 1228725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0" t="0" r="r" b="b"/>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29</xdr:col>
      <xdr:colOff>228600</xdr:colOff>
      <xdr:row>1</xdr:row>
      <xdr:rowOff>142875</xdr:rowOff>
    </xdr:from>
    <xdr:to>
      <xdr:col>31</xdr:col>
      <xdr:colOff>428625</xdr:colOff>
      <xdr:row>15</xdr:row>
      <xdr:rowOff>114300</xdr:rowOff>
    </xdr:to>
    <xdr:sp macro="" textlink="">
      <xdr:nvSpPr>
        <xdr:cNvPr id="102408" name="Freeform 196">
          <a:extLst>
            <a:ext uri="{FF2B5EF4-FFF2-40B4-BE49-F238E27FC236}">
              <a16:creationId xmlns:a16="http://schemas.microsoft.com/office/drawing/2014/main" id="{01B37D55-5434-42C1-A6BA-4CECDB6840C5}"/>
            </a:ext>
          </a:extLst>
        </xdr:cNvPr>
        <xdr:cNvSpPr>
          <a:spLocks/>
        </xdr:cNvSpPr>
      </xdr:nvSpPr>
      <xdr:spPr bwMode="auto">
        <a:xfrm>
          <a:off x="19116675" y="381000"/>
          <a:ext cx="1419225" cy="2238375"/>
        </a:xfrm>
        <a:custGeom>
          <a:avLst/>
          <a:gdLst>
            <a:gd name="T0" fmla="*/ 0 w 149"/>
            <a:gd name="T1" fmla="*/ 9525 h 235"/>
            <a:gd name="T2" fmla="*/ 95250 w 149"/>
            <a:gd name="T3" fmla="*/ 0 h 235"/>
            <a:gd name="T4" fmla="*/ 285750 w 149"/>
            <a:gd name="T5" fmla="*/ 38100 h 235"/>
            <a:gd name="T6" fmla="*/ 457200 w 149"/>
            <a:gd name="T7" fmla="*/ 76200 h 235"/>
            <a:gd name="T8" fmla="*/ 647700 w 149"/>
            <a:gd name="T9" fmla="*/ 142875 h 235"/>
            <a:gd name="T10" fmla="*/ 809625 w 149"/>
            <a:gd name="T11" fmla="*/ 228600 h 235"/>
            <a:gd name="T12" fmla="*/ 962025 w 149"/>
            <a:gd name="T13" fmla="*/ 342900 h 235"/>
            <a:gd name="T14" fmla="*/ 1123950 w 149"/>
            <a:gd name="T15" fmla="*/ 495300 h 235"/>
            <a:gd name="T16" fmla="*/ 1295400 w 149"/>
            <a:gd name="T17" fmla="*/ 781050 h 235"/>
            <a:gd name="T18" fmla="*/ 1371600 w 149"/>
            <a:gd name="T19" fmla="*/ 990600 h 235"/>
            <a:gd name="T20" fmla="*/ 1409700 w 149"/>
            <a:gd name="T21" fmla="*/ 1133475 h 235"/>
            <a:gd name="T22" fmla="*/ 1419225 w 149"/>
            <a:gd name="T23" fmla="*/ 1247775 h 235"/>
            <a:gd name="T24" fmla="*/ 1419225 w 149"/>
            <a:gd name="T25" fmla="*/ 1400175 h 235"/>
            <a:gd name="T26" fmla="*/ 1400175 w 149"/>
            <a:gd name="T27" fmla="*/ 1543050 h 235"/>
            <a:gd name="T28" fmla="*/ 1371600 w 149"/>
            <a:gd name="T29" fmla="*/ 1733550 h 235"/>
            <a:gd name="T30" fmla="*/ 1228725 w 149"/>
            <a:gd name="T31" fmla="*/ 2019300 h 235"/>
            <a:gd name="T32" fmla="*/ 1104900 w 149"/>
            <a:gd name="T33" fmla="*/ 2152650 h 235"/>
            <a:gd name="T34" fmla="*/ 866775 w 149"/>
            <a:gd name="T35" fmla="*/ 2228850 h 235"/>
            <a:gd name="T36" fmla="*/ 723900 w 149"/>
            <a:gd name="T37" fmla="*/ 2209800 h 235"/>
            <a:gd name="T38" fmla="*/ 628650 w 149"/>
            <a:gd name="T39" fmla="*/ 2171700 h 235"/>
            <a:gd name="T40" fmla="*/ 381000 w 149"/>
            <a:gd name="T41" fmla="*/ 2028825 h 235"/>
            <a:gd name="T42" fmla="*/ 76200 w 149"/>
            <a:gd name="T43" fmla="*/ 1714500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0" t="0" r="r" b="b"/>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27</xdr:col>
      <xdr:colOff>38100</xdr:colOff>
      <xdr:row>1</xdr:row>
      <xdr:rowOff>142875</xdr:rowOff>
    </xdr:from>
    <xdr:to>
      <xdr:col>29</xdr:col>
      <xdr:colOff>238125</xdr:colOff>
      <xdr:row>15</xdr:row>
      <xdr:rowOff>114300</xdr:rowOff>
    </xdr:to>
    <xdr:sp macro="" textlink="">
      <xdr:nvSpPr>
        <xdr:cNvPr id="102409" name="Freeform 197">
          <a:extLst>
            <a:ext uri="{FF2B5EF4-FFF2-40B4-BE49-F238E27FC236}">
              <a16:creationId xmlns:a16="http://schemas.microsoft.com/office/drawing/2014/main" id="{E4F25547-362A-48EC-8067-9AE1EE82C22F}"/>
            </a:ext>
          </a:extLst>
        </xdr:cNvPr>
        <xdr:cNvSpPr>
          <a:spLocks/>
        </xdr:cNvSpPr>
      </xdr:nvSpPr>
      <xdr:spPr bwMode="auto">
        <a:xfrm flipH="1">
          <a:off x="17706975" y="381000"/>
          <a:ext cx="1419225" cy="2238375"/>
        </a:xfrm>
        <a:custGeom>
          <a:avLst/>
          <a:gdLst>
            <a:gd name="T0" fmla="*/ 0 w 149"/>
            <a:gd name="T1" fmla="*/ 9525 h 235"/>
            <a:gd name="T2" fmla="*/ 95250 w 149"/>
            <a:gd name="T3" fmla="*/ 0 h 235"/>
            <a:gd name="T4" fmla="*/ 285750 w 149"/>
            <a:gd name="T5" fmla="*/ 38100 h 235"/>
            <a:gd name="T6" fmla="*/ 457200 w 149"/>
            <a:gd name="T7" fmla="*/ 76200 h 235"/>
            <a:gd name="T8" fmla="*/ 647700 w 149"/>
            <a:gd name="T9" fmla="*/ 142875 h 235"/>
            <a:gd name="T10" fmla="*/ 809625 w 149"/>
            <a:gd name="T11" fmla="*/ 228600 h 235"/>
            <a:gd name="T12" fmla="*/ 962025 w 149"/>
            <a:gd name="T13" fmla="*/ 342900 h 235"/>
            <a:gd name="T14" fmla="*/ 1123950 w 149"/>
            <a:gd name="T15" fmla="*/ 495300 h 235"/>
            <a:gd name="T16" fmla="*/ 1295400 w 149"/>
            <a:gd name="T17" fmla="*/ 781050 h 235"/>
            <a:gd name="T18" fmla="*/ 1371600 w 149"/>
            <a:gd name="T19" fmla="*/ 990600 h 235"/>
            <a:gd name="T20" fmla="*/ 1409700 w 149"/>
            <a:gd name="T21" fmla="*/ 1133475 h 235"/>
            <a:gd name="T22" fmla="*/ 1419225 w 149"/>
            <a:gd name="T23" fmla="*/ 1247775 h 235"/>
            <a:gd name="T24" fmla="*/ 1419225 w 149"/>
            <a:gd name="T25" fmla="*/ 1400175 h 235"/>
            <a:gd name="T26" fmla="*/ 1400175 w 149"/>
            <a:gd name="T27" fmla="*/ 1543050 h 235"/>
            <a:gd name="T28" fmla="*/ 1371600 w 149"/>
            <a:gd name="T29" fmla="*/ 1733550 h 235"/>
            <a:gd name="T30" fmla="*/ 1228725 w 149"/>
            <a:gd name="T31" fmla="*/ 2019300 h 235"/>
            <a:gd name="T32" fmla="*/ 1104900 w 149"/>
            <a:gd name="T33" fmla="*/ 2152650 h 235"/>
            <a:gd name="T34" fmla="*/ 866775 w 149"/>
            <a:gd name="T35" fmla="*/ 2228850 h 235"/>
            <a:gd name="T36" fmla="*/ 723900 w 149"/>
            <a:gd name="T37" fmla="*/ 2209800 h 235"/>
            <a:gd name="T38" fmla="*/ 628650 w 149"/>
            <a:gd name="T39" fmla="*/ 2171700 h 235"/>
            <a:gd name="T40" fmla="*/ 381000 w 149"/>
            <a:gd name="T41" fmla="*/ 2028825 h 235"/>
            <a:gd name="T42" fmla="*/ 76200 w 149"/>
            <a:gd name="T43" fmla="*/ 1714500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0" t="0" r="r" b="b"/>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xmlns:mc="http://schemas.openxmlformats.org/markup-compatibility/2006" xmlns:a14="http://schemas.microsoft.com/office/drawing/2010/main" val="FF00FF" mc:Ignorable="a14" a14:legacySpreadsheetColorIndex="1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30</xdr:col>
      <xdr:colOff>142875</xdr:colOff>
      <xdr:row>1</xdr:row>
      <xdr:rowOff>104775</xdr:rowOff>
    </xdr:from>
    <xdr:ext cx="987578" cy="170560"/>
    <xdr:sp macro="" textlink="">
      <xdr:nvSpPr>
        <xdr:cNvPr id="10438" name="Text Box 198">
          <a:extLst>
            <a:ext uri="{FF2B5EF4-FFF2-40B4-BE49-F238E27FC236}">
              <a16:creationId xmlns:a16="http://schemas.microsoft.com/office/drawing/2014/main" id="{0FF1C8F6-ADFB-4251-ADDA-886E83AD7356}"/>
            </a:ext>
          </a:extLst>
        </xdr:cNvPr>
        <xdr:cNvSpPr txBox="1">
          <a:spLocks noChangeArrowheads="1"/>
        </xdr:cNvSpPr>
      </xdr:nvSpPr>
      <xdr:spPr bwMode="auto">
        <a:xfrm>
          <a:off x="19640550" y="342900"/>
          <a:ext cx="98757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FF00FF"/>
              </a:solidFill>
              <a:latin typeface="Arial"/>
              <a:cs typeface="Arial"/>
            </a:rPr>
            <a:t>Measured RHCP</a:t>
          </a:r>
        </a:p>
      </xdr:txBody>
    </xdr:sp>
    <xdr:clientData/>
  </xdr:oneCellAnchor>
  <xdr:twoCellAnchor>
    <xdr:from>
      <xdr:col>29</xdr:col>
      <xdr:colOff>257175</xdr:colOff>
      <xdr:row>10</xdr:row>
      <xdr:rowOff>28575</xdr:rowOff>
    </xdr:from>
    <xdr:to>
      <xdr:col>30</xdr:col>
      <xdr:colOff>38100</xdr:colOff>
      <xdr:row>12</xdr:row>
      <xdr:rowOff>66675</xdr:rowOff>
    </xdr:to>
    <xdr:sp macro="" textlink="">
      <xdr:nvSpPr>
        <xdr:cNvPr id="102411" name="Freeform 199">
          <a:extLst>
            <a:ext uri="{FF2B5EF4-FFF2-40B4-BE49-F238E27FC236}">
              <a16:creationId xmlns:a16="http://schemas.microsoft.com/office/drawing/2014/main" id="{B50AFCFC-82F7-44A4-B455-596D7B9ABD12}"/>
            </a:ext>
          </a:extLst>
        </xdr:cNvPr>
        <xdr:cNvSpPr>
          <a:spLocks/>
        </xdr:cNvSpPr>
      </xdr:nvSpPr>
      <xdr:spPr bwMode="auto">
        <a:xfrm>
          <a:off x="19145250" y="1724025"/>
          <a:ext cx="390525" cy="361950"/>
        </a:xfrm>
        <a:custGeom>
          <a:avLst/>
          <a:gdLst>
            <a:gd name="T0" fmla="*/ 0 w 41"/>
            <a:gd name="T1" fmla="*/ 304800 h 38"/>
            <a:gd name="T2" fmla="*/ 85725 w 41"/>
            <a:gd name="T3" fmla="*/ 114300 h 38"/>
            <a:gd name="T4" fmla="*/ 257175 w 41"/>
            <a:gd name="T5" fmla="*/ 0 h 38"/>
            <a:gd name="T6" fmla="*/ 371475 w 41"/>
            <a:gd name="T7" fmla="*/ 114300 h 38"/>
            <a:gd name="T8" fmla="*/ 352425 w 41"/>
            <a:gd name="T9" fmla="*/ 276225 h 38"/>
            <a:gd name="T10" fmla="*/ 276225 w 41"/>
            <a:gd name="T11" fmla="*/ 323850 h 38"/>
            <a:gd name="T12" fmla="*/ 200025 w 41"/>
            <a:gd name="T13" fmla="*/ 333375 h 38"/>
            <a:gd name="T14" fmla="*/ 9525 w 41"/>
            <a:gd name="T15" fmla="*/ 361950 h 38"/>
            <a:gd name="T16" fmla="*/ 0 60000 65536"/>
            <a:gd name="T17" fmla="*/ 0 60000 65536"/>
            <a:gd name="T18" fmla="*/ 0 60000 65536"/>
            <a:gd name="T19" fmla="*/ 0 60000 65536"/>
            <a:gd name="T20" fmla="*/ 0 60000 65536"/>
            <a:gd name="T21" fmla="*/ 0 60000 65536"/>
            <a:gd name="T22" fmla="*/ 0 60000 65536"/>
            <a:gd name="T23" fmla="*/ 0 60000 655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0" t="0" r="r" b="b"/>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28</xdr:col>
      <xdr:colOff>447675</xdr:colOff>
      <xdr:row>10</xdr:row>
      <xdr:rowOff>28575</xdr:rowOff>
    </xdr:from>
    <xdr:to>
      <xdr:col>29</xdr:col>
      <xdr:colOff>228600</xdr:colOff>
      <xdr:row>12</xdr:row>
      <xdr:rowOff>66675</xdr:rowOff>
    </xdr:to>
    <xdr:sp macro="" textlink="">
      <xdr:nvSpPr>
        <xdr:cNvPr id="102412" name="Freeform 200">
          <a:extLst>
            <a:ext uri="{FF2B5EF4-FFF2-40B4-BE49-F238E27FC236}">
              <a16:creationId xmlns:a16="http://schemas.microsoft.com/office/drawing/2014/main" id="{B9B7FAA3-3C05-4ADC-8267-78E4594EEFD6}"/>
            </a:ext>
          </a:extLst>
        </xdr:cNvPr>
        <xdr:cNvSpPr>
          <a:spLocks/>
        </xdr:cNvSpPr>
      </xdr:nvSpPr>
      <xdr:spPr bwMode="auto">
        <a:xfrm flipH="1">
          <a:off x="18726150" y="1724025"/>
          <a:ext cx="390525" cy="361950"/>
        </a:xfrm>
        <a:custGeom>
          <a:avLst/>
          <a:gdLst>
            <a:gd name="T0" fmla="*/ 0 w 41"/>
            <a:gd name="T1" fmla="*/ 304800 h 38"/>
            <a:gd name="T2" fmla="*/ 85725 w 41"/>
            <a:gd name="T3" fmla="*/ 114300 h 38"/>
            <a:gd name="T4" fmla="*/ 257175 w 41"/>
            <a:gd name="T5" fmla="*/ 0 h 38"/>
            <a:gd name="T6" fmla="*/ 371475 w 41"/>
            <a:gd name="T7" fmla="*/ 114300 h 38"/>
            <a:gd name="T8" fmla="*/ 352425 w 41"/>
            <a:gd name="T9" fmla="*/ 276225 h 38"/>
            <a:gd name="T10" fmla="*/ 276225 w 41"/>
            <a:gd name="T11" fmla="*/ 323850 h 38"/>
            <a:gd name="T12" fmla="*/ 200025 w 41"/>
            <a:gd name="T13" fmla="*/ 333375 h 38"/>
            <a:gd name="T14" fmla="*/ 9525 w 41"/>
            <a:gd name="T15" fmla="*/ 361950 h 38"/>
            <a:gd name="T16" fmla="*/ 0 60000 65536"/>
            <a:gd name="T17" fmla="*/ 0 60000 65536"/>
            <a:gd name="T18" fmla="*/ 0 60000 65536"/>
            <a:gd name="T19" fmla="*/ 0 60000 65536"/>
            <a:gd name="T20" fmla="*/ 0 60000 65536"/>
            <a:gd name="T21" fmla="*/ 0 60000 65536"/>
            <a:gd name="T22" fmla="*/ 0 60000 65536"/>
            <a:gd name="T23" fmla="*/ 0 60000 655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0" t="0" r="r" b="b"/>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29</xdr:col>
      <xdr:colOff>66675</xdr:colOff>
      <xdr:row>12</xdr:row>
      <xdr:rowOff>66675</xdr:rowOff>
    </xdr:from>
    <xdr:to>
      <xdr:col>29</xdr:col>
      <xdr:colOff>371475</xdr:colOff>
      <xdr:row>14</xdr:row>
      <xdr:rowOff>85725</xdr:rowOff>
    </xdr:to>
    <xdr:sp macro="" textlink="">
      <xdr:nvSpPr>
        <xdr:cNvPr id="102413" name="Freeform 201">
          <a:extLst>
            <a:ext uri="{FF2B5EF4-FFF2-40B4-BE49-F238E27FC236}">
              <a16:creationId xmlns:a16="http://schemas.microsoft.com/office/drawing/2014/main" id="{60D4F4C5-AE66-4E70-B8B6-C7FBA4E92B5A}"/>
            </a:ext>
          </a:extLst>
        </xdr:cNvPr>
        <xdr:cNvSpPr>
          <a:spLocks/>
        </xdr:cNvSpPr>
      </xdr:nvSpPr>
      <xdr:spPr bwMode="auto">
        <a:xfrm>
          <a:off x="18954750" y="2085975"/>
          <a:ext cx="304800" cy="342900"/>
        </a:xfrm>
        <a:custGeom>
          <a:avLst/>
          <a:gdLst>
            <a:gd name="T0" fmla="*/ 171450 w 32"/>
            <a:gd name="T1" fmla="*/ 9525 h 36"/>
            <a:gd name="T2" fmla="*/ 295275 w 32"/>
            <a:gd name="T3" fmla="*/ 114300 h 36"/>
            <a:gd name="T4" fmla="*/ 257175 w 32"/>
            <a:gd name="T5" fmla="*/ 295275 h 36"/>
            <a:gd name="T6" fmla="*/ 161925 w 32"/>
            <a:gd name="T7" fmla="*/ 333375 h 36"/>
            <a:gd name="T8" fmla="*/ 38100 w 32"/>
            <a:gd name="T9" fmla="*/ 314325 h 36"/>
            <a:gd name="T10" fmla="*/ 0 w 32"/>
            <a:gd name="T11" fmla="*/ 171450 h 36"/>
            <a:gd name="T12" fmla="*/ 57150 w 32"/>
            <a:gd name="T13" fmla="*/ 57150 h 36"/>
            <a:gd name="T14" fmla="*/ 171450 w 32"/>
            <a:gd name="T15" fmla="*/ 9525 h 36"/>
            <a:gd name="T16" fmla="*/ 0 60000 65536"/>
            <a:gd name="T17" fmla="*/ 0 60000 65536"/>
            <a:gd name="T18" fmla="*/ 0 60000 65536"/>
            <a:gd name="T19" fmla="*/ 0 60000 65536"/>
            <a:gd name="T20" fmla="*/ 0 60000 65536"/>
            <a:gd name="T21" fmla="*/ 0 60000 65536"/>
            <a:gd name="T22" fmla="*/ 0 60000 65536"/>
            <a:gd name="T23" fmla="*/ 0 60000 655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0" t="0" r="r" b="b"/>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oneCellAnchor>
    <xdr:from>
      <xdr:col>30</xdr:col>
      <xdr:colOff>76200</xdr:colOff>
      <xdr:row>18</xdr:row>
      <xdr:rowOff>9525</xdr:rowOff>
    </xdr:from>
    <xdr:ext cx="1008866" cy="318036"/>
    <xdr:sp macro="" textlink="">
      <xdr:nvSpPr>
        <xdr:cNvPr id="10442" name="Text Box 202">
          <a:extLst>
            <a:ext uri="{FF2B5EF4-FFF2-40B4-BE49-F238E27FC236}">
              <a16:creationId xmlns:a16="http://schemas.microsoft.com/office/drawing/2014/main" id="{331E87A8-5C81-4532-B481-1B0858B54D95}"/>
            </a:ext>
          </a:extLst>
        </xdr:cNvPr>
        <xdr:cNvSpPr txBox="1">
          <a:spLocks noChangeArrowheads="1"/>
        </xdr:cNvSpPr>
      </xdr:nvSpPr>
      <xdr:spPr bwMode="auto">
        <a:xfrm>
          <a:off x="19573875" y="3000375"/>
          <a:ext cx="1008866" cy="31803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FF9900"/>
              </a:solidFill>
              <a:latin typeface="Arial"/>
              <a:cs typeface="Arial"/>
            </a:rPr>
            <a:t>Measured</a:t>
          </a:r>
          <a:r>
            <a:rPr lang="en-US" sz="1000" b="0" i="0" u="none" strike="noStrike" baseline="0">
              <a:solidFill>
                <a:srgbClr val="000000"/>
              </a:solidFill>
              <a:latin typeface="Arial"/>
              <a:cs typeface="Arial"/>
            </a:rPr>
            <a:t> </a:t>
          </a:r>
          <a:r>
            <a:rPr lang="en-US" sz="1000" b="0" i="0" u="none" strike="noStrike" baseline="0">
              <a:solidFill>
                <a:srgbClr val="FF9900"/>
              </a:solidFill>
              <a:latin typeface="Arial"/>
              <a:cs typeface="Arial"/>
            </a:rPr>
            <a:t>LHCP</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FF9900"/>
              </a:solidFill>
              <a:latin typeface="Arial"/>
              <a:cs typeface="Arial"/>
            </a:rPr>
            <a:t>(Cross</a:t>
          </a:r>
          <a:r>
            <a:rPr lang="en-US" sz="1000" b="0" i="0" u="none" strike="noStrike" baseline="0">
              <a:solidFill>
                <a:srgbClr val="000000"/>
              </a:solidFill>
              <a:latin typeface="Arial"/>
              <a:cs typeface="Arial"/>
            </a:rPr>
            <a:t> </a:t>
          </a:r>
          <a:r>
            <a:rPr lang="en-US" sz="1000" b="0" i="0" u="none" strike="noStrike" baseline="0">
              <a:solidFill>
                <a:srgbClr val="FF9900"/>
              </a:solidFill>
              <a:latin typeface="Arial"/>
              <a:cs typeface="Arial"/>
            </a:rPr>
            <a:t>Polarized)</a:t>
          </a:r>
        </a:p>
      </xdr:txBody>
    </xdr:sp>
    <xdr:clientData/>
  </xdr:oneCellAnchor>
  <xdr:twoCellAnchor>
    <xdr:from>
      <xdr:col>29</xdr:col>
      <xdr:colOff>285750</xdr:colOff>
      <xdr:row>14</xdr:row>
      <xdr:rowOff>85725</xdr:rowOff>
    </xdr:from>
    <xdr:to>
      <xdr:col>30</xdr:col>
      <xdr:colOff>104775</xdr:colOff>
      <xdr:row>18</xdr:row>
      <xdr:rowOff>19050</xdr:rowOff>
    </xdr:to>
    <xdr:sp macro="" textlink="">
      <xdr:nvSpPr>
        <xdr:cNvPr id="102415" name="Line 203">
          <a:extLst>
            <a:ext uri="{FF2B5EF4-FFF2-40B4-BE49-F238E27FC236}">
              <a16:creationId xmlns:a16="http://schemas.microsoft.com/office/drawing/2014/main" id="{4AFAB58B-69A1-40F0-AB1C-D0E77F940B7B}"/>
            </a:ext>
          </a:extLst>
        </xdr:cNvPr>
        <xdr:cNvSpPr>
          <a:spLocks noChangeShapeType="1"/>
        </xdr:cNvSpPr>
      </xdr:nvSpPr>
      <xdr:spPr bwMode="auto">
        <a:xfrm flipH="1" flipV="1">
          <a:off x="19173825" y="2428875"/>
          <a:ext cx="428625" cy="581025"/>
        </a:xfrm>
        <a:prstGeom prst="line">
          <a:avLst/>
        </a:prstGeom>
        <a:noFill/>
        <a:ln w="9525">
          <a:solidFill>
            <a:srgbClr xmlns:mc="http://schemas.openxmlformats.org/markup-compatibility/2006" xmlns:a14="http://schemas.microsoft.com/office/drawing/2010/main" val="FF9900" mc:Ignorable="a14" a14:legacySpreadsheetColorIndex="52"/>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238125</xdr:colOff>
      <xdr:row>6</xdr:row>
      <xdr:rowOff>133350</xdr:rowOff>
    </xdr:from>
    <xdr:to>
      <xdr:col>44</xdr:col>
      <xdr:colOff>238125</xdr:colOff>
      <xdr:row>9</xdr:row>
      <xdr:rowOff>66675</xdr:rowOff>
    </xdr:to>
    <xdr:sp macro="" textlink="">
      <xdr:nvSpPr>
        <xdr:cNvPr id="102416" name="Line 204">
          <a:extLst>
            <a:ext uri="{FF2B5EF4-FFF2-40B4-BE49-F238E27FC236}">
              <a16:creationId xmlns:a16="http://schemas.microsoft.com/office/drawing/2014/main" id="{AD4E9AD7-AC9D-4C47-A1EC-D53FB9C7EFD4}"/>
            </a:ext>
          </a:extLst>
        </xdr:cNvPr>
        <xdr:cNvSpPr>
          <a:spLocks noChangeShapeType="1"/>
        </xdr:cNvSpPr>
      </xdr:nvSpPr>
      <xdr:spPr bwMode="auto">
        <a:xfrm flipV="1">
          <a:off x="28270200" y="1181100"/>
          <a:ext cx="0" cy="4191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276225</xdr:colOff>
      <xdr:row>32</xdr:row>
      <xdr:rowOff>38100</xdr:rowOff>
    </xdr:from>
    <xdr:to>
      <xdr:col>44</xdr:col>
      <xdr:colOff>276225</xdr:colOff>
      <xdr:row>34</xdr:row>
      <xdr:rowOff>57150</xdr:rowOff>
    </xdr:to>
    <xdr:sp macro="" textlink="">
      <xdr:nvSpPr>
        <xdr:cNvPr id="102417" name="Line 205">
          <a:extLst>
            <a:ext uri="{FF2B5EF4-FFF2-40B4-BE49-F238E27FC236}">
              <a16:creationId xmlns:a16="http://schemas.microsoft.com/office/drawing/2014/main" id="{A84EAF27-A2A9-4B9E-8262-DE2BA0585814}"/>
            </a:ext>
          </a:extLst>
        </xdr:cNvPr>
        <xdr:cNvSpPr>
          <a:spLocks noChangeShapeType="1"/>
        </xdr:cNvSpPr>
      </xdr:nvSpPr>
      <xdr:spPr bwMode="auto">
        <a:xfrm>
          <a:off x="28308300" y="5543550"/>
          <a:ext cx="0" cy="4000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485775</xdr:colOff>
      <xdr:row>5</xdr:row>
      <xdr:rowOff>85725</xdr:rowOff>
    </xdr:from>
    <xdr:ext cx="788164" cy="170560"/>
    <xdr:sp macro="" textlink="">
      <xdr:nvSpPr>
        <xdr:cNvPr id="10446" name="Text Box 206">
          <a:extLst>
            <a:ext uri="{FF2B5EF4-FFF2-40B4-BE49-F238E27FC236}">
              <a16:creationId xmlns:a16="http://schemas.microsoft.com/office/drawing/2014/main" id="{5E992D6B-172E-4311-A56C-07E8986A4AB6}"/>
            </a:ext>
          </a:extLst>
        </xdr:cNvPr>
        <xdr:cNvSpPr txBox="1">
          <a:spLocks noChangeArrowheads="1"/>
        </xdr:cNvSpPr>
      </xdr:nvSpPr>
      <xdr:spPr bwMode="auto">
        <a:xfrm>
          <a:off x="27908250" y="971550"/>
          <a:ext cx="78816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Spacecraft -Z</a:t>
          </a:r>
        </a:p>
      </xdr:txBody>
    </xdr:sp>
    <xdr:clientData/>
  </xdr:oneCellAnchor>
  <xdr:oneCellAnchor>
    <xdr:from>
      <xdr:col>43</xdr:col>
      <xdr:colOff>495300</xdr:colOff>
      <xdr:row>34</xdr:row>
      <xdr:rowOff>104775</xdr:rowOff>
    </xdr:from>
    <xdr:ext cx="820353" cy="170560"/>
    <xdr:sp macro="" textlink="">
      <xdr:nvSpPr>
        <xdr:cNvPr id="10447" name="Text Box 207">
          <a:extLst>
            <a:ext uri="{FF2B5EF4-FFF2-40B4-BE49-F238E27FC236}">
              <a16:creationId xmlns:a16="http://schemas.microsoft.com/office/drawing/2014/main" id="{2D8BAACE-3AD3-452E-84AE-59F9A1037BC1}"/>
            </a:ext>
          </a:extLst>
        </xdr:cNvPr>
        <xdr:cNvSpPr txBox="1">
          <a:spLocks noChangeArrowheads="1"/>
        </xdr:cNvSpPr>
      </xdr:nvSpPr>
      <xdr:spPr bwMode="auto">
        <a:xfrm>
          <a:off x="27917775" y="5991225"/>
          <a:ext cx="820353"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Spacecraft +Z</a:t>
          </a:r>
        </a:p>
      </xdr:txBody>
    </xdr:sp>
    <xdr:clientData/>
  </xdr:oneCellAnchor>
  <xdr:twoCellAnchor>
    <xdr:from>
      <xdr:col>47</xdr:col>
      <xdr:colOff>228600</xdr:colOff>
      <xdr:row>20</xdr:row>
      <xdr:rowOff>123825</xdr:rowOff>
    </xdr:from>
    <xdr:to>
      <xdr:col>48</xdr:col>
      <xdr:colOff>228600</xdr:colOff>
      <xdr:row>20</xdr:row>
      <xdr:rowOff>123825</xdr:rowOff>
    </xdr:to>
    <xdr:sp macro="" textlink="">
      <xdr:nvSpPr>
        <xdr:cNvPr id="102420" name="Line 208">
          <a:extLst>
            <a:ext uri="{FF2B5EF4-FFF2-40B4-BE49-F238E27FC236}">
              <a16:creationId xmlns:a16="http://schemas.microsoft.com/office/drawing/2014/main" id="{2CF0C726-C21B-4477-B77C-9BB297A8B3FA}"/>
            </a:ext>
          </a:extLst>
        </xdr:cNvPr>
        <xdr:cNvSpPr>
          <a:spLocks noChangeShapeType="1"/>
        </xdr:cNvSpPr>
      </xdr:nvSpPr>
      <xdr:spPr bwMode="auto">
        <a:xfrm>
          <a:off x="30089475" y="3438525"/>
          <a:ext cx="6096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27534" cy="170560"/>
    <xdr:sp macro="" textlink="">
      <xdr:nvSpPr>
        <xdr:cNvPr id="10449" name="Text Box 209">
          <a:extLst>
            <a:ext uri="{FF2B5EF4-FFF2-40B4-BE49-F238E27FC236}">
              <a16:creationId xmlns:a16="http://schemas.microsoft.com/office/drawing/2014/main" id="{E755335B-7690-4ECA-8634-A888A54C47F2}"/>
            </a:ext>
          </a:extLst>
        </xdr:cNvPr>
        <xdr:cNvSpPr txBox="1">
          <a:spLocks noChangeArrowheads="1"/>
        </xdr:cNvSpPr>
      </xdr:nvSpPr>
      <xdr:spPr bwMode="auto">
        <a:xfrm>
          <a:off x="30746700" y="3343275"/>
          <a:ext cx="82753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Spacecraft +X</a:t>
          </a:r>
        </a:p>
      </xdr:txBody>
    </xdr:sp>
    <xdr:clientData/>
  </xdr:oneCellAnchor>
  <xdr:twoCellAnchor>
    <xdr:from>
      <xdr:col>40</xdr:col>
      <xdr:colOff>219075</xdr:colOff>
      <xdr:row>20</xdr:row>
      <xdr:rowOff>142875</xdr:rowOff>
    </xdr:from>
    <xdr:to>
      <xdr:col>41</xdr:col>
      <xdr:colOff>190500</xdr:colOff>
      <xdr:row>20</xdr:row>
      <xdr:rowOff>142875</xdr:rowOff>
    </xdr:to>
    <xdr:sp macro="" textlink="">
      <xdr:nvSpPr>
        <xdr:cNvPr id="102422" name="Line 210">
          <a:extLst>
            <a:ext uri="{FF2B5EF4-FFF2-40B4-BE49-F238E27FC236}">
              <a16:creationId xmlns:a16="http://schemas.microsoft.com/office/drawing/2014/main" id="{75F99E41-2C1B-46A6-8D4E-FF26A9376716}"/>
            </a:ext>
          </a:extLst>
        </xdr:cNvPr>
        <xdr:cNvSpPr>
          <a:spLocks noChangeShapeType="1"/>
        </xdr:cNvSpPr>
      </xdr:nvSpPr>
      <xdr:spPr bwMode="auto">
        <a:xfrm flipH="1">
          <a:off x="25812750" y="3457575"/>
          <a:ext cx="5810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66675</xdr:rowOff>
    </xdr:from>
    <xdr:ext cx="795346" cy="170560"/>
    <xdr:sp macro="" textlink="">
      <xdr:nvSpPr>
        <xdr:cNvPr id="10451" name="Text Box 211">
          <a:extLst>
            <a:ext uri="{FF2B5EF4-FFF2-40B4-BE49-F238E27FC236}">
              <a16:creationId xmlns:a16="http://schemas.microsoft.com/office/drawing/2014/main" id="{BA7C938B-EBF3-41D2-83F1-D687486CD5FF}"/>
            </a:ext>
          </a:extLst>
        </xdr:cNvPr>
        <xdr:cNvSpPr txBox="1">
          <a:spLocks noChangeArrowheads="1"/>
        </xdr:cNvSpPr>
      </xdr:nvSpPr>
      <xdr:spPr bwMode="auto">
        <a:xfrm>
          <a:off x="24974550" y="3381375"/>
          <a:ext cx="79534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Spacecraft -X</a:t>
          </a:r>
        </a:p>
      </xdr:txBody>
    </xdr:sp>
    <xdr:clientData/>
  </xdr:oneCellAnchor>
  <xdr:oneCellAnchor>
    <xdr:from>
      <xdr:col>36</xdr:col>
      <xdr:colOff>381000</xdr:colOff>
      <xdr:row>1</xdr:row>
      <xdr:rowOff>104775</xdr:rowOff>
    </xdr:from>
    <xdr:ext cx="987578" cy="170560"/>
    <xdr:sp macro="" textlink="">
      <xdr:nvSpPr>
        <xdr:cNvPr id="10452" name="Text Box 212">
          <a:extLst>
            <a:ext uri="{FF2B5EF4-FFF2-40B4-BE49-F238E27FC236}">
              <a16:creationId xmlns:a16="http://schemas.microsoft.com/office/drawing/2014/main" id="{62BE41DF-61DA-46EF-B507-69A13B486F0B}"/>
            </a:ext>
          </a:extLst>
        </xdr:cNvPr>
        <xdr:cNvSpPr txBox="1">
          <a:spLocks noChangeArrowheads="1"/>
        </xdr:cNvSpPr>
      </xdr:nvSpPr>
      <xdr:spPr bwMode="auto">
        <a:xfrm>
          <a:off x="23536275" y="342900"/>
          <a:ext cx="987578"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FF00FF" mc:Ignorable="a14" a14:legacySpreadsheetColorIndex="1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FF00FF"/>
              </a:solidFill>
              <a:latin typeface="Arial"/>
              <a:cs typeface="Arial"/>
            </a:rPr>
            <a:t>Measured</a:t>
          </a:r>
          <a:r>
            <a:rPr lang="en-US" sz="1000" b="0" i="0" u="none" strike="noStrike" baseline="0">
              <a:solidFill>
                <a:srgbClr val="000000"/>
              </a:solidFill>
              <a:latin typeface="Arial"/>
              <a:cs typeface="Arial"/>
            </a:rPr>
            <a:t> </a:t>
          </a:r>
          <a:r>
            <a:rPr lang="en-US" sz="1000" b="0" i="0" u="none" strike="noStrike" baseline="0">
              <a:solidFill>
                <a:srgbClr val="FF00FF"/>
              </a:solidFill>
              <a:latin typeface="Arial"/>
              <a:cs typeface="Arial"/>
            </a:rPr>
            <a:t>RHCP</a:t>
          </a:r>
        </a:p>
      </xdr:txBody>
    </xdr:sp>
    <xdr:clientData/>
  </xdr:oneCellAnchor>
</xdr:wsDr>
</file>

<file path=xl/drawings/drawing6.xml><?xml version="1.0" encoding="utf-8"?>
<c:userShapes xmlns:c="http://schemas.openxmlformats.org/drawingml/2006/chart">
  <cdr:relSizeAnchor xmlns:cdr="http://schemas.openxmlformats.org/drawingml/2006/chartDrawing">
    <cdr:from>
      <cdr:x>0.5</cdr:x>
      <cdr:y>0.5</cdr:y>
    </cdr:from>
    <cdr:to>
      <cdr:x>0.52687</cdr:x>
      <cdr:y>0.53648</cdr:y>
    </cdr:to>
    <cdr:sp macro="" textlink="">
      <cdr:nvSpPr>
        <cdr:cNvPr id="14337" name="Text Box 1">
          <a:extLst xmlns:a="http://schemas.openxmlformats.org/drawingml/2006/main">
            <a:ext uri="{FF2B5EF4-FFF2-40B4-BE49-F238E27FC236}">
              <a16:creationId xmlns:a16="http://schemas.microsoft.com/office/drawing/2014/main" id="{98C9BA2C-C336-4C2C-9151-307013176D5D}"/>
            </a:ext>
          </a:extLst>
        </cdr:cNvPr>
        <cdr:cNvSpPr txBox="1">
          <a:spLocks xmlns:a="http://schemas.openxmlformats.org/drawingml/2006/main" noChangeArrowheads="1"/>
        </cdr:cNvSpPr>
      </cdr:nvSpPr>
      <cdr:spPr bwMode="auto">
        <a:xfrm xmlns:a="http://schemas.openxmlformats.org/drawingml/2006/main">
          <a:off x="3432175" y="3408363"/>
          <a:ext cx="184285" cy="248459"/>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0">
            <a:defRPr sz="1000"/>
          </a:pPr>
          <a:r>
            <a:rPr lang="en-US" sz="1475" b="0" i="0" u="none" strike="noStrike" baseline="0">
              <a:solidFill>
                <a:srgbClr val="000000"/>
              </a:solidFill>
              <a:latin typeface="Arial"/>
              <a:cs typeface="Arial"/>
            </a:rPr>
            <a:t>y</a:t>
          </a:r>
        </a:p>
      </cdr:txBody>
    </cdr:sp>
  </cdr:relSizeAnchor>
</c:userShapes>
</file>

<file path=xl/drawings/drawing7.xml><?xml version="1.0" encoding="utf-8"?>
<xdr:wsDr xmlns:xdr="http://schemas.openxmlformats.org/drawingml/2006/spreadsheetDrawing" xmlns:a="http://schemas.openxmlformats.org/drawingml/2006/main">
  <xdr:twoCellAnchor>
    <xdr:from>
      <xdr:col>9</xdr:col>
      <xdr:colOff>581025</xdr:colOff>
      <xdr:row>7</xdr:row>
      <xdr:rowOff>38100</xdr:rowOff>
    </xdr:from>
    <xdr:to>
      <xdr:col>12</xdr:col>
      <xdr:colOff>0</xdr:colOff>
      <xdr:row>14</xdr:row>
      <xdr:rowOff>114300</xdr:rowOff>
    </xdr:to>
    <xdr:sp macro="" textlink="">
      <xdr:nvSpPr>
        <xdr:cNvPr id="6145" name="Oval 1">
          <a:extLst>
            <a:ext uri="{FF2B5EF4-FFF2-40B4-BE49-F238E27FC236}">
              <a16:creationId xmlns:a16="http://schemas.microsoft.com/office/drawing/2014/main" id="{2C2A9C26-852B-403F-9185-208CA4BAB2B7}"/>
            </a:ext>
          </a:extLst>
        </xdr:cNvPr>
        <xdr:cNvSpPr>
          <a:spLocks noChangeArrowheads="1"/>
        </xdr:cNvSpPr>
      </xdr:nvSpPr>
      <xdr:spPr bwMode="auto">
        <a:xfrm>
          <a:off x="6276975" y="1247775"/>
          <a:ext cx="1295400" cy="1209675"/>
        </a:xfrm>
        <a:prstGeom prst="ellipse">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FF0000" mc:Ignorable="a14" a14:legacySpreadsheetColorIndex="10"/>
          </a:solidFill>
          <a:round/>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Axial Ratio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1.0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FF19B12-9396-4654-89A8-2D2110AA19AE}"/>
            </a:ext>
          </a:extLst>
        </xdr:cNvPr>
        <xdr:cNvSpPr>
          <a:spLocks noChangeArrowheads="1"/>
        </xdr:cNvSpPr>
      </xdr:nvSpPr>
      <xdr:spPr bwMode="auto">
        <a:xfrm>
          <a:off x="8181975" y="1533525"/>
          <a:ext cx="1371600" cy="647700"/>
        </a:xfrm>
        <a:prstGeom prst="ellipse">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FF0000" mc:Ignorable="a14" a14:legacySpreadsheetColorIndex="10"/>
          </a:solidFill>
          <a:round/>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a:t>
          </a:r>
          <a:r>
            <a:rPr lang="en-US" sz="900" b="0" i="0" u="none" strike="noStrike" baseline="0">
              <a:solidFill>
                <a:srgbClr val="000000"/>
              </a:solidFill>
              <a:latin typeface="Arial"/>
              <a:cs typeface="Arial"/>
            </a:rPr>
            <a:t>Axial Ratio =</a:t>
          </a:r>
        </a:p>
        <a:p>
          <a:pPr algn="l" rtl="0">
            <a:defRPr sz="1000"/>
          </a:pPr>
          <a:r>
            <a:rPr lang="en-US" sz="900" b="0" i="0" u="none" strike="noStrike" baseline="0">
              <a:solidFill>
                <a:srgbClr val="000000"/>
              </a:solidFill>
              <a:latin typeface="Arial"/>
              <a:cs typeface="Arial"/>
            </a:rPr>
            <a:t>           2.0 = </a:t>
          </a:r>
        </a:p>
        <a:p>
          <a:pPr algn="l" rtl="0">
            <a:defRPr sz="1000"/>
          </a:pPr>
          <a:r>
            <a:rPr lang="en-US" sz="900" b="0" i="0" u="none" strike="noStrike" baseline="0">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6744" name="Line 3">
          <a:extLst>
            <a:ext uri="{FF2B5EF4-FFF2-40B4-BE49-F238E27FC236}">
              <a16:creationId xmlns:a16="http://schemas.microsoft.com/office/drawing/2014/main" id="{7CFE7E62-254F-47EE-A7AA-BF677629A8D9}"/>
            </a:ext>
          </a:extLst>
        </xdr:cNvPr>
        <xdr:cNvSpPr>
          <a:spLocks noChangeShapeType="1"/>
        </xdr:cNvSpPr>
      </xdr:nvSpPr>
      <xdr:spPr bwMode="auto">
        <a:xfrm>
          <a:off x="10153650" y="1857375"/>
          <a:ext cx="1219200" cy="0"/>
        </a:xfrm>
        <a:prstGeom prst="lin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581025</xdr:colOff>
      <xdr:row>17</xdr:row>
      <xdr:rowOff>38100</xdr:rowOff>
    </xdr:from>
    <xdr:to>
      <xdr:col>12</xdr:col>
      <xdr:colOff>0</xdr:colOff>
      <xdr:row>24</xdr:row>
      <xdr:rowOff>114300</xdr:rowOff>
    </xdr:to>
    <xdr:sp macro="" textlink="">
      <xdr:nvSpPr>
        <xdr:cNvPr id="6148" name="Oval 4">
          <a:extLst>
            <a:ext uri="{FF2B5EF4-FFF2-40B4-BE49-F238E27FC236}">
              <a16:creationId xmlns:a16="http://schemas.microsoft.com/office/drawing/2014/main" id="{1F39D6FC-7921-4910-9CE6-D46B045E4D19}"/>
            </a:ext>
          </a:extLst>
        </xdr:cNvPr>
        <xdr:cNvSpPr>
          <a:spLocks noChangeArrowheads="1"/>
        </xdr:cNvSpPr>
      </xdr:nvSpPr>
      <xdr:spPr bwMode="auto">
        <a:xfrm>
          <a:off x="6276975" y="2867025"/>
          <a:ext cx="1295400" cy="1209675"/>
        </a:xfrm>
        <a:prstGeom prst="ellipse">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FF" mc:Ignorable="a14" a14:legacySpreadsheetColorIndex="12"/>
          </a:solidFill>
          <a:round/>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  Axial Ratio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1.0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A0F43E1C-9E31-47C2-A98D-291229974939}"/>
            </a:ext>
          </a:extLst>
        </xdr:cNvPr>
        <xdr:cNvSpPr>
          <a:spLocks noChangeArrowheads="1"/>
        </xdr:cNvSpPr>
      </xdr:nvSpPr>
      <xdr:spPr bwMode="auto">
        <a:xfrm>
          <a:off x="8181975" y="3152775"/>
          <a:ext cx="1371600" cy="647700"/>
        </a:xfrm>
        <a:prstGeom prst="ellipse">
          <a:avLst/>
        </a:prstGeom>
        <a:solidFill>
          <a:srgbClr xmlns:mc="http://schemas.openxmlformats.org/markup-compatibility/2006" xmlns:a14="http://schemas.microsoft.com/office/drawing/2010/main" val="FFFFFF" mc:Ignorable="a14" a14:legacySpreadsheetColorIndex="9"/>
        </a:solidFill>
        <a:ln w="28575">
          <a:solidFill>
            <a:srgbClr xmlns:mc="http://schemas.openxmlformats.org/markup-compatibility/2006" xmlns:a14="http://schemas.microsoft.com/office/drawing/2010/main" val="0000FF" mc:Ignorable="a14" a14:legacySpreadsheetColorIndex="12"/>
          </a:solidFill>
          <a:round/>
          <a:headEnd/>
          <a:tailEnd/>
        </a:ln>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    Axial Ratio =</a:t>
          </a:r>
        </a:p>
        <a:p>
          <a:pPr algn="l" rtl="0">
            <a:defRPr sz="1000"/>
          </a:pPr>
          <a:r>
            <a:rPr lang="en-US" sz="900" b="0" i="0" u="none" strike="noStrike" baseline="0">
              <a:solidFill>
                <a:srgbClr val="000000"/>
              </a:solidFill>
              <a:latin typeface="Arial"/>
              <a:cs typeface="Arial"/>
            </a:rPr>
            <a:t>           2.0 =</a:t>
          </a:r>
        </a:p>
        <a:p>
          <a:pPr algn="l" rtl="0">
            <a:defRPr sz="1000"/>
          </a:pPr>
          <a:r>
            <a:rPr lang="en-US" sz="900" b="0" i="0" u="none" strike="noStrike" baseline="0">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6747" name="Line 6">
          <a:extLst>
            <a:ext uri="{FF2B5EF4-FFF2-40B4-BE49-F238E27FC236}">
              <a16:creationId xmlns:a16="http://schemas.microsoft.com/office/drawing/2014/main" id="{68A4AD01-3DD5-404D-8957-DBDF543EA0A8}"/>
            </a:ext>
          </a:extLst>
        </xdr:cNvPr>
        <xdr:cNvSpPr>
          <a:spLocks noChangeShapeType="1"/>
        </xdr:cNvSpPr>
      </xdr:nvSpPr>
      <xdr:spPr bwMode="auto">
        <a:xfrm>
          <a:off x="10153650" y="3476625"/>
          <a:ext cx="1219200" cy="0"/>
        </a:xfrm>
        <a:prstGeom prst="lin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581025</xdr:colOff>
      <xdr:row>30</xdr:row>
      <xdr:rowOff>57150</xdr:rowOff>
    </xdr:from>
    <xdr:to>
      <xdr:col>12</xdr:col>
      <xdr:colOff>590550</xdr:colOff>
      <xdr:row>34</xdr:row>
      <xdr:rowOff>47625</xdr:rowOff>
    </xdr:to>
    <xdr:sp macro="" textlink="">
      <xdr:nvSpPr>
        <xdr:cNvPr id="6748" name="Oval 7">
          <a:extLst>
            <a:ext uri="{FF2B5EF4-FFF2-40B4-BE49-F238E27FC236}">
              <a16:creationId xmlns:a16="http://schemas.microsoft.com/office/drawing/2014/main" id="{E9C5497D-CF35-445D-B23D-2ABB2092D11D}"/>
            </a:ext>
          </a:extLst>
        </xdr:cNvPr>
        <xdr:cNvSpPr>
          <a:spLocks noChangeArrowheads="1"/>
        </xdr:cNvSpPr>
      </xdr:nvSpPr>
      <xdr:spPr bwMode="auto">
        <a:xfrm rot="2094983">
          <a:off x="6934200" y="5010150"/>
          <a:ext cx="1228725" cy="638175"/>
        </a:xfrm>
        <a:prstGeom prst="ellipse">
          <a:avLst/>
        </a:prstGeom>
        <a:noFill/>
        <a:ln w="2857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9</xdr:col>
      <xdr:colOff>609600</xdr:colOff>
      <xdr:row>32</xdr:row>
      <xdr:rowOff>28575</xdr:rowOff>
    </xdr:from>
    <xdr:to>
      <xdr:col>13</xdr:col>
      <xdr:colOff>561975</xdr:colOff>
      <xdr:row>32</xdr:row>
      <xdr:rowOff>38100</xdr:rowOff>
    </xdr:to>
    <xdr:sp macro="" textlink="">
      <xdr:nvSpPr>
        <xdr:cNvPr id="6749" name="Line 8">
          <a:extLst>
            <a:ext uri="{FF2B5EF4-FFF2-40B4-BE49-F238E27FC236}">
              <a16:creationId xmlns:a16="http://schemas.microsoft.com/office/drawing/2014/main" id="{F85CB82F-AD3E-4832-A752-D8C30DA46CD5}"/>
            </a:ext>
          </a:extLst>
        </xdr:cNvPr>
        <xdr:cNvSpPr>
          <a:spLocks noChangeShapeType="1"/>
        </xdr:cNvSpPr>
      </xdr:nvSpPr>
      <xdr:spPr bwMode="auto">
        <a:xfrm rot="2132260" flipV="1">
          <a:off x="6305550" y="5305425"/>
          <a:ext cx="2438400" cy="9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571500</xdr:colOff>
      <xdr:row>30</xdr:row>
      <xdr:rowOff>57150</xdr:rowOff>
    </xdr:from>
    <xdr:to>
      <xdr:col>12</xdr:col>
      <xdr:colOff>581025</xdr:colOff>
      <xdr:row>34</xdr:row>
      <xdr:rowOff>57150</xdr:rowOff>
    </xdr:to>
    <xdr:sp macro="" textlink="">
      <xdr:nvSpPr>
        <xdr:cNvPr id="6750" name="Oval 9">
          <a:extLst>
            <a:ext uri="{FF2B5EF4-FFF2-40B4-BE49-F238E27FC236}">
              <a16:creationId xmlns:a16="http://schemas.microsoft.com/office/drawing/2014/main" id="{86C96057-A8B9-41D3-A0D7-D384051385EE}"/>
            </a:ext>
          </a:extLst>
        </xdr:cNvPr>
        <xdr:cNvSpPr>
          <a:spLocks noChangeArrowheads="1"/>
        </xdr:cNvSpPr>
      </xdr:nvSpPr>
      <xdr:spPr bwMode="auto">
        <a:xfrm rot="-2312580">
          <a:off x="6924675" y="5010150"/>
          <a:ext cx="1228725" cy="647700"/>
        </a:xfrm>
        <a:prstGeom prst="ellipse">
          <a:avLst/>
        </a:prstGeom>
        <a:noFill/>
        <a:ln w="28575">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9</xdr:col>
      <xdr:colOff>609600</xdr:colOff>
      <xdr:row>32</xdr:row>
      <xdr:rowOff>66675</xdr:rowOff>
    </xdr:from>
    <xdr:to>
      <xdr:col>13</xdr:col>
      <xdr:colOff>561975</xdr:colOff>
      <xdr:row>32</xdr:row>
      <xdr:rowOff>66675</xdr:rowOff>
    </xdr:to>
    <xdr:sp macro="" textlink="">
      <xdr:nvSpPr>
        <xdr:cNvPr id="6751" name="Line 10">
          <a:extLst>
            <a:ext uri="{FF2B5EF4-FFF2-40B4-BE49-F238E27FC236}">
              <a16:creationId xmlns:a16="http://schemas.microsoft.com/office/drawing/2014/main" id="{A7C236AE-AF2F-4954-9219-BDB71D474104}"/>
            </a:ext>
          </a:extLst>
        </xdr:cNvPr>
        <xdr:cNvSpPr>
          <a:spLocks noChangeShapeType="1"/>
        </xdr:cNvSpPr>
      </xdr:nvSpPr>
      <xdr:spPr bwMode="auto">
        <a:xfrm rot="-2384222">
          <a:off x="6305550" y="5343525"/>
          <a:ext cx="24384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295275</xdr:colOff>
      <xdr:row>31</xdr:row>
      <xdr:rowOff>114300</xdr:rowOff>
    </xdr:from>
    <xdr:to>
      <xdr:col>13</xdr:col>
      <xdr:colOff>561975</xdr:colOff>
      <xdr:row>34</xdr:row>
      <xdr:rowOff>38100</xdr:rowOff>
    </xdr:to>
    <xdr:sp macro="" textlink="">
      <xdr:nvSpPr>
        <xdr:cNvPr id="6161" name="Text Box 17">
          <a:extLst>
            <a:ext uri="{FF2B5EF4-FFF2-40B4-BE49-F238E27FC236}">
              <a16:creationId xmlns:a16="http://schemas.microsoft.com/office/drawing/2014/main" id="{2732AA16-0713-4ED9-A810-8B251A854799}"/>
            </a:ext>
          </a:extLst>
        </xdr:cNvPr>
        <xdr:cNvSpPr txBox="1">
          <a:spLocks noChangeArrowheads="1"/>
        </xdr:cNvSpPr>
      </xdr:nvSpPr>
      <xdr:spPr bwMode="auto">
        <a:xfrm>
          <a:off x="8477250" y="5229225"/>
          <a:ext cx="266700" cy="4095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200" b="1" i="0" u="none" strike="noStrike" baseline="0">
              <a:solidFill>
                <a:srgbClr val="000000"/>
              </a:solidFill>
              <a:latin typeface="Arial"/>
              <a:cs typeface="Arial"/>
            </a:rPr>
            <a:t>θ</a:t>
          </a:r>
        </a:p>
      </xdr:txBody>
    </xdr:sp>
    <xdr:clientData/>
  </xdr:twoCellAnchor>
  <xdr:twoCellAnchor>
    <xdr:from>
      <xdr:col>13</xdr:col>
      <xdr:colOff>276225</xdr:colOff>
      <xdr:row>33</xdr:row>
      <xdr:rowOff>19050</xdr:rowOff>
    </xdr:from>
    <xdr:to>
      <xdr:col>13</xdr:col>
      <xdr:colOff>352425</xdr:colOff>
      <xdr:row>34</xdr:row>
      <xdr:rowOff>47625</xdr:rowOff>
    </xdr:to>
    <xdr:sp macro="" textlink="">
      <xdr:nvSpPr>
        <xdr:cNvPr id="6753" name="Line 18">
          <a:extLst>
            <a:ext uri="{FF2B5EF4-FFF2-40B4-BE49-F238E27FC236}">
              <a16:creationId xmlns:a16="http://schemas.microsoft.com/office/drawing/2014/main" id="{13CEB51D-58FD-4412-B437-40910C165280}"/>
            </a:ext>
          </a:extLst>
        </xdr:cNvPr>
        <xdr:cNvSpPr>
          <a:spLocks noChangeShapeType="1"/>
        </xdr:cNvSpPr>
      </xdr:nvSpPr>
      <xdr:spPr bwMode="auto">
        <a:xfrm flipH="1">
          <a:off x="8458200" y="5457825"/>
          <a:ext cx="7620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142875</xdr:colOff>
      <xdr:row>34</xdr:row>
      <xdr:rowOff>47625</xdr:rowOff>
    </xdr:from>
    <xdr:to>
      <xdr:col>13</xdr:col>
      <xdr:colOff>276225</xdr:colOff>
      <xdr:row>35</xdr:row>
      <xdr:rowOff>76200</xdr:rowOff>
    </xdr:to>
    <xdr:sp macro="" textlink="">
      <xdr:nvSpPr>
        <xdr:cNvPr id="6754" name="Line 19">
          <a:extLst>
            <a:ext uri="{FF2B5EF4-FFF2-40B4-BE49-F238E27FC236}">
              <a16:creationId xmlns:a16="http://schemas.microsoft.com/office/drawing/2014/main" id="{0AD7A51E-4F3A-4600-A935-86F2A11A83A0}"/>
            </a:ext>
          </a:extLst>
        </xdr:cNvPr>
        <xdr:cNvSpPr>
          <a:spLocks noChangeShapeType="1"/>
        </xdr:cNvSpPr>
      </xdr:nvSpPr>
      <xdr:spPr bwMode="auto">
        <a:xfrm flipH="1">
          <a:off x="8324850" y="5648325"/>
          <a:ext cx="13335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314325</xdr:colOff>
      <xdr:row>30</xdr:row>
      <xdr:rowOff>57150</xdr:rowOff>
    </xdr:from>
    <xdr:to>
      <xdr:col>13</xdr:col>
      <xdr:colOff>361950</xdr:colOff>
      <xdr:row>31</xdr:row>
      <xdr:rowOff>104775</xdr:rowOff>
    </xdr:to>
    <xdr:sp macro="" textlink="">
      <xdr:nvSpPr>
        <xdr:cNvPr id="6755" name="Line 20">
          <a:extLst>
            <a:ext uri="{FF2B5EF4-FFF2-40B4-BE49-F238E27FC236}">
              <a16:creationId xmlns:a16="http://schemas.microsoft.com/office/drawing/2014/main" id="{F09071A9-B1A9-47F7-B45F-3F366C13C381}"/>
            </a:ext>
          </a:extLst>
        </xdr:cNvPr>
        <xdr:cNvSpPr>
          <a:spLocks noChangeShapeType="1"/>
        </xdr:cNvSpPr>
      </xdr:nvSpPr>
      <xdr:spPr bwMode="auto">
        <a:xfrm flipH="1" flipV="1">
          <a:off x="8496300" y="5010150"/>
          <a:ext cx="47625" cy="2095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123825</xdr:colOff>
      <xdr:row>28</xdr:row>
      <xdr:rowOff>142875</xdr:rowOff>
    </xdr:from>
    <xdr:to>
      <xdr:col>13</xdr:col>
      <xdr:colOff>314325</xdr:colOff>
      <xdr:row>30</xdr:row>
      <xdr:rowOff>57150</xdr:rowOff>
    </xdr:to>
    <xdr:sp macro="" textlink="">
      <xdr:nvSpPr>
        <xdr:cNvPr id="6756" name="Line 21">
          <a:extLst>
            <a:ext uri="{FF2B5EF4-FFF2-40B4-BE49-F238E27FC236}">
              <a16:creationId xmlns:a16="http://schemas.microsoft.com/office/drawing/2014/main" id="{5FA89D88-ADC6-47C0-BF5B-8C9E1F16397B}"/>
            </a:ext>
          </a:extLst>
        </xdr:cNvPr>
        <xdr:cNvSpPr>
          <a:spLocks noChangeShapeType="1"/>
        </xdr:cNvSpPr>
      </xdr:nvSpPr>
      <xdr:spPr bwMode="auto">
        <a:xfrm flipH="1" flipV="1">
          <a:off x="8305800" y="4762500"/>
          <a:ext cx="190500" cy="2476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6757" name="Line 22">
          <a:extLst>
            <a:ext uri="{FF2B5EF4-FFF2-40B4-BE49-F238E27FC236}">
              <a16:creationId xmlns:a16="http://schemas.microsoft.com/office/drawing/2014/main" id="{92662853-A3D4-4A80-A7D3-A17C59CF03A2}"/>
            </a:ext>
          </a:extLst>
        </xdr:cNvPr>
        <xdr:cNvSpPr>
          <a:spLocks noChangeShapeType="1"/>
        </xdr:cNvSpPr>
      </xdr:nvSpPr>
      <xdr:spPr bwMode="auto">
        <a:xfrm flipH="1">
          <a:off x="2419350" y="1857375"/>
          <a:ext cx="14382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581025</xdr:colOff>
      <xdr:row>21</xdr:row>
      <xdr:rowOff>0</xdr:rowOff>
    </xdr:from>
    <xdr:to>
      <xdr:col>5</xdr:col>
      <xdr:colOff>600075</xdr:colOff>
      <xdr:row>21</xdr:row>
      <xdr:rowOff>0</xdr:rowOff>
    </xdr:to>
    <xdr:sp macro="" textlink="">
      <xdr:nvSpPr>
        <xdr:cNvPr id="6758" name="Line 23">
          <a:extLst>
            <a:ext uri="{FF2B5EF4-FFF2-40B4-BE49-F238E27FC236}">
              <a16:creationId xmlns:a16="http://schemas.microsoft.com/office/drawing/2014/main" id="{2930D6DA-AE6E-4241-8226-6012A818CC39}"/>
            </a:ext>
          </a:extLst>
        </xdr:cNvPr>
        <xdr:cNvSpPr>
          <a:spLocks noChangeShapeType="1"/>
        </xdr:cNvSpPr>
      </xdr:nvSpPr>
      <xdr:spPr bwMode="auto">
        <a:xfrm flipH="1">
          <a:off x="2409825" y="3476625"/>
          <a:ext cx="12382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19050</xdr:rowOff>
    </xdr:to>
    <xdr:sp macro="" textlink="">
      <xdr:nvSpPr>
        <xdr:cNvPr id="6759" name="Line 24">
          <a:extLst>
            <a:ext uri="{FF2B5EF4-FFF2-40B4-BE49-F238E27FC236}">
              <a16:creationId xmlns:a16="http://schemas.microsoft.com/office/drawing/2014/main" id="{4204D51A-4DC2-4B19-8D2A-FC283F4FB0AC}"/>
            </a:ext>
          </a:extLst>
        </xdr:cNvPr>
        <xdr:cNvSpPr>
          <a:spLocks noChangeShapeType="1"/>
        </xdr:cNvSpPr>
      </xdr:nvSpPr>
      <xdr:spPr bwMode="auto">
        <a:xfrm>
          <a:off x="3048000" y="1524000"/>
          <a:ext cx="0"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28575</xdr:rowOff>
    </xdr:to>
    <xdr:sp macro="" textlink="">
      <xdr:nvSpPr>
        <xdr:cNvPr id="6760" name="Line 25">
          <a:extLst>
            <a:ext uri="{FF2B5EF4-FFF2-40B4-BE49-F238E27FC236}">
              <a16:creationId xmlns:a16="http://schemas.microsoft.com/office/drawing/2014/main" id="{71031D8B-175C-4D30-A9AB-228E5151B716}"/>
            </a:ext>
          </a:extLst>
        </xdr:cNvPr>
        <xdr:cNvSpPr>
          <a:spLocks noChangeShapeType="1"/>
        </xdr:cNvSpPr>
      </xdr:nvSpPr>
      <xdr:spPr bwMode="auto">
        <a:xfrm>
          <a:off x="3048000" y="3152775"/>
          <a:ext cx="0" cy="6762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561975</xdr:colOff>
      <xdr:row>10</xdr:row>
      <xdr:rowOff>0</xdr:rowOff>
    </xdr:from>
    <xdr:ext cx="1223027" cy="279564"/>
    <xdr:sp macro="" textlink="">
      <xdr:nvSpPr>
        <xdr:cNvPr id="6170" name="Text Box 26">
          <a:extLst>
            <a:ext uri="{FF2B5EF4-FFF2-40B4-BE49-F238E27FC236}">
              <a16:creationId xmlns:a16="http://schemas.microsoft.com/office/drawing/2014/main" id="{11F09AC1-3EC7-4EE3-B9DC-8C1A35412A61}"/>
            </a:ext>
          </a:extLst>
        </xdr:cNvPr>
        <xdr:cNvSpPr txBox="1">
          <a:spLocks noChangeArrowheads="1"/>
        </xdr:cNvSpPr>
      </xdr:nvSpPr>
      <xdr:spPr bwMode="auto">
        <a:xfrm>
          <a:off x="1171575" y="1695450"/>
          <a:ext cx="1223027" cy="27956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000"/>
            </a:lnSpc>
            <a:defRPr sz="1000"/>
          </a:pPr>
          <a:r>
            <a:rPr lang="en-US" sz="1000" b="0" i="0" u="none" strike="noStrike" baseline="0">
              <a:solidFill>
                <a:srgbClr val="000000"/>
              </a:solidFill>
              <a:latin typeface="Arial"/>
              <a:cs typeface="Arial"/>
            </a:rPr>
            <a:t>Power when Aligned </a:t>
          </a:r>
        </a:p>
        <a:p>
          <a:pPr algn="l" rtl="0">
            <a:lnSpc>
              <a:spcPts val="1000"/>
            </a:lnSpc>
            <a:defRPr sz="1000"/>
          </a:pPr>
          <a:r>
            <a:rPr lang="en-US" sz="1000" b="0" i="0" u="none" strike="noStrike" baseline="0">
              <a:solidFill>
                <a:srgbClr val="000000"/>
              </a:solidFill>
              <a:latin typeface="Arial"/>
              <a:cs typeface="Arial"/>
            </a:rPr>
            <a:t>with Major Axis</a:t>
          </a:r>
        </a:p>
      </xdr:txBody>
    </xdr:sp>
    <xdr:clientData/>
  </xdr:oneCellAnchor>
  <xdr:oneCellAnchor>
    <xdr:from>
      <xdr:col>1</xdr:col>
      <xdr:colOff>533400</xdr:colOff>
      <xdr:row>20</xdr:row>
      <xdr:rowOff>0</xdr:rowOff>
    </xdr:from>
    <xdr:ext cx="1223027" cy="279564"/>
    <xdr:sp macro="" textlink="">
      <xdr:nvSpPr>
        <xdr:cNvPr id="6171" name="Text Box 27">
          <a:extLst>
            <a:ext uri="{FF2B5EF4-FFF2-40B4-BE49-F238E27FC236}">
              <a16:creationId xmlns:a16="http://schemas.microsoft.com/office/drawing/2014/main" id="{C845625A-FCC4-4158-AC0F-290CAA34D6B2}"/>
            </a:ext>
          </a:extLst>
        </xdr:cNvPr>
        <xdr:cNvSpPr txBox="1">
          <a:spLocks noChangeArrowheads="1"/>
        </xdr:cNvSpPr>
      </xdr:nvSpPr>
      <xdr:spPr bwMode="auto">
        <a:xfrm>
          <a:off x="1143000" y="3314700"/>
          <a:ext cx="1223027" cy="279564"/>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lnSpc>
              <a:spcPts val="1000"/>
            </a:lnSpc>
            <a:defRPr sz="1000"/>
          </a:pPr>
          <a:r>
            <a:rPr lang="en-US" sz="1000" b="0" i="0" u="none" strike="noStrike" baseline="0">
              <a:solidFill>
                <a:srgbClr val="000000"/>
              </a:solidFill>
              <a:latin typeface="Arial"/>
              <a:cs typeface="Arial"/>
            </a:rPr>
            <a:t>Power when Aligned </a:t>
          </a:r>
        </a:p>
        <a:p>
          <a:pPr algn="l" rtl="0">
            <a:lnSpc>
              <a:spcPts val="1000"/>
            </a:lnSpc>
            <a:defRPr sz="1000"/>
          </a:pPr>
          <a:r>
            <a:rPr lang="en-US" sz="1000" b="0" i="0" u="none" strike="noStrike" baseline="0">
              <a:solidFill>
                <a:srgbClr val="000000"/>
              </a:solidFill>
              <a:latin typeface="Arial"/>
              <a:cs typeface="Arial"/>
            </a:rPr>
            <a:t>with Major Axis</a:t>
          </a:r>
        </a:p>
      </xdr:txBody>
    </xdr:sp>
    <xdr:clientData/>
  </xdr:oneCellAnchor>
  <xdr:oneCellAnchor>
    <xdr:from>
      <xdr:col>3</xdr:col>
      <xdr:colOff>152400</xdr:colOff>
      <xdr:row>6</xdr:row>
      <xdr:rowOff>9525</xdr:rowOff>
    </xdr:from>
    <xdr:ext cx="2085186" cy="170560"/>
    <xdr:sp macro="" textlink="">
      <xdr:nvSpPr>
        <xdr:cNvPr id="6172" name="Text Box 28">
          <a:extLst>
            <a:ext uri="{FF2B5EF4-FFF2-40B4-BE49-F238E27FC236}">
              <a16:creationId xmlns:a16="http://schemas.microsoft.com/office/drawing/2014/main" id="{A74377B1-5E80-4EEF-B5EF-E7C0AFE1D01D}"/>
            </a:ext>
          </a:extLst>
        </xdr:cNvPr>
        <xdr:cNvSpPr txBox="1">
          <a:spLocks noChangeArrowheads="1"/>
        </xdr:cNvSpPr>
      </xdr:nvSpPr>
      <xdr:spPr bwMode="auto">
        <a:xfrm>
          <a:off x="1981200" y="1057275"/>
          <a:ext cx="2085186" cy="17056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0" i="0" u="none" strike="noStrike" baseline="0">
              <a:solidFill>
                <a:srgbClr val="000000"/>
              </a:solidFill>
              <a:latin typeface="Arial"/>
              <a:cs typeface="Arial"/>
            </a:rPr>
            <a:t>Power when Aligned with Minor Axis</a:t>
          </a:r>
        </a:p>
      </xdr:txBody>
    </xdr:sp>
    <xdr:clientData/>
  </xdr:oneCellAnchor>
  <xdr:twoCellAnchor>
    <xdr:from>
      <xdr:col>4</xdr:col>
      <xdr:colOff>0</xdr:colOff>
      <xdr:row>3</xdr:row>
      <xdr:rowOff>76200</xdr:rowOff>
    </xdr:from>
    <xdr:to>
      <xdr:col>10</xdr:col>
      <xdr:colOff>9525</xdr:colOff>
      <xdr:row>3</xdr:row>
      <xdr:rowOff>76200</xdr:rowOff>
    </xdr:to>
    <xdr:sp macro="" textlink="">
      <xdr:nvSpPr>
        <xdr:cNvPr id="6764" name="Line 29">
          <a:extLst>
            <a:ext uri="{FF2B5EF4-FFF2-40B4-BE49-F238E27FC236}">
              <a16:creationId xmlns:a16="http://schemas.microsoft.com/office/drawing/2014/main" id="{6190E190-5D5E-4DB7-BAB2-165F82273547}"/>
            </a:ext>
          </a:extLst>
        </xdr:cNvPr>
        <xdr:cNvSpPr>
          <a:spLocks noChangeShapeType="1"/>
        </xdr:cNvSpPr>
      </xdr:nvSpPr>
      <xdr:spPr bwMode="auto">
        <a:xfrm>
          <a:off x="2438400" y="638175"/>
          <a:ext cx="3924300" cy="0"/>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9525</xdr:rowOff>
    </xdr:from>
    <xdr:to>
      <xdr:col>3</xdr:col>
      <xdr:colOff>581025</xdr:colOff>
      <xdr:row>5</xdr:row>
      <xdr:rowOff>9525</xdr:rowOff>
    </xdr:to>
    <xdr:sp macro="" textlink="">
      <xdr:nvSpPr>
        <xdr:cNvPr id="6765" name="AutoShape 31">
          <a:extLst>
            <a:ext uri="{FF2B5EF4-FFF2-40B4-BE49-F238E27FC236}">
              <a16:creationId xmlns:a16="http://schemas.microsoft.com/office/drawing/2014/main" id="{410D7F08-E187-4310-88E7-049C3A995CC5}"/>
            </a:ext>
          </a:extLst>
        </xdr:cNvPr>
        <xdr:cNvSpPr>
          <a:spLocks/>
        </xdr:cNvSpPr>
      </xdr:nvSpPr>
      <xdr:spPr bwMode="auto">
        <a:xfrm>
          <a:off x="2305050" y="409575"/>
          <a:ext cx="104775" cy="485775"/>
        </a:xfrm>
        <a:prstGeom prst="leftBracket">
          <a:avLst>
            <a:gd name="adj" fmla="val 38636"/>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9</xdr:col>
      <xdr:colOff>647700</xdr:colOff>
      <xdr:row>2</xdr:row>
      <xdr:rowOff>0</xdr:rowOff>
    </xdr:from>
    <xdr:to>
      <xdr:col>10</xdr:col>
      <xdr:colOff>104775</xdr:colOff>
      <xdr:row>4</xdr:row>
      <xdr:rowOff>152400</xdr:rowOff>
    </xdr:to>
    <xdr:sp macro="" textlink="">
      <xdr:nvSpPr>
        <xdr:cNvPr id="6766" name="AutoShape 32">
          <a:extLst>
            <a:ext uri="{FF2B5EF4-FFF2-40B4-BE49-F238E27FC236}">
              <a16:creationId xmlns:a16="http://schemas.microsoft.com/office/drawing/2014/main" id="{5A8A60E8-AEAD-4C4E-9893-A12431336561}"/>
            </a:ext>
          </a:extLst>
        </xdr:cNvPr>
        <xdr:cNvSpPr>
          <a:spLocks/>
        </xdr:cNvSpPr>
      </xdr:nvSpPr>
      <xdr:spPr bwMode="auto">
        <a:xfrm>
          <a:off x="6343650" y="400050"/>
          <a:ext cx="114300" cy="476250"/>
        </a:xfrm>
        <a:prstGeom prst="rightBracket">
          <a:avLst>
            <a:gd name="adj" fmla="val 34722"/>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5</xdr:col>
      <xdr:colOff>0</xdr:colOff>
      <xdr:row>7</xdr:row>
      <xdr:rowOff>85725</xdr:rowOff>
    </xdr:from>
    <xdr:to>
      <xdr:col>5</xdr:col>
      <xdr:colOff>0</xdr:colOff>
      <xdr:row>8</xdr:row>
      <xdr:rowOff>76200</xdr:rowOff>
    </xdr:to>
    <xdr:sp macro="" textlink="">
      <xdr:nvSpPr>
        <xdr:cNvPr id="6767" name="Line 33">
          <a:extLst>
            <a:ext uri="{FF2B5EF4-FFF2-40B4-BE49-F238E27FC236}">
              <a16:creationId xmlns:a16="http://schemas.microsoft.com/office/drawing/2014/main" id="{9A1B3F19-46A0-4030-B0A2-601D644D83F5}"/>
            </a:ext>
          </a:extLst>
        </xdr:cNvPr>
        <xdr:cNvSpPr>
          <a:spLocks noChangeShapeType="1"/>
        </xdr:cNvSpPr>
      </xdr:nvSpPr>
      <xdr:spPr bwMode="auto">
        <a:xfrm>
          <a:off x="3048000" y="1295400"/>
          <a:ext cx="0" cy="15240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114300</xdr:rowOff>
    </xdr:from>
    <xdr:to>
      <xdr:col>5</xdr:col>
      <xdr:colOff>0</xdr:colOff>
      <xdr:row>18</xdr:row>
      <xdr:rowOff>47625</xdr:rowOff>
    </xdr:to>
    <xdr:sp macro="" textlink="">
      <xdr:nvSpPr>
        <xdr:cNvPr id="6768" name="Line 34">
          <a:extLst>
            <a:ext uri="{FF2B5EF4-FFF2-40B4-BE49-F238E27FC236}">
              <a16:creationId xmlns:a16="http://schemas.microsoft.com/office/drawing/2014/main" id="{C31312AE-37A5-467A-9C3D-53C6A0558CB3}"/>
            </a:ext>
          </a:extLst>
        </xdr:cNvPr>
        <xdr:cNvSpPr>
          <a:spLocks noChangeShapeType="1"/>
        </xdr:cNvSpPr>
      </xdr:nvSpPr>
      <xdr:spPr bwMode="auto">
        <a:xfrm>
          <a:off x="3048000" y="2295525"/>
          <a:ext cx="0" cy="742950"/>
        </a:xfrm>
        <a:prstGeom prst="line">
          <a:avLst/>
        </a:prstGeom>
        <a:noFill/>
        <a:ln w="9525">
          <a:solidFill>
            <a:srgbClr xmlns:mc="http://schemas.openxmlformats.org/markup-compatibility/2006" xmlns:a14="http://schemas.microsoft.com/office/drawing/2010/main" val="000000" mc:Ignorable="a14" a14:legacySpreadsheetColorIndex="64"/>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647700</xdr:colOff>
      <xdr:row>80</xdr:row>
      <xdr:rowOff>76200</xdr:rowOff>
    </xdr:from>
    <xdr:to>
      <xdr:col>11</xdr:col>
      <xdr:colOff>0</xdr:colOff>
      <xdr:row>80</xdr:row>
      <xdr:rowOff>76200</xdr:rowOff>
    </xdr:to>
    <xdr:sp macro="" textlink="">
      <xdr:nvSpPr>
        <xdr:cNvPr id="6769" name="Line 35">
          <a:extLst>
            <a:ext uri="{FF2B5EF4-FFF2-40B4-BE49-F238E27FC236}">
              <a16:creationId xmlns:a16="http://schemas.microsoft.com/office/drawing/2014/main" id="{77F182E8-7929-4205-AD70-905DD631160D}"/>
            </a:ext>
          </a:extLst>
        </xdr:cNvPr>
        <xdr:cNvSpPr>
          <a:spLocks noChangeShapeType="1"/>
        </xdr:cNvSpPr>
      </xdr:nvSpPr>
      <xdr:spPr bwMode="auto">
        <a:xfrm flipH="1">
          <a:off x="6343650" y="13544550"/>
          <a:ext cx="6191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123825</xdr:colOff>
      <xdr:row>32</xdr:row>
      <xdr:rowOff>76200</xdr:rowOff>
    </xdr:from>
    <xdr:to>
      <xdr:col>15</xdr:col>
      <xdr:colOff>0</xdr:colOff>
      <xdr:row>32</xdr:row>
      <xdr:rowOff>76200</xdr:rowOff>
    </xdr:to>
    <xdr:sp macro="" textlink="">
      <xdr:nvSpPr>
        <xdr:cNvPr id="6770" name="Line 36">
          <a:extLst>
            <a:ext uri="{FF2B5EF4-FFF2-40B4-BE49-F238E27FC236}">
              <a16:creationId xmlns:a16="http://schemas.microsoft.com/office/drawing/2014/main" id="{B8E8D70D-8A23-42B0-BEB1-2A549DF52F83}"/>
            </a:ext>
          </a:extLst>
        </xdr:cNvPr>
        <xdr:cNvSpPr>
          <a:spLocks noChangeShapeType="1"/>
        </xdr:cNvSpPr>
      </xdr:nvSpPr>
      <xdr:spPr bwMode="auto">
        <a:xfrm flipH="1">
          <a:off x="8915400" y="5353050"/>
          <a:ext cx="6286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9525</xdr:rowOff>
    </xdr:from>
    <xdr:to>
      <xdr:col>10</xdr:col>
      <xdr:colOff>295275</xdr:colOff>
      <xdr:row>97</xdr:row>
      <xdr:rowOff>133350</xdr:rowOff>
    </xdr:to>
    <xdr:sp macro="" textlink="">
      <xdr:nvSpPr>
        <xdr:cNvPr id="6771" name="AutoShape 37">
          <a:extLst>
            <a:ext uri="{FF2B5EF4-FFF2-40B4-BE49-F238E27FC236}">
              <a16:creationId xmlns:a16="http://schemas.microsoft.com/office/drawing/2014/main" id="{6301FD5B-F850-4DE3-9A65-DE7CD8440AAE}"/>
            </a:ext>
          </a:extLst>
        </xdr:cNvPr>
        <xdr:cNvSpPr>
          <a:spLocks/>
        </xdr:cNvSpPr>
      </xdr:nvSpPr>
      <xdr:spPr bwMode="auto">
        <a:xfrm>
          <a:off x="6410325" y="15906750"/>
          <a:ext cx="238125" cy="447675"/>
        </a:xfrm>
        <a:prstGeom prst="rightBrace">
          <a:avLst>
            <a:gd name="adj1" fmla="val 15667"/>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266700</xdr:colOff>
      <xdr:row>96</xdr:row>
      <xdr:rowOff>76200</xdr:rowOff>
    </xdr:from>
    <xdr:to>
      <xdr:col>10</xdr:col>
      <xdr:colOff>600075</xdr:colOff>
      <xdr:row>96</xdr:row>
      <xdr:rowOff>76200</xdr:rowOff>
    </xdr:to>
    <xdr:sp macro="" textlink="">
      <xdr:nvSpPr>
        <xdr:cNvPr id="6772" name="Line 38">
          <a:extLst>
            <a:ext uri="{FF2B5EF4-FFF2-40B4-BE49-F238E27FC236}">
              <a16:creationId xmlns:a16="http://schemas.microsoft.com/office/drawing/2014/main" id="{1AB0CBAD-A8B1-4DF8-9073-CCD02F37D224}"/>
            </a:ext>
          </a:extLst>
        </xdr:cNvPr>
        <xdr:cNvSpPr>
          <a:spLocks noChangeShapeType="1"/>
        </xdr:cNvSpPr>
      </xdr:nvSpPr>
      <xdr:spPr bwMode="auto">
        <a:xfrm flipH="1">
          <a:off x="6619875" y="16135350"/>
          <a:ext cx="33337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9525</xdr:rowOff>
    </xdr:from>
    <xdr:to>
      <xdr:col>10</xdr:col>
      <xdr:colOff>295275</xdr:colOff>
      <xdr:row>86</xdr:row>
      <xdr:rowOff>133350</xdr:rowOff>
    </xdr:to>
    <xdr:sp macro="" textlink="">
      <xdr:nvSpPr>
        <xdr:cNvPr id="6773" name="AutoShape 40">
          <a:extLst>
            <a:ext uri="{FF2B5EF4-FFF2-40B4-BE49-F238E27FC236}">
              <a16:creationId xmlns:a16="http://schemas.microsoft.com/office/drawing/2014/main" id="{20D5C4B3-D262-4813-9FEF-474879D3270B}"/>
            </a:ext>
          </a:extLst>
        </xdr:cNvPr>
        <xdr:cNvSpPr>
          <a:spLocks/>
        </xdr:cNvSpPr>
      </xdr:nvSpPr>
      <xdr:spPr bwMode="auto">
        <a:xfrm>
          <a:off x="6410325" y="14125575"/>
          <a:ext cx="238125" cy="447675"/>
        </a:xfrm>
        <a:prstGeom prst="rightBrace">
          <a:avLst>
            <a:gd name="adj1" fmla="val 15667"/>
            <a:gd name="adj2" fmla="val 50000"/>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xdr:from>
      <xdr:col>10</xdr:col>
      <xdr:colOff>314325</xdr:colOff>
      <xdr:row>85</xdr:row>
      <xdr:rowOff>66675</xdr:rowOff>
    </xdr:from>
    <xdr:to>
      <xdr:col>10</xdr:col>
      <xdr:colOff>600075</xdr:colOff>
      <xdr:row>85</xdr:row>
      <xdr:rowOff>66675</xdr:rowOff>
    </xdr:to>
    <xdr:sp macro="" textlink="">
      <xdr:nvSpPr>
        <xdr:cNvPr id="6774" name="Line 41">
          <a:extLst>
            <a:ext uri="{FF2B5EF4-FFF2-40B4-BE49-F238E27FC236}">
              <a16:creationId xmlns:a16="http://schemas.microsoft.com/office/drawing/2014/main" id="{AE5ACF2E-406A-45B8-8532-907E29E9CC71}"/>
            </a:ext>
          </a:extLst>
        </xdr:cNvPr>
        <xdr:cNvSpPr>
          <a:spLocks noChangeShapeType="1"/>
        </xdr:cNvSpPr>
      </xdr:nvSpPr>
      <xdr:spPr bwMode="auto">
        <a:xfrm flipH="1">
          <a:off x="6667500" y="14344650"/>
          <a:ext cx="28575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323850</xdr:colOff>
      <xdr:row>35</xdr:row>
      <xdr:rowOff>9525</xdr:rowOff>
    </xdr:from>
    <xdr:to>
      <xdr:col>3</xdr:col>
      <xdr:colOff>323850</xdr:colOff>
      <xdr:row>37</xdr:row>
      <xdr:rowOff>9525</xdr:rowOff>
    </xdr:to>
    <xdr:sp macro="" textlink="">
      <xdr:nvSpPr>
        <xdr:cNvPr id="15394" name="Line 1">
          <a:extLst>
            <a:ext uri="{FF2B5EF4-FFF2-40B4-BE49-F238E27FC236}">
              <a16:creationId xmlns:a16="http://schemas.microsoft.com/office/drawing/2014/main" id="{B7A2E70B-B467-46CB-A5D2-58DD66B36761}"/>
            </a:ext>
          </a:extLst>
        </xdr:cNvPr>
        <xdr:cNvSpPr>
          <a:spLocks noChangeShapeType="1"/>
        </xdr:cNvSpPr>
      </xdr:nvSpPr>
      <xdr:spPr bwMode="auto">
        <a:xfrm flipV="1">
          <a:off x="2200275" y="5753100"/>
          <a:ext cx="0" cy="32385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295275</xdr:colOff>
      <xdr:row>48</xdr:row>
      <xdr:rowOff>9525</xdr:rowOff>
    </xdr:from>
    <xdr:to>
      <xdr:col>3</xdr:col>
      <xdr:colOff>304800</xdr:colOff>
      <xdr:row>50</xdr:row>
      <xdr:rowOff>0</xdr:rowOff>
    </xdr:to>
    <xdr:sp macro="" textlink="">
      <xdr:nvSpPr>
        <xdr:cNvPr id="15395" name="Line 2">
          <a:extLst>
            <a:ext uri="{FF2B5EF4-FFF2-40B4-BE49-F238E27FC236}">
              <a16:creationId xmlns:a16="http://schemas.microsoft.com/office/drawing/2014/main" id="{A5D6EA18-55FF-4025-86C5-504A979BACFF}"/>
            </a:ext>
          </a:extLst>
        </xdr:cNvPr>
        <xdr:cNvSpPr>
          <a:spLocks noChangeShapeType="1"/>
        </xdr:cNvSpPr>
      </xdr:nvSpPr>
      <xdr:spPr bwMode="auto">
        <a:xfrm flipV="1">
          <a:off x="2171700" y="7858125"/>
          <a:ext cx="9525" cy="3143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790575</xdr:colOff>
      <xdr:row>1</xdr:row>
      <xdr:rowOff>57150</xdr:rowOff>
    </xdr:from>
    <xdr:to>
      <xdr:col>4</xdr:col>
      <xdr:colOff>1000125</xdr:colOff>
      <xdr:row>1</xdr:row>
      <xdr:rowOff>57150</xdr:rowOff>
    </xdr:to>
    <xdr:sp macro="" textlink="">
      <xdr:nvSpPr>
        <xdr:cNvPr id="5457" name="Line 1">
          <a:extLst>
            <a:ext uri="{FF2B5EF4-FFF2-40B4-BE49-F238E27FC236}">
              <a16:creationId xmlns:a16="http://schemas.microsoft.com/office/drawing/2014/main" id="{0552F816-DE33-4A7C-96CC-ECBB64A56C98}"/>
            </a:ext>
          </a:extLst>
        </xdr:cNvPr>
        <xdr:cNvSpPr>
          <a:spLocks noChangeShapeType="1"/>
        </xdr:cNvSpPr>
      </xdr:nvSpPr>
      <xdr:spPr bwMode="auto">
        <a:xfrm flipV="1">
          <a:off x="5867400" y="295275"/>
          <a:ext cx="209550"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1009650</xdr:colOff>
      <xdr:row>1</xdr:row>
      <xdr:rowOff>57150</xdr:rowOff>
    </xdr:from>
    <xdr:to>
      <xdr:col>4</xdr:col>
      <xdr:colOff>1009650</xdr:colOff>
      <xdr:row>1</xdr:row>
      <xdr:rowOff>161925</xdr:rowOff>
    </xdr:to>
    <xdr:sp macro="" textlink="">
      <xdr:nvSpPr>
        <xdr:cNvPr id="5458" name="Line 2">
          <a:extLst>
            <a:ext uri="{FF2B5EF4-FFF2-40B4-BE49-F238E27FC236}">
              <a16:creationId xmlns:a16="http://schemas.microsoft.com/office/drawing/2014/main" id="{38DB55AF-F143-448A-BE6E-B8638917683B}"/>
            </a:ext>
          </a:extLst>
        </xdr:cNvPr>
        <xdr:cNvSpPr>
          <a:spLocks noChangeShapeType="1"/>
        </xdr:cNvSpPr>
      </xdr:nvSpPr>
      <xdr:spPr bwMode="auto">
        <a:xfrm>
          <a:off x="6086475" y="295275"/>
          <a:ext cx="0" cy="10477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828675</xdr:colOff>
      <xdr:row>1</xdr:row>
      <xdr:rowOff>66675</xdr:rowOff>
    </xdr:from>
    <xdr:to>
      <xdr:col>5</xdr:col>
      <xdr:colOff>1019175</xdr:colOff>
      <xdr:row>1</xdr:row>
      <xdr:rowOff>66675</xdr:rowOff>
    </xdr:to>
    <xdr:sp macro="" textlink="">
      <xdr:nvSpPr>
        <xdr:cNvPr id="5459" name="Line 3">
          <a:extLst>
            <a:ext uri="{FF2B5EF4-FFF2-40B4-BE49-F238E27FC236}">
              <a16:creationId xmlns:a16="http://schemas.microsoft.com/office/drawing/2014/main" id="{3D52CB21-0E92-4FD2-B87F-6796BA47A6D9}"/>
            </a:ext>
          </a:extLst>
        </xdr:cNvPr>
        <xdr:cNvSpPr>
          <a:spLocks noChangeShapeType="1"/>
        </xdr:cNvSpPr>
      </xdr:nvSpPr>
      <xdr:spPr bwMode="auto">
        <a:xfrm>
          <a:off x="7286625" y="304800"/>
          <a:ext cx="190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1019175</xdr:colOff>
      <xdr:row>1</xdr:row>
      <xdr:rowOff>66675</xdr:rowOff>
    </xdr:from>
    <xdr:to>
      <xdr:col>5</xdr:col>
      <xdr:colOff>1019175</xdr:colOff>
      <xdr:row>1</xdr:row>
      <xdr:rowOff>161925</xdr:rowOff>
    </xdr:to>
    <xdr:sp macro="" textlink="">
      <xdr:nvSpPr>
        <xdr:cNvPr id="5460" name="Line 4">
          <a:extLst>
            <a:ext uri="{FF2B5EF4-FFF2-40B4-BE49-F238E27FC236}">
              <a16:creationId xmlns:a16="http://schemas.microsoft.com/office/drawing/2014/main" id="{F04BA6EA-2117-4C66-8367-F9DB6AA1F6CC}"/>
            </a:ext>
          </a:extLst>
        </xdr:cNvPr>
        <xdr:cNvSpPr>
          <a:spLocks noChangeShapeType="1"/>
        </xdr:cNvSpPr>
      </xdr:nvSpPr>
      <xdr:spPr bwMode="auto">
        <a:xfrm>
          <a:off x="7477125" y="304800"/>
          <a:ext cx="0" cy="95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457200</xdr:colOff>
      <xdr:row>1</xdr:row>
      <xdr:rowOff>66675</xdr:rowOff>
    </xdr:from>
    <xdr:to>
      <xdr:col>7</xdr:col>
      <xdr:colOff>276225</xdr:colOff>
      <xdr:row>1</xdr:row>
      <xdr:rowOff>66675</xdr:rowOff>
    </xdr:to>
    <xdr:sp macro="" textlink="">
      <xdr:nvSpPr>
        <xdr:cNvPr id="5461" name="Line 5">
          <a:extLst>
            <a:ext uri="{FF2B5EF4-FFF2-40B4-BE49-F238E27FC236}">
              <a16:creationId xmlns:a16="http://schemas.microsoft.com/office/drawing/2014/main" id="{65F96283-0CA9-4BB9-B328-2423F4AE6B6A}"/>
            </a:ext>
          </a:extLst>
        </xdr:cNvPr>
        <xdr:cNvSpPr>
          <a:spLocks noChangeShapeType="1"/>
        </xdr:cNvSpPr>
      </xdr:nvSpPr>
      <xdr:spPr bwMode="auto">
        <a:xfrm>
          <a:off x="8505825" y="304800"/>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276225</xdr:colOff>
      <xdr:row>1</xdr:row>
      <xdr:rowOff>66675</xdr:rowOff>
    </xdr:from>
    <xdr:to>
      <xdr:col>7</xdr:col>
      <xdr:colOff>285750</xdr:colOff>
      <xdr:row>2</xdr:row>
      <xdr:rowOff>0</xdr:rowOff>
    </xdr:to>
    <xdr:sp macro="" textlink="">
      <xdr:nvSpPr>
        <xdr:cNvPr id="5462" name="Line 6">
          <a:extLst>
            <a:ext uri="{FF2B5EF4-FFF2-40B4-BE49-F238E27FC236}">
              <a16:creationId xmlns:a16="http://schemas.microsoft.com/office/drawing/2014/main" id="{0F8F5FE2-A430-4406-8C06-87DB1EF1D8C8}"/>
            </a:ext>
          </a:extLst>
        </xdr:cNvPr>
        <xdr:cNvSpPr>
          <a:spLocks noChangeShapeType="1"/>
        </xdr:cNvSpPr>
      </xdr:nvSpPr>
      <xdr:spPr bwMode="auto">
        <a:xfrm>
          <a:off x="8934450" y="304800"/>
          <a:ext cx="9525" cy="104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790575</xdr:colOff>
      <xdr:row>28</xdr:row>
      <xdr:rowOff>57150</xdr:rowOff>
    </xdr:from>
    <xdr:to>
      <xdr:col>4</xdr:col>
      <xdr:colOff>1000125</xdr:colOff>
      <xdr:row>28</xdr:row>
      <xdr:rowOff>57150</xdr:rowOff>
    </xdr:to>
    <xdr:sp macro="" textlink="">
      <xdr:nvSpPr>
        <xdr:cNvPr id="5463" name="Line 7">
          <a:extLst>
            <a:ext uri="{FF2B5EF4-FFF2-40B4-BE49-F238E27FC236}">
              <a16:creationId xmlns:a16="http://schemas.microsoft.com/office/drawing/2014/main" id="{054E6F1D-799B-406D-9E29-50EEA4133CEA}"/>
            </a:ext>
          </a:extLst>
        </xdr:cNvPr>
        <xdr:cNvSpPr>
          <a:spLocks noChangeShapeType="1"/>
        </xdr:cNvSpPr>
      </xdr:nvSpPr>
      <xdr:spPr bwMode="auto">
        <a:xfrm flipV="1">
          <a:off x="5867400" y="5448300"/>
          <a:ext cx="209550"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1009650</xdr:colOff>
      <xdr:row>28</xdr:row>
      <xdr:rowOff>57150</xdr:rowOff>
    </xdr:from>
    <xdr:to>
      <xdr:col>4</xdr:col>
      <xdr:colOff>1009650</xdr:colOff>
      <xdr:row>28</xdr:row>
      <xdr:rowOff>161925</xdr:rowOff>
    </xdr:to>
    <xdr:sp macro="" textlink="">
      <xdr:nvSpPr>
        <xdr:cNvPr id="5464" name="Line 8">
          <a:extLst>
            <a:ext uri="{FF2B5EF4-FFF2-40B4-BE49-F238E27FC236}">
              <a16:creationId xmlns:a16="http://schemas.microsoft.com/office/drawing/2014/main" id="{80C64C3C-A473-47D2-8509-70944420A07B}"/>
            </a:ext>
          </a:extLst>
        </xdr:cNvPr>
        <xdr:cNvSpPr>
          <a:spLocks noChangeShapeType="1"/>
        </xdr:cNvSpPr>
      </xdr:nvSpPr>
      <xdr:spPr bwMode="auto">
        <a:xfrm>
          <a:off x="6086475" y="5448300"/>
          <a:ext cx="0" cy="10477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828675</xdr:colOff>
      <xdr:row>28</xdr:row>
      <xdr:rowOff>66675</xdr:rowOff>
    </xdr:from>
    <xdr:to>
      <xdr:col>5</xdr:col>
      <xdr:colOff>1019175</xdr:colOff>
      <xdr:row>28</xdr:row>
      <xdr:rowOff>66675</xdr:rowOff>
    </xdr:to>
    <xdr:sp macro="" textlink="">
      <xdr:nvSpPr>
        <xdr:cNvPr id="5465" name="Line 9">
          <a:extLst>
            <a:ext uri="{FF2B5EF4-FFF2-40B4-BE49-F238E27FC236}">
              <a16:creationId xmlns:a16="http://schemas.microsoft.com/office/drawing/2014/main" id="{13450C48-CBB0-47D3-B5BD-F7B11510EDF1}"/>
            </a:ext>
          </a:extLst>
        </xdr:cNvPr>
        <xdr:cNvSpPr>
          <a:spLocks noChangeShapeType="1"/>
        </xdr:cNvSpPr>
      </xdr:nvSpPr>
      <xdr:spPr bwMode="auto">
        <a:xfrm>
          <a:off x="7286625" y="5457825"/>
          <a:ext cx="1905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1019175</xdr:colOff>
      <xdr:row>28</xdr:row>
      <xdr:rowOff>66675</xdr:rowOff>
    </xdr:from>
    <xdr:to>
      <xdr:col>5</xdr:col>
      <xdr:colOff>1019175</xdr:colOff>
      <xdr:row>28</xdr:row>
      <xdr:rowOff>161925</xdr:rowOff>
    </xdr:to>
    <xdr:sp macro="" textlink="">
      <xdr:nvSpPr>
        <xdr:cNvPr id="5466" name="Line 10">
          <a:extLst>
            <a:ext uri="{FF2B5EF4-FFF2-40B4-BE49-F238E27FC236}">
              <a16:creationId xmlns:a16="http://schemas.microsoft.com/office/drawing/2014/main" id="{715CA043-784B-49CB-A3C1-742CA1543612}"/>
            </a:ext>
          </a:extLst>
        </xdr:cNvPr>
        <xdr:cNvSpPr>
          <a:spLocks noChangeShapeType="1"/>
        </xdr:cNvSpPr>
      </xdr:nvSpPr>
      <xdr:spPr bwMode="auto">
        <a:xfrm>
          <a:off x="7477125" y="5457825"/>
          <a:ext cx="0" cy="952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457200</xdr:colOff>
      <xdr:row>28</xdr:row>
      <xdr:rowOff>66675</xdr:rowOff>
    </xdr:from>
    <xdr:to>
      <xdr:col>7</xdr:col>
      <xdr:colOff>276225</xdr:colOff>
      <xdr:row>28</xdr:row>
      <xdr:rowOff>66675</xdr:rowOff>
    </xdr:to>
    <xdr:sp macro="" textlink="">
      <xdr:nvSpPr>
        <xdr:cNvPr id="5467" name="Line 11">
          <a:extLst>
            <a:ext uri="{FF2B5EF4-FFF2-40B4-BE49-F238E27FC236}">
              <a16:creationId xmlns:a16="http://schemas.microsoft.com/office/drawing/2014/main" id="{FCCA0DCD-9E03-4E13-BC0F-5E8B10990679}"/>
            </a:ext>
          </a:extLst>
        </xdr:cNvPr>
        <xdr:cNvSpPr>
          <a:spLocks noChangeShapeType="1"/>
        </xdr:cNvSpPr>
      </xdr:nvSpPr>
      <xdr:spPr bwMode="auto">
        <a:xfrm>
          <a:off x="8505825" y="5457825"/>
          <a:ext cx="428625"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276225</xdr:colOff>
      <xdr:row>28</xdr:row>
      <xdr:rowOff>66675</xdr:rowOff>
    </xdr:from>
    <xdr:to>
      <xdr:col>7</xdr:col>
      <xdr:colOff>285750</xdr:colOff>
      <xdr:row>29</xdr:row>
      <xdr:rowOff>0</xdr:rowOff>
    </xdr:to>
    <xdr:sp macro="" textlink="">
      <xdr:nvSpPr>
        <xdr:cNvPr id="5468" name="Line 12">
          <a:extLst>
            <a:ext uri="{FF2B5EF4-FFF2-40B4-BE49-F238E27FC236}">
              <a16:creationId xmlns:a16="http://schemas.microsoft.com/office/drawing/2014/main" id="{50B76BF2-6038-4B10-8748-07DE2B33C9E3}"/>
            </a:ext>
          </a:extLst>
        </xdr:cNvPr>
        <xdr:cNvSpPr>
          <a:spLocks noChangeShapeType="1"/>
        </xdr:cNvSpPr>
      </xdr:nvSpPr>
      <xdr:spPr bwMode="auto">
        <a:xfrm>
          <a:off x="8934450" y="5457825"/>
          <a:ext cx="9525" cy="104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51</xdr:row>
      <xdr:rowOff>85725</xdr:rowOff>
    </xdr:from>
    <xdr:to>
      <xdr:col>4</xdr:col>
      <xdr:colOff>657225</xdr:colOff>
      <xdr:row>51</xdr:row>
      <xdr:rowOff>85725</xdr:rowOff>
    </xdr:to>
    <xdr:sp macro="" textlink="">
      <xdr:nvSpPr>
        <xdr:cNvPr id="5469" name="Line 13">
          <a:extLst>
            <a:ext uri="{FF2B5EF4-FFF2-40B4-BE49-F238E27FC236}">
              <a16:creationId xmlns:a16="http://schemas.microsoft.com/office/drawing/2014/main" id="{FB4D7B41-E198-444E-9E69-070713B92263}"/>
            </a:ext>
          </a:extLst>
        </xdr:cNvPr>
        <xdr:cNvSpPr>
          <a:spLocks noChangeShapeType="1"/>
        </xdr:cNvSpPr>
      </xdr:nvSpPr>
      <xdr:spPr bwMode="auto">
        <a:xfrm>
          <a:off x="4933950" y="9934575"/>
          <a:ext cx="800100"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666750</xdr:colOff>
      <xdr:row>51</xdr:row>
      <xdr:rowOff>85725</xdr:rowOff>
    </xdr:from>
    <xdr:to>
      <xdr:col>4</xdr:col>
      <xdr:colOff>666750</xdr:colOff>
      <xdr:row>52</xdr:row>
      <xdr:rowOff>9525</xdr:rowOff>
    </xdr:to>
    <xdr:sp macro="" textlink="">
      <xdr:nvSpPr>
        <xdr:cNvPr id="5470" name="Line 14">
          <a:extLst>
            <a:ext uri="{FF2B5EF4-FFF2-40B4-BE49-F238E27FC236}">
              <a16:creationId xmlns:a16="http://schemas.microsoft.com/office/drawing/2014/main" id="{BF9F5B39-E08A-424B-9865-BDD7694C5C48}"/>
            </a:ext>
          </a:extLst>
        </xdr:cNvPr>
        <xdr:cNvSpPr>
          <a:spLocks noChangeShapeType="1"/>
        </xdr:cNvSpPr>
      </xdr:nvSpPr>
      <xdr:spPr bwMode="auto">
        <a:xfrm>
          <a:off x="5743575" y="9934575"/>
          <a:ext cx="0" cy="9525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2333625</xdr:colOff>
      <xdr:row>23</xdr:row>
      <xdr:rowOff>85725</xdr:rowOff>
    </xdr:from>
    <xdr:to>
      <xdr:col>4</xdr:col>
      <xdr:colOff>657225</xdr:colOff>
      <xdr:row>23</xdr:row>
      <xdr:rowOff>85725</xdr:rowOff>
    </xdr:to>
    <xdr:sp macro="" textlink="">
      <xdr:nvSpPr>
        <xdr:cNvPr id="5471" name="Line 15">
          <a:extLst>
            <a:ext uri="{FF2B5EF4-FFF2-40B4-BE49-F238E27FC236}">
              <a16:creationId xmlns:a16="http://schemas.microsoft.com/office/drawing/2014/main" id="{87189D9D-C1F9-4D4D-B83A-4D42BD3B0BF7}"/>
            </a:ext>
          </a:extLst>
        </xdr:cNvPr>
        <xdr:cNvSpPr>
          <a:spLocks noChangeShapeType="1"/>
        </xdr:cNvSpPr>
      </xdr:nvSpPr>
      <xdr:spPr bwMode="auto">
        <a:xfrm>
          <a:off x="4933950" y="4591050"/>
          <a:ext cx="800100" cy="0"/>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666750</xdr:colOff>
      <xdr:row>23</xdr:row>
      <xdr:rowOff>85725</xdr:rowOff>
    </xdr:from>
    <xdr:to>
      <xdr:col>4</xdr:col>
      <xdr:colOff>666750</xdr:colOff>
      <xdr:row>24</xdr:row>
      <xdr:rowOff>0</xdr:rowOff>
    </xdr:to>
    <xdr:sp macro="" textlink="">
      <xdr:nvSpPr>
        <xdr:cNvPr id="5472" name="Line 16">
          <a:extLst>
            <a:ext uri="{FF2B5EF4-FFF2-40B4-BE49-F238E27FC236}">
              <a16:creationId xmlns:a16="http://schemas.microsoft.com/office/drawing/2014/main" id="{E7E9A65F-769F-4EBE-A5E8-75DD310935FE}"/>
            </a:ext>
          </a:extLst>
        </xdr:cNvPr>
        <xdr:cNvSpPr>
          <a:spLocks noChangeShapeType="1"/>
        </xdr:cNvSpPr>
      </xdr:nvSpPr>
      <xdr:spPr bwMode="auto">
        <a:xfrm>
          <a:off x="5743575" y="4591050"/>
          <a:ext cx="0" cy="85725"/>
        </a:xfrm>
        <a:prstGeom prst="line">
          <a:avLst/>
        </a:prstGeom>
        <a:noFill/>
        <a:ln w="9525">
          <a:solidFill>
            <a:srgbClr xmlns:mc="http://schemas.openxmlformats.org/markup-compatibility/2006" xmlns:a14="http://schemas.microsoft.com/office/drawing/2010/main" val="FF0000" mc:Ignorable="a14" a14:legacySpreadsheetColorIndex="1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1085850</xdr:colOff>
      <xdr:row>25</xdr:row>
      <xdr:rowOff>161925</xdr:rowOff>
    </xdr:from>
    <xdr:to>
      <xdr:col>2</xdr:col>
      <xdr:colOff>1085850</xdr:colOff>
      <xdr:row>27</xdr:row>
      <xdr:rowOff>0</xdr:rowOff>
    </xdr:to>
    <xdr:sp macro="" textlink="">
      <xdr:nvSpPr>
        <xdr:cNvPr id="5473" name="Line 17">
          <a:extLst>
            <a:ext uri="{FF2B5EF4-FFF2-40B4-BE49-F238E27FC236}">
              <a16:creationId xmlns:a16="http://schemas.microsoft.com/office/drawing/2014/main" id="{D40CAD79-FE91-484E-9F30-B3334105997A}"/>
            </a:ext>
          </a:extLst>
        </xdr:cNvPr>
        <xdr:cNvSpPr>
          <a:spLocks noChangeShapeType="1"/>
        </xdr:cNvSpPr>
      </xdr:nvSpPr>
      <xdr:spPr bwMode="auto">
        <a:xfrm flipV="1">
          <a:off x="2305050" y="5048250"/>
          <a:ext cx="0" cy="1809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1143000</xdr:colOff>
      <xdr:row>25</xdr:row>
      <xdr:rowOff>161925</xdr:rowOff>
    </xdr:from>
    <xdr:to>
      <xdr:col>4</xdr:col>
      <xdr:colOff>1143000</xdr:colOff>
      <xdr:row>27</xdr:row>
      <xdr:rowOff>0</xdr:rowOff>
    </xdr:to>
    <xdr:sp macro="" textlink="">
      <xdr:nvSpPr>
        <xdr:cNvPr id="5474" name="Line 18">
          <a:extLst>
            <a:ext uri="{FF2B5EF4-FFF2-40B4-BE49-F238E27FC236}">
              <a16:creationId xmlns:a16="http://schemas.microsoft.com/office/drawing/2014/main" id="{A2CA2B2A-A2DC-4F3A-9757-EDDD87F3A8AB}"/>
            </a:ext>
          </a:extLst>
        </xdr:cNvPr>
        <xdr:cNvSpPr>
          <a:spLocks noChangeShapeType="1"/>
        </xdr:cNvSpPr>
      </xdr:nvSpPr>
      <xdr:spPr bwMode="auto">
        <a:xfrm>
          <a:off x="6219825" y="5048250"/>
          <a:ext cx="0" cy="180975"/>
        </a:xfrm>
        <a:prstGeom prst="line">
          <a:avLst/>
        </a:prstGeom>
        <a:noFill/>
        <a:ln w="19050">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55</xdr:row>
      <xdr:rowOff>142875</xdr:rowOff>
    </xdr:from>
    <xdr:to>
      <xdr:col>5</xdr:col>
      <xdr:colOff>1276350</xdr:colOff>
      <xdr:row>89</xdr:row>
      <xdr:rowOff>104775</xdr:rowOff>
    </xdr:to>
    <xdr:pic>
      <xdr:nvPicPr>
        <xdr:cNvPr id="5475" name="Picture 24" descr="SAVE0051">
          <a:extLst>
            <a:ext uri="{FF2B5EF4-FFF2-40B4-BE49-F238E27FC236}">
              <a16:creationId xmlns:a16="http://schemas.microsoft.com/office/drawing/2014/main" id="{03E9875E-3D65-4801-A865-60790B07435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6575"/>
          <a:ext cx="7734300" cy="5467350"/>
        </a:xfrm>
        <a:prstGeom prst="rect">
          <a:avLst/>
        </a:prstGeom>
        <a:noFill/>
        <a:ln w="3175">
          <a:solidFill>
            <a:srgbClr xmlns:mc="http://schemas.openxmlformats.org/markup-compatibility/2006" xmlns:a14="http://schemas.microsoft.com/office/drawing/2010/main" val="FFFFFF" mc:Ignorable="a14" a14:legacySpreadsheetColorIndex="9"/>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66675</xdr:colOff>
      <xdr:row>58</xdr:row>
      <xdr:rowOff>66675</xdr:rowOff>
    </xdr:from>
    <xdr:to>
      <xdr:col>5</xdr:col>
      <xdr:colOff>676275</xdr:colOff>
      <xdr:row>87</xdr:row>
      <xdr:rowOff>66675</xdr:rowOff>
    </xdr:to>
    <xdr:sp macro="" textlink="">
      <xdr:nvSpPr>
        <xdr:cNvPr id="5476" name="Rectangle 25">
          <a:extLst>
            <a:ext uri="{FF2B5EF4-FFF2-40B4-BE49-F238E27FC236}">
              <a16:creationId xmlns:a16="http://schemas.microsoft.com/office/drawing/2014/main" id="{F98EFB5F-629A-44D3-A650-D94FF4203006}"/>
            </a:ext>
          </a:extLst>
        </xdr:cNvPr>
        <xdr:cNvSpPr>
          <a:spLocks noChangeArrowheads="1"/>
        </xdr:cNvSpPr>
      </xdr:nvSpPr>
      <xdr:spPr bwMode="auto">
        <a:xfrm>
          <a:off x="1285875" y="11106150"/>
          <a:ext cx="5848350" cy="4695825"/>
        </a:xfrm>
        <a:prstGeom prst="rect">
          <a:avLst/>
        </a:prstGeom>
        <a:noFill/>
        <a:ln w="38100">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Lst>
      </xdr:spPr>
    </xdr:sp>
    <xdr:clientData/>
  </xdr:twoCellAnchor>
  <xdr:twoCellAnchor editAs="oneCell">
    <xdr:from>
      <xdr:col>3</xdr:col>
      <xdr:colOff>1600200</xdr:colOff>
      <xdr:row>91</xdr:row>
      <xdr:rowOff>0</xdr:rowOff>
    </xdr:from>
    <xdr:to>
      <xdr:col>3</xdr:col>
      <xdr:colOff>1676400</xdr:colOff>
      <xdr:row>92</xdr:row>
      <xdr:rowOff>38100</xdr:rowOff>
    </xdr:to>
    <xdr:sp macro="" textlink="">
      <xdr:nvSpPr>
        <xdr:cNvPr id="5477" name="Text Box 26">
          <a:extLst>
            <a:ext uri="{FF2B5EF4-FFF2-40B4-BE49-F238E27FC236}">
              <a16:creationId xmlns:a16="http://schemas.microsoft.com/office/drawing/2014/main" id="{096C0FF8-67C5-43EB-80C3-54AAF6EA9E52}"/>
            </a:ext>
          </a:extLst>
        </xdr:cNvPr>
        <xdr:cNvSpPr txBox="1">
          <a:spLocks noChangeArrowheads="1"/>
        </xdr:cNvSpPr>
      </xdr:nvSpPr>
      <xdr:spPr bwMode="auto">
        <a:xfrm>
          <a:off x="4200525" y="16383000"/>
          <a:ext cx="76200" cy="2000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oneCellAnchor>
    <xdr:from>
      <xdr:col>3</xdr:col>
      <xdr:colOff>1181100</xdr:colOff>
      <xdr:row>88</xdr:row>
      <xdr:rowOff>95250</xdr:rowOff>
    </xdr:from>
    <xdr:ext cx="752475" cy="257175"/>
    <xdr:sp macro="" textlink="">
      <xdr:nvSpPr>
        <xdr:cNvPr id="5147" name="Text Box 27">
          <a:extLst>
            <a:ext uri="{FF2B5EF4-FFF2-40B4-BE49-F238E27FC236}">
              <a16:creationId xmlns:a16="http://schemas.microsoft.com/office/drawing/2014/main" id="{C288C913-D9DA-45C8-A060-4194517EE712}"/>
            </a:ext>
          </a:extLst>
        </xdr:cNvPr>
        <xdr:cNvSpPr txBox="1">
          <a:spLocks noChangeArrowheads="1"/>
        </xdr:cNvSpPr>
      </xdr:nvSpPr>
      <xdr:spPr bwMode="auto">
        <a:xfrm>
          <a:off x="3781425" y="15992475"/>
          <a:ext cx="819150" cy="2667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27432" tIns="27432" rIns="0" bIns="0" anchor="t" upright="1">
          <a:spAutoFit/>
        </a:bodyPr>
        <a:lstStyle/>
        <a:p>
          <a:pPr algn="l" rtl="0">
            <a:defRPr sz="1000"/>
          </a:pPr>
          <a:r>
            <a:rPr lang="en-US" sz="1400" b="1" i="0" u="none" strike="noStrike" baseline="0">
              <a:solidFill>
                <a:srgbClr val="000000"/>
              </a:solidFill>
              <a:latin typeface="Arial"/>
              <a:cs typeface="Arial"/>
            </a:rPr>
            <a:t>Figure 1</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9.xml"/><Relationship Id="rId1" Type="http://schemas.openxmlformats.org/officeDocument/2006/relationships/printerSettings" Target="../printerSettings/printerSettings10.bin"/><Relationship Id="rId4"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0.xml"/><Relationship Id="rId1" Type="http://schemas.openxmlformats.org/officeDocument/2006/relationships/printerSettings" Target="../printerSettings/printerSettings11.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1.xml"/><Relationship Id="rId1" Type="http://schemas.openxmlformats.org/officeDocument/2006/relationships/printerSettings" Target="../printerSettings/printerSettings12.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12.xml"/><Relationship Id="rId1" Type="http://schemas.openxmlformats.org/officeDocument/2006/relationships/printerSettings" Target="../printerSettings/printerSettings13.bin"/><Relationship Id="rId4"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3.xml"/><Relationship Id="rId1" Type="http://schemas.openxmlformats.org/officeDocument/2006/relationships/printerSettings" Target="../printerSettings/printerSettings14.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15.vml"/><Relationship Id="rId2" Type="http://schemas.openxmlformats.org/officeDocument/2006/relationships/drawing" Target="../drawings/drawing14.xml"/><Relationship Id="rId1" Type="http://schemas.openxmlformats.org/officeDocument/2006/relationships/printerSettings" Target="../printerSettings/printerSettings15.bin"/><Relationship Id="rId4"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8" Type="http://schemas.openxmlformats.org/officeDocument/2006/relationships/vmlDrawing" Target="../drawings/vmlDrawing16.vml"/><Relationship Id="rId3" Type="http://schemas.openxmlformats.org/officeDocument/2006/relationships/hyperlink" Target="http://www.radio-ware.com/products/techinfo/coax.loss.htm" TargetMode="External"/><Relationship Id="rId7" Type="http://schemas.openxmlformats.org/officeDocument/2006/relationships/printerSettings" Target="../printerSettings/printerSettings16.bin"/><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 Id="rId9" Type="http://schemas.openxmlformats.org/officeDocument/2006/relationships/comments" Target="../comments16.xml"/></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17.vml"/><Relationship Id="rId2" Type="http://schemas.openxmlformats.org/officeDocument/2006/relationships/drawing" Target="../drawings/drawing16.xml"/><Relationship Id="rId1" Type="http://schemas.openxmlformats.org/officeDocument/2006/relationships/printerSettings" Target="../printerSettings/printerSettings17.bin"/><Relationship Id="rId4" Type="http://schemas.openxmlformats.org/officeDocument/2006/relationships/comments" Target="../comments17.x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4"/>
  <sheetViews>
    <sheetView topLeftCell="A18" zoomScale="75" workbookViewId="0">
      <selection activeCell="F26" sqref="F26"/>
    </sheetView>
  </sheetViews>
  <sheetFormatPr defaultRowHeight="12.75" x14ac:dyDescent="0.2"/>
  <cols>
    <col min="1" max="1" width="10.7109375" customWidth="1"/>
    <col min="2" max="3" width="11.28515625" customWidth="1"/>
    <col min="4" max="5" width="12.7109375" customWidth="1"/>
    <col min="6" max="6" width="76.140625" bestFit="1" customWidth="1"/>
    <col min="7" max="7" width="14.28515625" customWidth="1"/>
  </cols>
  <sheetData>
    <row r="1" spans="1:7" ht="27" thickBot="1" x14ac:dyDescent="0.45">
      <c r="A1" s="683"/>
      <c r="B1" s="682"/>
      <c r="C1" s="683"/>
      <c r="D1" s="684"/>
      <c r="E1" s="682"/>
      <c r="F1" s="663" t="s">
        <v>858</v>
      </c>
      <c r="G1" s="664"/>
    </row>
    <row r="2" spans="1:7" ht="26.25" x14ac:dyDescent="0.4">
      <c r="A2" s="57"/>
      <c r="B2" s="62" t="s">
        <v>145</v>
      </c>
      <c r="C2" s="58"/>
      <c r="D2" s="58"/>
      <c r="E2" s="58"/>
      <c r="F2" s="60" t="s">
        <v>941</v>
      </c>
      <c r="G2" s="59"/>
    </row>
    <row r="3" spans="1:7" ht="26.25" x14ac:dyDescent="0.4">
      <c r="A3" s="57"/>
      <c r="B3" s="62" t="s">
        <v>151</v>
      </c>
      <c r="C3" s="58"/>
      <c r="D3" s="58"/>
      <c r="E3" s="58"/>
      <c r="F3" s="60" t="s">
        <v>942</v>
      </c>
      <c r="G3" s="59"/>
    </row>
    <row r="4" spans="1:7" x14ac:dyDescent="0.2">
      <c r="A4" s="1" t="s">
        <v>163</v>
      </c>
      <c r="B4" s="2"/>
      <c r="C4" s="2"/>
      <c r="D4" s="2"/>
      <c r="E4" s="2"/>
      <c r="F4" s="2"/>
      <c r="G4" s="2"/>
    </row>
    <row r="5" spans="1:7" x14ac:dyDescent="0.2">
      <c r="A5" s="3"/>
      <c r="B5" s="3"/>
      <c r="C5" s="3"/>
      <c r="D5" s="3"/>
      <c r="E5" s="3"/>
      <c r="F5" s="3"/>
      <c r="G5" s="665"/>
    </row>
    <row r="6" spans="1:7" ht="13.5" thickBot="1" x14ac:dyDescent="0.25">
      <c r="A6" s="3"/>
      <c r="B6" s="661" t="s">
        <v>852</v>
      </c>
      <c r="C6" s="3"/>
      <c r="D6" s="3"/>
      <c r="E6" s="3"/>
      <c r="F6" s="3" t="s">
        <v>33</v>
      </c>
      <c r="G6" s="3"/>
    </row>
    <row r="7" spans="1:7" ht="16.5" thickBot="1" x14ac:dyDescent="0.3">
      <c r="A7" s="3"/>
      <c r="B7" s="3"/>
      <c r="C7" s="3"/>
      <c r="D7" s="4" t="s">
        <v>146</v>
      </c>
      <c r="E7" s="3"/>
      <c r="F7" s="5" t="s">
        <v>943</v>
      </c>
      <c r="G7" s="3"/>
    </row>
    <row r="8" spans="1:7" ht="15.75" x14ac:dyDescent="0.25">
      <c r="A8" s="3"/>
      <c r="B8" s="3"/>
      <c r="C8" s="3"/>
      <c r="D8" s="3"/>
      <c r="E8" s="3"/>
      <c r="F8" s="6"/>
      <c r="G8" s="3"/>
    </row>
    <row r="9" spans="1:7" ht="13.5" thickBot="1" x14ac:dyDescent="0.25">
      <c r="A9" s="3"/>
      <c r="B9" s="376" t="s">
        <v>853</v>
      </c>
      <c r="C9" s="3"/>
      <c r="D9" s="3"/>
      <c r="E9" s="3"/>
      <c r="F9" s="15" t="s">
        <v>190</v>
      </c>
      <c r="G9" s="3"/>
    </row>
    <row r="10" spans="1:7" ht="16.5" thickBot="1" x14ac:dyDescent="0.3">
      <c r="A10" s="3"/>
      <c r="B10" s="3"/>
      <c r="C10" s="3"/>
      <c r="D10" s="4" t="s">
        <v>192</v>
      </c>
      <c r="E10" s="3"/>
      <c r="F10" s="5" t="s">
        <v>943</v>
      </c>
      <c r="G10" s="3"/>
    </row>
    <row r="11" spans="1:7" ht="15.75" x14ac:dyDescent="0.25">
      <c r="A11" s="3"/>
      <c r="B11" s="3"/>
      <c r="C11" s="3"/>
      <c r="D11" s="3"/>
      <c r="E11" s="3"/>
      <c r="F11" s="6"/>
      <c r="G11" s="3"/>
    </row>
    <row r="12" spans="1:7" ht="13.5" thickBot="1" x14ac:dyDescent="0.25">
      <c r="A12" s="3"/>
      <c r="B12" s="3"/>
      <c r="C12" s="3"/>
      <c r="D12" s="3"/>
      <c r="E12" s="3"/>
      <c r="F12" s="15" t="s">
        <v>34</v>
      </c>
      <c r="G12" s="3"/>
    </row>
    <row r="13" spans="1:7" ht="16.5" thickBot="1" x14ac:dyDescent="0.3">
      <c r="A13" s="3"/>
      <c r="B13" s="3"/>
      <c r="C13" s="3"/>
      <c r="D13" s="4" t="s">
        <v>147</v>
      </c>
      <c r="E13" s="3"/>
      <c r="F13" s="5" t="s">
        <v>943</v>
      </c>
      <c r="G13" s="3"/>
    </row>
    <row r="14" spans="1:7" ht="16.5" thickBot="1" x14ac:dyDescent="0.3">
      <c r="A14" s="3"/>
      <c r="B14" s="3"/>
      <c r="C14" s="3"/>
      <c r="D14" s="3"/>
      <c r="E14" s="3"/>
      <c r="F14" s="6"/>
      <c r="G14" s="3"/>
    </row>
    <row r="15" spans="1:7" ht="16.5" thickBot="1" x14ac:dyDescent="0.3">
      <c r="A15" s="3"/>
      <c r="B15" s="376" t="s">
        <v>854</v>
      </c>
      <c r="C15" s="3"/>
      <c r="D15" s="4" t="s">
        <v>35</v>
      </c>
      <c r="E15" s="3"/>
      <c r="F15" s="5" t="s">
        <v>944</v>
      </c>
      <c r="G15" s="3"/>
    </row>
    <row r="16" spans="1:7" ht="15.75" x14ac:dyDescent="0.25">
      <c r="A16" s="3"/>
      <c r="B16" s="3"/>
      <c r="C16" s="3"/>
      <c r="D16" s="3"/>
      <c r="E16" s="3"/>
      <c r="F16" s="6"/>
      <c r="G16" s="3"/>
    </row>
    <row r="17" spans="1:7" ht="16.5" thickBot="1" x14ac:dyDescent="0.3">
      <c r="A17" s="3"/>
      <c r="B17" s="3"/>
      <c r="C17" s="3"/>
      <c r="D17" s="3"/>
      <c r="E17" s="3"/>
      <c r="F17" s="6"/>
      <c r="G17" s="3"/>
    </row>
    <row r="18" spans="1:7" x14ac:dyDescent="0.2">
      <c r="A18" s="3"/>
      <c r="B18" s="662" t="s">
        <v>855</v>
      </c>
      <c r="C18" s="3"/>
      <c r="D18" s="4" t="s">
        <v>149</v>
      </c>
      <c r="E18" s="3"/>
      <c r="F18" s="7" t="s">
        <v>945</v>
      </c>
      <c r="G18" s="3"/>
    </row>
    <row r="19" spans="1:7" ht="16.5" thickBot="1" x14ac:dyDescent="0.3">
      <c r="A19" s="3"/>
      <c r="B19" s="3"/>
      <c r="C19" s="3"/>
      <c r="D19" s="4" t="s">
        <v>148</v>
      </c>
      <c r="E19" s="3"/>
      <c r="F19" s="8" t="s">
        <v>152</v>
      </c>
      <c r="G19" s="3"/>
    </row>
    <row r="20" spans="1:7" ht="15.75" x14ac:dyDescent="0.25">
      <c r="A20" s="3"/>
      <c r="B20" s="3"/>
      <c r="C20" s="3"/>
      <c r="D20" s="3"/>
      <c r="E20" s="3"/>
      <c r="F20" s="9"/>
      <c r="G20" s="3"/>
    </row>
    <row r="21" spans="1:7" ht="16.5" thickBot="1" x14ac:dyDescent="0.3">
      <c r="A21" s="3"/>
      <c r="B21" s="3"/>
      <c r="C21" s="3"/>
      <c r="D21" s="3"/>
      <c r="E21" s="3"/>
      <c r="F21" s="6"/>
      <c r="G21" s="3"/>
    </row>
    <row r="22" spans="1:7" ht="16.5" thickBot="1" x14ac:dyDescent="0.3">
      <c r="A22" s="3"/>
      <c r="B22" s="376" t="s">
        <v>856</v>
      </c>
      <c r="C22" s="3"/>
      <c r="D22" s="4" t="s">
        <v>917</v>
      </c>
      <c r="E22" s="3"/>
      <c r="F22" s="5" t="s">
        <v>946</v>
      </c>
      <c r="G22" s="3"/>
    </row>
    <row r="23" spans="1:7" ht="15.75" x14ac:dyDescent="0.25">
      <c r="A23" s="3"/>
      <c r="B23" s="3"/>
      <c r="C23" s="3"/>
      <c r="D23" s="3"/>
      <c r="E23" s="3"/>
      <c r="F23" s="6"/>
      <c r="G23" s="3"/>
    </row>
    <row r="24" spans="1:7" ht="16.5" thickBot="1" x14ac:dyDescent="0.3">
      <c r="A24" s="3"/>
      <c r="B24" s="3"/>
      <c r="C24" s="3"/>
      <c r="D24" s="3"/>
      <c r="E24" s="3"/>
      <c r="F24" s="6"/>
      <c r="G24" s="3"/>
    </row>
    <row r="25" spans="1:7" ht="16.5" thickBot="1" x14ac:dyDescent="0.3">
      <c r="A25" s="3"/>
      <c r="B25" s="3"/>
      <c r="C25" s="3"/>
      <c r="D25" s="4" t="s">
        <v>36</v>
      </c>
      <c r="E25" s="3"/>
      <c r="F25" s="5" t="s">
        <v>947</v>
      </c>
      <c r="G25" s="3"/>
    </row>
    <row r="26" spans="1:7" x14ac:dyDescent="0.2">
      <c r="A26" s="3"/>
      <c r="B26" s="3"/>
      <c r="C26" s="3"/>
      <c r="D26" s="3"/>
      <c r="E26" s="3"/>
      <c r="F26" s="10"/>
      <c r="G26" s="3"/>
    </row>
    <row r="27" spans="1:7" ht="13.5" thickBot="1" x14ac:dyDescent="0.25">
      <c r="A27" s="3"/>
      <c r="B27" s="376" t="s">
        <v>857</v>
      </c>
      <c r="C27" s="3"/>
      <c r="D27" s="3"/>
      <c r="E27" s="3"/>
      <c r="F27" s="10"/>
      <c r="G27" s="3"/>
    </row>
    <row r="28" spans="1:7" ht="16.5" thickBot="1" x14ac:dyDescent="0.3">
      <c r="A28" s="3"/>
      <c r="B28" s="3"/>
      <c r="C28" s="3"/>
      <c r="D28" s="4" t="s">
        <v>157</v>
      </c>
      <c r="E28" s="3"/>
      <c r="F28" s="5" t="s">
        <v>910</v>
      </c>
      <c r="G28" s="3"/>
    </row>
    <row r="29" spans="1:7" x14ac:dyDescent="0.2">
      <c r="A29" s="3"/>
      <c r="B29" s="3"/>
      <c r="C29" s="3"/>
      <c r="D29" s="4" t="s">
        <v>150</v>
      </c>
      <c r="E29" s="3"/>
      <c r="F29" s="3"/>
      <c r="G29" s="3"/>
    </row>
    <row r="30" spans="1:7" x14ac:dyDescent="0.2">
      <c r="A30" s="3"/>
      <c r="B30" s="3"/>
      <c r="C30" s="3"/>
      <c r="D30" s="3"/>
      <c r="E30" s="3"/>
      <c r="F30" s="3"/>
      <c r="G30" s="3"/>
    </row>
    <row r="31" spans="1:7" x14ac:dyDescent="0.2">
      <c r="A31" s="3"/>
      <c r="B31" s="3"/>
      <c r="C31" s="3"/>
      <c r="D31" s="3"/>
      <c r="E31" s="3"/>
      <c r="F31" s="3"/>
      <c r="G31" s="3"/>
    </row>
    <row r="32" spans="1:7" x14ac:dyDescent="0.2">
      <c r="A32" s="3"/>
      <c r="B32" s="3"/>
      <c r="C32" s="3"/>
      <c r="D32" s="3"/>
      <c r="E32" s="3"/>
      <c r="F32" s="3"/>
      <c r="G32" s="3"/>
    </row>
    <row r="33" spans="1:7" x14ac:dyDescent="0.2">
      <c r="A33" s="3"/>
      <c r="B33" s="3"/>
      <c r="C33" s="3"/>
      <c r="D33" s="3"/>
      <c r="E33" s="3"/>
      <c r="F33" s="3"/>
      <c r="G33" s="3"/>
    </row>
    <row r="34" spans="1:7" x14ac:dyDescent="0.2">
      <c r="A34" s="3"/>
      <c r="B34" s="3"/>
      <c r="C34" s="3"/>
      <c r="D34" s="3"/>
      <c r="E34" s="3"/>
      <c r="F34" s="3"/>
      <c r="G34" s="3"/>
    </row>
    <row r="35" spans="1:7" x14ac:dyDescent="0.2">
      <c r="A35" s="3"/>
      <c r="B35" s="3"/>
      <c r="C35" s="3"/>
      <c r="D35" s="3"/>
      <c r="E35" s="3"/>
      <c r="F35" s="3"/>
      <c r="G35" s="3"/>
    </row>
    <row r="36" spans="1:7" x14ac:dyDescent="0.2">
      <c r="A36" s="3"/>
      <c r="B36" s="3"/>
      <c r="C36" s="3"/>
      <c r="D36" s="3"/>
      <c r="E36" s="3"/>
      <c r="F36" s="3"/>
      <c r="G36" s="3"/>
    </row>
    <row r="37" spans="1:7" x14ac:dyDescent="0.2">
      <c r="A37" s="3"/>
      <c r="B37" s="3"/>
      <c r="C37" s="3"/>
      <c r="D37" s="3"/>
      <c r="E37" s="3"/>
      <c r="F37" s="3"/>
      <c r="G37" s="3"/>
    </row>
    <row r="38" spans="1:7" x14ac:dyDescent="0.2">
      <c r="A38" s="3"/>
      <c r="B38" s="3"/>
      <c r="C38" s="3"/>
      <c r="D38" s="3"/>
      <c r="E38" s="3"/>
      <c r="F38" s="3"/>
      <c r="G38" s="3"/>
    </row>
    <row r="39" spans="1:7" x14ac:dyDescent="0.2">
      <c r="A39" s="3"/>
      <c r="B39" s="3"/>
      <c r="C39" s="3"/>
      <c r="D39" s="3"/>
      <c r="E39" s="3"/>
      <c r="F39" s="3"/>
      <c r="G39" s="3"/>
    </row>
    <row r="40" spans="1:7" x14ac:dyDescent="0.2">
      <c r="A40" s="3"/>
      <c r="B40" s="3"/>
      <c r="C40" s="3"/>
      <c r="D40" s="3"/>
      <c r="E40" s="3"/>
      <c r="F40" s="3"/>
      <c r="G40" s="3"/>
    </row>
    <row r="41" spans="1:7" x14ac:dyDescent="0.2">
      <c r="A41" s="3"/>
      <c r="B41" s="3"/>
      <c r="C41" s="3"/>
      <c r="D41" s="3"/>
      <c r="E41" s="3"/>
      <c r="F41" s="3"/>
      <c r="G41" s="3"/>
    </row>
    <row r="42" spans="1:7" x14ac:dyDescent="0.2">
      <c r="A42" s="3"/>
      <c r="B42" s="3"/>
      <c r="C42" s="3"/>
      <c r="D42" s="3"/>
      <c r="E42" s="3"/>
      <c r="F42" s="3"/>
      <c r="G42" s="3"/>
    </row>
    <row r="43" spans="1:7" x14ac:dyDescent="0.2">
      <c r="A43" s="3"/>
      <c r="B43" s="3"/>
      <c r="C43" s="3"/>
      <c r="D43" s="3"/>
      <c r="E43" s="3"/>
      <c r="F43" s="3"/>
      <c r="G43" s="3"/>
    </row>
    <row r="44" spans="1:7" x14ac:dyDescent="0.2">
      <c r="A44" s="3"/>
      <c r="B44" s="3"/>
      <c r="C44" s="3"/>
      <c r="D44" s="3"/>
      <c r="E44" s="3"/>
      <c r="F44" s="3"/>
      <c r="G44" s="3"/>
    </row>
    <row r="45" spans="1:7" x14ac:dyDescent="0.2">
      <c r="A45" s="3"/>
      <c r="B45" s="3"/>
      <c r="C45" s="3"/>
      <c r="D45" s="3"/>
      <c r="E45" s="3"/>
      <c r="F45" s="3"/>
      <c r="G45" s="3"/>
    </row>
    <row r="46" spans="1:7" x14ac:dyDescent="0.2">
      <c r="A46" s="3"/>
      <c r="B46" s="3"/>
      <c r="C46" s="3"/>
      <c r="D46" s="3"/>
      <c r="E46" s="3"/>
      <c r="F46" s="3"/>
      <c r="G46" s="3"/>
    </row>
    <row r="47" spans="1:7" x14ac:dyDescent="0.2">
      <c r="A47" s="3"/>
      <c r="B47" s="3"/>
      <c r="C47" s="3"/>
      <c r="D47" s="3"/>
      <c r="E47" s="3"/>
      <c r="F47" s="3"/>
      <c r="G47" s="3"/>
    </row>
    <row r="48" spans="1:7" x14ac:dyDescent="0.2">
      <c r="A48" s="3"/>
      <c r="B48" s="3"/>
      <c r="C48" s="3"/>
      <c r="D48" s="3"/>
      <c r="E48" s="3"/>
      <c r="F48" s="3"/>
      <c r="G48" s="3"/>
    </row>
    <row r="49" spans="1:7" x14ac:dyDescent="0.2">
      <c r="A49" s="3"/>
      <c r="B49" s="3"/>
      <c r="C49" s="3"/>
      <c r="D49" s="3"/>
      <c r="E49" s="3"/>
      <c r="F49" s="3"/>
      <c r="G49" s="3"/>
    </row>
    <row r="50" spans="1:7" x14ac:dyDescent="0.2">
      <c r="A50" s="3"/>
      <c r="B50" s="3"/>
      <c r="C50" s="3"/>
      <c r="D50" s="3"/>
      <c r="E50" s="3"/>
      <c r="F50" s="3"/>
      <c r="G50" s="3"/>
    </row>
    <row r="51" spans="1:7" x14ac:dyDescent="0.2">
      <c r="A51" s="3"/>
      <c r="B51" s="3"/>
      <c r="C51" s="3"/>
      <c r="D51" s="3"/>
      <c r="E51" s="3"/>
      <c r="F51" s="3"/>
      <c r="G51" s="3"/>
    </row>
    <row r="52" spans="1:7" x14ac:dyDescent="0.2">
      <c r="A52" s="3"/>
      <c r="B52" s="3"/>
      <c r="C52" s="3"/>
      <c r="D52" s="3"/>
      <c r="E52" s="3"/>
      <c r="F52" s="3"/>
      <c r="G52" s="3"/>
    </row>
    <row r="53" spans="1:7" x14ac:dyDescent="0.2">
      <c r="A53" s="3"/>
      <c r="B53" s="3"/>
      <c r="C53" s="3"/>
      <c r="D53" s="3"/>
      <c r="E53" s="3"/>
      <c r="F53" s="3"/>
      <c r="G53" s="3"/>
    </row>
    <row r="54" spans="1:7" x14ac:dyDescent="0.2">
      <c r="A54" s="3"/>
      <c r="B54" s="3"/>
      <c r="C54" s="3"/>
      <c r="D54" s="3"/>
      <c r="E54" s="3"/>
      <c r="F54" s="3"/>
      <c r="G54" s="3"/>
    </row>
  </sheetData>
  <phoneticPr fontId="0" type="noConversion"/>
  <pageMargins left="0.75" right="0.75" top="1" bottom="1" header="0.5" footer="0.5"/>
  <pageSetup paperSize="3" orientation="landscape" horizontalDpi="96" verticalDpi="96" r:id="rId1"/>
  <headerFooter alignWithMargins="0"/>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107"/>
  <sheetViews>
    <sheetView topLeftCell="A25" workbookViewId="0">
      <selection activeCell="E31" sqref="E31"/>
    </sheetView>
  </sheetViews>
  <sheetFormatPr defaultRowHeight="12.75" x14ac:dyDescent="0.2"/>
  <cols>
    <col min="3" max="3" width="20.7109375" customWidth="1"/>
    <col min="4" max="4" width="37.140625" customWidth="1"/>
    <col min="5" max="5" width="20.7109375" customWidth="1"/>
    <col min="6" max="6" width="23.85546875" customWidth="1"/>
    <col min="8" max="8" width="9.85546875" customWidth="1"/>
  </cols>
  <sheetData>
    <row r="1" spans="1:21" ht="18.75" thickBot="1" x14ac:dyDescent="0.3">
      <c r="A1" s="134" t="s">
        <v>525</v>
      </c>
      <c r="B1" s="135"/>
      <c r="C1" s="135"/>
      <c r="D1" s="135"/>
      <c r="E1" s="728" t="str">
        <f>'Title Page'!F3</f>
        <v>CougSat-1</v>
      </c>
      <c r="F1" s="135"/>
      <c r="G1" s="725" t="str">
        <f>'Title Page'!F25</f>
        <v>2020 January 17</v>
      </c>
      <c r="H1" s="135"/>
      <c r="I1" s="135"/>
      <c r="J1" s="135"/>
      <c r="K1" s="135"/>
      <c r="L1" s="135"/>
      <c r="M1" s="135"/>
      <c r="N1" s="135"/>
      <c r="O1" s="135"/>
      <c r="P1" s="135"/>
      <c r="Q1" s="135"/>
      <c r="R1" s="135"/>
      <c r="S1" s="135"/>
      <c r="T1" s="135"/>
      <c r="U1" s="135"/>
    </row>
    <row r="2" spans="1:21" ht="13.5" thickBot="1" x14ac:dyDescent="0.25">
      <c r="A2" s="729" t="s">
        <v>864</v>
      </c>
      <c r="B2" s="730"/>
      <c r="C2" s="731" t="s">
        <v>37</v>
      </c>
      <c r="D2" s="3"/>
      <c r="E2" s="249" t="s">
        <v>180</v>
      </c>
      <c r="F2" s="3" t="s">
        <v>181</v>
      </c>
      <c r="G2" s="250" t="s">
        <v>355</v>
      </c>
      <c r="H2" s="250"/>
      <c r="I2" s="250"/>
      <c r="J2" s="250"/>
      <c r="K2" s="250"/>
      <c r="L2" s="250"/>
      <c r="M2" s="250"/>
      <c r="N2" s="250"/>
      <c r="O2" s="250"/>
      <c r="P2" s="250"/>
      <c r="Q2" s="250"/>
      <c r="R2" s="250"/>
      <c r="S2" s="250"/>
      <c r="T2" s="250"/>
      <c r="U2" s="250"/>
    </row>
    <row r="3" spans="1:21" ht="16.5" thickBot="1" x14ac:dyDescent="0.3">
      <c r="A3" s="677" t="s">
        <v>356</v>
      </c>
      <c r="B3" s="678"/>
      <c r="C3" s="702" t="s">
        <v>178</v>
      </c>
      <c r="D3" s="703"/>
      <c r="E3" s="701">
        <v>13</v>
      </c>
      <c r="F3" s="774" t="str">
        <f>INDEX(C6:C23,E3,1)</f>
        <v>QPSK</v>
      </c>
      <c r="G3" s="250"/>
      <c r="H3" s="79" t="s">
        <v>583</v>
      </c>
      <c r="I3" s="250"/>
      <c r="J3" s="250"/>
      <c r="K3" s="250"/>
      <c r="L3" s="250"/>
      <c r="M3" s="250"/>
      <c r="N3" s="250"/>
      <c r="O3" s="250"/>
      <c r="P3" s="250"/>
      <c r="Q3" s="250"/>
      <c r="R3" s="250"/>
      <c r="S3" s="250"/>
      <c r="T3" s="250"/>
      <c r="U3" s="250"/>
    </row>
    <row r="4" spans="1:21" ht="13.5" thickBot="1" x14ac:dyDescent="0.25">
      <c r="A4" s="755" t="s">
        <v>860</v>
      </c>
      <c r="B4" s="3"/>
      <c r="C4" s="3"/>
      <c r="D4" s="3"/>
      <c r="E4" s="3"/>
      <c r="F4" s="3"/>
      <c r="G4" s="250"/>
      <c r="H4" s="80" t="s">
        <v>584</v>
      </c>
      <c r="I4" s="250"/>
      <c r="J4" s="250"/>
      <c r="K4" s="250"/>
      <c r="L4" s="250"/>
      <c r="M4" s="250"/>
      <c r="N4" s="250"/>
      <c r="O4" s="250"/>
      <c r="P4" s="250"/>
      <c r="Q4" s="250"/>
      <c r="R4" s="250"/>
      <c r="S4" s="250"/>
      <c r="T4" s="250"/>
      <c r="U4" s="250"/>
    </row>
    <row r="5" spans="1:21" ht="15" x14ac:dyDescent="0.2">
      <c r="A5" s="250"/>
      <c r="B5" s="73" t="s">
        <v>161</v>
      </c>
      <c r="C5" s="73" t="s">
        <v>160</v>
      </c>
      <c r="D5" s="73" t="s">
        <v>162</v>
      </c>
      <c r="E5" s="73" t="s">
        <v>164</v>
      </c>
      <c r="F5" s="73" t="s">
        <v>165</v>
      </c>
      <c r="G5" s="250"/>
      <c r="H5" s="82">
        <f>INDEX(F6:F23,E3,1)+E25</f>
        <v>9.6</v>
      </c>
      <c r="I5" s="250"/>
      <c r="J5" s="250"/>
      <c r="K5" s="250"/>
      <c r="L5" s="250"/>
      <c r="M5" s="250"/>
      <c r="N5" s="250"/>
      <c r="O5" s="250"/>
      <c r="P5" s="250"/>
      <c r="Q5" s="250"/>
      <c r="R5" s="250"/>
      <c r="S5" s="250"/>
      <c r="T5" s="250"/>
      <c r="U5" s="250"/>
    </row>
    <row r="6" spans="1:21" ht="15.75" thickBot="1" x14ac:dyDescent="0.25">
      <c r="A6" s="250"/>
      <c r="B6" s="77">
        <v>1</v>
      </c>
      <c r="C6" s="74" t="s">
        <v>166</v>
      </c>
      <c r="D6" s="74" t="s">
        <v>167</v>
      </c>
      <c r="E6" s="75">
        <v>1E-4</v>
      </c>
      <c r="F6" s="83">
        <v>21</v>
      </c>
      <c r="G6" s="250"/>
      <c r="H6" s="81" t="s">
        <v>78</v>
      </c>
      <c r="I6" s="250"/>
      <c r="J6" s="250"/>
      <c r="K6" s="250"/>
      <c r="L6" s="250"/>
      <c r="M6" s="250"/>
      <c r="N6" s="250"/>
      <c r="O6" s="250"/>
      <c r="P6" s="250"/>
      <c r="Q6" s="250"/>
      <c r="R6" s="250"/>
      <c r="S6" s="250"/>
      <c r="T6" s="250"/>
      <c r="U6" s="250"/>
    </row>
    <row r="7" spans="1:21" ht="15" x14ac:dyDescent="0.2">
      <c r="A7" s="250"/>
      <c r="B7" s="77">
        <v>2</v>
      </c>
      <c r="C7" s="74" t="s">
        <v>166</v>
      </c>
      <c r="D7" s="74" t="s">
        <v>167</v>
      </c>
      <c r="E7" s="75">
        <v>1.0000000000000001E-5</v>
      </c>
      <c r="F7" s="83">
        <v>23.2</v>
      </c>
      <c r="G7" s="250"/>
      <c r="H7" s="250"/>
      <c r="I7" s="250"/>
      <c r="J7" s="250"/>
      <c r="K7" s="250"/>
      <c r="L7" s="250"/>
      <c r="M7" s="250"/>
      <c r="N7" s="250"/>
      <c r="O7" s="250"/>
      <c r="P7" s="250"/>
      <c r="Q7" s="250"/>
      <c r="R7" s="250"/>
      <c r="S7" s="250"/>
      <c r="T7" s="250"/>
      <c r="U7" s="250"/>
    </row>
    <row r="8" spans="1:21" ht="15" x14ac:dyDescent="0.2">
      <c r="A8" s="250"/>
      <c r="B8" s="77">
        <v>3</v>
      </c>
      <c r="C8" s="74" t="s">
        <v>168</v>
      </c>
      <c r="D8" s="74" t="s">
        <v>167</v>
      </c>
      <c r="E8" s="75">
        <v>1E-4</v>
      </c>
      <c r="F8" s="83">
        <v>16.7</v>
      </c>
      <c r="G8" s="250"/>
      <c r="H8" s="250"/>
      <c r="I8" s="250"/>
      <c r="J8" s="250"/>
      <c r="K8" s="250"/>
      <c r="L8" s="250"/>
      <c r="M8" s="250"/>
      <c r="N8" s="250"/>
      <c r="O8" s="250"/>
      <c r="P8" s="250"/>
      <c r="Q8" s="250"/>
      <c r="R8" s="250"/>
      <c r="S8" s="250"/>
      <c r="T8" s="250"/>
      <c r="U8" s="250"/>
    </row>
    <row r="9" spans="1:21" ht="15" x14ac:dyDescent="0.2">
      <c r="A9" s="250"/>
      <c r="B9" s="77">
        <v>4</v>
      </c>
      <c r="C9" s="74" t="s">
        <v>168</v>
      </c>
      <c r="D9" s="74" t="s">
        <v>167</v>
      </c>
      <c r="E9" s="75">
        <v>1.0000000000000001E-5</v>
      </c>
      <c r="F9" s="83">
        <v>18</v>
      </c>
      <c r="G9" s="250"/>
      <c r="H9" s="250"/>
      <c r="I9" s="250"/>
      <c r="J9" s="250"/>
      <c r="K9" s="250"/>
      <c r="L9" s="250"/>
      <c r="M9" s="250"/>
      <c r="N9" s="250"/>
      <c r="O9" s="250"/>
      <c r="P9" s="250"/>
      <c r="Q9" s="250"/>
      <c r="R9" s="250"/>
      <c r="S9" s="250"/>
      <c r="T9" s="250"/>
      <c r="U9" s="250"/>
    </row>
    <row r="10" spans="1:21" ht="15.75" x14ac:dyDescent="0.25">
      <c r="A10" s="250"/>
      <c r="B10" s="77">
        <v>5</v>
      </c>
      <c r="C10" s="74" t="s">
        <v>169</v>
      </c>
      <c r="D10" s="74" t="s">
        <v>167</v>
      </c>
      <c r="E10" s="75">
        <v>1E-4</v>
      </c>
      <c r="F10" s="83">
        <v>13.4</v>
      </c>
      <c r="G10" s="250"/>
      <c r="H10" s="798"/>
      <c r="I10" s="799"/>
      <c r="J10" s="799"/>
      <c r="K10" s="799"/>
      <c r="L10" s="799"/>
      <c r="M10" s="799"/>
      <c r="N10" s="250"/>
      <c r="O10" s="250"/>
      <c r="P10" s="250"/>
      <c r="Q10" s="250"/>
      <c r="R10" s="250"/>
      <c r="S10" s="250"/>
      <c r="T10" s="250"/>
      <c r="U10" s="250"/>
    </row>
    <row r="11" spans="1:21" ht="15.75" x14ac:dyDescent="0.25">
      <c r="A11" s="250"/>
      <c r="B11" s="77">
        <v>6</v>
      </c>
      <c r="C11" s="74" t="s">
        <v>169</v>
      </c>
      <c r="D11" s="74" t="s">
        <v>167</v>
      </c>
      <c r="E11" s="75">
        <v>1.0000000000000001E-5</v>
      </c>
      <c r="F11" s="83">
        <v>13.8</v>
      </c>
      <c r="G11" s="250"/>
      <c r="H11" s="800"/>
      <c r="I11" s="799"/>
      <c r="J11" s="799"/>
      <c r="K11" s="806"/>
      <c r="L11" s="806"/>
      <c r="M11" s="806"/>
      <c r="N11" s="250"/>
      <c r="O11" s="250"/>
      <c r="P11" s="250"/>
      <c r="Q11" s="250"/>
      <c r="R11" s="250"/>
      <c r="S11" s="250"/>
      <c r="T11" s="250"/>
      <c r="U11" s="250"/>
    </row>
    <row r="12" spans="1:21" ht="15" x14ac:dyDescent="0.2">
      <c r="A12" s="250"/>
      <c r="B12" s="77">
        <v>7</v>
      </c>
      <c r="C12" s="74" t="s">
        <v>170</v>
      </c>
      <c r="D12" s="74" t="s">
        <v>167</v>
      </c>
      <c r="E12" s="75">
        <v>1E-4</v>
      </c>
      <c r="F12" s="83">
        <v>10.5</v>
      </c>
      <c r="G12" s="250"/>
      <c r="H12" s="799"/>
      <c r="I12" s="801"/>
      <c r="J12" s="799"/>
      <c r="K12" s="799"/>
      <c r="L12" s="799"/>
      <c r="M12" s="799"/>
      <c r="N12" s="250"/>
      <c r="O12" s="250"/>
      <c r="P12" s="250"/>
      <c r="Q12" s="250"/>
      <c r="R12" s="250"/>
      <c r="S12" s="250"/>
      <c r="T12" s="250"/>
      <c r="U12" s="250"/>
    </row>
    <row r="13" spans="1:21" ht="15" x14ac:dyDescent="0.2">
      <c r="A13" s="250"/>
      <c r="B13" s="77">
        <v>8</v>
      </c>
      <c r="C13" s="74" t="s">
        <v>170</v>
      </c>
      <c r="D13" s="74" t="s">
        <v>167</v>
      </c>
      <c r="E13" s="75">
        <v>1.0000000000000001E-5</v>
      </c>
      <c r="F13" s="83">
        <v>11.9</v>
      </c>
      <c r="G13" s="250"/>
      <c r="H13" s="799"/>
      <c r="I13" s="799"/>
      <c r="J13" s="799"/>
      <c r="K13" s="799"/>
      <c r="L13" s="799"/>
      <c r="M13" s="799"/>
      <c r="N13" s="250"/>
      <c r="O13" s="250"/>
      <c r="P13" s="250"/>
      <c r="Q13" s="250"/>
      <c r="R13" s="250"/>
      <c r="S13" s="250"/>
      <c r="T13" s="250"/>
      <c r="U13" s="250"/>
    </row>
    <row r="14" spans="1:21" ht="15.75" x14ac:dyDescent="0.25">
      <c r="A14" s="250"/>
      <c r="B14" s="77">
        <v>9</v>
      </c>
      <c r="C14" s="74" t="s">
        <v>173</v>
      </c>
      <c r="D14" s="74" t="s">
        <v>167</v>
      </c>
      <c r="E14" s="75">
        <v>1E-4</v>
      </c>
      <c r="F14" s="83">
        <v>8.4</v>
      </c>
      <c r="G14" s="250"/>
      <c r="H14" s="800"/>
      <c r="I14" s="799"/>
      <c r="J14" s="799"/>
      <c r="K14" s="806"/>
      <c r="L14" s="806"/>
      <c r="M14" s="806"/>
      <c r="N14" s="250"/>
      <c r="O14" s="250"/>
      <c r="P14" s="250"/>
      <c r="Q14" s="250"/>
      <c r="R14" s="250"/>
      <c r="S14" s="250"/>
      <c r="T14" s="250"/>
      <c r="U14" s="250"/>
    </row>
    <row r="15" spans="1:21" ht="15" x14ac:dyDescent="0.2">
      <c r="A15" s="250"/>
      <c r="B15" s="77">
        <v>10</v>
      </c>
      <c r="C15" s="74" t="s">
        <v>173</v>
      </c>
      <c r="D15" s="74" t="s">
        <v>167</v>
      </c>
      <c r="E15" s="75">
        <v>1.0000000000000001E-5</v>
      </c>
      <c r="F15" s="83">
        <v>9.6</v>
      </c>
      <c r="G15" s="250"/>
      <c r="H15" s="799"/>
      <c r="I15" s="801"/>
      <c r="J15" s="799"/>
      <c r="K15" s="799"/>
      <c r="L15" s="799"/>
      <c r="M15" s="799"/>
      <c r="N15" s="250"/>
      <c r="O15" s="250"/>
      <c r="P15" s="250"/>
      <c r="Q15" s="250"/>
      <c r="R15" s="250"/>
      <c r="S15" s="250"/>
      <c r="T15" s="250"/>
      <c r="U15" s="250"/>
    </row>
    <row r="16" spans="1:21" ht="15" x14ac:dyDescent="0.2">
      <c r="A16" s="250"/>
      <c r="B16" s="77">
        <v>11</v>
      </c>
      <c r="C16" s="74" t="s">
        <v>171</v>
      </c>
      <c r="D16" s="74" t="s">
        <v>167</v>
      </c>
      <c r="E16" s="75">
        <v>1.0000000000000001E-5</v>
      </c>
      <c r="F16" s="83">
        <v>9.6</v>
      </c>
      <c r="G16" s="250"/>
      <c r="H16" s="250"/>
      <c r="I16" s="250"/>
      <c r="J16" s="250"/>
      <c r="K16" s="250"/>
      <c r="L16" s="250"/>
      <c r="M16" s="250"/>
      <c r="N16" s="250"/>
      <c r="O16" s="250"/>
      <c r="P16" s="250"/>
      <c r="Q16" s="250"/>
      <c r="R16" s="250"/>
      <c r="S16" s="250"/>
      <c r="T16" s="250"/>
      <c r="U16" s="250"/>
    </row>
    <row r="17" spans="1:21" ht="15" x14ac:dyDescent="0.2">
      <c r="A17" s="250"/>
      <c r="B17" s="77">
        <v>12</v>
      </c>
      <c r="C17" s="74" t="s">
        <v>171</v>
      </c>
      <c r="D17" s="74" t="s">
        <v>167</v>
      </c>
      <c r="E17" s="75">
        <v>9.9999999999999995E-7</v>
      </c>
      <c r="F17" s="83">
        <v>10.5</v>
      </c>
      <c r="G17" s="250"/>
      <c r="H17" s="250"/>
      <c r="I17" s="250"/>
      <c r="J17" s="250"/>
      <c r="K17" s="250"/>
      <c r="L17" s="250"/>
      <c r="M17" s="250"/>
      <c r="N17" s="250"/>
      <c r="O17" s="250"/>
      <c r="P17" s="250"/>
      <c r="Q17" s="250"/>
      <c r="R17" s="250"/>
      <c r="S17" s="250"/>
      <c r="T17" s="250"/>
      <c r="U17" s="250"/>
    </row>
    <row r="18" spans="1:21" ht="15" x14ac:dyDescent="0.2">
      <c r="A18" s="250"/>
      <c r="B18" s="77">
        <v>13</v>
      </c>
      <c r="C18" s="74" t="s">
        <v>172</v>
      </c>
      <c r="D18" s="74" t="s">
        <v>167</v>
      </c>
      <c r="E18" s="75">
        <v>1.0000000000000001E-5</v>
      </c>
      <c r="F18" s="83">
        <v>9.6</v>
      </c>
      <c r="G18" s="250"/>
      <c r="H18" s="250"/>
      <c r="I18" s="250"/>
      <c r="J18" s="250"/>
      <c r="K18" s="250"/>
      <c r="L18" s="250"/>
      <c r="M18" s="250"/>
      <c r="N18" s="250"/>
      <c r="O18" s="250"/>
      <c r="P18" s="250"/>
      <c r="Q18" s="250"/>
      <c r="R18" s="250"/>
      <c r="S18" s="250"/>
      <c r="T18" s="250"/>
      <c r="U18" s="250"/>
    </row>
    <row r="19" spans="1:21" ht="15" x14ac:dyDescent="0.2">
      <c r="A19" s="250"/>
      <c r="B19" s="77">
        <v>14</v>
      </c>
      <c r="C19" s="74" t="s">
        <v>172</v>
      </c>
      <c r="D19" s="74" t="s">
        <v>167</v>
      </c>
      <c r="E19" s="75">
        <v>9.9999999999999995E-7</v>
      </c>
      <c r="F19" s="83">
        <v>10.5</v>
      </c>
      <c r="G19" s="250"/>
      <c r="H19" s="250"/>
      <c r="I19" s="250"/>
      <c r="J19" s="250"/>
      <c r="K19" s="250"/>
      <c r="L19" s="250"/>
      <c r="M19" s="250"/>
      <c r="N19" s="250"/>
      <c r="O19" s="250"/>
      <c r="P19" s="250"/>
      <c r="Q19" s="250"/>
      <c r="R19" s="250"/>
      <c r="S19" s="250"/>
      <c r="T19" s="250"/>
      <c r="U19" s="250"/>
    </row>
    <row r="20" spans="1:21" ht="15" x14ac:dyDescent="0.2">
      <c r="A20" s="250"/>
      <c r="B20" s="77">
        <v>15</v>
      </c>
      <c r="C20" s="74" t="s">
        <v>171</v>
      </c>
      <c r="D20" s="74" t="s">
        <v>174</v>
      </c>
      <c r="E20" s="75">
        <v>9.9999999999999995E-7</v>
      </c>
      <c r="F20" s="83">
        <v>4.8</v>
      </c>
      <c r="G20" s="250"/>
      <c r="H20" s="250"/>
      <c r="I20" s="250"/>
      <c r="J20" s="250"/>
      <c r="K20" s="250"/>
      <c r="L20" s="250"/>
      <c r="M20" s="250"/>
      <c r="N20" s="250"/>
      <c r="O20" s="250"/>
      <c r="P20" s="250"/>
      <c r="Q20" s="250"/>
      <c r="R20" s="250"/>
      <c r="S20" s="250"/>
      <c r="T20" s="250"/>
      <c r="U20" s="250"/>
    </row>
    <row r="21" spans="1:21" ht="15" x14ac:dyDescent="0.2">
      <c r="A21" s="250"/>
      <c r="B21" s="77">
        <v>16</v>
      </c>
      <c r="C21" s="74" t="s">
        <v>171</v>
      </c>
      <c r="D21" s="74" t="s">
        <v>175</v>
      </c>
      <c r="E21" s="75">
        <v>9.9999999999999995E-7</v>
      </c>
      <c r="F21" s="83">
        <v>2.5</v>
      </c>
      <c r="G21" s="250"/>
      <c r="H21" s="250"/>
      <c r="I21" s="250"/>
      <c r="J21" s="250"/>
      <c r="K21" s="250"/>
      <c r="L21" s="250"/>
      <c r="M21" s="250"/>
      <c r="N21" s="250"/>
      <c r="O21" s="250"/>
      <c r="P21" s="250"/>
      <c r="Q21" s="250"/>
      <c r="R21" s="250"/>
      <c r="S21" s="250"/>
      <c r="T21" s="250"/>
      <c r="U21" s="250"/>
    </row>
    <row r="22" spans="1:21" ht="15" x14ac:dyDescent="0.2">
      <c r="A22" s="250"/>
      <c r="B22" s="77">
        <v>17</v>
      </c>
      <c r="C22" s="74" t="s">
        <v>171</v>
      </c>
      <c r="D22" s="74" t="s">
        <v>176</v>
      </c>
      <c r="E22" s="75">
        <v>9.9999999999999995E-8</v>
      </c>
      <c r="F22" s="83">
        <v>0.8</v>
      </c>
      <c r="G22" s="250"/>
      <c r="H22" s="250"/>
      <c r="I22" s="250"/>
      <c r="J22" s="250"/>
      <c r="K22" s="250"/>
      <c r="L22" s="250"/>
      <c r="M22" s="250"/>
      <c r="N22" s="250"/>
      <c r="O22" s="250"/>
      <c r="P22" s="250"/>
      <c r="Q22" s="250"/>
      <c r="R22" s="250"/>
      <c r="S22" s="250"/>
      <c r="T22" s="250"/>
      <c r="U22" s="250"/>
    </row>
    <row r="23" spans="1:21" ht="15" x14ac:dyDescent="0.2">
      <c r="A23" s="250"/>
      <c r="B23" s="77">
        <v>18</v>
      </c>
      <c r="C23" s="76" t="s">
        <v>177</v>
      </c>
      <c r="D23" s="76" t="s">
        <v>167</v>
      </c>
      <c r="E23" s="85">
        <v>1.0000000000000001E-5</v>
      </c>
      <c r="F23" s="84">
        <v>9.6</v>
      </c>
      <c r="G23" s="250"/>
      <c r="H23" s="250"/>
      <c r="I23" s="250"/>
      <c r="J23" s="250"/>
      <c r="K23" s="250"/>
      <c r="L23" s="250"/>
      <c r="M23" s="250"/>
      <c r="N23" s="250"/>
      <c r="O23" s="250"/>
      <c r="P23" s="250"/>
      <c r="Q23" s="250"/>
      <c r="R23" s="250"/>
      <c r="S23" s="250"/>
      <c r="T23" s="250"/>
      <c r="U23" s="250"/>
    </row>
    <row r="24" spans="1:21" ht="13.5" thickBot="1" x14ac:dyDescent="0.25">
      <c r="A24" s="250"/>
      <c r="B24" s="250"/>
      <c r="C24" s="250"/>
      <c r="D24" s="263" t="s">
        <v>582</v>
      </c>
      <c r="E24" s="250"/>
      <c r="F24" s="262"/>
      <c r="G24" s="250"/>
      <c r="H24" s="250"/>
      <c r="I24" s="250"/>
      <c r="J24" s="250"/>
      <c r="K24" s="250"/>
      <c r="L24" s="250"/>
      <c r="M24" s="250"/>
      <c r="N24" s="250"/>
      <c r="O24" s="250"/>
      <c r="P24" s="250"/>
      <c r="Q24" s="250"/>
      <c r="R24" s="250"/>
      <c r="S24" s="250"/>
      <c r="T24" s="250"/>
      <c r="U24" s="250"/>
    </row>
    <row r="25" spans="1:21" ht="16.5" thickBot="1" x14ac:dyDescent="0.3">
      <c r="A25" s="250"/>
      <c r="B25" s="376" t="s">
        <v>370</v>
      </c>
      <c r="C25" s="250"/>
      <c r="D25" s="756" t="s">
        <v>179</v>
      </c>
      <c r="E25" s="757">
        <v>0</v>
      </c>
      <c r="F25" s="78" t="s">
        <v>78</v>
      </c>
      <c r="G25" s="250"/>
      <c r="H25" s="250"/>
      <c r="I25" s="250"/>
      <c r="J25" s="250"/>
      <c r="K25" s="250"/>
      <c r="L25" s="250"/>
      <c r="M25" s="250"/>
      <c r="N25" s="250"/>
      <c r="O25" s="250"/>
      <c r="P25" s="250"/>
      <c r="Q25" s="250"/>
      <c r="R25" s="250"/>
      <c r="S25" s="250"/>
      <c r="T25" s="250"/>
      <c r="U25" s="250"/>
    </row>
    <row r="26" spans="1:21" ht="13.5" thickBot="1" x14ac:dyDescent="0.25">
      <c r="A26" s="250"/>
      <c r="B26" s="250"/>
      <c r="C26" s="250"/>
      <c r="D26" s="250"/>
      <c r="E26" s="250"/>
      <c r="F26" s="250"/>
      <c r="G26" s="250"/>
      <c r="H26" s="250"/>
      <c r="I26" s="250"/>
      <c r="J26" s="250"/>
      <c r="K26" s="250"/>
      <c r="L26" s="250"/>
      <c r="M26" s="250"/>
      <c r="N26" s="250"/>
      <c r="O26" s="250"/>
      <c r="P26" s="250"/>
      <c r="Q26" s="250"/>
      <c r="R26" s="250"/>
      <c r="S26" s="250"/>
      <c r="T26" s="250"/>
      <c r="U26" s="250"/>
    </row>
    <row r="27" spans="1:21" ht="13.5" thickBot="1" x14ac:dyDescent="0.25">
      <c r="A27" s="266"/>
      <c r="B27" s="27"/>
      <c r="C27" s="267" t="s">
        <v>348</v>
      </c>
      <c r="D27" s="27" t="s">
        <v>37</v>
      </c>
      <c r="E27" s="267" t="s">
        <v>351</v>
      </c>
      <c r="F27" s="27"/>
      <c r="G27" s="27"/>
      <c r="H27" s="27"/>
      <c r="I27" s="27"/>
      <c r="J27" s="27"/>
      <c r="K27" s="27"/>
      <c r="L27" s="27"/>
      <c r="M27" s="27"/>
      <c r="N27" s="27"/>
      <c r="O27" s="27"/>
      <c r="P27" s="27"/>
      <c r="Q27" s="27"/>
      <c r="R27" s="27"/>
      <c r="S27" s="27"/>
      <c r="T27" s="27"/>
      <c r="U27" s="28"/>
    </row>
    <row r="28" spans="1:21" x14ac:dyDescent="0.2">
      <c r="A28" s="3"/>
      <c r="B28" s="3"/>
      <c r="C28" s="3"/>
      <c r="D28" s="3"/>
      <c r="E28" s="3"/>
      <c r="F28" s="3"/>
      <c r="G28" s="250"/>
      <c r="H28" s="250"/>
      <c r="I28" s="250"/>
      <c r="J28" s="250"/>
      <c r="K28" s="250"/>
      <c r="L28" s="250"/>
      <c r="M28" s="250"/>
      <c r="N28" s="250"/>
      <c r="O28" s="250"/>
      <c r="P28" s="250"/>
      <c r="Q28" s="250"/>
      <c r="R28" s="250"/>
      <c r="S28" s="250"/>
      <c r="T28" s="250"/>
      <c r="U28" s="250"/>
    </row>
    <row r="29" spans="1:21" ht="13.5" thickBot="1" x14ac:dyDescent="0.25">
      <c r="A29" s="3"/>
      <c r="B29" s="3"/>
      <c r="C29" s="3"/>
      <c r="D29" s="3"/>
      <c r="E29" s="249" t="s">
        <v>180</v>
      </c>
      <c r="F29" s="3" t="s">
        <v>181</v>
      </c>
      <c r="G29" s="250" t="s">
        <v>355</v>
      </c>
      <c r="H29" s="250"/>
      <c r="I29" s="250"/>
      <c r="J29" s="250"/>
      <c r="K29" s="250"/>
      <c r="L29" s="250"/>
      <c r="M29" s="250"/>
      <c r="N29" s="250"/>
      <c r="O29" s="250"/>
      <c r="P29" s="250"/>
      <c r="Q29" s="250"/>
      <c r="R29" s="250"/>
      <c r="S29" s="250"/>
      <c r="T29" s="250"/>
      <c r="U29" s="250"/>
    </row>
    <row r="30" spans="1:21" ht="16.5" thickBot="1" x14ac:dyDescent="0.3">
      <c r="A30" s="264" t="s">
        <v>357</v>
      </c>
      <c r="B30" s="265"/>
      <c r="C30" s="754" t="s">
        <v>178</v>
      </c>
      <c r="D30" s="703"/>
      <c r="E30" s="701">
        <v>13</v>
      </c>
      <c r="F30" s="774" t="str">
        <f>INDEX(C33:C51,E30,1)</f>
        <v>QPSK</v>
      </c>
      <c r="G30" s="250"/>
      <c r="H30" s="79" t="s">
        <v>583</v>
      </c>
      <c r="I30" s="250"/>
      <c r="J30" s="250"/>
      <c r="K30" s="250"/>
      <c r="L30" s="250"/>
      <c r="M30" s="250"/>
      <c r="N30" s="250"/>
      <c r="O30" s="250"/>
      <c r="P30" s="250"/>
      <c r="Q30" s="250"/>
      <c r="R30" s="250"/>
      <c r="S30" s="250"/>
      <c r="T30" s="250"/>
      <c r="U30" s="250"/>
    </row>
    <row r="31" spans="1:21" ht="13.5" thickBot="1" x14ac:dyDescent="0.25">
      <c r="A31" s="755" t="s">
        <v>861</v>
      </c>
      <c r="B31" s="3"/>
      <c r="C31" s="3"/>
      <c r="D31" s="3"/>
      <c r="E31" s="3"/>
      <c r="F31" s="3"/>
      <c r="G31" s="250"/>
      <c r="H31" s="80" t="s">
        <v>584</v>
      </c>
      <c r="I31" s="250"/>
      <c r="J31" s="250"/>
      <c r="K31" s="250"/>
      <c r="L31" s="250"/>
      <c r="M31" s="250"/>
      <c r="N31" s="250"/>
      <c r="O31" s="250"/>
      <c r="P31" s="250"/>
      <c r="Q31" s="250"/>
      <c r="R31" s="250"/>
      <c r="S31" s="250"/>
      <c r="T31" s="250"/>
      <c r="U31" s="250"/>
    </row>
    <row r="32" spans="1:21" ht="15" x14ac:dyDescent="0.2">
      <c r="A32" s="250"/>
      <c r="B32" s="73" t="s">
        <v>161</v>
      </c>
      <c r="C32" s="73" t="s">
        <v>160</v>
      </c>
      <c r="D32" s="73" t="s">
        <v>162</v>
      </c>
      <c r="E32" s="73" t="s">
        <v>164</v>
      </c>
      <c r="F32" s="73" t="s">
        <v>165</v>
      </c>
      <c r="G32" s="250"/>
      <c r="H32" s="82">
        <f>INDEX(F33:F51,E30,1)+E53</f>
        <v>9.6</v>
      </c>
      <c r="I32" s="250"/>
      <c r="J32" s="250"/>
      <c r="K32" s="250"/>
      <c r="L32" s="250"/>
      <c r="M32" s="250"/>
      <c r="N32" s="250"/>
      <c r="O32" s="250"/>
      <c r="P32" s="250"/>
      <c r="Q32" s="250"/>
      <c r="R32" s="250"/>
      <c r="S32" s="250"/>
      <c r="T32" s="250"/>
      <c r="U32" s="250"/>
    </row>
    <row r="33" spans="1:21" ht="15.75" thickBot="1" x14ac:dyDescent="0.25">
      <c r="A33" s="250"/>
      <c r="B33" s="77">
        <v>1</v>
      </c>
      <c r="C33" s="74" t="s">
        <v>166</v>
      </c>
      <c r="D33" s="74" t="s">
        <v>167</v>
      </c>
      <c r="E33" s="75">
        <v>1E-4</v>
      </c>
      <c r="F33" s="83">
        <v>21</v>
      </c>
      <c r="G33" s="250"/>
      <c r="H33" s="81" t="s">
        <v>78</v>
      </c>
      <c r="I33" s="250"/>
      <c r="J33" s="250"/>
      <c r="K33" s="250"/>
      <c r="L33" s="250"/>
      <c r="M33" s="250"/>
      <c r="N33" s="250"/>
      <c r="O33" s="250"/>
      <c r="P33" s="250"/>
      <c r="Q33" s="250"/>
      <c r="R33" s="250"/>
      <c r="S33" s="250"/>
      <c r="T33" s="250"/>
      <c r="U33" s="250"/>
    </row>
    <row r="34" spans="1:21" ht="15" x14ac:dyDescent="0.2">
      <c r="A34" s="250"/>
      <c r="B34" s="77">
        <v>2</v>
      </c>
      <c r="C34" s="74" t="s">
        <v>166</v>
      </c>
      <c r="D34" s="74" t="s">
        <v>167</v>
      </c>
      <c r="E34" s="75">
        <v>1.0000000000000001E-5</v>
      </c>
      <c r="F34" s="83">
        <v>23.2</v>
      </c>
      <c r="G34" s="250"/>
      <c r="H34" s="250"/>
      <c r="I34" s="250"/>
      <c r="J34" s="250"/>
      <c r="K34" s="250"/>
      <c r="L34" s="250"/>
      <c r="M34" s="250"/>
      <c r="N34" s="250"/>
      <c r="O34" s="250"/>
      <c r="P34" s="250"/>
      <c r="Q34" s="250"/>
      <c r="R34" s="250"/>
      <c r="S34" s="250"/>
      <c r="T34" s="250"/>
      <c r="U34" s="250"/>
    </row>
    <row r="35" spans="1:21" ht="15" x14ac:dyDescent="0.2">
      <c r="A35" s="250"/>
      <c r="B35" s="77">
        <v>3</v>
      </c>
      <c r="C35" s="74" t="s">
        <v>168</v>
      </c>
      <c r="D35" s="74" t="s">
        <v>167</v>
      </c>
      <c r="E35" s="75">
        <v>1E-4</v>
      </c>
      <c r="F35" s="83">
        <v>16.7</v>
      </c>
      <c r="G35" s="250"/>
      <c r="H35" s="250"/>
      <c r="I35" s="250"/>
      <c r="J35" s="250"/>
      <c r="K35" s="250"/>
      <c r="L35" s="250"/>
      <c r="M35" s="250"/>
      <c r="N35" s="250"/>
      <c r="O35" s="250"/>
      <c r="P35" s="250"/>
      <c r="Q35" s="250"/>
      <c r="R35" s="250"/>
      <c r="S35" s="250"/>
      <c r="T35" s="250"/>
      <c r="U35" s="250"/>
    </row>
    <row r="36" spans="1:21" ht="15" x14ac:dyDescent="0.2">
      <c r="A36" s="250"/>
      <c r="B36" s="77">
        <v>4</v>
      </c>
      <c r="C36" s="74" t="s">
        <v>168</v>
      </c>
      <c r="D36" s="74" t="s">
        <v>167</v>
      </c>
      <c r="E36" s="75">
        <v>1.0000000000000001E-5</v>
      </c>
      <c r="F36" s="83">
        <v>18</v>
      </c>
      <c r="G36" s="250"/>
      <c r="H36" s="250"/>
      <c r="I36" s="250"/>
      <c r="J36" s="250"/>
      <c r="K36" s="250"/>
      <c r="L36" s="250"/>
      <c r="M36" s="250"/>
      <c r="N36" s="250"/>
      <c r="O36" s="250"/>
      <c r="P36" s="250"/>
      <c r="Q36" s="250"/>
      <c r="R36" s="250"/>
      <c r="S36" s="250"/>
      <c r="T36" s="250"/>
      <c r="U36" s="250"/>
    </row>
    <row r="37" spans="1:21" ht="15.75" x14ac:dyDescent="0.25">
      <c r="A37" s="250"/>
      <c r="B37" s="77">
        <v>5</v>
      </c>
      <c r="C37" s="74" t="s">
        <v>169</v>
      </c>
      <c r="D37" s="74" t="s">
        <v>167</v>
      </c>
      <c r="E37" s="75">
        <v>1E-4</v>
      </c>
      <c r="F37" s="83">
        <v>13.4</v>
      </c>
      <c r="G37" s="250"/>
      <c r="H37" s="798"/>
      <c r="I37" s="799"/>
      <c r="J37" s="799"/>
      <c r="K37" s="799"/>
      <c r="L37" s="799"/>
      <c r="M37" s="799"/>
      <c r="N37" s="250"/>
      <c r="O37" s="250"/>
      <c r="P37" s="250"/>
      <c r="Q37" s="250"/>
      <c r="R37" s="250"/>
      <c r="S37" s="250"/>
      <c r="T37" s="250"/>
      <c r="U37" s="250"/>
    </row>
    <row r="38" spans="1:21" ht="15.75" x14ac:dyDescent="0.25">
      <c r="A38" s="250"/>
      <c r="B38" s="77">
        <v>6</v>
      </c>
      <c r="C38" s="74" t="s">
        <v>169</v>
      </c>
      <c r="D38" s="74" t="s">
        <v>167</v>
      </c>
      <c r="E38" s="75">
        <v>1.0000000000000001E-5</v>
      </c>
      <c r="F38" s="83">
        <v>13.8</v>
      </c>
      <c r="G38" s="250"/>
      <c r="H38" s="800"/>
      <c r="I38" s="799"/>
      <c r="J38" s="799"/>
      <c r="K38" s="806"/>
      <c r="L38" s="806"/>
      <c r="M38" s="806"/>
      <c r="N38" s="250"/>
      <c r="O38" s="250"/>
      <c r="P38" s="250"/>
      <c r="Q38" s="250"/>
      <c r="R38" s="250"/>
      <c r="S38" s="250"/>
      <c r="T38" s="250"/>
      <c r="U38" s="250"/>
    </row>
    <row r="39" spans="1:21" ht="15" x14ac:dyDescent="0.2">
      <c r="A39" s="250"/>
      <c r="B39" s="77">
        <v>7</v>
      </c>
      <c r="C39" s="74" t="s">
        <v>170</v>
      </c>
      <c r="D39" s="74" t="s">
        <v>167</v>
      </c>
      <c r="E39" s="75">
        <v>1E-4</v>
      </c>
      <c r="F39" s="83">
        <v>10.5</v>
      </c>
      <c r="G39" s="250"/>
      <c r="H39" s="799"/>
      <c r="I39" s="801"/>
      <c r="J39" s="799"/>
      <c r="K39" s="799"/>
      <c r="L39" s="799"/>
      <c r="M39" s="799"/>
      <c r="N39" s="250"/>
      <c r="O39" s="250"/>
      <c r="P39" s="250"/>
      <c r="Q39" s="250"/>
      <c r="R39" s="250"/>
      <c r="S39" s="250"/>
      <c r="T39" s="250"/>
      <c r="U39" s="250"/>
    </row>
    <row r="40" spans="1:21" ht="15" x14ac:dyDescent="0.2">
      <c r="A40" s="250"/>
      <c r="B40" s="77">
        <v>8</v>
      </c>
      <c r="C40" s="74" t="s">
        <v>170</v>
      </c>
      <c r="D40" s="74" t="s">
        <v>167</v>
      </c>
      <c r="E40" s="75">
        <v>1.0000000000000001E-5</v>
      </c>
      <c r="F40" s="83">
        <v>11.9</v>
      </c>
      <c r="G40" s="250"/>
      <c r="H40" s="799"/>
      <c r="I40" s="799"/>
      <c r="J40" s="799"/>
      <c r="K40" s="799"/>
      <c r="L40" s="799"/>
      <c r="M40" s="799"/>
      <c r="N40" s="250"/>
      <c r="O40" s="250"/>
      <c r="P40" s="250"/>
      <c r="Q40" s="250"/>
      <c r="R40" s="250"/>
      <c r="S40" s="250"/>
      <c r="T40" s="250"/>
      <c r="U40" s="250"/>
    </row>
    <row r="41" spans="1:21" ht="15.75" x14ac:dyDescent="0.25">
      <c r="A41" s="250"/>
      <c r="B41" s="77">
        <v>9</v>
      </c>
      <c r="C41" s="74" t="s">
        <v>173</v>
      </c>
      <c r="D41" s="74" t="s">
        <v>167</v>
      </c>
      <c r="E41" s="75">
        <v>1E-4</v>
      </c>
      <c r="F41" s="83">
        <v>8.4</v>
      </c>
      <c r="G41" s="250"/>
      <c r="H41" s="800"/>
      <c r="I41" s="799"/>
      <c r="J41" s="799"/>
      <c r="K41" s="806"/>
      <c r="L41" s="806"/>
      <c r="M41" s="806"/>
      <c r="N41" s="250"/>
      <c r="O41" s="250"/>
      <c r="P41" s="250"/>
      <c r="Q41" s="250"/>
      <c r="R41" s="250"/>
      <c r="S41" s="250"/>
      <c r="T41" s="250"/>
      <c r="U41" s="250"/>
    </row>
    <row r="42" spans="1:21" ht="15" x14ac:dyDescent="0.2">
      <c r="A42" s="250"/>
      <c r="B42" s="77">
        <v>10</v>
      </c>
      <c r="C42" s="74" t="s">
        <v>173</v>
      </c>
      <c r="D42" s="74" t="s">
        <v>167</v>
      </c>
      <c r="E42" s="75">
        <v>1.0000000000000001E-5</v>
      </c>
      <c r="F42" s="83">
        <v>9.6</v>
      </c>
      <c r="G42" s="250"/>
      <c r="H42" s="799"/>
      <c r="I42" s="801"/>
      <c r="J42" s="799"/>
      <c r="K42" s="799"/>
      <c r="L42" s="799"/>
      <c r="M42" s="799"/>
      <c r="N42" s="250"/>
      <c r="O42" s="250"/>
      <c r="P42" s="250"/>
      <c r="Q42" s="250"/>
      <c r="R42" s="250"/>
      <c r="S42" s="250"/>
      <c r="T42" s="250"/>
      <c r="U42" s="250"/>
    </row>
    <row r="43" spans="1:21" ht="15" x14ac:dyDescent="0.2">
      <c r="A43" s="250"/>
      <c r="B43" s="77">
        <v>11</v>
      </c>
      <c r="C43" s="74" t="s">
        <v>171</v>
      </c>
      <c r="D43" s="74" t="s">
        <v>167</v>
      </c>
      <c r="E43" s="75">
        <v>1.0000000000000001E-5</v>
      </c>
      <c r="F43" s="83">
        <v>9.6</v>
      </c>
      <c r="G43" s="250"/>
      <c r="H43" s="250"/>
      <c r="I43" s="250"/>
      <c r="J43" s="250"/>
      <c r="K43" s="250"/>
      <c r="L43" s="250"/>
      <c r="M43" s="250"/>
      <c r="N43" s="250"/>
      <c r="O43" s="250"/>
      <c r="P43" s="250"/>
      <c r="Q43" s="250"/>
      <c r="R43" s="250"/>
      <c r="S43" s="250"/>
      <c r="T43" s="250"/>
      <c r="U43" s="250"/>
    </row>
    <row r="44" spans="1:21" ht="15" x14ac:dyDescent="0.2">
      <c r="A44" s="250"/>
      <c r="B44" s="77">
        <v>12</v>
      </c>
      <c r="C44" s="74" t="s">
        <v>171</v>
      </c>
      <c r="D44" s="74" t="s">
        <v>167</v>
      </c>
      <c r="E44" s="75">
        <v>9.9999999999999995E-7</v>
      </c>
      <c r="F44" s="83">
        <v>10.5</v>
      </c>
      <c r="G44" s="250"/>
      <c r="H44" s="250"/>
      <c r="I44" s="250"/>
      <c r="J44" s="250"/>
      <c r="K44" s="250"/>
      <c r="L44" s="250"/>
      <c r="M44" s="250"/>
      <c r="N44" s="250"/>
      <c r="O44" s="250"/>
      <c r="P44" s="250"/>
      <c r="Q44" s="250"/>
      <c r="R44" s="250"/>
      <c r="S44" s="250"/>
      <c r="T44" s="250"/>
      <c r="U44" s="250"/>
    </row>
    <row r="45" spans="1:21" ht="15" x14ac:dyDescent="0.2">
      <c r="A45" s="250"/>
      <c r="B45" s="77">
        <v>13</v>
      </c>
      <c r="C45" s="74" t="s">
        <v>172</v>
      </c>
      <c r="D45" s="74" t="s">
        <v>167</v>
      </c>
      <c r="E45" s="75">
        <v>1.0000000000000001E-5</v>
      </c>
      <c r="F45" s="83">
        <v>9.6</v>
      </c>
      <c r="G45" s="250"/>
      <c r="H45" s="250"/>
      <c r="I45" s="250"/>
      <c r="J45" s="250"/>
      <c r="K45" s="250"/>
      <c r="L45" s="250"/>
      <c r="M45" s="250"/>
      <c r="N45" s="250"/>
      <c r="O45" s="250"/>
      <c r="P45" s="250"/>
      <c r="Q45" s="250"/>
      <c r="R45" s="250"/>
      <c r="S45" s="250"/>
      <c r="T45" s="250"/>
      <c r="U45" s="250"/>
    </row>
    <row r="46" spans="1:21" ht="15" x14ac:dyDescent="0.2">
      <c r="A46" s="250"/>
      <c r="B46" s="77">
        <v>14</v>
      </c>
      <c r="C46" s="74" t="s">
        <v>172</v>
      </c>
      <c r="D46" s="74" t="s">
        <v>167</v>
      </c>
      <c r="E46" s="75">
        <v>9.9999999999999995E-7</v>
      </c>
      <c r="F46" s="83">
        <v>10.5</v>
      </c>
      <c r="G46" s="250"/>
      <c r="H46" s="250"/>
      <c r="I46" s="250"/>
      <c r="J46" s="250"/>
      <c r="K46" s="250"/>
      <c r="L46" s="250"/>
      <c r="M46" s="250"/>
      <c r="N46" s="250"/>
      <c r="O46" s="250"/>
      <c r="P46" s="250"/>
      <c r="Q46" s="250"/>
      <c r="R46" s="250"/>
      <c r="S46" s="250"/>
      <c r="T46" s="250"/>
      <c r="U46" s="250"/>
    </row>
    <row r="47" spans="1:21" ht="15" x14ac:dyDescent="0.2">
      <c r="A47" s="250"/>
      <c r="B47" s="77">
        <v>15</v>
      </c>
      <c r="C47" s="74" t="s">
        <v>171</v>
      </c>
      <c r="D47" s="74" t="s">
        <v>174</v>
      </c>
      <c r="E47" s="75">
        <v>9.9999999999999995E-7</v>
      </c>
      <c r="F47" s="83">
        <v>4.8</v>
      </c>
      <c r="G47" s="250"/>
      <c r="H47" s="250"/>
      <c r="I47" s="250"/>
      <c r="J47" s="250"/>
      <c r="K47" s="250"/>
      <c r="L47" s="250"/>
      <c r="M47" s="250"/>
      <c r="N47" s="250"/>
      <c r="O47" s="250"/>
      <c r="P47" s="250"/>
      <c r="Q47" s="250"/>
      <c r="R47" s="250"/>
      <c r="S47" s="250"/>
      <c r="T47" s="250"/>
      <c r="U47" s="250"/>
    </row>
    <row r="48" spans="1:21" ht="15" x14ac:dyDescent="0.2">
      <c r="A48" s="250"/>
      <c r="B48" s="77">
        <v>16</v>
      </c>
      <c r="C48" s="74" t="s">
        <v>171</v>
      </c>
      <c r="D48" s="74" t="s">
        <v>175</v>
      </c>
      <c r="E48" s="75">
        <v>9.9999999999999995E-7</v>
      </c>
      <c r="F48" s="83">
        <v>2.5</v>
      </c>
      <c r="G48" s="250"/>
      <c r="H48" s="250"/>
      <c r="I48" s="250"/>
      <c r="J48" s="250"/>
      <c r="K48" s="250"/>
      <c r="L48" s="250"/>
      <c r="M48" s="250"/>
      <c r="N48" s="250"/>
      <c r="O48" s="250"/>
      <c r="P48" s="250"/>
      <c r="Q48" s="250"/>
      <c r="R48" s="250"/>
      <c r="S48" s="250"/>
      <c r="T48" s="250"/>
      <c r="U48" s="250"/>
    </row>
    <row r="49" spans="1:21" ht="15" x14ac:dyDescent="0.2">
      <c r="A49" s="250"/>
      <c r="B49" s="77">
        <v>17</v>
      </c>
      <c r="C49" s="74" t="s">
        <v>171</v>
      </c>
      <c r="D49" s="74" t="s">
        <v>176</v>
      </c>
      <c r="E49" s="75">
        <v>9.9999999999999995E-8</v>
      </c>
      <c r="F49" s="83">
        <v>0.8</v>
      </c>
      <c r="G49" s="250"/>
      <c r="H49" s="250"/>
      <c r="I49" s="250"/>
      <c r="J49" s="250"/>
      <c r="K49" s="250"/>
      <c r="L49" s="250"/>
      <c r="M49" s="250"/>
      <c r="N49" s="250"/>
      <c r="O49" s="250"/>
      <c r="P49" s="250"/>
      <c r="Q49" s="250"/>
      <c r="R49" s="250"/>
      <c r="S49" s="250"/>
      <c r="T49" s="250"/>
      <c r="U49" s="250"/>
    </row>
    <row r="50" spans="1:21" ht="15" x14ac:dyDescent="0.2">
      <c r="A50" s="250"/>
      <c r="B50" s="77">
        <v>18</v>
      </c>
      <c r="C50" s="74" t="s">
        <v>171</v>
      </c>
      <c r="D50" s="74" t="s">
        <v>814</v>
      </c>
      <c r="E50" s="75">
        <v>9.9999999999999995E-7</v>
      </c>
      <c r="F50" s="772">
        <v>0.75</v>
      </c>
      <c r="G50" s="250"/>
      <c r="H50" s="250"/>
      <c r="I50" s="250"/>
      <c r="J50" s="250"/>
      <c r="K50" s="250"/>
      <c r="L50" s="250"/>
      <c r="M50" s="250"/>
      <c r="N50" s="250"/>
      <c r="O50" s="250"/>
      <c r="P50" s="250"/>
      <c r="Q50" s="250"/>
      <c r="R50" s="250"/>
      <c r="S50" s="250"/>
      <c r="T50" s="250"/>
      <c r="U50" s="250"/>
    </row>
    <row r="51" spans="1:21" ht="15" x14ac:dyDescent="0.2">
      <c r="A51" s="250"/>
      <c r="B51" s="77">
        <v>19</v>
      </c>
      <c r="C51" s="76" t="s">
        <v>177</v>
      </c>
      <c r="D51" s="76" t="s">
        <v>167</v>
      </c>
      <c r="E51" s="85">
        <v>1.0000000000000001E-5</v>
      </c>
      <c r="F51" s="84">
        <v>9.6</v>
      </c>
      <c r="G51" s="250"/>
      <c r="H51" s="250"/>
      <c r="I51" s="250"/>
      <c r="J51" s="250"/>
      <c r="K51" s="250"/>
      <c r="L51" s="250"/>
      <c r="M51" s="250"/>
      <c r="N51" s="250"/>
      <c r="O51" s="250"/>
      <c r="P51" s="250"/>
      <c r="Q51" s="250"/>
      <c r="R51" s="250"/>
      <c r="S51" s="250"/>
      <c r="T51" s="250"/>
      <c r="U51" s="250"/>
    </row>
    <row r="52" spans="1:21" ht="13.5" thickBot="1" x14ac:dyDescent="0.25">
      <c r="A52" s="250"/>
      <c r="B52" s="250"/>
      <c r="C52" s="250"/>
      <c r="D52" s="263" t="s">
        <v>582</v>
      </c>
      <c r="E52" s="250"/>
      <c r="F52" s="262"/>
      <c r="G52" s="250"/>
      <c r="H52" s="250"/>
      <c r="I52" s="250"/>
      <c r="J52" s="250"/>
      <c r="K52" s="250"/>
      <c r="L52" s="250"/>
      <c r="M52" s="250"/>
      <c r="N52" s="250"/>
      <c r="O52" s="250"/>
      <c r="P52" s="250"/>
      <c r="Q52" s="250"/>
      <c r="R52" s="250"/>
      <c r="S52" s="250"/>
      <c r="T52" s="250"/>
      <c r="U52" s="250"/>
    </row>
    <row r="53" spans="1:21" ht="16.5" thickBot="1" x14ac:dyDescent="0.3">
      <c r="A53" s="250"/>
      <c r="B53" s="250"/>
      <c r="C53" s="250"/>
      <c r="D53" s="756" t="s">
        <v>179</v>
      </c>
      <c r="E53" s="757">
        <v>0</v>
      </c>
      <c r="F53" s="78" t="s">
        <v>78</v>
      </c>
      <c r="G53" s="250"/>
      <c r="H53" s="250"/>
      <c r="I53" s="250"/>
      <c r="J53" s="250"/>
      <c r="K53" s="250"/>
      <c r="L53" s="250"/>
      <c r="M53" s="250"/>
      <c r="N53" s="250"/>
      <c r="O53" s="250"/>
      <c r="P53" s="250"/>
      <c r="Q53" s="250"/>
      <c r="R53" s="250"/>
      <c r="S53" s="250"/>
      <c r="T53" s="250"/>
      <c r="U53" s="250"/>
    </row>
    <row r="54" spans="1:21" x14ac:dyDescent="0.2">
      <c r="A54" s="250"/>
      <c r="B54" s="376" t="s">
        <v>370</v>
      </c>
      <c r="C54" s="250"/>
      <c r="D54" s="250"/>
      <c r="E54" s="250"/>
      <c r="F54" s="250"/>
      <c r="G54" s="250"/>
      <c r="H54" s="250"/>
      <c r="I54" s="250"/>
      <c r="J54" s="250"/>
      <c r="K54" s="250"/>
      <c r="L54" s="250"/>
      <c r="M54" s="250"/>
      <c r="N54" s="250"/>
      <c r="O54" s="250"/>
      <c r="P54" s="250"/>
      <c r="Q54" s="250"/>
      <c r="R54" s="250"/>
      <c r="S54" s="250"/>
      <c r="T54" s="250"/>
      <c r="U54" s="250"/>
    </row>
    <row r="55" spans="1:21" x14ac:dyDescent="0.2">
      <c r="A55" s="250"/>
      <c r="B55" s="250"/>
      <c r="C55" s="250"/>
      <c r="D55" s="250"/>
      <c r="E55" s="250"/>
      <c r="F55" s="250"/>
      <c r="G55" s="250"/>
      <c r="H55" s="250"/>
      <c r="I55" s="250"/>
      <c r="J55" s="250"/>
      <c r="K55" s="250"/>
      <c r="L55" s="250"/>
      <c r="M55" s="250"/>
      <c r="N55" s="250"/>
      <c r="O55" s="250"/>
      <c r="P55" s="250"/>
      <c r="Q55" s="250"/>
      <c r="R55" s="250"/>
      <c r="S55" s="250"/>
      <c r="T55" s="250"/>
      <c r="U55" s="250"/>
    </row>
    <row r="56" spans="1:21" x14ac:dyDescent="0.2">
      <c r="A56" s="250"/>
      <c r="B56" s="250"/>
      <c r="C56" s="250"/>
      <c r="D56" s="250"/>
      <c r="E56" s="250"/>
      <c r="F56" s="250"/>
      <c r="G56" s="250"/>
      <c r="H56" s="250"/>
      <c r="I56" s="250"/>
      <c r="J56" s="250"/>
      <c r="K56" s="250"/>
      <c r="L56" s="250"/>
      <c r="M56" s="250"/>
      <c r="N56" s="250"/>
      <c r="O56" s="250"/>
      <c r="P56" s="250"/>
      <c r="Q56" s="250"/>
      <c r="R56" s="250"/>
      <c r="S56" s="250"/>
      <c r="T56" s="250"/>
      <c r="U56" s="250"/>
    </row>
    <row r="57" spans="1:21" x14ac:dyDescent="0.2">
      <c r="A57" s="250"/>
      <c r="B57" s="250"/>
      <c r="C57" s="250"/>
      <c r="D57" s="250"/>
      <c r="E57" s="250"/>
      <c r="F57" s="250"/>
      <c r="G57" s="250"/>
      <c r="H57" s="250"/>
      <c r="I57" s="250"/>
      <c r="J57" s="250"/>
      <c r="K57" s="250"/>
      <c r="L57" s="250"/>
      <c r="M57" s="250"/>
      <c r="N57" s="250"/>
      <c r="O57" s="250"/>
      <c r="P57" s="250"/>
      <c r="Q57" s="250"/>
      <c r="R57" s="250"/>
      <c r="S57" s="250"/>
      <c r="T57" s="250"/>
      <c r="U57" s="250"/>
    </row>
    <row r="58" spans="1:21" x14ac:dyDescent="0.2">
      <c r="A58" s="250"/>
      <c r="B58" s="250"/>
      <c r="C58" s="250"/>
      <c r="D58" s="250"/>
      <c r="E58" s="250"/>
      <c r="F58" s="250"/>
      <c r="G58" s="250"/>
      <c r="H58" s="250"/>
      <c r="I58" s="250"/>
      <c r="J58" s="250"/>
      <c r="K58" s="250"/>
      <c r="L58" s="250"/>
      <c r="M58" s="250"/>
      <c r="N58" s="250"/>
      <c r="O58" s="250"/>
      <c r="P58" s="250"/>
      <c r="Q58" s="250"/>
      <c r="R58" s="250"/>
      <c r="S58" s="250"/>
      <c r="T58" s="250"/>
      <c r="U58" s="250"/>
    </row>
    <row r="59" spans="1:21" x14ac:dyDescent="0.2">
      <c r="A59" s="250"/>
      <c r="B59" s="250"/>
      <c r="C59" s="250"/>
      <c r="D59" s="250"/>
      <c r="E59" s="250"/>
      <c r="F59" s="250"/>
      <c r="G59" s="250"/>
      <c r="H59" s="250"/>
      <c r="I59" s="250"/>
      <c r="J59" s="250"/>
      <c r="K59" s="250"/>
      <c r="L59" s="250"/>
      <c r="M59" s="250"/>
      <c r="N59" s="250"/>
      <c r="O59" s="250"/>
      <c r="P59" s="250"/>
      <c r="Q59" s="250"/>
      <c r="R59" s="250"/>
      <c r="S59" s="250"/>
      <c r="T59" s="250"/>
      <c r="U59" s="250"/>
    </row>
    <row r="60" spans="1:21" x14ac:dyDescent="0.2">
      <c r="A60" s="250"/>
      <c r="B60" s="250"/>
      <c r="C60" s="250"/>
      <c r="D60" s="250"/>
      <c r="E60" s="250"/>
      <c r="F60" s="250"/>
      <c r="G60" s="250"/>
      <c r="H60" s="250"/>
      <c r="I60" s="250"/>
      <c r="J60" s="250"/>
      <c r="K60" s="250"/>
      <c r="L60" s="250"/>
      <c r="M60" s="250"/>
      <c r="N60" s="250"/>
      <c r="O60" s="250"/>
      <c r="P60" s="250"/>
      <c r="Q60" s="250"/>
      <c r="R60" s="250"/>
      <c r="S60" s="250"/>
      <c r="T60" s="250"/>
      <c r="U60" s="250"/>
    </row>
    <row r="61" spans="1:21" x14ac:dyDescent="0.2">
      <c r="A61" s="250"/>
      <c r="B61" s="250"/>
      <c r="C61" s="250"/>
      <c r="D61" s="250" t="s">
        <v>37</v>
      </c>
      <c r="E61" s="250"/>
      <c r="F61" s="250"/>
      <c r="G61" s="250"/>
      <c r="H61" s="250"/>
      <c r="I61" s="250"/>
      <c r="J61" s="250"/>
      <c r="K61" s="250"/>
      <c r="L61" s="250"/>
      <c r="M61" s="250"/>
      <c r="N61" s="250"/>
      <c r="O61" s="250"/>
      <c r="P61" s="250"/>
      <c r="Q61" s="250"/>
      <c r="R61" s="250"/>
      <c r="S61" s="250"/>
      <c r="T61" s="250"/>
      <c r="U61" s="250"/>
    </row>
    <row r="62" spans="1:21" x14ac:dyDescent="0.2">
      <c r="A62" s="250"/>
      <c r="B62" s="250"/>
      <c r="C62" s="250"/>
      <c r="D62" s="250"/>
      <c r="E62" s="250"/>
      <c r="F62" s="250"/>
      <c r="G62" s="250"/>
      <c r="H62" s="250"/>
      <c r="I62" s="250"/>
      <c r="J62" s="250"/>
      <c r="K62" s="250"/>
      <c r="L62" s="250"/>
      <c r="M62" s="250"/>
      <c r="N62" s="250"/>
      <c r="O62" s="250"/>
      <c r="P62" s="250"/>
      <c r="Q62" s="250"/>
      <c r="R62" s="250"/>
      <c r="S62" s="250"/>
      <c r="T62" s="250"/>
      <c r="U62" s="250"/>
    </row>
    <row r="63" spans="1:21" x14ac:dyDescent="0.2">
      <c r="A63" s="250"/>
      <c r="B63" s="250"/>
      <c r="C63" s="250"/>
      <c r="D63" s="250"/>
      <c r="E63" s="250"/>
      <c r="F63" s="250"/>
      <c r="G63" s="250"/>
      <c r="H63" s="250"/>
      <c r="I63" s="250"/>
      <c r="J63" s="250"/>
      <c r="K63" s="250"/>
      <c r="L63" s="250"/>
      <c r="M63" s="250"/>
      <c r="N63" s="250"/>
      <c r="O63" s="250"/>
      <c r="P63" s="250"/>
      <c r="Q63" s="250"/>
      <c r="R63" s="250"/>
      <c r="S63" s="250"/>
      <c r="T63" s="250"/>
      <c r="U63" s="250"/>
    </row>
    <row r="64" spans="1:21" x14ac:dyDescent="0.2">
      <c r="A64" s="250"/>
      <c r="B64" s="250"/>
      <c r="C64" s="250"/>
      <c r="D64" s="250"/>
      <c r="E64" s="250"/>
      <c r="F64" s="250"/>
      <c r="G64" s="250"/>
      <c r="H64" s="250"/>
      <c r="I64" s="250"/>
      <c r="J64" s="250"/>
      <c r="K64" s="250"/>
      <c r="L64" s="250"/>
      <c r="M64" s="250"/>
      <c r="N64" s="250"/>
      <c r="O64" s="250"/>
      <c r="P64" s="250"/>
      <c r="Q64" s="250"/>
      <c r="R64" s="250"/>
      <c r="S64" s="250"/>
      <c r="T64" s="250"/>
      <c r="U64" s="250"/>
    </row>
    <row r="65" spans="1:21" x14ac:dyDescent="0.2">
      <c r="A65" s="250"/>
      <c r="B65" s="250"/>
      <c r="C65" s="250"/>
      <c r="D65" s="250"/>
      <c r="E65" s="250"/>
      <c r="F65" s="250"/>
      <c r="G65" s="250"/>
      <c r="H65" s="250"/>
      <c r="I65" s="250"/>
      <c r="J65" s="250"/>
      <c r="K65" s="250"/>
      <c r="L65" s="250"/>
      <c r="M65" s="250"/>
      <c r="N65" s="250"/>
      <c r="O65" s="250"/>
      <c r="P65" s="250"/>
      <c r="Q65" s="250"/>
      <c r="R65" s="250"/>
      <c r="S65" s="250"/>
      <c r="T65" s="250"/>
      <c r="U65" s="250"/>
    </row>
    <row r="66" spans="1:21" x14ac:dyDescent="0.2">
      <c r="A66" s="250"/>
      <c r="B66" s="250"/>
      <c r="C66" s="250"/>
      <c r="D66" s="250"/>
      <c r="E66" s="250"/>
      <c r="F66" s="250"/>
      <c r="G66" s="250"/>
      <c r="H66" s="250"/>
      <c r="I66" s="250"/>
      <c r="J66" s="250"/>
      <c r="K66" s="250"/>
      <c r="L66" s="250"/>
      <c r="M66" s="250"/>
      <c r="N66" s="250"/>
      <c r="O66" s="250"/>
      <c r="P66" s="250"/>
      <c r="Q66" s="250"/>
      <c r="R66" s="250"/>
      <c r="S66" s="250"/>
      <c r="T66" s="250"/>
      <c r="U66" s="250"/>
    </row>
    <row r="67" spans="1:21" x14ac:dyDescent="0.2">
      <c r="A67" s="250"/>
      <c r="B67" s="250"/>
      <c r="C67" s="250"/>
      <c r="D67" s="250"/>
      <c r="E67" s="250"/>
      <c r="F67" s="250"/>
      <c r="G67" s="250"/>
      <c r="H67" s="250"/>
      <c r="I67" s="250"/>
      <c r="J67" s="250"/>
      <c r="K67" s="250"/>
      <c r="L67" s="250"/>
      <c r="M67" s="250"/>
      <c r="N67" s="250"/>
      <c r="O67" s="250"/>
      <c r="P67" s="250"/>
      <c r="Q67" s="250"/>
      <c r="R67" s="250"/>
      <c r="S67" s="250"/>
      <c r="T67" s="250"/>
      <c r="U67" s="250"/>
    </row>
    <row r="68" spans="1:21" x14ac:dyDescent="0.2">
      <c r="A68" s="250"/>
      <c r="B68" s="250"/>
      <c r="C68" s="250"/>
      <c r="D68" s="250"/>
      <c r="E68" s="250"/>
      <c r="F68" s="250"/>
      <c r="G68" s="250"/>
      <c r="H68" s="250"/>
      <c r="I68" s="250"/>
      <c r="J68" s="250"/>
      <c r="K68" s="250"/>
      <c r="L68" s="250"/>
      <c r="M68" s="250"/>
      <c r="N68" s="250"/>
      <c r="O68" s="250"/>
      <c r="P68" s="250"/>
      <c r="Q68" s="250"/>
      <c r="R68" s="250"/>
      <c r="S68" s="250"/>
      <c r="T68" s="250"/>
      <c r="U68" s="250"/>
    </row>
    <row r="69" spans="1:21" x14ac:dyDescent="0.2">
      <c r="A69" s="250"/>
      <c r="B69" s="250"/>
      <c r="C69" s="250"/>
      <c r="D69" s="250"/>
      <c r="E69" s="250"/>
      <c r="F69" s="250"/>
      <c r="G69" s="250"/>
      <c r="H69" s="250"/>
      <c r="I69" s="250"/>
      <c r="J69" s="250"/>
      <c r="K69" s="250"/>
      <c r="L69" s="250"/>
      <c r="M69" s="250"/>
      <c r="N69" s="250"/>
      <c r="O69" s="250"/>
      <c r="P69" s="250"/>
      <c r="Q69" s="250"/>
      <c r="R69" s="250"/>
      <c r="S69" s="250"/>
      <c r="T69" s="250"/>
      <c r="U69" s="250"/>
    </row>
    <row r="70" spans="1:21" x14ac:dyDescent="0.2">
      <c r="A70" s="250"/>
      <c r="B70" s="250"/>
      <c r="C70" s="250"/>
      <c r="D70" s="250"/>
      <c r="E70" s="250"/>
      <c r="F70" s="250"/>
      <c r="G70" s="250"/>
      <c r="H70" s="250"/>
      <c r="I70" s="250"/>
      <c r="J70" s="250"/>
      <c r="K70" s="250"/>
      <c r="L70" s="250"/>
      <c r="M70" s="250"/>
      <c r="N70" s="250"/>
      <c r="O70" s="250"/>
      <c r="P70" s="250"/>
      <c r="Q70" s="250"/>
      <c r="R70" s="250"/>
      <c r="S70" s="250"/>
      <c r="T70" s="250"/>
      <c r="U70" s="250"/>
    </row>
    <row r="71" spans="1:21" x14ac:dyDescent="0.2">
      <c r="A71" s="250"/>
      <c r="B71" s="250"/>
      <c r="C71" s="250"/>
      <c r="D71" s="250"/>
      <c r="E71" s="250"/>
      <c r="F71" s="250"/>
      <c r="G71" s="250"/>
      <c r="H71" s="250"/>
      <c r="I71" s="250"/>
      <c r="J71" s="250"/>
      <c r="K71" s="250"/>
      <c r="L71" s="250"/>
      <c r="M71" s="250"/>
      <c r="N71" s="250"/>
      <c r="O71" s="250"/>
      <c r="P71" s="250"/>
      <c r="Q71" s="250"/>
      <c r="R71" s="250"/>
      <c r="S71" s="250"/>
      <c r="T71" s="250"/>
      <c r="U71" s="250"/>
    </row>
    <row r="72" spans="1:21" x14ac:dyDescent="0.2">
      <c r="A72" s="250"/>
      <c r="B72" s="250"/>
      <c r="C72" s="250"/>
      <c r="D72" s="250"/>
      <c r="E72" s="250"/>
      <c r="F72" s="250"/>
      <c r="G72" s="250"/>
      <c r="H72" s="250"/>
      <c r="I72" s="250"/>
      <c r="J72" s="250"/>
      <c r="K72" s="250"/>
      <c r="L72" s="250"/>
      <c r="M72" s="250"/>
      <c r="N72" s="250"/>
      <c r="O72" s="250"/>
      <c r="P72" s="250"/>
      <c r="Q72" s="250"/>
      <c r="R72" s="250"/>
      <c r="S72" s="250"/>
      <c r="T72" s="250"/>
      <c r="U72" s="250"/>
    </row>
    <row r="73" spans="1:21" x14ac:dyDescent="0.2">
      <c r="A73" s="250"/>
      <c r="B73" s="250"/>
      <c r="C73" s="250"/>
      <c r="D73" s="250"/>
      <c r="E73" s="250"/>
      <c r="F73" s="250"/>
      <c r="G73" s="250"/>
      <c r="H73" s="250"/>
      <c r="I73" s="250"/>
      <c r="J73" s="250"/>
      <c r="K73" s="250"/>
      <c r="L73" s="250"/>
      <c r="M73" s="250"/>
      <c r="N73" s="250"/>
      <c r="O73" s="250"/>
      <c r="P73" s="250"/>
      <c r="Q73" s="250"/>
      <c r="R73" s="250"/>
      <c r="S73" s="250"/>
      <c r="T73" s="250"/>
      <c r="U73" s="250"/>
    </row>
    <row r="74" spans="1:21" x14ac:dyDescent="0.2">
      <c r="A74" s="250"/>
      <c r="B74" s="250"/>
      <c r="C74" s="250"/>
      <c r="D74" s="250"/>
      <c r="E74" s="250"/>
      <c r="F74" s="250"/>
      <c r="G74" s="250"/>
      <c r="H74" s="250"/>
      <c r="I74" s="250"/>
      <c r="J74" s="250"/>
      <c r="K74" s="250"/>
      <c r="L74" s="250"/>
      <c r="M74" s="250"/>
      <c r="N74" s="250"/>
      <c r="O74" s="250"/>
      <c r="P74" s="250"/>
      <c r="Q74" s="250"/>
      <c r="R74" s="250"/>
      <c r="S74" s="250"/>
      <c r="T74" s="250"/>
      <c r="U74" s="250"/>
    </row>
    <row r="75" spans="1:21" x14ac:dyDescent="0.2">
      <c r="A75" s="250"/>
      <c r="B75" s="250"/>
      <c r="C75" s="250"/>
      <c r="D75" s="250"/>
      <c r="E75" s="250"/>
      <c r="F75" s="250"/>
      <c r="G75" s="250"/>
      <c r="H75" s="250"/>
      <c r="I75" s="250"/>
      <c r="J75" s="250"/>
      <c r="K75" s="250"/>
      <c r="L75" s="250"/>
      <c r="M75" s="250"/>
      <c r="N75" s="250"/>
      <c r="O75" s="250"/>
      <c r="P75" s="250"/>
      <c r="Q75" s="250"/>
      <c r="R75" s="250"/>
      <c r="S75" s="250"/>
      <c r="T75" s="250"/>
      <c r="U75" s="250"/>
    </row>
    <row r="76" spans="1:21" x14ac:dyDescent="0.2">
      <c r="A76" s="250"/>
      <c r="B76" s="250"/>
      <c r="C76" s="250"/>
      <c r="D76" s="250"/>
      <c r="E76" s="250"/>
      <c r="F76" s="250"/>
      <c r="G76" s="250"/>
      <c r="H76" s="250"/>
      <c r="I76" s="250"/>
      <c r="J76" s="250"/>
      <c r="K76" s="250"/>
      <c r="L76" s="250"/>
      <c r="M76" s="250"/>
      <c r="N76" s="250"/>
      <c r="O76" s="250"/>
      <c r="P76" s="250"/>
      <c r="Q76" s="250"/>
      <c r="R76" s="250"/>
      <c r="S76" s="250"/>
      <c r="T76" s="250"/>
      <c r="U76" s="250"/>
    </row>
    <row r="77" spans="1:21" x14ac:dyDescent="0.2">
      <c r="A77" s="250"/>
      <c r="B77" s="250"/>
      <c r="C77" s="250"/>
      <c r="D77" s="250"/>
      <c r="E77" s="250"/>
      <c r="F77" s="250"/>
      <c r="G77" s="250"/>
      <c r="H77" s="250"/>
      <c r="I77" s="250"/>
      <c r="J77" s="250"/>
      <c r="K77" s="250"/>
      <c r="L77" s="250"/>
      <c r="M77" s="250"/>
      <c r="N77" s="250"/>
      <c r="O77" s="250"/>
      <c r="P77" s="250"/>
      <c r="Q77" s="250"/>
      <c r="R77" s="250"/>
      <c r="S77" s="250"/>
      <c r="T77" s="250"/>
      <c r="U77" s="250"/>
    </row>
    <row r="78" spans="1:21" x14ac:dyDescent="0.2">
      <c r="A78" s="250"/>
      <c r="B78" s="250"/>
      <c r="C78" s="250"/>
      <c r="D78" s="250"/>
      <c r="E78" s="250"/>
      <c r="F78" s="250"/>
      <c r="G78" s="250"/>
      <c r="H78" s="250"/>
      <c r="I78" s="250"/>
      <c r="J78" s="250"/>
      <c r="K78" s="250"/>
      <c r="L78" s="250"/>
      <c r="M78" s="250"/>
      <c r="N78" s="250"/>
      <c r="O78" s="250"/>
      <c r="P78" s="250"/>
      <c r="Q78" s="250"/>
      <c r="R78" s="250"/>
      <c r="S78" s="250"/>
      <c r="T78" s="250"/>
      <c r="U78" s="250"/>
    </row>
    <row r="79" spans="1:21" x14ac:dyDescent="0.2">
      <c r="A79" s="250"/>
      <c r="B79" s="250"/>
      <c r="C79" s="250"/>
      <c r="D79" s="250"/>
      <c r="E79" s="250"/>
      <c r="F79" s="250"/>
      <c r="G79" s="250"/>
      <c r="H79" s="250"/>
      <c r="I79" s="250"/>
      <c r="J79" s="250"/>
      <c r="K79" s="250"/>
      <c r="L79" s="250"/>
      <c r="M79" s="250"/>
      <c r="N79" s="250"/>
      <c r="O79" s="250"/>
      <c r="P79" s="250"/>
      <c r="Q79" s="250"/>
      <c r="R79" s="250"/>
      <c r="S79" s="250"/>
      <c r="T79" s="250"/>
      <c r="U79" s="250"/>
    </row>
    <row r="80" spans="1:21" x14ac:dyDescent="0.2">
      <c r="A80" s="250"/>
      <c r="B80" s="250"/>
      <c r="C80" s="250"/>
      <c r="D80" s="250"/>
      <c r="E80" s="250"/>
      <c r="F80" s="250"/>
      <c r="G80" s="250"/>
      <c r="H80" s="250"/>
      <c r="I80" s="250"/>
      <c r="J80" s="250"/>
      <c r="K80" s="250"/>
      <c r="L80" s="250"/>
      <c r="M80" s="250"/>
      <c r="N80" s="250"/>
      <c r="O80" s="250"/>
      <c r="P80" s="250"/>
      <c r="Q80" s="250"/>
      <c r="R80" s="250"/>
      <c r="S80" s="250"/>
      <c r="T80" s="250"/>
      <c r="U80" s="250"/>
    </row>
    <row r="81" spans="1:21" x14ac:dyDescent="0.2">
      <c r="A81" s="250"/>
      <c r="B81" s="250"/>
      <c r="C81" s="250"/>
      <c r="D81" s="250"/>
      <c r="E81" s="250"/>
      <c r="F81" s="250"/>
      <c r="G81" s="250"/>
      <c r="H81" s="250"/>
      <c r="I81" s="250"/>
      <c r="J81" s="250"/>
      <c r="K81" s="250"/>
      <c r="L81" s="250"/>
      <c r="M81" s="250"/>
      <c r="N81" s="250"/>
      <c r="O81" s="250"/>
      <c r="P81" s="250"/>
      <c r="Q81" s="250"/>
      <c r="R81" s="250"/>
      <c r="S81" s="250"/>
      <c r="T81" s="250"/>
      <c r="U81" s="250"/>
    </row>
    <row r="82" spans="1:21" x14ac:dyDescent="0.2">
      <c r="A82" s="250"/>
      <c r="B82" s="250"/>
      <c r="C82" s="250"/>
      <c r="D82" s="250"/>
      <c r="E82" s="250"/>
      <c r="F82" s="250"/>
      <c r="G82" s="250"/>
      <c r="H82" s="250"/>
      <c r="I82" s="250"/>
      <c r="J82" s="250"/>
      <c r="K82" s="250"/>
      <c r="L82" s="250"/>
      <c r="M82" s="250"/>
      <c r="N82" s="250"/>
      <c r="O82" s="250"/>
      <c r="P82" s="250"/>
      <c r="Q82" s="250"/>
      <c r="R82" s="250"/>
      <c r="S82" s="250"/>
      <c r="T82" s="250"/>
      <c r="U82" s="250"/>
    </row>
    <row r="83" spans="1:21" x14ac:dyDescent="0.2">
      <c r="A83" s="250"/>
      <c r="B83" s="250"/>
      <c r="C83" s="250"/>
      <c r="D83" s="250"/>
      <c r="E83" s="250"/>
      <c r="F83" s="250"/>
      <c r="G83" s="250"/>
      <c r="H83" s="250"/>
      <c r="I83" s="250"/>
      <c r="J83" s="250"/>
      <c r="K83" s="250"/>
      <c r="L83" s="250"/>
      <c r="M83" s="250"/>
      <c r="N83" s="250"/>
      <c r="O83" s="250"/>
      <c r="P83" s="250"/>
      <c r="Q83" s="250"/>
      <c r="R83" s="250"/>
      <c r="S83" s="250"/>
      <c r="T83" s="250"/>
      <c r="U83" s="250"/>
    </row>
    <row r="84" spans="1:21" x14ac:dyDescent="0.2">
      <c r="A84" s="250"/>
      <c r="B84" s="250"/>
      <c r="C84" s="250"/>
      <c r="D84" s="250"/>
      <c r="E84" s="250"/>
      <c r="F84" s="250"/>
      <c r="G84" s="250"/>
      <c r="H84" s="250"/>
      <c r="I84" s="250"/>
      <c r="J84" s="250"/>
      <c r="K84" s="250"/>
      <c r="L84" s="250"/>
      <c r="M84" s="250"/>
      <c r="N84" s="250"/>
      <c r="O84" s="250"/>
      <c r="P84" s="250"/>
      <c r="Q84" s="250"/>
      <c r="R84" s="250"/>
      <c r="S84" s="250"/>
      <c r="T84" s="250"/>
      <c r="U84" s="250"/>
    </row>
    <row r="85" spans="1:21" x14ac:dyDescent="0.2">
      <c r="A85" s="250"/>
      <c r="B85" s="250"/>
      <c r="C85" s="250"/>
      <c r="D85" s="250"/>
      <c r="E85" s="250"/>
      <c r="F85" s="250"/>
      <c r="G85" s="250"/>
      <c r="H85" s="250"/>
      <c r="I85" s="250"/>
      <c r="J85" s="250"/>
      <c r="K85" s="250"/>
      <c r="L85" s="250"/>
      <c r="M85" s="250"/>
      <c r="N85" s="250"/>
      <c r="O85" s="250"/>
      <c r="P85" s="250"/>
      <c r="Q85" s="250"/>
      <c r="R85" s="250"/>
      <c r="S85" s="250"/>
      <c r="T85" s="250"/>
      <c r="U85" s="250"/>
    </row>
    <row r="86" spans="1:21" x14ac:dyDescent="0.2">
      <c r="A86" s="250"/>
      <c r="B86" s="250"/>
      <c r="C86" s="250"/>
      <c r="D86" s="250"/>
      <c r="E86" s="250"/>
      <c r="F86" s="250"/>
      <c r="G86" s="250"/>
      <c r="H86" s="250"/>
      <c r="I86" s="250"/>
      <c r="J86" s="250"/>
      <c r="K86" s="250"/>
      <c r="L86" s="250"/>
      <c r="M86" s="250"/>
      <c r="N86" s="250"/>
      <c r="O86" s="250"/>
      <c r="P86" s="250"/>
      <c r="Q86" s="250"/>
      <c r="R86" s="250"/>
      <c r="S86" s="250"/>
      <c r="T86" s="250"/>
      <c r="U86" s="250"/>
    </row>
    <row r="87" spans="1:21" x14ac:dyDescent="0.2">
      <c r="A87" s="250"/>
      <c r="B87" s="250"/>
      <c r="C87" s="250"/>
      <c r="D87" s="250"/>
      <c r="E87" s="250"/>
      <c r="F87" s="250"/>
      <c r="G87" s="250"/>
      <c r="H87" s="250"/>
      <c r="I87" s="250"/>
      <c r="J87" s="250"/>
      <c r="K87" s="250"/>
      <c r="L87" s="250"/>
      <c r="M87" s="250"/>
      <c r="N87" s="250"/>
      <c r="O87" s="250"/>
      <c r="P87" s="250"/>
      <c r="Q87" s="250"/>
      <c r="R87" s="250"/>
      <c r="S87" s="250"/>
      <c r="T87" s="250"/>
      <c r="U87" s="250"/>
    </row>
    <row r="88" spans="1:21" x14ac:dyDescent="0.2">
      <c r="A88" s="250"/>
      <c r="B88" s="250"/>
      <c r="C88" s="250"/>
      <c r="D88" s="250"/>
      <c r="E88" s="250"/>
      <c r="F88" s="250"/>
      <c r="G88" s="250"/>
      <c r="H88" s="250"/>
      <c r="I88" s="250"/>
      <c r="J88" s="250"/>
      <c r="K88" s="250"/>
      <c r="L88" s="250"/>
      <c r="M88" s="250"/>
      <c r="N88" s="250"/>
      <c r="O88" s="250"/>
      <c r="P88" s="250"/>
      <c r="Q88" s="250"/>
      <c r="R88" s="250"/>
      <c r="S88" s="250"/>
      <c r="T88" s="250"/>
      <c r="U88" s="250"/>
    </row>
    <row r="89" spans="1:21" x14ac:dyDescent="0.2">
      <c r="A89" s="250"/>
      <c r="B89" s="250"/>
      <c r="C89" s="250"/>
      <c r="D89" s="250"/>
      <c r="E89" s="250"/>
      <c r="F89" s="250"/>
      <c r="G89" s="250"/>
      <c r="H89" s="250"/>
      <c r="I89" s="250"/>
      <c r="J89" s="250"/>
      <c r="K89" s="250"/>
      <c r="L89" s="250"/>
      <c r="M89" s="250"/>
      <c r="N89" s="250"/>
      <c r="O89" s="250"/>
      <c r="P89" s="250"/>
      <c r="Q89" s="250"/>
      <c r="R89" s="250"/>
      <c r="S89" s="250"/>
      <c r="T89" s="250"/>
      <c r="U89" s="250"/>
    </row>
    <row r="90" spans="1:21" x14ac:dyDescent="0.2">
      <c r="A90" s="250"/>
      <c r="B90" s="250"/>
      <c r="C90" s="250"/>
      <c r="D90" s="250"/>
      <c r="E90" s="250"/>
      <c r="F90" s="250"/>
      <c r="G90" s="250"/>
      <c r="H90" s="250"/>
      <c r="I90" s="250"/>
      <c r="J90" s="250"/>
      <c r="K90" s="250"/>
      <c r="L90" s="250"/>
      <c r="M90" s="250"/>
      <c r="N90" s="250"/>
      <c r="O90" s="250"/>
      <c r="P90" s="250"/>
      <c r="Q90" s="250"/>
      <c r="R90" s="250"/>
      <c r="S90" s="250"/>
      <c r="T90" s="250"/>
      <c r="U90" s="250"/>
    </row>
    <row r="91" spans="1:21" x14ac:dyDescent="0.2">
      <c r="A91" s="250"/>
      <c r="B91" s="250"/>
      <c r="C91" s="250"/>
      <c r="D91" s="250"/>
      <c r="E91" s="250"/>
      <c r="F91" s="250"/>
      <c r="G91" s="250"/>
      <c r="H91" s="250"/>
      <c r="I91" s="250"/>
      <c r="J91" s="250"/>
      <c r="K91" s="250"/>
      <c r="L91" s="250"/>
      <c r="M91" s="250"/>
      <c r="N91" s="250"/>
      <c r="O91" s="250"/>
      <c r="P91" s="250"/>
      <c r="Q91" s="250"/>
      <c r="R91" s="250"/>
      <c r="S91" s="250"/>
      <c r="T91" s="250"/>
      <c r="U91" s="250"/>
    </row>
    <row r="92" spans="1:21" x14ac:dyDescent="0.2">
      <c r="A92" s="250"/>
      <c r="B92" s="250"/>
      <c r="C92" s="250"/>
      <c r="D92" s="250"/>
      <c r="E92" s="250"/>
      <c r="F92" s="250"/>
      <c r="G92" s="250"/>
      <c r="H92" s="250"/>
      <c r="I92" s="250"/>
      <c r="J92" s="250"/>
      <c r="K92" s="250"/>
      <c r="L92" s="250"/>
      <c r="M92" s="250"/>
      <c r="N92" s="250"/>
      <c r="O92" s="250"/>
      <c r="P92" s="250"/>
      <c r="Q92" s="250"/>
      <c r="R92" s="250"/>
      <c r="S92" s="250"/>
      <c r="T92" s="250"/>
      <c r="U92" s="250"/>
    </row>
    <row r="93" spans="1:21" x14ac:dyDescent="0.2">
      <c r="A93" s="250"/>
      <c r="B93" s="250"/>
      <c r="C93" s="250"/>
      <c r="D93" s="250"/>
      <c r="E93" s="250"/>
      <c r="F93" s="250"/>
      <c r="G93" s="250"/>
      <c r="H93" s="250"/>
      <c r="I93" s="250"/>
      <c r="J93" s="250"/>
      <c r="K93" s="250"/>
      <c r="L93" s="250"/>
      <c r="M93" s="250"/>
      <c r="N93" s="250"/>
      <c r="O93" s="250"/>
      <c r="P93" s="250"/>
      <c r="Q93" s="250"/>
      <c r="R93" s="250"/>
      <c r="S93" s="250"/>
      <c r="T93" s="250"/>
      <c r="U93" s="250"/>
    </row>
    <row r="94" spans="1:21" x14ac:dyDescent="0.2">
      <c r="A94" s="250"/>
      <c r="B94" s="250"/>
      <c r="C94" s="250"/>
      <c r="D94" s="250"/>
      <c r="E94" s="250"/>
      <c r="F94" s="250"/>
      <c r="G94" s="250"/>
      <c r="H94" s="250"/>
      <c r="I94" s="250"/>
      <c r="J94" s="250"/>
      <c r="K94" s="250"/>
      <c r="L94" s="250"/>
      <c r="M94" s="250"/>
      <c r="N94" s="250"/>
      <c r="O94" s="250"/>
      <c r="P94" s="250"/>
      <c r="Q94" s="250"/>
      <c r="R94" s="250"/>
      <c r="S94" s="250"/>
      <c r="T94" s="250"/>
      <c r="U94" s="250"/>
    </row>
    <row r="95" spans="1:21" x14ac:dyDescent="0.2">
      <c r="A95" s="250"/>
      <c r="B95" s="250"/>
      <c r="C95" s="250"/>
      <c r="D95" s="250"/>
      <c r="E95" s="250"/>
      <c r="F95" s="250"/>
      <c r="G95" s="250"/>
      <c r="H95" s="250"/>
      <c r="I95" s="250"/>
      <c r="J95" s="250"/>
      <c r="K95" s="250"/>
      <c r="L95" s="250"/>
      <c r="M95" s="250"/>
      <c r="N95" s="250"/>
      <c r="O95" s="250"/>
      <c r="P95" s="250"/>
      <c r="Q95" s="250"/>
      <c r="R95" s="250"/>
      <c r="S95" s="250"/>
      <c r="T95" s="250"/>
      <c r="U95" s="250"/>
    </row>
    <row r="96" spans="1:21" x14ac:dyDescent="0.2">
      <c r="A96" s="250"/>
      <c r="B96" s="250"/>
      <c r="C96" s="250"/>
      <c r="D96" s="250"/>
      <c r="E96" s="250"/>
      <c r="F96" s="250"/>
      <c r="G96" s="250"/>
      <c r="H96" s="250"/>
      <c r="I96" s="250"/>
      <c r="J96" s="250"/>
      <c r="K96" s="250"/>
      <c r="L96" s="250"/>
      <c r="M96" s="250"/>
      <c r="N96" s="250"/>
      <c r="O96" s="250"/>
      <c r="P96" s="250"/>
      <c r="Q96" s="250"/>
      <c r="R96" s="250"/>
      <c r="S96" s="250"/>
      <c r="T96" s="250"/>
      <c r="U96" s="250"/>
    </row>
    <row r="97" spans="1:21" x14ac:dyDescent="0.2">
      <c r="A97" s="250"/>
      <c r="B97" s="250"/>
      <c r="C97" s="250"/>
      <c r="D97" s="250"/>
      <c r="E97" s="250"/>
      <c r="F97" s="250"/>
      <c r="G97" s="250"/>
      <c r="H97" s="250"/>
      <c r="I97" s="250"/>
      <c r="J97" s="250"/>
      <c r="K97" s="250"/>
      <c r="L97" s="250"/>
      <c r="M97" s="250"/>
      <c r="N97" s="250"/>
      <c r="O97" s="250"/>
      <c r="P97" s="250"/>
      <c r="Q97" s="250"/>
      <c r="R97" s="250"/>
      <c r="S97" s="250"/>
      <c r="T97" s="250"/>
      <c r="U97" s="250"/>
    </row>
    <row r="98" spans="1:21" x14ac:dyDescent="0.2">
      <c r="A98" s="250"/>
      <c r="B98" s="250"/>
      <c r="C98" s="250"/>
      <c r="D98" s="250"/>
      <c r="E98" s="250"/>
      <c r="F98" s="250"/>
      <c r="G98" s="250"/>
      <c r="H98" s="250"/>
      <c r="I98" s="250"/>
      <c r="J98" s="250"/>
      <c r="K98" s="250"/>
      <c r="L98" s="250"/>
      <c r="M98" s="250"/>
      <c r="N98" s="250"/>
      <c r="O98" s="250"/>
      <c r="P98" s="250"/>
      <c r="Q98" s="250"/>
      <c r="R98" s="250"/>
      <c r="S98" s="250"/>
      <c r="T98" s="250"/>
      <c r="U98" s="250"/>
    </row>
    <row r="99" spans="1:21" x14ac:dyDescent="0.2">
      <c r="A99" s="250"/>
      <c r="B99" s="250"/>
      <c r="C99" s="250"/>
      <c r="D99" s="250"/>
      <c r="E99" s="250"/>
      <c r="F99" s="250"/>
      <c r="G99" s="250"/>
      <c r="H99" s="250"/>
      <c r="I99" s="250"/>
      <c r="J99" s="250"/>
      <c r="K99" s="250"/>
      <c r="L99" s="250"/>
      <c r="M99" s="250"/>
      <c r="N99" s="250"/>
      <c r="O99" s="250"/>
      <c r="P99" s="250"/>
      <c r="Q99" s="250"/>
      <c r="R99" s="250"/>
      <c r="S99" s="250"/>
      <c r="T99" s="250"/>
      <c r="U99" s="250"/>
    </row>
    <row r="100" spans="1:21" x14ac:dyDescent="0.2">
      <c r="A100" s="250"/>
      <c r="B100" s="250"/>
      <c r="C100" s="250"/>
      <c r="D100" s="250"/>
      <c r="E100" s="250"/>
      <c r="F100" s="250"/>
      <c r="G100" s="250"/>
      <c r="H100" s="250"/>
      <c r="I100" s="250"/>
      <c r="J100" s="250"/>
      <c r="K100" s="250"/>
      <c r="L100" s="250"/>
      <c r="M100" s="250"/>
      <c r="N100" s="250"/>
      <c r="O100" s="250"/>
      <c r="P100" s="250"/>
      <c r="Q100" s="250"/>
      <c r="R100" s="250"/>
      <c r="S100" s="250"/>
      <c r="T100" s="250"/>
      <c r="U100" s="250"/>
    </row>
    <row r="101" spans="1:21" x14ac:dyDescent="0.2">
      <c r="A101" s="250"/>
      <c r="B101" s="250"/>
      <c r="C101" s="250"/>
      <c r="D101" s="250"/>
      <c r="E101" s="250"/>
      <c r="F101" s="250"/>
      <c r="G101" s="250"/>
      <c r="H101" s="250"/>
      <c r="I101" s="250"/>
      <c r="J101" s="250"/>
      <c r="K101" s="250"/>
      <c r="L101" s="250"/>
      <c r="M101" s="250"/>
      <c r="N101" s="250"/>
      <c r="O101" s="250"/>
      <c r="P101" s="250"/>
      <c r="Q101" s="250"/>
      <c r="R101" s="250"/>
      <c r="S101" s="250"/>
      <c r="T101" s="250"/>
      <c r="U101" s="250"/>
    </row>
    <row r="102" spans="1:21" x14ac:dyDescent="0.2">
      <c r="A102" s="250"/>
      <c r="B102" s="250"/>
      <c r="C102" s="250"/>
      <c r="D102" s="250"/>
      <c r="E102" s="250"/>
      <c r="F102" s="250"/>
      <c r="G102" s="250"/>
      <c r="H102" s="250"/>
      <c r="I102" s="250"/>
      <c r="J102" s="250"/>
      <c r="K102" s="250"/>
      <c r="L102" s="250"/>
      <c r="M102" s="250"/>
      <c r="N102" s="250"/>
      <c r="O102" s="250"/>
      <c r="P102" s="250"/>
      <c r="Q102" s="250"/>
      <c r="R102" s="250"/>
      <c r="S102" s="250"/>
      <c r="T102" s="250"/>
      <c r="U102" s="250"/>
    </row>
    <row r="103" spans="1:21" x14ac:dyDescent="0.2">
      <c r="A103" s="250"/>
      <c r="B103" s="250"/>
      <c r="C103" s="250"/>
      <c r="D103" s="250"/>
      <c r="E103" s="250"/>
      <c r="F103" s="250"/>
      <c r="G103" s="250"/>
      <c r="H103" s="250"/>
      <c r="I103" s="250"/>
      <c r="J103" s="250"/>
      <c r="K103" s="250"/>
      <c r="L103" s="250"/>
      <c r="M103" s="250"/>
      <c r="N103" s="250"/>
      <c r="O103" s="250"/>
      <c r="P103" s="250"/>
      <c r="Q103" s="250"/>
      <c r="R103" s="250"/>
      <c r="S103" s="250"/>
      <c r="T103" s="250"/>
      <c r="U103" s="250"/>
    </row>
    <row r="104" spans="1:21" x14ac:dyDescent="0.2">
      <c r="A104" s="250"/>
      <c r="B104" s="250"/>
      <c r="C104" s="250"/>
      <c r="D104" s="250"/>
      <c r="E104" s="250"/>
      <c r="F104" s="250"/>
      <c r="G104" s="250"/>
      <c r="H104" s="250"/>
      <c r="I104" s="250"/>
      <c r="J104" s="250"/>
      <c r="K104" s="250"/>
      <c r="L104" s="250"/>
      <c r="M104" s="250"/>
      <c r="N104" s="250"/>
      <c r="O104" s="250"/>
      <c r="P104" s="250"/>
      <c r="Q104" s="250"/>
      <c r="R104" s="250"/>
      <c r="S104" s="250"/>
      <c r="T104" s="250"/>
      <c r="U104" s="250"/>
    </row>
    <row r="105" spans="1:21" x14ac:dyDescent="0.2">
      <c r="A105" s="250"/>
      <c r="B105" s="250"/>
      <c r="C105" s="250"/>
      <c r="D105" s="250"/>
      <c r="E105" s="250"/>
      <c r="F105" s="250"/>
      <c r="G105" s="250"/>
      <c r="H105" s="250"/>
      <c r="I105" s="250"/>
      <c r="J105" s="250"/>
      <c r="K105" s="250"/>
      <c r="L105" s="250"/>
      <c r="M105" s="250"/>
      <c r="N105" s="250"/>
      <c r="O105" s="250"/>
      <c r="P105" s="250"/>
      <c r="Q105" s="250"/>
      <c r="R105" s="250"/>
      <c r="S105" s="250"/>
      <c r="T105" s="250"/>
      <c r="U105" s="250"/>
    </row>
    <row r="106" spans="1:21" x14ac:dyDescent="0.2">
      <c r="A106" s="250"/>
      <c r="B106" s="250"/>
      <c r="C106" s="250"/>
      <c r="D106" s="250"/>
      <c r="E106" s="250"/>
      <c r="F106" s="250"/>
      <c r="G106" s="250"/>
      <c r="H106" s="250"/>
      <c r="I106" s="250"/>
      <c r="J106" s="250"/>
      <c r="K106" s="250"/>
      <c r="L106" s="250"/>
      <c r="M106" s="250"/>
      <c r="N106" s="250"/>
      <c r="O106" s="250"/>
      <c r="P106" s="250"/>
      <c r="Q106" s="250"/>
      <c r="R106" s="250"/>
      <c r="S106" s="250"/>
      <c r="T106" s="250"/>
      <c r="U106" s="250"/>
    </row>
    <row r="107" spans="1:21" x14ac:dyDescent="0.2">
      <c r="A107" s="250"/>
      <c r="B107" s="250"/>
      <c r="C107" s="250"/>
      <c r="D107" s="250"/>
      <c r="E107" s="250"/>
      <c r="F107" s="250"/>
      <c r="G107" s="250"/>
      <c r="H107" s="250"/>
      <c r="I107" s="250"/>
      <c r="J107" s="250"/>
      <c r="K107" s="250"/>
      <c r="L107" s="250"/>
      <c r="M107" s="250"/>
      <c r="N107" s="250"/>
      <c r="O107" s="250"/>
      <c r="P107" s="250"/>
      <c r="Q107" s="250"/>
      <c r="R107" s="250"/>
      <c r="S107" s="250"/>
      <c r="T107" s="250"/>
      <c r="U107" s="250"/>
    </row>
  </sheetData>
  <mergeCells count="4">
    <mergeCell ref="K11:M11"/>
    <mergeCell ref="K14:M14"/>
    <mergeCell ref="K38:M38"/>
    <mergeCell ref="K41:M41"/>
  </mergeCells>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70"/>
  <sheetViews>
    <sheetView topLeftCell="A47" workbookViewId="0">
      <selection activeCell="B29" sqref="B29"/>
    </sheetView>
  </sheetViews>
  <sheetFormatPr defaultRowHeight="12.75" outlineLevelRow="1" outlineLevelCol="1" x14ac:dyDescent="0.2"/>
  <cols>
    <col min="1" max="1" width="41.28515625" customWidth="1"/>
    <col min="2" max="2" width="15" customWidth="1"/>
    <col min="4" max="4" width="19.28515625" customWidth="1" outlineLevel="1"/>
    <col min="5" max="7" width="9.140625" outlineLevel="1"/>
    <col min="8" max="8" width="12" customWidth="1" outlineLevel="1"/>
    <col min="9" max="9" width="38.140625" customWidth="1" outlineLevel="1"/>
    <col min="10" max="10" width="38" customWidth="1"/>
  </cols>
  <sheetData>
    <row r="1" spans="1:18" ht="18" x14ac:dyDescent="0.25">
      <c r="A1" s="48" t="str">
        <f>'Title Page'!F3</f>
        <v>CougSat-1</v>
      </c>
      <c r="B1" s="376" t="s">
        <v>370</v>
      </c>
      <c r="C1" s="49"/>
      <c r="D1" s="732" t="str">
        <f>'Title Page'!F3</f>
        <v>CougSat-1</v>
      </c>
      <c r="E1" s="63" t="s">
        <v>37</v>
      </c>
      <c r="F1" s="63" t="s">
        <v>36</v>
      </c>
      <c r="G1" s="63"/>
      <c r="H1" s="63"/>
      <c r="I1" s="49"/>
      <c r="J1" s="49"/>
      <c r="K1" s="49"/>
      <c r="L1" s="49"/>
      <c r="M1" s="49"/>
      <c r="N1" s="49"/>
      <c r="O1" s="49"/>
      <c r="P1" s="49"/>
      <c r="Q1" s="49"/>
      <c r="R1" s="49"/>
    </row>
    <row r="2" spans="1:18" ht="20.25" x14ac:dyDescent="0.3">
      <c r="A2" s="50" t="s">
        <v>122</v>
      </c>
      <c r="B2" s="49"/>
      <c r="C2" s="49"/>
      <c r="D2" s="63">
        <f>'Title Page'!G1</f>
        <v>0</v>
      </c>
      <c r="E2" s="63"/>
      <c r="F2" s="63" t="str">
        <f>'Title Page'!F25</f>
        <v>2020 January 17</v>
      </c>
      <c r="G2" s="63"/>
      <c r="H2" s="63"/>
      <c r="I2" s="49"/>
      <c r="J2" s="49"/>
      <c r="K2" s="49"/>
      <c r="L2" s="49"/>
      <c r="M2" s="49"/>
      <c r="N2" s="49"/>
      <c r="O2" s="49"/>
      <c r="P2" s="49"/>
      <c r="Q2" s="49"/>
      <c r="R2" s="49"/>
    </row>
    <row r="3" spans="1:18" x14ac:dyDescent="0.2">
      <c r="A3" s="49"/>
      <c r="B3" s="49"/>
      <c r="C3" s="49"/>
      <c r="D3" s="49"/>
      <c r="E3" s="49"/>
      <c r="F3" s="49"/>
      <c r="G3" s="49"/>
      <c r="H3" s="49"/>
      <c r="I3" s="49"/>
      <c r="J3" s="49"/>
      <c r="K3" s="49"/>
      <c r="L3" s="49"/>
      <c r="M3" s="49"/>
      <c r="N3" s="49"/>
      <c r="O3" s="49"/>
      <c r="P3" s="49"/>
      <c r="Q3" s="49"/>
      <c r="R3" s="49"/>
    </row>
    <row r="4" spans="1:18" x14ac:dyDescent="0.2">
      <c r="A4" s="32" t="s">
        <v>38</v>
      </c>
      <c r="B4" s="32" t="s">
        <v>39</v>
      </c>
      <c r="C4" s="32" t="s">
        <v>84</v>
      </c>
      <c r="D4" s="32" t="s">
        <v>85</v>
      </c>
      <c r="E4" s="42"/>
      <c r="F4" s="42"/>
      <c r="G4" s="42"/>
      <c r="H4" s="42"/>
      <c r="I4" s="42"/>
      <c r="J4" s="42"/>
      <c r="K4" s="42"/>
      <c r="L4" s="42"/>
      <c r="M4" s="42"/>
      <c r="N4" s="42"/>
      <c r="O4" s="42"/>
      <c r="P4" s="42"/>
      <c r="Q4" s="42"/>
      <c r="R4" s="42"/>
    </row>
    <row r="5" spans="1:18" x14ac:dyDescent="0.2">
      <c r="A5" s="69" t="s">
        <v>94</v>
      </c>
      <c r="B5" s="26"/>
      <c r="C5" s="26"/>
      <c r="D5" s="26"/>
      <c r="E5" s="26"/>
      <c r="F5" s="26"/>
      <c r="G5" s="26"/>
      <c r="H5" s="26"/>
      <c r="I5" s="26"/>
      <c r="J5" s="26"/>
      <c r="K5" s="26"/>
      <c r="L5" s="26"/>
      <c r="M5" s="26"/>
      <c r="N5" s="26"/>
      <c r="O5" s="26"/>
      <c r="P5" s="26"/>
      <c r="Q5" s="26"/>
      <c r="R5" s="26"/>
    </row>
    <row r="6" spans="1:18" x14ac:dyDescent="0.2">
      <c r="A6" s="98" t="s">
        <v>630</v>
      </c>
      <c r="B6" s="470">
        <f>Transmitters!E16</f>
        <v>10</v>
      </c>
      <c r="C6" s="98" t="s">
        <v>102</v>
      </c>
      <c r="D6" s="462" t="s">
        <v>633</v>
      </c>
      <c r="E6" s="462"/>
      <c r="F6" s="462"/>
      <c r="G6" s="462"/>
      <c r="H6" s="462"/>
      <c r="I6" s="462"/>
      <c r="J6" s="463" t="s">
        <v>668</v>
      </c>
      <c r="K6" s="454"/>
      <c r="L6" s="453"/>
      <c r="M6" s="98"/>
      <c r="N6" s="98"/>
      <c r="O6" s="98"/>
      <c r="P6" s="98"/>
      <c r="Q6" s="98"/>
      <c r="R6" s="98"/>
    </row>
    <row r="7" spans="1:18" x14ac:dyDescent="0.2">
      <c r="A7" s="467" t="s">
        <v>108</v>
      </c>
      <c r="B7" s="140">
        <f>10*LOG10(B6)</f>
        <v>10</v>
      </c>
      <c r="C7" s="98" t="s">
        <v>103</v>
      </c>
      <c r="D7" s="462" t="s">
        <v>624</v>
      </c>
      <c r="E7" s="462"/>
      <c r="F7" s="462"/>
      <c r="G7" s="462"/>
      <c r="H7" s="462"/>
      <c r="I7" s="462"/>
      <c r="J7" s="98"/>
      <c r="K7" s="98"/>
      <c r="L7" s="98"/>
      <c r="M7" s="98"/>
      <c r="N7" s="98"/>
      <c r="O7" s="98"/>
      <c r="P7" s="98"/>
      <c r="Q7" s="98"/>
      <c r="R7" s="98"/>
    </row>
    <row r="8" spans="1:18" x14ac:dyDescent="0.2">
      <c r="A8" s="467" t="s">
        <v>109</v>
      </c>
      <c r="B8" s="378">
        <f>B7+30</f>
        <v>40</v>
      </c>
      <c r="C8" s="98" t="s">
        <v>104</v>
      </c>
      <c r="D8" s="462" t="s">
        <v>625</v>
      </c>
      <c r="E8" s="462"/>
      <c r="F8" s="462"/>
      <c r="G8" s="462"/>
      <c r="H8" s="462"/>
      <c r="I8" s="462"/>
      <c r="J8" s="98"/>
      <c r="K8" s="98"/>
      <c r="L8" s="98"/>
      <c r="M8" s="98"/>
      <c r="N8" s="98"/>
      <c r="O8" s="98"/>
      <c r="P8" s="98"/>
      <c r="Q8" s="98"/>
      <c r="R8" s="98"/>
    </row>
    <row r="9" spans="1:18" x14ac:dyDescent="0.2">
      <c r="A9" s="98" t="s">
        <v>631</v>
      </c>
      <c r="B9" s="471">
        <f>Transmitters!I34</f>
        <v>0.87999999999999989</v>
      </c>
      <c r="C9" s="98" t="s">
        <v>78</v>
      </c>
      <c r="D9" s="462" t="s">
        <v>626</v>
      </c>
      <c r="E9" s="462"/>
      <c r="F9" s="462"/>
      <c r="G9" s="462"/>
      <c r="H9" s="462"/>
      <c r="I9" s="462"/>
      <c r="J9" s="98"/>
      <c r="K9" s="98"/>
      <c r="L9" s="98"/>
      <c r="M9" s="98"/>
      <c r="N9" s="98"/>
      <c r="O9" s="98"/>
      <c r="P9" s="98"/>
      <c r="Q9" s="98"/>
      <c r="R9" s="98"/>
    </row>
    <row r="10" spans="1:18" x14ac:dyDescent="0.2">
      <c r="A10" s="98" t="s">
        <v>87</v>
      </c>
      <c r="B10" s="471">
        <f>INDEX('Antenna Gain'!N13:N16,'Antenna Gain'!E11,1)</f>
        <v>15.740312677277188</v>
      </c>
      <c r="C10" s="98" t="s">
        <v>266</v>
      </c>
      <c r="D10" s="462" t="s">
        <v>635</v>
      </c>
      <c r="E10" s="462"/>
      <c r="F10" s="462"/>
      <c r="G10" s="462"/>
      <c r="H10" s="462"/>
      <c r="I10" s="462"/>
      <c r="J10" s="98"/>
      <c r="K10" s="98"/>
      <c r="L10" s="98"/>
      <c r="M10" s="98"/>
      <c r="N10" s="98"/>
      <c r="O10" s="98"/>
      <c r="P10" s="98"/>
      <c r="Q10" s="98"/>
      <c r="R10" s="98"/>
    </row>
    <row r="11" spans="1:18" x14ac:dyDescent="0.2">
      <c r="A11" s="98" t="s">
        <v>125</v>
      </c>
      <c r="B11" s="44">
        <f>B7-B9+B10</f>
        <v>24.860312677277189</v>
      </c>
      <c r="C11" s="98" t="s">
        <v>103</v>
      </c>
      <c r="D11" s="462" t="s">
        <v>124</v>
      </c>
      <c r="E11" s="462"/>
      <c r="F11" s="462"/>
      <c r="G11" s="462"/>
      <c r="H11" s="462"/>
      <c r="I11" s="462"/>
      <c r="J11" s="98"/>
      <c r="K11" s="98"/>
      <c r="L11" s="98"/>
      <c r="M11" s="98"/>
      <c r="N11" s="98"/>
      <c r="O11" s="98"/>
      <c r="P11" s="98"/>
      <c r="Q11" s="98"/>
      <c r="R11" s="98"/>
    </row>
    <row r="12" spans="1:18" x14ac:dyDescent="0.2">
      <c r="A12" s="69" t="s">
        <v>123</v>
      </c>
      <c r="B12" s="71"/>
      <c r="C12" s="26"/>
      <c r="D12" s="26"/>
      <c r="E12" s="26"/>
      <c r="F12" s="26"/>
      <c r="G12" s="26"/>
      <c r="H12" s="26"/>
      <c r="I12" s="26"/>
      <c r="J12" s="26"/>
      <c r="K12" s="26"/>
      <c r="L12" s="26"/>
      <c r="M12" s="26"/>
      <c r="N12" s="26"/>
      <c r="O12" s="26"/>
      <c r="P12" s="26"/>
      <c r="Q12" s="26"/>
      <c r="R12" s="26"/>
    </row>
    <row r="13" spans="1:18" x14ac:dyDescent="0.2">
      <c r="A13" s="98" t="s">
        <v>115</v>
      </c>
      <c r="B13" s="471">
        <f>'Antenna Pointing Losses'!K43</f>
        <v>0.25892532851375871</v>
      </c>
      <c r="C13" s="98" t="s">
        <v>78</v>
      </c>
      <c r="D13" s="462" t="s">
        <v>638</v>
      </c>
      <c r="E13" s="462"/>
      <c r="F13" s="462"/>
      <c r="G13" s="462"/>
      <c r="H13" s="462"/>
      <c r="I13" s="462"/>
      <c r="J13" s="98"/>
      <c r="K13" s="98"/>
      <c r="L13" s="98"/>
      <c r="M13" s="98"/>
      <c r="N13" s="98"/>
      <c r="O13" s="98"/>
      <c r="P13" s="98"/>
      <c r="Q13" s="98"/>
      <c r="R13" s="98"/>
    </row>
    <row r="14" spans="1:18" x14ac:dyDescent="0.2">
      <c r="A14" s="98" t="s">
        <v>636</v>
      </c>
      <c r="B14" s="470">
        <f>'Polarization Loss'!F40</f>
        <v>6.8020622252548657</v>
      </c>
      <c r="C14" s="98" t="s">
        <v>78</v>
      </c>
      <c r="D14" s="462" t="s">
        <v>646</v>
      </c>
      <c r="E14" s="462"/>
      <c r="F14" s="462"/>
      <c r="G14" s="462"/>
      <c r="H14" s="462"/>
      <c r="I14" s="462"/>
      <c r="J14" s="98"/>
      <c r="K14" s="98"/>
      <c r="L14" s="98"/>
      <c r="M14" s="98"/>
      <c r="N14" s="98"/>
      <c r="O14" s="98"/>
      <c r="P14" s="98"/>
      <c r="Q14" s="98"/>
      <c r="R14" s="98"/>
    </row>
    <row r="15" spans="1:18" x14ac:dyDescent="0.2">
      <c r="A15" s="98" t="s">
        <v>77</v>
      </c>
      <c r="B15" s="472">
        <f>INDEX('Orbit &amp; Frequency'!H31:H34,'Orbit &amp; Frequency'!M31,1)</f>
        <v>148.59189257805076</v>
      </c>
      <c r="C15" s="98" t="s">
        <v>78</v>
      </c>
      <c r="D15" s="462" t="s">
        <v>647</v>
      </c>
      <c r="E15" s="462"/>
      <c r="F15" s="462"/>
      <c r="G15" s="462"/>
      <c r="H15" s="462"/>
      <c r="I15" s="462"/>
      <c r="J15" s="98"/>
      <c r="K15" s="98"/>
      <c r="L15" s="98"/>
      <c r="M15" s="98"/>
      <c r="N15" s="98"/>
      <c r="O15" s="98"/>
      <c r="P15" s="98"/>
      <c r="Q15" s="98"/>
      <c r="R15" s="98"/>
    </row>
    <row r="16" spans="1:18" x14ac:dyDescent="0.2">
      <c r="A16" s="98" t="s">
        <v>90</v>
      </c>
      <c r="B16" s="471">
        <f>'Atmos. &amp; Ionos. Losses'!D23</f>
        <v>1.1000000000000001</v>
      </c>
      <c r="C16" s="98" t="s">
        <v>78</v>
      </c>
      <c r="D16" s="462" t="s">
        <v>559</v>
      </c>
      <c r="E16" s="462"/>
      <c r="F16" s="462"/>
      <c r="G16" s="462"/>
      <c r="H16" s="462"/>
      <c r="I16" s="462"/>
      <c r="J16" s="98"/>
      <c r="K16" s="98"/>
      <c r="L16" s="98"/>
      <c r="M16" s="98"/>
      <c r="N16" s="98"/>
      <c r="O16" s="98"/>
      <c r="P16" s="98"/>
      <c r="Q16" s="98"/>
      <c r="R16" s="98"/>
    </row>
    <row r="17" spans="1:18" x14ac:dyDescent="0.2">
      <c r="A17" s="98" t="s">
        <v>91</v>
      </c>
      <c r="B17" s="471">
        <f>INDEX('Atmos. &amp; Ionos. Losses'!D32:D35,'Orbit &amp; Frequency'!M31,1)</f>
        <v>0.4</v>
      </c>
      <c r="C17" s="98" t="s">
        <v>78</v>
      </c>
      <c r="D17" s="462" t="s">
        <v>561</v>
      </c>
      <c r="E17" s="462"/>
      <c r="F17" s="462"/>
      <c r="G17" s="462"/>
      <c r="H17" s="462"/>
      <c r="I17" s="462"/>
      <c r="J17" s="98"/>
      <c r="K17" s="98"/>
      <c r="L17" s="98"/>
      <c r="M17" s="98"/>
      <c r="N17" s="98"/>
      <c r="O17" s="98"/>
      <c r="P17" s="98"/>
      <c r="Q17" s="98"/>
      <c r="R17" s="98"/>
    </row>
    <row r="18" spans="1:18" x14ac:dyDescent="0.2">
      <c r="A18" s="98" t="s">
        <v>92</v>
      </c>
      <c r="B18" s="474">
        <v>0</v>
      </c>
      <c r="C18" s="98" t="s">
        <v>78</v>
      </c>
      <c r="D18" s="462" t="s">
        <v>569</v>
      </c>
      <c r="E18" s="462"/>
      <c r="F18" s="462"/>
      <c r="G18" s="462"/>
      <c r="H18" s="462"/>
      <c r="I18" s="462"/>
      <c r="J18" s="98"/>
      <c r="K18" s="98"/>
      <c r="L18" s="98"/>
      <c r="M18" s="98"/>
      <c r="N18" s="98"/>
      <c r="O18" s="98"/>
      <c r="P18" s="98"/>
      <c r="Q18" s="98"/>
      <c r="R18" s="98"/>
    </row>
    <row r="19" spans="1:18" x14ac:dyDescent="0.2">
      <c r="A19" s="98" t="s">
        <v>796</v>
      </c>
      <c r="B19" s="44">
        <f>B11-SUM(B13:B18)</f>
        <v>-132.29256745454219</v>
      </c>
      <c r="C19" s="98" t="s">
        <v>103</v>
      </c>
      <c r="D19" s="462" t="s">
        <v>797</v>
      </c>
      <c r="E19" s="462"/>
      <c r="F19" s="462"/>
      <c r="G19" s="462"/>
      <c r="H19" s="462"/>
      <c r="I19" s="462"/>
      <c r="J19" s="98"/>
      <c r="K19" s="98"/>
      <c r="L19" s="98"/>
      <c r="M19" s="98"/>
      <c r="N19" s="98"/>
      <c r="O19" s="98"/>
      <c r="P19" s="98"/>
      <c r="Q19" s="98"/>
      <c r="R19" s="98"/>
    </row>
    <row r="20" spans="1:18" x14ac:dyDescent="0.2">
      <c r="A20" s="69" t="s">
        <v>667</v>
      </c>
      <c r="B20" s="26"/>
      <c r="C20" s="26"/>
      <c r="D20" s="26"/>
      <c r="E20" s="26"/>
      <c r="F20" s="26"/>
      <c r="G20" s="26"/>
      <c r="H20" s="26"/>
      <c r="I20" s="26"/>
      <c r="J20" s="41"/>
      <c r="K20" s="47"/>
      <c r="L20" s="47"/>
      <c r="M20" s="47"/>
      <c r="N20" s="51"/>
      <c r="O20" s="52"/>
      <c r="P20" s="52"/>
      <c r="Q20" s="52"/>
      <c r="R20" s="26"/>
    </row>
    <row r="21" spans="1:18" outlineLevel="1" x14ac:dyDescent="0.2">
      <c r="A21" s="69" t="s">
        <v>154</v>
      </c>
      <c r="B21" s="26"/>
      <c r="C21" s="26"/>
      <c r="D21" s="26"/>
      <c r="E21" s="26"/>
      <c r="F21" s="26"/>
      <c r="G21" s="26"/>
      <c r="H21" s="26"/>
      <c r="I21" s="26"/>
      <c r="J21" s="41"/>
      <c r="K21" s="47"/>
      <c r="L21" s="47"/>
      <c r="M21" s="47"/>
      <c r="N21" s="51"/>
      <c r="O21" s="52"/>
      <c r="P21" s="52"/>
      <c r="Q21" s="52"/>
      <c r="R21" s="26"/>
    </row>
    <row r="22" spans="1:18" outlineLevel="1" x14ac:dyDescent="0.2">
      <c r="A22" s="469" t="s">
        <v>126</v>
      </c>
      <c r="B22" s="471">
        <f>'Antenna Pointing Losses'!K61</f>
        <v>0.62469368304149941</v>
      </c>
      <c r="C22" s="98" t="s">
        <v>78</v>
      </c>
      <c r="D22" s="462" t="s">
        <v>649</v>
      </c>
      <c r="E22" s="462"/>
      <c r="F22" s="462"/>
      <c r="G22" s="462"/>
      <c r="H22" s="462"/>
      <c r="I22" s="462"/>
      <c r="J22" s="98"/>
      <c r="K22" s="472"/>
      <c r="L22" s="98"/>
      <c r="M22" s="98"/>
      <c r="N22" s="98"/>
      <c r="O22" s="98"/>
      <c r="P22" s="98"/>
      <c r="Q22" s="98"/>
      <c r="R22" s="98"/>
    </row>
    <row r="23" spans="1:18" outlineLevel="1" x14ac:dyDescent="0.2">
      <c r="A23" s="98" t="s">
        <v>130</v>
      </c>
      <c r="B23" s="472">
        <f>INDEX('Antenna Gain'!H27:H31,'Antenna Gain'!E25,1)</f>
        <v>2.15</v>
      </c>
      <c r="C23" s="98" t="s">
        <v>266</v>
      </c>
      <c r="D23" s="462" t="s">
        <v>662</v>
      </c>
      <c r="E23" s="462"/>
      <c r="F23" s="462"/>
      <c r="G23" s="462"/>
      <c r="H23" s="462"/>
      <c r="I23" s="462"/>
      <c r="J23" s="98"/>
      <c r="K23" s="472"/>
      <c r="L23" s="98"/>
      <c r="M23" s="98"/>
      <c r="N23" s="98"/>
      <c r="O23" s="98"/>
      <c r="P23" s="98"/>
      <c r="Q23" s="98"/>
      <c r="R23" s="98"/>
    </row>
    <row r="24" spans="1:18" outlineLevel="1" x14ac:dyDescent="0.2">
      <c r="A24" s="98" t="s">
        <v>556</v>
      </c>
      <c r="B24" s="471">
        <f>Receivers!J53</f>
        <v>0.41000000000000003</v>
      </c>
      <c r="C24" s="98" t="s">
        <v>78</v>
      </c>
      <c r="D24" s="462" t="s">
        <v>652</v>
      </c>
      <c r="E24" s="462"/>
      <c r="F24" s="462"/>
      <c r="G24" s="462"/>
      <c r="H24" s="462"/>
      <c r="I24" s="462"/>
      <c r="J24" s="98"/>
      <c r="K24" s="98"/>
      <c r="L24" s="98"/>
      <c r="M24" s="98"/>
      <c r="N24" s="98"/>
      <c r="O24" s="98"/>
      <c r="P24" s="98"/>
      <c r="Q24" s="98"/>
      <c r="R24" s="98"/>
    </row>
    <row r="25" spans="1:18" outlineLevel="1" x14ac:dyDescent="0.2">
      <c r="A25" s="98" t="s">
        <v>131</v>
      </c>
      <c r="B25" s="475">
        <f>Receivers!J68</f>
        <v>262.78226976924094</v>
      </c>
      <c r="C25" s="98" t="s">
        <v>106</v>
      </c>
      <c r="D25" s="462" t="s">
        <v>651</v>
      </c>
      <c r="E25" s="462"/>
      <c r="F25" s="462"/>
      <c r="G25" s="462"/>
      <c r="H25" s="462"/>
      <c r="I25" s="462"/>
      <c r="J25" s="98"/>
      <c r="K25" s="475"/>
      <c r="L25" s="98"/>
      <c r="M25" s="98"/>
      <c r="N25" s="98"/>
      <c r="O25" s="98"/>
      <c r="P25" s="98"/>
      <c r="Q25" s="98"/>
      <c r="R25" s="98"/>
    </row>
    <row r="26" spans="1:18" outlineLevel="1" x14ac:dyDescent="0.2">
      <c r="A26" s="98" t="s">
        <v>132</v>
      </c>
      <c r="B26" s="472">
        <f>B23-B24-10*LOG10(B25)</f>
        <v>-22.455960595135252</v>
      </c>
      <c r="C26" s="98" t="s">
        <v>107</v>
      </c>
      <c r="D26" s="155" t="s">
        <v>618</v>
      </c>
      <c r="E26" s="462"/>
      <c r="F26" s="462"/>
      <c r="G26" s="462"/>
      <c r="H26" s="462"/>
      <c r="I26" s="462"/>
      <c r="J26" s="98"/>
      <c r="K26" s="472"/>
      <c r="L26" s="98"/>
      <c r="M26" s="98"/>
      <c r="N26" s="98"/>
      <c r="O26" s="98"/>
      <c r="P26" s="98"/>
      <c r="Q26" s="98"/>
      <c r="R26" s="98"/>
    </row>
    <row r="27" spans="1:18" outlineLevel="1" x14ac:dyDescent="0.2">
      <c r="A27" s="98" t="s">
        <v>133</v>
      </c>
      <c r="B27" s="458">
        <f>B19+B22-F27+B26</f>
        <v>74.476165633364047</v>
      </c>
      <c r="C27" s="98" t="s">
        <v>112</v>
      </c>
      <c r="D27" s="480" t="s">
        <v>110</v>
      </c>
      <c r="E27" s="481"/>
      <c r="F27" s="481">
        <v>-228.6</v>
      </c>
      <c r="G27" s="482" t="s">
        <v>111</v>
      </c>
      <c r="H27" s="462"/>
      <c r="I27" s="462"/>
      <c r="J27" s="98"/>
      <c r="K27" s="323"/>
      <c r="L27" s="98"/>
      <c r="M27" s="98"/>
      <c r="N27" s="98"/>
      <c r="O27" s="98"/>
      <c r="P27" s="98"/>
      <c r="Q27" s="98"/>
      <c r="R27" s="98"/>
    </row>
    <row r="28" spans="1:18" outlineLevel="1" x14ac:dyDescent="0.2">
      <c r="A28" s="98" t="s">
        <v>99</v>
      </c>
      <c r="B28" s="421">
        <v>200000</v>
      </c>
      <c r="C28" s="98" t="s">
        <v>113</v>
      </c>
      <c r="D28" s="462" t="s">
        <v>578</v>
      </c>
      <c r="E28" s="462"/>
      <c r="F28" s="462"/>
      <c r="G28" s="462"/>
      <c r="H28" s="462"/>
      <c r="I28" s="462"/>
      <c r="J28" s="98"/>
      <c r="K28" s="487"/>
      <c r="L28" s="98"/>
      <c r="M28" s="98"/>
      <c r="N28" s="98"/>
      <c r="O28" s="98"/>
      <c r="P28" s="98"/>
      <c r="Q28" s="98"/>
      <c r="R28" s="98"/>
    </row>
    <row r="29" spans="1:18" outlineLevel="1" x14ac:dyDescent="0.2">
      <c r="A29" s="467" t="s">
        <v>114</v>
      </c>
      <c r="B29" s="483">
        <f>10*LOG10(B28)</f>
        <v>53.010299956639813</v>
      </c>
      <c r="C29" s="98" t="s">
        <v>112</v>
      </c>
      <c r="D29" s="462" t="s">
        <v>579</v>
      </c>
      <c r="E29" s="462"/>
      <c r="F29" s="462"/>
      <c r="G29" s="462"/>
      <c r="H29" s="462"/>
      <c r="I29" s="462"/>
      <c r="J29" s="98"/>
      <c r="K29" s="323"/>
      <c r="L29" s="98"/>
      <c r="M29" s="98"/>
      <c r="N29" s="98"/>
      <c r="O29" s="98"/>
      <c r="P29" s="98"/>
      <c r="Q29" s="98"/>
      <c r="R29" s="98"/>
    </row>
    <row r="30" spans="1:18" outlineLevel="1" x14ac:dyDescent="0.2">
      <c r="A30" s="98" t="s">
        <v>669</v>
      </c>
      <c r="B30" s="458">
        <f>B27-B29</f>
        <v>21.465865676724235</v>
      </c>
      <c r="C30" s="98" t="s">
        <v>78</v>
      </c>
      <c r="D30" s="462" t="s">
        <v>37</v>
      </c>
      <c r="E30" s="462"/>
      <c r="F30" s="462"/>
      <c r="G30" s="462"/>
      <c r="H30" s="462"/>
      <c r="I30" s="462"/>
      <c r="J30" s="98"/>
      <c r="K30" s="323"/>
      <c r="L30" s="98"/>
      <c r="M30" s="98"/>
      <c r="N30" s="98"/>
      <c r="O30" s="98"/>
      <c r="P30" s="98"/>
      <c r="Q30" s="98"/>
      <c r="R30" s="98"/>
    </row>
    <row r="31" spans="1:18" outlineLevel="1" x14ac:dyDescent="0.2">
      <c r="A31" s="98"/>
      <c r="B31" s="494"/>
      <c r="C31" s="98"/>
      <c r="D31" s="462"/>
      <c r="E31" s="462"/>
      <c r="F31" s="462"/>
      <c r="G31" s="462"/>
      <c r="H31" s="462"/>
      <c r="I31" s="462"/>
      <c r="J31" s="98"/>
      <c r="K31" s="323"/>
      <c r="L31" s="98"/>
      <c r="M31" s="98"/>
      <c r="N31" s="98"/>
      <c r="O31" s="98"/>
      <c r="P31" s="98"/>
      <c r="Q31" s="98"/>
      <c r="R31" s="98"/>
    </row>
    <row r="32" spans="1:18" outlineLevel="1" x14ac:dyDescent="0.2">
      <c r="A32" s="98" t="s">
        <v>653</v>
      </c>
      <c r="B32" s="490" t="str">
        <f>INDEX('Modulation-Demodulation Method'!C6:C23,'Modulation-Demodulation Method'!E3,1)</f>
        <v>QPSK</v>
      </c>
      <c r="C32" s="468" t="s">
        <v>37</v>
      </c>
      <c r="D32" s="493" t="s">
        <v>656</v>
      </c>
      <c r="E32" s="462"/>
      <c r="F32" s="462"/>
      <c r="G32" s="462"/>
      <c r="H32" s="462"/>
      <c r="I32" s="462"/>
      <c r="J32" s="98"/>
      <c r="K32" s="323"/>
      <c r="L32" s="98"/>
      <c r="M32" s="98"/>
      <c r="N32" s="98"/>
      <c r="O32" s="98"/>
      <c r="P32" s="98"/>
      <c r="Q32" s="98"/>
      <c r="R32" s="98"/>
    </row>
    <row r="33" spans="1:18" outlineLevel="1" x14ac:dyDescent="0.2">
      <c r="A33" s="98" t="s">
        <v>650</v>
      </c>
      <c r="B33" s="492" t="str">
        <f>INDEX('Modulation-Demodulation Method'!D6:D23,'Modulation-Demodulation Method'!E3,1)</f>
        <v>None</v>
      </c>
      <c r="C33" s="491"/>
      <c r="D33" s="466" t="s">
        <v>657</v>
      </c>
      <c r="E33" s="462"/>
      <c r="F33" s="462"/>
      <c r="G33" s="462"/>
      <c r="H33" s="462"/>
      <c r="I33" s="462"/>
      <c r="J33" s="98"/>
      <c r="K33" s="323"/>
      <c r="L33" s="98"/>
      <c r="M33" s="98"/>
      <c r="N33" s="98"/>
      <c r="O33" s="98"/>
      <c r="P33" s="98"/>
      <c r="Q33" s="98"/>
      <c r="R33" s="98"/>
    </row>
    <row r="34" spans="1:18" outlineLevel="1" x14ac:dyDescent="0.2">
      <c r="A34" s="98"/>
      <c r="B34" s="494"/>
      <c r="C34" s="98"/>
      <c r="D34" s="462"/>
      <c r="E34" s="462"/>
      <c r="F34" s="462"/>
      <c r="G34" s="462"/>
      <c r="H34" s="462"/>
      <c r="I34" s="462"/>
      <c r="J34" s="98"/>
      <c r="K34" s="323"/>
      <c r="L34" s="98"/>
      <c r="M34" s="98"/>
      <c r="N34" s="98"/>
      <c r="O34" s="98"/>
      <c r="P34" s="98"/>
      <c r="Q34" s="98"/>
      <c r="R34" s="98"/>
    </row>
    <row r="35" spans="1:18" outlineLevel="1" x14ac:dyDescent="0.2">
      <c r="A35" s="98" t="s">
        <v>581</v>
      </c>
      <c r="B35" s="459">
        <f>INDEX('Modulation-Demodulation Method'!E6:E23,'Modulation-Demodulation Method'!E3,1)</f>
        <v>1.0000000000000001E-5</v>
      </c>
      <c r="C35" s="468"/>
      <c r="D35" s="466" t="s">
        <v>658</v>
      </c>
      <c r="E35" s="462"/>
      <c r="F35" s="462"/>
      <c r="G35" s="462"/>
      <c r="H35" s="462"/>
      <c r="I35" s="462"/>
      <c r="J35" s="98"/>
      <c r="K35" s="98"/>
      <c r="L35" s="98"/>
      <c r="M35" s="98"/>
      <c r="N35" s="98"/>
      <c r="O35" s="98"/>
      <c r="P35" s="98"/>
      <c r="Q35" s="98"/>
      <c r="R35" s="98"/>
    </row>
    <row r="36" spans="1:18" outlineLevel="1" x14ac:dyDescent="0.2">
      <c r="A36" s="98"/>
      <c r="B36" s="495"/>
      <c r="C36" s="468"/>
      <c r="D36" s="466"/>
      <c r="E36" s="462"/>
      <c r="F36" s="462"/>
      <c r="G36" s="462"/>
      <c r="H36" s="462"/>
      <c r="I36" s="462"/>
      <c r="J36" s="98"/>
      <c r="K36" s="98"/>
      <c r="L36" s="98"/>
      <c r="M36" s="98"/>
      <c r="N36" s="98"/>
      <c r="O36" s="98"/>
      <c r="P36" s="98"/>
      <c r="Q36" s="98"/>
      <c r="R36" s="98"/>
    </row>
    <row r="37" spans="1:18" outlineLevel="1" x14ac:dyDescent="0.2">
      <c r="A37" s="98" t="s">
        <v>585</v>
      </c>
      <c r="B37" s="496">
        <f>'Modulation-Demodulation Method'!E25</f>
        <v>0</v>
      </c>
      <c r="C37" s="98" t="s">
        <v>78</v>
      </c>
      <c r="D37" s="462" t="s">
        <v>660</v>
      </c>
      <c r="E37" s="462"/>
      <c r="F37" s="462"/>
      <c r="G37" s="462"/>
      <c r="H37" s="462"/>
      <c r="I37" s="462"/>
      <c r="J37" s="98"/>
      <c r="K37" s="98"/>
      <c r="L37" s="98"/>
      <c r="M37" s="98"/>
      <c r="N37" s="98"/>
      <c r="O37" s="98"/>
      <c r="P37" s="98"/>
      <c r="Q37" s="98"/>
      <c r="R37" s="98"/>
    </row>
    <row r="38" spans="1:18" outlineLevel="1" x14ac:dyDescent="0.2">
      <c r="A38" s="98"/>
      <c r="B38" s="496"/>
      <c r="C38" s="98"/>
      <c r="D38" s="462"/>
      <c r="E38" s="462"/>
      <c r="F38" s="462"/>
      <c r="G38" s="462"/>
      <c r="H38" s="462"/>
      <c r="I38" s="462"/>
      <c r="J38" s="98"/>
      <c r="K38" s="98"/>
      <c r="L38" s="98"/>
      <c r="M38" s="98"/>
      <c r="N38" s="98"/>
      <c r="O38" s="98"/>
      <c r="P38" s="98"/>
      <c r="Q38" s="98"/>
      <c r="R38" s="98"/>
    </row>
    <row r="39" spans="1:18" outlineLevel="1" x14ac:dyDescent="0.2">
      <c r="A39" s="98" t="s">
        <v>100</v>
      </c>
      <c r="B39" s="497">
        <f>INDEX('Modulation-Demodulation Method'!F6:F23,'Modulation-Demodulation Method'!E3,1)</f>
        <v>9.6</v>
      </c>
      <c r="C39" s="98" t="s">
        <v>78</v>
      </c>
      <c r="D39" s="462" t="s">
        <v>661</v>
      </c>
      <c r="E39" s="462"/>
      <c r="F39" s="462"/>
      <c r="G39" s="462"/>
      <c r="H39" s="462"/>
      <c r="I39" s="462"/>
      <c r="J39" s="98"/>
      <c r="K39" s="472"/>
      <c r="L39" s="98"/>
      <c r="M39" s="98"/>
      <c r="N39" s="98"/>
      <c r="O39" s="98"/>
      <c r="P39" s="98"/>
      <c r="Q39" s="98"/>
      <c r="R39" s="98"/>
    </row>
    <row r="40" spans="1:18" outlineLevel="1" x14ac:dyDescent="0.2">
      <c r="A40" s="98"/>
      <c r="B40" s="497"/>
      <c r="C40" s="98"/>
      <c r="D40" s="462"/>
      <c r="E40" s="462"/>
      <c r="F40" s="462"/>
      <c r="G40" s="462"/>
      <c r="H40" s="462"/>
      <c r="I40" s="462"/>
      <c r="J40" s="98"/>
      <c r="K40" s="472"/>
      <c r="L40" s="98"/>
      <c r="M40" s="98"/>
      <c r="N40" s="98"/>
      <c r="O40" s="98"/>
      <c r="P40" s="98"/>
      <c r="Q40" s="98"/>
      <c r="R40" s="98"/>
    </row>
    <row r="41" spans="1:18" outlineLevel="1" x14ac:dyDescent="0.2">
      <c r="A41" s="98" t="s">
        <v>586</v>
      </c>
      <c r="B41" s="460">
        <f>'Modulation-Demodulation Method'!H5</f>
        <v>9.6</v>
      </c>
      <c r="C41" s="98" t="s">
        <v>78</v>
      </c>
      <c r="D41" s="462" t="s">
        <v>596</v>
      </c>
      <c r="E41" s="462"/>
      <c r="F41" s="462"/>
      <c r="G41" s="462"/>
      <c r="H41" s="462"/>
      <c r="I41" s="462"/>
      <c r="J41" s="98"/>
      <c r="K41" s="472"/>
      <c r="L41" s="98"/>
      <c r="M41" s="98"/>
      <c r="N41" s="98"/>
      <c r="O41" s="98"/>
      <c r="P41" s="98"/>
      <c r="Q41" s="98"/>
      <c r="R41" s="98"/>
    </row>
    <row r="42" spans="1:18" ht="13.5" outlineLevel="1" thickBot="1" x14ac:dyDescent="0.25">
      <c r="A42" s="98"/>
      <c r="B42" s="497"/>
      <c r="C42" s="98"/>
      <c r="D42" s="462"/>
      <c r="E42" s="462"/>
      <c r="F42" s="462"/>
      <c r="G42" s="462"/>
      <c r="H42" s="462"/>
      <c r="I42" s="462"/>
      <c r="J42" s="98"/>
      <c r="K42" s="472"/>
      <c r="L42" s="98"/>
      <c r="M42" s="98"/>
      <c r="N42" s="98"/>
      <c r="O42" s="98"/>
      <c r="P42" s="98"/>
      <c r="Q42" s="98"/>
      <c r="R42" s="98"/>
    </row>
    <row r="43" spans="1:18" ht="13.5" outlineLevel="1" thickBot="1" x14ac:dyDescent="0.25">
      <c r="A43" s="128" t="s">
        <v>101</v>
      </c>
      <c r="B43" s="45">
        <f>B30-B41</f>
        <v>11.865865676724235</v>
      </c>
      <c r="C43" s="98" t="s">
        <v>78</v>
      </c>
      <c r="D43" s="462"/>
      <c r="E43" s="462"/>
      <c r="F43" s="462"/>
      <c r="G43" s="462"/>
      <c r="H43" s="462"/>
      <c r="I43" s="462"/>
      <c r="J43" s="98"/>
      <c r="K43" s="472"/>
      <c r="L43" s="98"/>
      <c r="M43" s="98"/>
      <c r="N43" s="98"/>
      <c r="O43" s="98"/>
      <c r="P43" s="98"/>
      <c r="Q43" s="98"/>
      <c r="R43" s="98"/>
    </row>
    <row r="44" spans="1:18" outlineLevel="1" x14ac:dyDescent="0.2">
      <c r="A44" s="98"/>
      <c r="B44" s="98"/>
      <c r="C44" s="98"/>
      <c r="D44" s="462"/>
      <c r="E44" s="462"/>
      <c r="F44" s="462"/>
      <c r="G44" s="462"/>
      <c r="H44" s="462"/>
      <c r="I44" s="462"/>
      <c r="J44" s="98"/>
      <c r="K44" s="488"/>
      <c r="L44" s="98"/>
      <c r="M44" s="98"/>
      <c r="N44" s="98"/>
      <c r="O44" s="98"/>
      <c r="P44" s="98"/>
      <c r="Q44" s="98"/>
      <c r="R44" s="98"/>
    </row>
    <row r="45" spans="1:18" outlineLevel="1" x14ac:dyDescent="0.2">
      <c r="A45" s="98"/>
      <c r="B45" s="98"/>
      <c r="C45" s="98"/>
      <c r="D45" s="462"/>
      <c r="E45" s="462"/>
      <c r="F45" s="462"/>
      <c r="G45" s="462"/>
      <c r="H45" s="462"/>
      <c r="I45" s="462"/>
      <c r="J45" s="98"/>
      <c r="K45" s="98"/>
      <c r="L45" s="98"/>
      <c r="M45" s="98"/>
      <c r="N45" s="98"/>
      <c r="O45" s="98"/>
      <c r="P45" s="98"/>
      <c r="Q45" s="98"/>
      <c r="R45" s="98"/>
    </row>
    <row r="46" spans="1:18" outlineLevel="1" x14ac:dyDescent="0.2">
      <c r="A46" s="105"/>
      <c r="B46" s="105"/>
      <c r="C46" s="105"/>
      <c r="D46" s="155"/>
      <c r="E46" s="155"/>
      <c r="F46" s="155"/>
      <c r="G46" s="155"/>
      <c r="H46" s="155"/>
      <c r="I46" s="155"/>
      <c r="J46" s="105"/>
      <c r="K46" s="105"/>
      <c r="L46" s="105"/>
      <c r="M46" s="105"/>
      <c r="N46" s="105"/>
      <c r="O46" s="105"/>
      <c r="P46" s="105"/>
      <c r="Q46" s="105"/>
      <c r="R46" s="98"/>
    </row>
    <row r="47" spans="1:18" x14ac:dyDescent="0.2">
      <c r="A47" s="486" t="s">
        <v>136</v>
      </c>
      <c r="B47" s="47"/>
      <c r="C47" s="47"/>
      <c r="D47" s="47"/>
      <c r="E47" s="427" t="s">
        <v>665</v>
      </c>
      <c r="F47" s="52"/>
      <c r="G47" s="52"/>
      <c r="H47" s="52"/>
      <c r="I47" s="26"/>
      <c r="J47" s="26"/>
      <c r="K47" s="26"/>
      <c r="L47" s="26"/>
      <c r="M47" s="26"/>
      <c r="N47" s="26"/>
      <c r="O47" s="26"/>
      <c r="P47" s="26"/>
      <c r="Q47" s="26"/>
      <c r="R47" s="26"/>
    </row>
    <row r="48" spans="1:18" outlineLevel="1" x14ac:dyDescent="0.2">
      <c r="A48" s="41" t="s">
        <v>155</v>
      </c>
      <c r="B48" s="47"/>
      <c r="C48" s="47"/>
      <c r="D48" s="47"/>
      <c r="E48" s="51"/>
      <c r="F48" s="52"/>
      <c r="G48" s="52"/>
      <c r="H48" s="52"/>
      <c r="I48" s="26"/>
      <c r="J48" s="26"/>
      <c r="K48" s="26"/>
      <c r="L48" s="26"/>
      <c r="M48" s="26"/>
      <c r="N48" s="26"/>
      <c r="O48" s="26"/>
      <c r="P48" s="26"/>
      <c r="Q48" s="26"/>
      <c r="R48" s="26"/>
    </row>
    <row r="49" spans="1:18" outlineLevel="1" x14ac:dyDescent="0.2">
      <c r="A49" s="98" t="s">
        <v>126</v>
      </c>
      <c r="B49" s="472">
        <f>'Antenna Pointing Losses'!K61</f>
        <v>0.62469368304149941</v>
      </c>
      <c r="C49" s="98" t="s">
        <v>78</v>
      </c>
      <c r="D49" s="462" t="s">
        <v>649</v>
      </c>
      <c r="E49" s="462"/>
      <c r="F49" s="462"/>
      <c r="G49" s="462"/>
      <c r="H49" s="462"/>
      <c r="I49" s="462"/>
      <c r="J49" s="98"/>
      <c r="K49" s="98"/>
      <c r="L49" s="98"/>
      <c r="M49" s="98"/>
      <c r="N49" s="98"/>
      <c r="O49" s="98"/>
      <c r="P49" s="98"/>
      <c r="Q49" s="98"/>
      <c r="R49" s="98"/>
    </row>
    <row r="50" spans="1:18" outlineLevel="1" x14ac:dyDescent="0.2">
      <c r="A50" s="98" t="s">
        <v>130</v>
      </c>
      <c r="B50" s="472">
        <f>INDEX('Antenna Gain'!H27:H31,'Antenna Gain'!E25,1)</f>
        <v>2.15</v>
      </c>
      <c r="C50" s="98" t="s">
        <v>266</v>
      </c>
      <c r="D50" s="462" t="s">
        <v>662</v>
      </c>
      <c r="E50" s="462"/>
      <c r="F50" s="462"/>
      <c r="G50" s="462"/>
      <c r="H50" s="462"/>
      <c r="I50" s="462"/>
      <c r="J50" s="98"/>
      <c r="K50" s="98"/>
      <c r="L50" s="98"/>
      <c r="M50" s="98"/>
      <c r="N50" s="98"/>
      <c r="O50" s="98"/>
      <c r="P50" s="98"/>
      <c r="Q50" s="98"/>
      <c r="R50" s="98"/>
    </row>
    <row r="51" spans="1:18" outlineLevel="1" x14ac:dyDescent="0.2">
      <c r="A51" s="98" t="s">
        <v>556</v>
      </c>
      <c r="B51" s="472">
        <f>Receivers!J53</f>
        <v>0.41000000000000003</v>
      </c>
      <c r="C51" s="98" t="s">
        <v>78</v>
      </c>
      <c r="D51" s="462" t="s">
        <v>652</v>
      </c>
      <c r="E51" s="462"/>
      <c r="F51" s="462"/>
      <c r="G51" s="462"/>
      <c r="H51" s="462"/>
      <c r="I51" s="462"/>
      <c r="J51" s="98"/>
      <c r="K51" s="98"/>
      <c r="L51" s="98"/>
      <c r="M51" s="98"/>
      <c r="N51" s="98"/>
      <c r="O51" s="98"/>
      <c r="P51" s="98"/>
      <c r="Q51" s="98"/>
      <c r="R51" s="98"/>
    </row>
    <row r="52" spans="1:18" outlineLevel="1" x14ac:dyDescent="0.2">
      <c r="A52" s="98" t="s">
        <v>131</v>
      </c>
      <c r="B52" s="475">
        <f>Receivers!J68</f>
        <v>262.78226976924094</v>
      </c>
      <c r="C52" s="98" t="s">
        <v>106</v>
      </c>
      <c r="D52" s="462" t="s">
        <v>651</v>
      </c>
      <c r="E52" s="462"/>
      <c r="F52" s="462"/>
      <c r="G52" s="462"/>
      <c r="H52" s="462"/>
      <c r="I52" s="462"/>
      <c r="J52" s="98"/>
      <c r="K52" s="98"/>
      <c r="L52" s="98"/>
      <c r="M52" s="98"/>
      <c r="N52" s="98"/>
      <c r="O52" s="98"/>
      <c r="P52" s="98"/>
      <c r="Q52" s="98"/>
      <c r="R52" s="98"/>
    </row>
    <row r="53" spans="1:18" outlineLevel="1" x14ac:dyDescent="0.2">
      <c r="A53" s="98" t="s">
        <v>132</v>
      </c>
      <c r="B53" s="472">
        <f>B50-B51-10*LOG10(B52)</f>
        <v>-22.455960595135252</v>
      </c>
      <c r="C53" s="98" t="s">
        <v>107</v>
      </c>
      <c r="D53" s="462" t="s">
        <v>619</v>
      </c>
      <c r="E53" s="462"/>
      <c r="F53" s="462"/>
      <c r="G53" s="462"/>
      <c r="H53" s="462"/>
      <c r="I53" s="462"/>
      <c r="J53" s="98"/>
      <c r="K53" s="98"/>
      <c r="L53" s="98"/>
      <c r="M53" s="98"/>
      <c r="N53" s="98"/>
      <c r="O53" s="98"/>
      <c r="P53" s="98"/>
      <c r="Q53" s="98"/>
      <c r="R53" s="98"/>
    </row>
    <row r="54" spans="1:18" outlineLevel="1" x14ac:dyDescent="0.2">
      <c r="A54" s="98"/>
      <c r="B54" s="472"/>
      <c r="C54" s="98"/>
      <c r="D54" s="462"/>
      <c r="E54" s="462"/>
      <c r="F54" s="462"/>
      <c r="G54" s="462"/>
      <c r="H54" s="462"/>
      <c r="I54" s="462"/>
      <c r="J54" s="98"/>
      <c r="K54" s="98"/>
      <c r="L54" s="98"/>
      <c r="M54" s="98"/>
      <c r="N54" s="98"/>
      <c r="O54" s="98"/>
      <c r="P54" s="98"/>
      <c r="Q54" s="98"/>
      <c r="R54" s="98"/>
    </row>
    <row r="55" spans="1:18" outlineLevel="1" x14ac:dyDescent="0.2">
      <c r="A55" s="98" t="s">
        <v>137</v>
      </c>
      <c r="B55" s="378">
        <f>B19-B49+B50-B51</f>
        <v>-131.17726113758368</v>
      </c>
      <c r="C55" s="98" t="s">
        <v>103</v>
      </c>
      <c r="D55" s="462" t="s">
        <v>620</v>
      </c>
      <c r="E55" s="462"/>
      <c r="F55" s="462"/>
      <c r="G55" s="462"/>
      <c r="H55" s="462"/>
      <c r="I55" s="462"/>
      <c r="J55" s="98"/>
      <c r="K55" s="98"/>
      <c r="L55" s="98"/>
      <c r="M55" s="98"/>
      <c r="N55" s="98"/>
      <c r="O55" s="98"/>
      <c r="P55" s="98"/>
      <c r="Q55" s="98"/>
      <c r="R55" s="98"/>
    </row>
    <row r="56" spans="1:18" outlineLevel="1" x14ac:dyDescent="0.2">
      <c r="A56" s="98"/>
      <c r="B56" s="323"/>
      <c r="C56" s="98"/>
      <c r="D56" s="462"/>
      <c r="E56" s="462"/>
      <c r="F56" s="462"/>
      <c r="G56" s="462"/>
      <c r="H56" s="462"/>
      <c r="I56" s="462"/>
      <c r="J56" s="98"/>
      <c r="K56" s="98"/>
      <c r="L56" s="98"/>
      <c r="M56" s="98"/>
      <c r="N56" s="98"/>
      <c r="O56" s="98"/>
      <c r="P56" s="98"/>
      <c r="Q56" s="98"/>
      <c r="R56" s="98"/>
    </row>
    <row r="57" spans="1:18" outlineLevel="1" x14ac:dyDescent="0.2">
      <c r="A57" s="98" t="s">
        <v>138</v>
      </c>
      <c r="B57" s="420">
        <v>120000</v>
      </c>
      <c r="C57" s="98" t="s">
        <v>118</v>
      </c>
      <c r="D57" s="462" t="s">
        <v>663</v>
      </c>
      <c r="E57" s="462"/>
      <c r="F57" s="462"/>
      <c r="G57" s="462"/>
      <c r="H57" s="462"/>
      <c r="I57" s="462"/>
      <c r="J57" s="98"/>
      <c r="K57" s="98"/>
      <c r="L57" s="98"/>
      <c r="M57" s="98"/>
      <c r="N57" s="98"/>
      <c r="O57" s="98"/>
      <c r="P57" s="98"/>
      <c r="Q57" s="98"/>
      <c r="R57" s="98"/>
    </row>
    <row r="58" spans="1:18" outlineLevel="1" x14ac:dyDescent="0.2">
      <c r="A58" s="98"/>
      <c r="B58" s="484"/>
      <c r="C58" s="98"/>
      <c r="D58" s="462"/>
      <c r="E58" s="462"/>
      <c r="F58" s="462"/>
      <c r="G58" s="462"/>
      <c r="H58" s="462"/>
      <c r="I58" s="462"/>
      <c r="J58" s="98"/>
      <c r="K58" s="98"/>
      <c r="L58" s="98"/>
      <c r="M58" s="98"/>
      <c r="N58" s="98"/>
      <c r="O58" s="98"/>
      <c r="P58" s="98"/>
      <c r="Q58" s="98"/>
      <c r="R58" s="98"/>
    </row>
    <row r="59" spans="1:18" outlineLevel="1" x14ac:dyDescent="0.2">
      <c r="A59" s="98" t="s">
        <v>664</v>
      </c>
      <c r="B59" s="378">
        <f>F27+10*LOG10(B52)+10*LOG10(B57)</f>
        <v>-153.61222694438848</v>
      </c>
      <c r="C59" s="98" t="s">
        <v>103</v>
      </c>
      <c r="D59" s="462" t="s">
        <v>666</v>
      </c>
      <c r="E59" s="462"/>
      <c r="F59" s="462"/>
      <c r="G59" s="462"/>
      <c r="H59" s="462"/>
      <c r="I59" s="462"/>
      <c r="J59" s="98"/>
      <c r="K59" s="98"/>
      <c r="L59" s="98"/>
      <c r="M59" s="98"/>
      <c r="N59" s="98"/>
      <c r="O59" s="98"/>
      <c r="P59" s="98"/>
      <c r="Q59" s="98"/>
      <c r="R59" s="98"/>
    </row>
    <row r="60" spans="1:18" outlineLevel="1" x14ac:dyDescent="0.2">
      <c r="A60" s="98"/>
      <c r="B60" s="485"/>
      <c r="C60" s="98"/>
      <c r="D60" s="462"/>
      <c r="E60" s="462"/>
      <c r="F60" s="462"/>
      <c r="G60" s="462"/>
      <c r="H60" s="462"/>
      <c r="I60" s="462"/>
      <c r="J60" s="98"/>
      <c r="K60" s="98"/>
      <c r="L60" s="98"/>
      <c r="M60" s="98"/>
      <c r="N60" s="98"/>
      <c r="O60" s="98"/>
      <c r="P60" s="98"/>
      <c r="Q60" s="98"/>
      <c r="R60" s="98"/>
    </row>
    <row r="61" spans="1:18" outlineLevel="1" x14ac:dyDescent="0.2">
      <c r="A61" s="98" t="s">
        <v>120</v>
      </c>
      <c r="B61" s="458">
        <f>B55-B59</f>
        <v>22.434965806804797</v>
      </c>
      <c r="C61" s="98" t="s">
        <v>78</v>
      </c>
      <c r="D61" s="462" t="s">
        <v>622</v>
      </c>
      <c r="E61" s="462"/>
      <c r="F61" s="462"/>
      <c r="G61" s="462"/>
      <c r="H61" s="462"/>
      <c r="I61" s="462"/>
      <c r="J61" s="98"/>
      <c r="K61" s="98"/>
      <c r="L61" s="98"/>
      <c r="M61" s="98"/>
      <c r="N61" s="98"/>
      <c r="O61" s="98"/>
      <c r="P61" s="98"/>
      <c r="Q61" s="98"/>
      <c r="R61" s="98"/>
    </row>
    <row r="62" spans="1:18" outlineLevel="1" x14ac:dyDescent="0.2">
      <c r="A62" s="98"/>
      <c r="B62" s="323"/>
      <c r="C62" s="98"/>
      <c r="D62" s="462"/>
      <c r="E62" s="462"/>
      <c r="F62" s="462"/>
      <c r="G62" s="462"/>
      <c r="H62" s="462"/>
      <c r="I62" s="462"/>
      <c r="J62" s="98"/>
      <c r="K62" s="98"/>
      <c r="L62" s="98"/>
      <c r="M62" s="98"/>
      <c r="N62" s="98"/>
      <c r="O62" s="98"/>
      <c r="P62" s="98"/>
      <c r="Q62" s="98"/>
      <c r="R62" s="98"/>
    </row>
    <row r="63" spans="1:18" outlineLevel="1" x14ac:dyDescent="0.2">
      <c r="A63" s="98" t="s">
        <v>598</v>
      </c>
      <c r="B63" s="372">
        <v>9.6</v>
      </c>
      <c r="C63" s="98" t="s">
        <v>78</v>
      </c>
      <c r="D63" s="462" t="s">
        <v>623</v>
      </c>
      <c r="E63" s="462"/>
      <c r="F63" s="462"/>
      <c r="G63" s="462"/>
      <c r="H63" s="462"/>
      <c r="I63" s="462"/>
      <c r="J63" s="98"/>
      <c r="K63" s="98"/>
      <c r="L63" s="98"/>
      <c r="M63" s="98"/>
      <c r="N63" s="98"/>
      <c r="O63" s="98"/>
      <c r="P63" s="98"/>
      <c r="Q63" s="98"/>
      <c r="R63" s="98"/>
    </row>
    <row r="64" spans="1:18" ht="13.5" outlineLevel="1" thickBot="1" x14ac:dyDescent="0.25">
      <c r="A64" s="98"/>
      <c r="B64" s="323"/>
      <c r="C64" s="98"/>
      <c r="D64" s="462"/>
      <c r="E64" s="462"/>
      <c r="F64" s="462"/>
      <c r="G64" s="462"/>
      <c r="H64" s="462"/>
      <c r="I64" s="462"/>
      <c r="J64" s="98"/>
      <c r="K64" s="98"/>
      <c r="L64" s="98"/>
      <c r="M64" s="98"/>
      <c r="N64" s="98"/>
      <c r="O64" s="98"/>
      <c r="P64" s="98"/>
      <c r="Q64" s="98"/>
      <c r="R64" s="98"/>
    </row>
    <row r="65" spans="1:18" ht="13.5" outlineLevel="1" thickBot="1" x14ac:dyDescent="0.25">
      <c r="A65" s="98" t="s">
        <v>617</v>
      </c>
      <c r="B65" s="45">
        <f>B61-B63</f>
        <v>12.834965806804798</v>
      </c>
      <c r="C65" s="98" t="s">
        <v>78</v>
      </c>
      <c r="D65" s="462"/>
      <c r="E65" s="462"/>
      <c r="F65" s="462"/>
      <c r="G65" s="462"/>
      <c r="H65" s="462"/>
      <c r="I65" s="462"/>
      <c r="J65" s="98"/>
      <c r="K65" s="98"/>
      <c r="L65" s="98"/>
      <c r="M65" s="98"/>
      <c r="N65" s="98"/>
      <c r="O65" s="98"/>
      <c r="P65" s="98"/>
      <c r="Q65" s="98"/>
      <c r="R65" s="98"/>
    </row>
    <row r="66" spans="1:18" outlineLevel="1" x14ac:dyDescent="0.2">
      <c r="A66" s="105"/>
      <c r="B66" s="105"/>
      <c r="C66" s="105"/>
      <c r="D66" s="462"/>
      <c r="E66" s="462"/>
      <c r="F66" s="462"/>
      <c r="G66" s="462"/>
      <c r="H66" s="462"/>
      <c r="I66" s="462"/>
      <c r="J66" s="98"/>
      <c r="K66" s="98"/>
      <c r="L66" s="98"/>
      <c r="M66" s="98"/>
      <c r="N66" s="98"/>
      <c r="O66" s="98"/>
      <c r="P66" s="98"/>
      <c r="Q66" s="98"/>
      <c r="R66" s="98"/>
    </row>
    <row r="67" spans="1:18" outlineLevel="1" x14ac:dyDescent="0.2">
      <c r="A67" s="98"/>
      <c r="B67" s="98"/>
      <c r="C67" s="98"/>
      <c r="D67" s="462"/>
      <c r="E67" s="462"/>
      <c r="F67" s="462"/>
      <c r="G67" s="462"/>
      <c r="H67" s="462"/>
      <c r="I67" s="462"/>
      <c r="J67" s="98"/>
      <c r="K67" s="98"/>
      <c r="L67" s="98"/>
      <c r="M67" s="98"/>
      <c r="N67" s="98"/>
      <c r="O67" s="98"/>
      <c r="P67" s="98"/>
      <c r="Q67" s="98"/>
      <c r="R67" s="98"/>
    </row>
    <row r="68" spans="1:18" outlineLevel="1" x14ac:dyDescent="0.2">
      <c r="A68" s="98"/>
      <c r="B68" s="98"/>
      <c r="C68" s="98"/>
      <c r="D68" s="462"/>
      <c r="E68" s="462"/>
      <c r="F68" s="462"/>
      <c r="G68" s="462"/>
      <c r="H68" s="462"/>
      <c r="I68" s="462"/>
      <c r="J68" s="98"/>
      <c r="K68" s="98"/>
      <c r="L68" s="98"/>
      <c r="M68" s="98"/>
      <c r="N68" s="98"/>
      <c r="O68" s="98"/>
      <c r="P68" s="98"/>
      <c r="Q68" s="98"/>
      <c r="R68" s="98"/>
    </row>
    <row r="69" spans="1:18" x14ac:dyDescent="0.2">
      <c r="B69" s="43" t="s">
        <v>37</v>
      </c>
      <c r="C69" t="s">
        <v>37</v>
      </c>
    </row>
    <row r="70" spans="1:18" x14ac:dyDescent="0.2">
      <c r="B70" s="43"/>
    </row>
  </sheetData>
  <phoneticPr fontId="0" type="noConversion"/>
  <pageMargins left="0.75" right="0.75" top="1" bottom="1" header="0.5" footer="0.5"/>
  <pageSetup paperSize="9" orientation="portrait" horizontalDpi="4294967293" verticalDpi="0"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92"/>
  <sheetViews>
    <sheetView tabSelected="1" topLeftCell="A25" workbookViewId="0">
      <selection activeCell="B30" sqref="B30"/>
    </sheetView>
  </sheetViews>
  <sheetFormatPr defaultRowHeight="12.75" outlineLevelRow="1" outlineLevelCol="1" x14ac:dyDescent="0.2"/>
  <cols>
    <col min="1" max="1" width="40" customWidth="1"/>
    <col min="2" max="2" width="15.140625" customWidth="1"/>
    <col min="3" max="3" width="12.28515625" customWidth="1"/>
    <col min="4" max="4" width="25.5703125" customWidth="1" outlineLevel="1"/>
    <col min="5" max="6" width="9.140625" outlineLevel="1"/>
    <col min="7" max="7" width="9.42578125" customWidth="1" outlineLevel="1"/>
    <col min="8" max="8" width="9.140625" outlineLevel="1"/>
    <col min="9" max="9" width="14.28515625" customWidth="1" outlineLevel="1"/>
    <col min="10" max="10" width="22.5703125" customWidth="1" outlineLevel="1"/>
  </cols>
  <sheetData>
    <row r="1" spans="1:18" ht="18" x14ac:dyDescent="0.25">
      <c r="A1" s="48" t="str">
        <f>'Title Page'!F3</f>
        <v>CougSat-1</v>
      </c>
      <c r="B1" s="376" t="s">
        <v>370</v>
      </c>
      <c r="C1" s="49" t="s">
        <v>37</v>
      </c>
      <c r="D1" s="732" t="str">
        <f>'Title Page'!F3</f>
        <v>CougSat-1</v>
      </c>
      <c r="E1" s="63" t="s">
        <v>37</v>
      </c>
      <c r="F1" s="63" t="str">
        <f>'Title Page'!D25</f>
        <v>Date Data Last Modified:</v>
      </c>
      <c r="G1" s="63"/>
      <c r="H1" s="49"/>
      <c r="I1" s="49"/>
      <c r="J1" s="49"/>
      <c r="K1" s="49"/>
      <c r="L1" s="49"/>
      <c r="M1" s="49"/>
      <c r="N1" s="49"/>
      <c r="O1" s="49"/>
      <c r="P1" s="49"/>
      <c r="Q1" s="49"/>
      <c r="R1" s="49"/>
    </row>
    <row r="2" spans="1:18" ht="20.25" x14ac:dyDescent="0.3">
      <c r="A2" s="50" t="s">
        <v>83</v>
      </c>
      <c r="B2" s="49"/>
      <c r="C2" s="49"/>
      <c r="D2" s="63">
        <f>'Title Page'!G1</f>
        <v>0</v>
      </c>
      <c r="E2" s="63"/>
      <c r="F2" s="64" t="str">
        <f>'Title Page'!F25</f>
        <v>2020 January 17</v>
      </c>
      <c r="G2" s="63"/>
      <c r="H2" s="49"/>
      <c r="I2" s="49"/>
      <c r="J2" s="49"/>
      <c r="K2" s="49"/>
      <c r="L2" s="49"/>
      <c r="M2" s="49"/>
      <c r="N2" s="49"/>
      <c r="O2" s="49"/>
      <c r="P2" s="49"/>
      <c r="Q2" s="49"/>
      <c r="R2" s="49"/>
    </row>
    <row r="3" spans="1:18" x14ac:dyDescent="0.2">
      <c r="A3" s="49"/>
      <c r="B3" s="49"/>
      <c r="C3" s="49"/>
      <c r="D3" s="63"/>
      <c r="E3" s="63"/>
      <c r="F3" s="63"/>
      <c r="G3" s="63"/>
      <c r="H3" s="49"/>
      <c r="I3" s="49"/>
      <c r="J3" s="49"/>
      <c r="K3" s="49"/>
      <c r="L3" s="49"/>
      <c r="M3" s="49"/>
      <c r="N3" s="49"/>
      <c r="O3" s="49"/>
      <c r="P3" s="49"/>
      <c r="Q3" s="49"/>
      <c r="R3" s="49"/>
    </row>
    <row r="4" spans="1:18" x14ac:dyDescent="0.2">
      <c r="A4" s="32" t="s">
        <v>38</v>
      </c>
      <c r="B4" s="32" t="s">
        <v>39</v>
      </c>
      <c r="C4" s="32" t="s">
        <v>84</v>
      </c>
      <c r="D4" s="32" t="s">
        <v>85</v>
      </c>
      <c r="E4" s="42"/>
      <c r="F4" s="42"/>
      <c r="G4" s="42"/>
      <c r="H4" s="42"/>
      <c r="I4" s="42"/>
      <c r="J4" s="42"/>
      <c r="K4" s="42"/>
      <c r="L4" s="42"/>
      <c r="M4" s="42"/>
      <c r="N4" s="42"/>
      <c r="O4" s="42"/>
      <c r="P4" s="42"/>
      <c r="Q4" s="42"/>
      <c r="R4" s="42"/>
    </row>
    <row r="5" spans="1:18" x14ac:dyDescent="0.2">
      <c r="A5" s="69" t="s">
        <v>86</v>
      </c>
      <c r="B5" s="26"/>
      <c r="C5" s="26"/>
      <c r="D5" s="26"/>
      <c r="E5" s="26"/>
      <c r="F5" s="26"/>
      <c r="G5" s="26"/>
      <c r="H5" s="26"/>
      <c r="I5" s="26"/>
      <c r="J5" s="26"/>
      <c r="K5" s="26"/>
      <c r="L5" s="26"/>
      <c r="M5" s="26"/>
      <c r="N5" s="26"/>
      <c r="O5" s="26"/>
      <c r="P5" s="26"/>
      <c r="Q5" s="26"/>
      <c r="R5" s="26"/>
    </row>
    <row r="6" spans="1:18" x14ac:dyDescent="0.2">
      <c r="A6" s="98" t="s">
        <v>142</v>
      </c>
      <c r="B6" s="470">
        <f>Transmitters!E51</f>
        <v>1</v>
      </c>
      <c r="C6" s="98" t="s">
        <v>102</v>
      </c>
      <c r="D6" s="462" t="s">
        <v>632</v>
      </c>
      <c r="E6" s="462"/>
      <c r="F6" s="462"/>
      <c r="G6" s="462"/>
      <c r="H6" s="462"/>
      <c r="I6" s="462"/>
      <c r="J6" s="462"/>
      <c r="K6" s="98"/>
      <c r="L6" s="463" t="s">
        <v>628</v>
      </c>
      <c r="M6" s="454"/>
      <c r="N6" s="454"/>
      <c r="O6" s="454"/>
      <c r="P6" s="454"/>
      <c r="Q6" s="453"/>
      <c r="R6" s="98"/>
    </row>
    <row r="7" spans="1:18" x14ac:dyDescent="0.2">
      <c r="A7" s="467" t="s">
        <v>108</v>
      </c>
      <c r="B7" s="140">
        <f>10*LOG10(B6)</f>
        <v>0</v>
      </c>
      <c r="C7" s="98" t="s">
        <v>103</v>
      </c>
      <c r="D7" s="462" t="s">
        <v>624</v>
      </c>
      <c r="E7" s="462"/>
      <c r="F7" s="462"/>
      <c r="G7" s="462"/>
      <c r="H7" s="462"/>
      <c r="I7" s="462"/>
      <c r="J7" s="462"/>
      <c r="K7" s="98"/>
      <c r="L7" s="98"/>
      <c r="M7" s="98"/>
      <c r="N7" s="98"/>
      <c r="O7" s="98"/>
      <c r="P7" s="98"/>
      <c r="Q7" s="98"/>
      <c r="R7" s="98"/>
    </row>
    <row r="8" spans="1:18" x14ac:dyDescent="0.2">
      <c r="A8" s="467" t="s">
        <v>109</v>
      </c>
      <c r="B8" s="378">
        <f>B7+30</f>
        <v>30</v>
      </c>
      <c r="C8" s="98" t="s">
        <v>104</v>
      </c>
      <c r="D8" s="462" t="s">
        <v>625</v>
      </c>
      <c r="E8" s="462"/>
      <c r="F8" s="462"/>
      <c r="G8" s="462"/>
      <c r="H8" s="462"/>
      <c r="I8" s="462"/>
      <c r="J8" s="462"/>
      <c r="K8" s="98"/>
      <c r="L8" s="98"/>
      <c r="M8" s="98"/>
      <c r="N8" s="98"/>
      <c r="O8" s="98"/>
      <c r="P8" s="98"/>
      <c r="Q8" s="98"/>
      <c r="R8" s="98"/>
    </row>
    <row r="9" spans="1:18" x14ac:dyDescent="0.2">
      <c r="A9" s="98" t="s">
        <v>556</v>
      </c>
      <c r="B9" s="471">
        <f>Transmitters!I69</f>
        <v>0.33799999999999997</v>
      </c>
      <c r="C9" s="98" t="s">
        <v>78</v>
      </c>
      <c r="D9" s="462" t="s">
        <v>634</v>
      </c>
      <c r="E9" s="462"/>
      <c r="F9" s="462"/>
      <c r="G9" s="462"/>
      <c r="H9" s="462"/>
      <c r="I9" s="462"/>
      <c r="J9" s="462"/>
      <c r="K9" s="98"/>
      <c r="L9" s="98"/>
      <c r="M9" s="98"/>
      <c r="N9" s="98"/>
      <c r="O9" s="98"/>
      <c r="P9" s="98"/>
      <c r="Q9" s="98"/>
      <c r="R9" s="98"/>
    </row>
    <row r="10" spans="1:18" x14ac:dyDescent="0.2">
      <c r="A10" s="98" t="s">
        <v>130</v>
      </c>
      <c r="B10" s="470">
        <f>INDEX('Antenna Gain'!H43:H47,'Antenna Gain'!E41,1)</f>
        <v>2.15</v>
      </c>
      <c r="C10" s="98" t="s">
        <v>266</v>
      </c>
      <c r="D10" s="462" t="s">
        <v>557</v>
      </c>
      <c r="E10" s="462"/>
      <c r="F10" s="462"/>
      <c r="G10" s="462"/>
      <c r="H10" s="462"/>
      <c r="I10" s="462"/>
      <c r="J10" s="462"/>
      <c r="K10" s="98"/>
      <c r="L10" s="98"/>
      <c r="M10" s="98"/>
      <c r="N10" s="98"/>
      <c r="O10" s="98"/>
      <c r="P10" s="98"/>
      <c r="Q10" s="98"/>
      <c r="R10" s="98"/>
    </row>
    <row r="11" spans="1:18" x14ac:dyDescent="0.2">
      <c r="A11" s="98" t="s">
        <v>88</v>
      </c>
      <c r="B11" s="140">
        <f>B7-B9+B10</f>
        <v>1.8119999999999998</v>
      </c>
      <c r="C11" s="98" t="s">
        <v>103</v>
      </c>
      <c r="D11" s="462" t="s">
        <v>121</v>
      </c>
      <c r="E11" s="462"/>
      <c r="F11" s="462"/>
      <c r="G11" s="462"/>
      <c r="H11" s="462"/>
      <c r="I11" s="462"/>
      <c r="J11" s="462"/>
      <c r="K11" s="98"/>
      <c r="L11" s="98"/>
      <c r="M11" s="98"/>
      <c r="N11" s="98"/>
      <c r="O11" s="98"/>
      <c r="P11" s="98"/>
      <c r="Q11" s="98"/>
      <c r="R11" s="98"/>
    </row>
    <row r="12" spans="1:18" x14ac:dyDescent="0.2">
      <c r="A12" s="69" t="s">
        <v>89</v>
      </c>
      <c r="B12" s="71"/>
      <c r="C12" s="26"/>
      <c r="D12" s="26"/>
      <c r="E12" s="26"/>
      <c r="F12" s="26"/>
      <c r="G12" s="26"/>
      <c r="H12" s="26"/>
      <c r="I12" s="26"/>
      <c r="J12" s="26"/>
      <c r="K12" s="26"/>
      <c r="L12" s="26"/>
      <c r="M12" s="26"/>
      <c r="N12" s="26"/>
      <c r="O12" s="26"/>
      <c r="P12" s="26"/>
      <c r="Q12" s="26"/>
      <c r="R12" s="26"/>
    </row>
    <row r="13" spans="1:18" x14ac:dyDescent="0.2">
      <c r="A13" s="98" t="s">
        <v>126</v>
      </c>
      <c r="B13" s="471">
        <f>'Antenna Pointing Losses'!K81</f>
        <v>0.62469368304149941</v>
      </c>
      <c r="C13" s="98" t="s">
        <v>78</v>
      </c>
      <c r="D13" s="462" t="s">
        <v>637</v>
      </c>
      <c r="E13" s="462"/>
      <c r="F13" s="462"/>
      <c r="G13" s="462"/>
      <c r="H13" s="462"/>
      <c r="I13" s="462"/>
      <c r="J13" s="462"/>
      <c r="K13" s="98"/>
      <c r="L13" s="98"/>
      <c r="M13" s="98"/>
      <c r="N13" s="98"/>
      <c r="O13" s="98"/>
      <c r="P13" s="98"/>
      <c r="Q13" s="98"/>
      <c r="R13" s="98"/>
    </row>
    <row r="14" spans="1:18" x14ac:dyDescent="0.2">
      <c r="A14" s="98" t="s">
        <v>558</v>
      </c>
      <c r="B14" s="470">
        <f>'Polarization Loss'!F60</f>
        <v>6.8020622252548657</v>
      </c>
      <c r="C14" s="98" t="s">
        <v>78</v>
      </c>
      <c r="D14" s="462" t="s">
        <v>629</v>
      </c>
      <c r="E14" s="462"/>
      <c r="F14" s="462"/>
      <c r="G14" s="462"/>
      <c r="H14" s="462"/>
      <c r="I14" s="462"/>
      <c r="J14" s="462"/>
      <c r="K14" s="98"/>
      <c r="L14" s="98"/>
      <c r="M14" s="98"/>
      <c r="N14" s="98"/>
      <c r="O14" s="98"/>
      <c r="P14" s="98"/>
      <c r="Q14" s="98"/>
      <c r="R14" s="98"/>
    </row>
    <row r="15" spans="1:18" x14ac:dyDescent="0.2">
      <c r="A15" s="98" t="s">
        <v>77</v>
      </c>
      <c r="B15" s="472">
        <f>INDEX('Orbit &amp; Frequency'!H37:H40,'Orbit &amp; Frequency'!M37,1)</f>
        <v>148.59089984822074</v>
      </c>
      <c r="C15" s="98" t="s">
        <v>78</v>
      </c>
      <c r="D15" s="462" t="s">
        <v>647</v>
      </c>
      <c r="E15" s="462"/>
      <c r="F15" s="462"/>
      <c r="G15" s="462"/>
      <c r="H15" s="462"/>
      <c r="I15" s="462"/>
      <c r="J15" s="462"/>
      <c r="K15" s="98"/>
      <c r="L15" s="98"/>
      <c r="M15" s="98"/>
      <c r="N15" s="98"/>
      <c r="O15" s="98"/>
      <c r="P15" s="98"/>
      <c r="Q15" s="98"/>
      <c r="R15" s="98"/>
    </row>
    <row r="16" spans="1:18" x14ac:dyDescent="0.2">
      <c r="A16" s="98" t="s">
        <v>128</v>
      </c>
      <c r="B16" s="473">
        <f>'Atmos. &amp; Ionos. Losses'!D23</f>
        <v>1.1000000000000001</v>
      </c>
      <c r="C16" s="98" t="s">
        <v>78</v>
      </c>
      <c r="D16" s="462" t="s">
        <v>559</v>
      </c>
      <c r="E16" s="462"/>
      <c r="F16" s="462"/>
      <c r="G16" s="462"/>
      <c r="H16" s="462"/>
      <c r="I16" s="462"/>
      <c r="J16" s="462"/>
      <c r="K16" s="98"/>
      <c r="L16" s="98"/>
      <c r="M16" s="98"/>
      <c r="N16" s="98"/>
      <c r="O16" s="98"/>
      <c r="P16" s="98"/>
      <c r="Q16" s="98"/>
      <c r="R16" s="98"/>
    </row>
    <row r="17" spans="1:19" x14ac:dyDescent="0.2">
      <c r="A17" s="98" t="s">
        <v>129</v>
      </c>
      <c r="B17" s="471">
        <f>INDEX('Atmos. &amp; Ionos. Losses'!D45:D48,'Orbit &amp; Frequency'!M37,1)</f>
        <v>0.4</v>
      </c>
      <c r="C17" s="98" t="s">
        <v>78</v>
      </c>
      <c r="D17" s="462" t="s">
        <v>561</v>
      </c>
      <c r="E17" s="462"/>
      <c r="F17" s="462"/>
      <c r="G17" s="462"/>
      <c r="H17" s="462"/>
      <c r="I17" s="462"/>
      <c r="J17" s="462"/>
      <c r="K17" s="98"/>
      <c r="L17" s="98"/>
      <c r="M17" s="98"/>
      <c r="N17" s="98"/>
      <c r="O17" s="98"/>
      <c r="P17" s="98"/>
      <c r="Q17" s="98"/>
      <c r="R17" s="98"/>
    </row>
    <row r="18" spans="1:19" x14ac:dyDescent="0.2">
      <c r="A18" s="98" t="s">
        <v>127</v>
      </c>
      <c r="B18" s="474">
        <v>0</v>
      </c>
      <c r="C18" s="98" t="s">
        <v>78</v>
      </c>
      <c r="D18" s="462" t="s">
        <v>569</v>
      </c>
      <c r="E18" s="462"/>
      <c r="F18" s="462"/>
      <c r="G18" s="462"/>
      <c r="H18" s="462"/>
      <c r="I18" s="462"/>
      <c r="J18" s="462" t="s">
        <v>37</v>
      </c>
      <c r="K18" s="98"/>
      <c r="L18" s="98"/>
      <c r="M18" s="98"/>
      <c r="N18" s="98"/>
      <c r="O18" s="98"/>
      <c r="P18" s="98"/>
      <c r="Q18" s="98"/>
      <c r="R18" s="98"/>
    </row>
    <row r="19" spans="1:19" x14ac:dyDescent="0.2">
      <c r="A19" s="98" t="s">
        <v>93</v>
      </c>
      <c r="B19" s="458">
        <f>B11-SUM(B13:B18)</f>
        <v>-155.7056557565171</v>
      </c>
      <c r="C19" s="98" t="s">
        <v>103</v>
      </c>
      <c r="D19" s="462" t="s">
        <v>648</v>
      </c>
      <c r="E19" s="462"/>
      <c r="F19" s="462"/>
      <c r="G19" s="462"/>
      <c r="H19" s="462"/>
      <c r="I19" s="462"/>
      <c r="J19" s="462"/>
      <c r="K19" s="98"/>
      <c r="L19" s="98"/>
      <c r="M19" s="98"/>
      <c r="N19" s="98"/>
      <c r="O19" s="98"/>
      <c r="P19" s="98"/>
      <c r="Q19" s="98"/>
      <c r="R19" s="98"/>
    </row>
    <row r="20" spans="1:19" x14ac:dyDescent="0.2">
      <c r="A20" s="69" t="s">
        <v>627</v>
      </c>
      <c r="B20" s="26"/>
      <c r="C20" s="26"/>
      <c r="D20" s="26"/>
      <c r="E20" s="26"/>
      <c r="F20" s="26"/>
      <c r="G20" s="26"/>
      <c r="H20" s="26"/>
      <c r="I20" s="26"/>
      <c r="J20" s="41" t="s">
        <v>37</v>
      </c>
      <c r="K20" s="47"/>
      <c r="L20" s="47"/>
      <c r="M20" s="47"/>
      <c r="N20" s="47"/>
      <c r="O20" s="26"/>
      <c r="P20" s="26"/>
      <c r="Q20" s="26"/>
      <c r="R20" s="26"/>
      <c r="S20" s="144"/>
    </row>
    <row r="21" spans="1:19" outlineLevel="1" x14ac:dyDescent="0.2">
      <c r="A21" s="69" t="s">
        <v>154</v>
      </c>
      <c r="B21" s="26"/>
      <c r="C21" s="26"/>
      <c r="D21" s="26"/>
      <c r="E21" s="26"/>
      <c r="F21" s="26"/>
      <c r="G21" s="26"/>
      <c r="H21" s="26"/>
      <c r="I21" s="26"/>
      <c r="J21" s="41" t="s">
        <v>37</v>
      </c>
      <c r="K21" s="47"/>
      <c r="L21" s="47"/>
      <c r="M21" s="47"/>
      <c r="N21" s="47"/>
      <c r="O21" s="26"/>
      <c r="P21" s="26"/>
      <c r="Q21" s="26"/>
      <c r="R21" s="26"/>
      <c r="S21" s="144"/>
    </row>
    <row r="22" spans="1:19" outlineLevel="1" x14ac:dyDescent="0.2">
      <c r="A22" s="469" t="s">
        <v>115</v>
      </c>
      <c r="B22" s="471">
        <f>'Antenna Pointing Losses'!K98</f>
        <v>0.25892532851375871</v>
      </c>
      <c r="C22" s="98" t="s">
        <v>78</v>
      </c>
      <c r="D22" s="462" t="s">
        <v>572</v>
      </c>
      <c r="E22" s="462"/>
      <c r="F22" s="462"/>
      <c r="G22" s="462"/>
      <c r="H22" s="462"/>
      <c r="I22" s="462"/>
      <c r="J22" s="462"/>
      <c r="K22" s="472"/>
      <c r="L22" s="98"/>
      <c r="M22" s="98"/>
      <c r="N22" s="98"/>
      <c r="O22" s="98"/>
      <c r="P22" s="98"/>
      <c r="Q22" s="98"/>
      <c r="R22" s="98"/>
    </row>
    <row r="23" spans="1:19" outlineLevel="1" x14ac:dyDescent="0.2">
      <c r="A23" s="98" t="s">
        <v>95</v>
      </c>
      <c r="B23" s="470">
        <f>INDEX('Antenna Gain'!N58:N61,'Antenna Gain'!E56,1)</f>
        <v>15.740312677277188</v>
      </c>
      <c r="C23" s="98" t="s">
        <v>266</v>
      </c>
      <c r="D23" s="462" t="s">
        <v>573</v>
      </c>
      <c r="E23" s="462"/>
      <c r="F23" s="462"/>
      <c r="G23" s="462"/>
      <c r="H23" s="462"/>
      <c r="I23" s="462"/>
      <c r="J23" s="462"/>
      <c r="K23" s="472"/>
      <c r="L23" s="98"/>
      <c r="M23" s="98"/>
      <c r="N23" s="98"/>
      <c r="O23" s="98"/>
      <c r="P23" s="98"/>
      <c r="Q23" s="98"/>
      <c r="R23" s="98"/>
    </row>
    <row r="24" spans="1:19" outlineLevel="1" x14ac:dyDescent="0.2">
      <c r="A24" s="98" t="s">
        <v>575</v>
      </c>
      <c r="B24" s="471">
        <f>Receivers!J124</f>
        <v>0.30000000000000004</v>
      </c>
      <c r="C24" s="98" t="s">
        <v>78</v>
      </c>
      <c r="D24" s="462" t="s">
        <v>576</v>
      </c>
      <c r="E24" s="462"/>
      <c r="F24" s="462"/>
      <c r="G24" s="462"/>
      <c r="H24" s="462"/>
      <c r="I24" s="462"/>
      <c r="J24" s="462"/>
      <c r="K24" s="98"/>
      <c r="L24" s="98"/>
      <c r="M24" s="98"/>
      <c r="N24" s="98"/>
      <c r="O24" s="98"/>
      <c r="P24" s="98"/>
      <c r="Q24" s="98"/>
      <c r="R24" s="98"/>
    </row>
    <row r="25" spans="1:19" outlineLevel="1" x14ac:dyDescent="0.2">
      <c r="A25" s="98" t="s">
        <v>96</v>
      </c>
      <c r="B25" s="475">
        <f>Receivers!J147</f>
        <v>213.56435907637658</v>
      </c>
      <c r="C25" s="98" t="s">
        <v>106</v>
      </c>
      <c r="D25" s="462" t="s">
        <v>574</v>
      </c>
      <c r="E25" s="462"/>
      <c r="F25" s="462"/>
      <c r="G25" s="462"/>
      <c r="H25" s="462"/>
      <c r="I25" s="462"/>
      <c r="J25" s="462"/>
      <c r="K25" s="475"/>
      <c r="L25" s="98"/>
      <c r="M25" s="98"/>
      <c r="N25" s="98"/>
      <c r="O25" s="98"/>
      <c r="P25" s="98"/>
      <c r="Q25" s="98"/>
      <c r="R25" s="98"/>
    </row>
    <row r="26" spans="1:19" outlineLevel="1" x14ac:dyDescent="0.2">
      <c r="A26" s="98" t="s">
        <v>97</v>
      </c>
      <c r="B26" s="472">
        <f>B23-B24-10*LOG10(B25)</f>
        <v>-7.8549750896225454</v>
      </c>
      <c r="C26" s="98" t="s">
        <v>107</v>
      </c>
      <c r="D26" s="462" t="s">
        <v>618</v>
      </c>
      <c r="E26" s="462"/>
      <c r="F26" s="462"/>
      <c r="G26" s="462"/>
      <c r="H26" s="462"/>
      <c r="I26" s="462"/>
      <c r="J26" s="462"/>
      <c r="K26" s="472"/>
      <c r="L26" s="98"/>
      <c r="M26" s="98"/>
      <c r="N26" s="98"/>
      <c r="O26" s="98"/>
      <c r="P26" s="98"/>
      <c r="Q26" s="98"/>
      <c r="R26" s="98"/>
    </row>
    <row r="27" spans="1:19" outlineLevel="1" x14ac:dyDescent="0.2">
      <c r="A27" s="98" t="s">
        <v>98</v>
      </c>
      <c r="B27" s="458">
        <f>B19-B22-F27+B26</f>
        <v>64.780443825346595</v>
      </c>
      <c r="C27" s="98" t="s">
        <v>112</v>
      </c>
      <c r="D27" s="480" t="s">
        <v>110</v>
      </c>
      <c r="E27" s="481"/>
      <c r="F27" s="481">
        <v>-228.6</v>
      </c>
      <c r="G27" s="482" t="s">
        <v>111</v>
      </c>
      <c r="H27" s="207"/>
      <c r="I27" s="462"/>
      <c r="J27" s="462"/>
      <c r="K27" s="323"/>
      <c r="L27" s="98"/>
      <c r="M27" s="98"/>
      <c r="N27" s="98"/>
      <c r="O27" s="98"/>
      <c r="P27" s="98"/>
      <c r="Q27" s="98"/>
      <c r="R27" s="98"/>
    </row>
    <row r="28" spans="1:19" outlineLevel="1" x14ac:dyDescent="0.2">
      <c r="A28" s="98" t="s">
        <v>99</v>
      </c>
      <c r="B28" s="421">
        <v>200000</v>
      </c>
      <c r="C28" s="98" t="s">
        <v>113</v>
      </c>
      <c r="D28" s="462" t="s">
        <v>578</v>
      </c>
      <c r="E28" s="462"/>
      <c r="F28" s="462"/>
      <c r="G28" s="462"/>
      <c r="H28" s="462"/>
      <c r="I28" s="462"/>
      <c r="J28" s="462"/>
      <c r="K28" s="487"/>
      <c r="L28" s="98"/>
      <c r="M28" s="98"/>
      <c r="N28" s="98"/>
      <c r="O28" s="98"/>
      <c r="P28" s="98"/>
      <c r="Q28" s="98"/>
      <c r="R28" s="98"/>
    </row>
    <row r="29" spans="1:19" outlineLevel="1" x14ac:dyDescent="0.2">
      <c r="A29" s="467" t="s">
        <v>114</v>
      </c>
      <c r="B29" s="483">
        <f>10*LOG10(B28)</f>
        <v>53.010299956639813</v>
      </c>
      <c r="C29" s="98" t="s">
        <v>112</v>
      </c>
      <c r="D29" s="462" t="s">
        <v>579</v>
      </c>
      <c r="E29" s="462"/>
      <c r="F29" s="462"/>
      <c r="G29" s="462"/>
      <c r="H29" s="462"/>
      <c r="I29" s="462"/>
      <c r="J29" s="462"/>
      <c r="K29" s="323"/>
      <c r="L29" s="98"/>
      <c r="M29" s="98"/>
      <c r="N29" s="98"/>
      <c r="O29" s="98"/>
      <c r="P29" s="98"/>
      <c r="Q29" s="98"/>
      <c r="R29" s="98"/>
    </row>
    <row r="30" spans="1:19" outlineLevel="1" x14ac:dyDescent="0.2">
      <c r="A30" s="98" t="s">
        <v>577</v>
      </c>
      <c r="B30" s="458">
        <f>B27-B29</f>
        <v>11.770143868706782</v>
      </c>
      <c r="C30" s="98" t="s">
        <v>78</v>
      </c>
      <c r="D30" s="462" t="s">
        <v>37</v>
      </c>
      <c r="E30" s="462"/>
      <c r="F30" s="462"/>
      <c r="G30" s="462"/>
      <c r="H30" s="462"/>
      <c r="I30" s="462"/>
      <c r="J30" s="462"/>
      <c r="K30" s="323"/>
      <c r="L30" s="98"/>
      <c r="M30" s="98"/>
      <c r="N30" s="98"/>
      <c r="O30" s="98"/>
      <c r="P30" s="98"/>
      <c r="Q30" s="98"/>
      <c r="R30" s="98"/>
    </row>
    <row r="31" spans="1:19" outlineLevel="1" x14ac:dyDescent="0.2">
      <c r="A31" s="98"/>
      <c r="B31" s="476"/>
      <c r="C31" s="98"/>
      <c r="D31" s="462"/>
      <c r="E31" s="462"/>
      <c r="F31" s="462"/>
      <c r="G31" s="462"/>
      <c r="H31" s="462"/>
      <c r="I31" s="462"/>
      <c r="J31" s="462"/>
      <c r="K31" s="323"/>
      <c r="L31" s="98"/>
      <c r="M31" s="98"/>
      <c r="N31" s="98"/>
      <c r="O31" s="98"/>
      <c r="P31" s="98"/>
      <c r="Q31" s="98"/>
      <c r="R31" s="98"/>
    </row>
    <row r="32" spans="1:19" outlineLevel="1" x14ac:dyDescent="0.2">
      <c r="A32" s="98" t="s">
        <v>653</v>
      </c>
      <c r="B32" s="490" t="str">
        <f>INDEX('Modulation-Demodulation Method'!C33:C51,'Modulation-Demodulation Method'!E30,1)</f>
        <v>QPSK</v>
      </c>
      <c r="C32" s="468" t="s">
        <v>37</v>
      </c>
      <c r="D32" s="493" t="s">
        <v>655</v>
      </c>
      <c r="E32" s="462"/>
      <c r="F32" s="462"/>
      <c r="G32" s="462"/>
      <c r="H32" s="462"/>
      <c r="I32" s="462"/>
      <c r="J32" s="324"/>
      <c r="K32" s="98"/>
      <c r="L32" s="98"/>
      <c r="M32" s="98"/>
      <c r="N32" s="98"/>
      <c r="O32" s="98"/>
      <c r="P32" s="98"/>
      <c r="Q32" s="98"/>
      <c r="R32" s="98"/>
    </row>
    <row r="33" spans="1:19" outlineLevel="1" x14ac:dyDescent="0.2">
      <c r="A33" s="98" t="s">
        <v>650</v>
      </c>
      <c r="B33" s="492" t="str">
        <f>INDEX('Modulation-Demodulation Method'!D33:D51,'Modulation-Demodulation Method'!E30,1)</f>
        <v>None</v>
      </c>
      <c r="C33" s="491"/>
      <c r="D33" s="466" t="s">
        <v>654</v>
      </c>
      <c r="E33" s="464"/>
      <c r="F33" s="462"/>
      <c r="G33" s="462"/>
      <c r="H33" s="462"/>
      <c r="I33" s="462"/>
      <c r="J33" s="462"/>
      <c r="K33" s="323"/>
      <c r="L33" s="98"/>
      <c r="M33" s="98"/>
      <c r="N33" s="98"/>
      <c r="O33" s="98"/>
      <c r="P33" s="98"/>
      <c r="Q33" s="98"/>
      <c r="R33" s="98"/>
    </row>
    <row r="34" spans="1:19" outlineLevel="1" x14ac:dyDescent="0.2">
      <c r="A34" s="98"/>
      <c r="B34" s="477"/>
      <c r="C34" s="468"/>
      <c r="D34" s="465"/>
      <c r="E34" s="464"/>
      <c r="F34" s="462"/>
      <c r="G34" s="462"/>
      <c r="H34" s="462"/>
      <c r="I34" s="462"/>
      <c r="J34" s="462"/>
      <c r="K34" s="323"/>
      <c r="L34" s="98"/>
      <c r="M34" s="98"/>
      <c r="N34" s="98"/>
      <c r="O34" s="98"/>
      <c r="P34" s="98"/>
      <c r="Q34" s="98"/>
      <c r="R34" s="98"/>
    </row>
    <row r="35" spans="1:19" outlineLevel="1" x14ac:dyDescent="0.2">
      <c r="A35" s="98" t="s">
        <v>581</v>
      </c>
      <c r="B35" s="459">
        <f>INDEX('Modulation-Demodulation Method'!E33:E51,'Modulation-Demodulation Method'!E30,1)</f>
        <v>1.0000000000000001E-5</v>
      </c>
      <c r="C35" s="468"/>
      <c r="D35" s="466" t="s">
        <v>595</v>
      </c>
      <c r="E35" s="464"/>
      <c r="F35" s="462"/>
      <c r="G35" s="462"/>
      <c r="H35" s="462"/>
      <c r="I35" s="462"/>
      <c r="J35" s="462"/>
      <c r="K35" s="323"/>
      <c r="L35" s="98"/>
      <c r="M35" s="98"/>
      <c r="N35" s="98"/>
      <c r="O35" s="98"/>
      <c r="P35" s="98"/>
      <c r="Q35" s="98"/>
      <c r="R35" s="98"/>
    </row>
    <row r="36" spans="1:19" outlineLevel="1" x14ac:dyDescent="0.2">
      <c r="A36" s="98"/>
      <c r="B36" s="477"/>
      <c r="C36" s="468"/>
      <c r="D36" s="465"/>
      <c r="E36" s="464"/>
      <c r="F36" s="462"/>
      <c r="G36" s="462"/>
      <c r="H36" s="462"/>
      <c r="I36" s="462"/>
      <c r="J36" s="462"/>
      <c r="K36" s="323"/>
      <c r="L36" s="98"/>
      <c r="M36" s="98"/>
      <c r="N36" s="98"/>
      <c r="O36" s="98"/>
      <c r="P36" s="98"/>
      <c r="Q36" s="98"/>
      <c r="R36" s="98"/>
    </row>
    <row r="37" spans="1:19" outlineLevel="1" x14ac:dyDescent="0.2">
      <c r="A37" s="98" t="s">
        <v>585</v>
      </c>
      <c r="B37" s="478">
        <f>'Modulation-Demodulation Method'!E53</f>
        <v>0</v>
      </c>
      <c r="C37" s="98" t="s">
        <v>78</v>
      </c>
      <c r="D37" s="462" t="s">
        <v>659</v>
      </c>
      <c r="E37" s="462"/>
      <c r="F37" s="462"/>
      <c r="G37" s="462"/>
      <c r="H37" s="462"/>
      <c r="I37" s="462"/>
      <c r="J37" s="462"/>
      <c r="K37" s="98"/>
      <c r="L37" s="98"/>
      <c r="M37" s="98"/>
      <c r="N37" s="98"/>
      <c r="O37" s="98"/>
      <c r="P37" s="98"/>
      <c r="Q37" s="98"/>
      <c r="R37" s="98"/>
    </row>
    <row r="38" spans="1:19" outlineLevel="1" x14ac:dyDescent="0.2">
      <c r="A38" s="98"/>
      <c r="B38" s="479"/>
      <c r="C38" s="98"/>
      <c r="D38" s="462"/>
      <c r="E38" s="462"/>
      <c r="F38" s="462"/>
      <c r="G38" s="462"/>
      <c r="H38" s="462"/>
      <c r="I38" s="462"/>
      <c r="J38" s="462"/>
      <c r="K38" s="98"/>
      <c r="L38" s="98"/>
      <c r="M38" s="98"/>
      <c r="N38" s="98"/>
      <c r="O38" s="98"/>
      <c r="P38" s="98"/>
      <c r="Q38" s="98"/>
      <c r="R38" s="98"/>
    </row>
    <row r="39" spans="1:19" outlineLevel="1" x14ac:dyDescent="0.2">
      <c r="A39" s="98" t="s">
        <v>100</v>
      </c>
      <c r="B39" s="497">
        <f>INDEX('Modulation-Demodulation Method'!F33:F51,'Modulation-Demodulation Method'!E30,1)</f>
        <v>9.6</v>
      </c>
      <c r="C39" s="98" t="s">
        <v>78</v>
      </c>
      <c r="D39" s="462" t="s">
        <v>580</v>
      </c>
      <c r="E39" s="462"/>
      <c r="F39" s="462"/>
      <c r="G39" s="462"/>
      <c r="H39" s="462"/>
      <c r="I39" s="462"/>
      <c r="J39" s="462"/>
      <c r="K39" s="472"/>
      <c r="L39" s="98"/>
      <c r="M39" s="98"/>
      <c r="N39" s="98"/>
      <c r="O39" s="98"/>
      <c r="P39" s="98"/>
      <c r="Q39" s="98"/>
      <c r="R39" s="98"/>
    </row>
    <row r="40" spans="1:19" outlineLevel="1" x14ac:dyDescent="0.2">
      <c r="A40" s="98"/>
      <c r="B40" s="473"/>
      <c r="C40" s="98"/>
      <c r="D40" s="462"/>
      <c r="E40" s="462"/>
      <c r="F40" s="462"/>
      <c r="G40" s="462"/>
      <c r="H40" s="462"/>
      <c r="I40" s="462"/>
      <c r="J40" s="462"/>
      <c r="K40" s="472"/>
      <c r="L40" s="98"/>
      <c r="M40" s="98"/>
      <c r="N40" s="98"/>
      <c r="O40" s="98"/>
      <c r="P40" s="98"/>
      <c r="Q40" s="98"/>
      <c r="R40" s="98"/>
    </row>
    <row r="41" spans="1:19" outlineLevel="1" x14ac:dyDescent="0.2">
      <c r="A41" s="98" t="s">
        <v>586</v>
      </c>
      <c r="B41" s="460">
        <f>'Modulation-Demodulation Method'!H32</f>
        <v>9.6</v>
      </c>
      <c r="C41" s="98" t="s">
        <v>78</v>
      </c>
      <c r="D41" s="462" t="s">
        <v>596</v>
      </c>
      <c r="E41" s="462"/>
      <c r="F41" s="462"/>
      <c r="G41" s="462"/>
      <c r="H41" s="462"/>
      <c r="I41" s="462"/>
      <c r="J41" s="462"/>
      <c r="K41" s="472"/>
      <c r="L41" s="98"/>
      <c r="M41" s="98"/>
      <c r="N41" s="98"/>
      <c r="O41" s="98"/>
      <c r="P41" s="98"/>
      <c r="Q41" s="98"/>
      <c r="R41" s="98"/>
    </row>
    <row r="42" spans="1:19" ht="13.5" outlineLevel="1" thickBot="1" x14ac:dyDescent="0.25">
      <c r="A42" s="98"/>
      <c r="B42" s="473"/>
      <c r="C42" s="98"/>
      <c r="D42" s="462"/>
      <c r="E42" s="462"/>
      <c r="F42" s="462"/>
      <c r="G42" s="462"/>
      <c r="H42" s="462"/>
      <c r="I42" s="462"/>
      <c r="J42" s="462"/>
      <c r="K42" s="472"/>
      <c r="L42" s="98"/>
      <c r="M42" s="98"/>
      <c r="N42" s="98"/>
      <c r="O42" s="98"/>
      <c r="P42" s="98"/>
      <c r="Q42" s="98"/>
      <c r="R42" s="98"/>
    </row>
    <row r="43" spans="1:19" ht="13.5" outlineLevel="1" thickBot="1" x14ac:dyDescent="0.25">
      <c r="A43" s="128" t="s">
        <v>101</v>
      </c>
      <c r="B43" s="45">
        <f>B30-B41</f>
        <v>2.1701438687067824</v>
      </c>
      <c r="C43" s="98" t="s">
        <v>78</v>
      </c>
      <c r="D43" s="462"/>
      <c r="E43" s="462"/>
      <c r="F43" s="462"/>
      <c r="G43" s="462"/>
      <c r="H43" s="462"/>
      <c r="I43" s="462"/>
      <c r="J43" s="462"/>
      <c r="K43" s="98"/>
      <c r="L43" s="98"/>
      <c r="M43" s="98"/>
      <c r="N43" s="98"/>
      <c r="O43" s="98"/>
      <c r="P43" s="98"/>
      <c r="Q43" s="98"/>
      <c r="R43" s="98"/>
    </row>
    <row r="44" spans="1:19" outlineLevel="1" x14ac:dyDescent="0.2">
      <c r="A44" s="98"/>
      <c r="B44" s="98"/>
      <c r="C44" s="98"/>
      <c r="D44" s="462"/>
      <c r="E44" s="462"/>
      <c r="F44" s="462"/>
      <c r="G44" s="462"/>
      <c r="H44" s="462"/>
      <c r="I44" s="462"/>
      <c r="J44" s="462"/>
      <c r="K44" s="488"/>
      <c r="L44" s="98"/>
      <c r="M44" s="98"/>
      <c r="N44" s="98"/>
      <c r="O44" s="98"/>
      <c r="P44" s="98"/>
      <c r="Q44" s="98"/>
      <c r="R44" s="98"/>
    </row>
    <row r="45" spans="1:19" outlineLevel="1" x14ac:dyDescent="0.2">
      <c r="A45" s="105"/>
      <c r="B45" s="105"/>
      <c r="C45" s="105"/>
      <c r="D45" s="155" t="s">
        <v>37</v>
      </c>
      <c r="E45" s="155"/>
      <c r="F45" s="155"/>
      <c r="G45" s="155"/>
      <c r="H45" s="155"/>
      <c r="I45" s="155"/>
      <c r="J45" s="155"/>
      <c r="K45" s="105"/>
      <c r="L45" s="105"/>
      <c r="M45" s="105"/>
      <c r="N45" s="105"/>
      <c r="O45" s="105"/>
      <c r="P45" s="105"/>
      <c r="Q45" s="105"/>
      <c r="R45" s="105"/>
      <c r="S45" s="461"/>
    </row>
    <row r="46" spans="1:19" x14ac:dyDescent="0.2">
      <c r="A46" s="486" t="s">
        <v>116</v>
      </c>
      <c r="B46" s="47"/>
      <c r="C46" s="47"/>
      <c r="D46" s="47"/>
      <c r="E46" s="47"/>
      <c r="F46" s="26"/>
      <c r="G46" s="26"/>
      <c r="H46" s="26"/>
      <c r="I46" s="26"/>
      <c r="J46" s="26"/>
      <c r="K46" s="26"/>
      <c r="L46" s="26"/>
      <c r="M46" s="26"/>
      <c r="N46" s="26"/>
      <c r="O46" s="26"/>
      <c r="P46" s="26"/>
      <c r="Q46" s="26"/>
      <c r="R46" s="26"/>
    </row>
    <row r="47" spans="1:19" outlineLevel="1" x14ac:dyDescent="0.2">
      <c r="A47" s="41" t="s">
        <v>155</v>
      </c>
      <c r="B47" s="47"/>
      <c r="C47" s="47"/>
      <c r="D47" s="47"/>
      <c r="E47" s="47"/>
      <c r="F47" s="26"/>
      <c r="G47" s="26"/>
      <c r="H47" s="26"/>
      <c r="I47" s="26"/>
      <c r="J47" s="26"/>
      <c r="K47" s="26"/>
      <c r="L47" s="26"/>
      <c r="M47" s="26"/>
      <c r="N47" s="26"/>
      <c r="O47" s="26"/>
      <c r="P47" s="26"/>
      <c r="Q47" s="26"/>
      <c r="R47" s="26"/>
    </row>
    <row r="48" spans="1:19" outlineLevel="1" x14ac:dyDescent="0.2">
      <c r="A48" s="98" t="s">
        <v>115</v>
      </c>
      <c r="B48" s="472">
        <f>'Antenna Pointing Losses'!K98</f>
        <v>0.25892532851375871</v>
      </c>
      <c r="C48" s="98" t="s">
        <v>78</v>
      </c>
      <c r="D48" s="462" t="s">
        <v>572</v>
      </c>
      <c r="E48" s="462"/>
      <c r="F48" s="462"/>
      <c r="G48" s="462"/>
      <c r="H48" s="462"/>
      <c r="I48" s="462"/>
      <c r="J48" s="462"/>
      <c r="K48" s="98"/>
      <c r="L48" s="98"/>
      <c r="M48" s="98"/>
      <c r="N48" s="98"/>
      <c r="O48" s="98"/>
      <c r="P48" s="98"/>
      <c r="Q48" s="98"/>
      <c r="R48" s="98"/>
    </row>
    <row r="49" spans="1:18" outlineLevel="1" x14ac:dyDescent="0.2">
      <c r="A49" s="98" t="s">
        <v>95</v>
      </c>
      <c r="B49" s="472">
        <f>INDEX('Antenna Gain'!N58:N61,'Antenna Gain'!E56,1)</f>
        <v>15.740312677277188</v>
      </c>
      <c r="C49" s="98" t="s">
        <v>266</v>
      </c>
      <c r="D49" s="462" t="s">
        <v>573</v>
      </c>
      <c r="E49" s="462"/>
      <c r="F49" s="462"/>
      <c r="G49" s="462"/>
      <c r="H49" s="462"/>
      <c r="I49" s="462"/>
      <c r="J49" s="462"/>
      <c r="K49" s="98"/>
      <c r="L49" s="98"/>
      <c r="M49" s="98"/>
      <c r="N49" s="98"/>
      <c r="O49" s="98"/>
      <c r="P49" s="98"/>
      <c r="Q49" s="98"/>
      <c r="R49" s="98"/>
    </row>
    <row r="50" spans="1:18" outlineLevel="1" x14ac:dyDescent="0.2">
      <c r="A50" s="98" t="s">
        <v>575</v>
      </c>
      <c r="B50" s="472">
        <f>Receivers!J124</f>
        <v>0.30000000000000004</v>
      </c>
      <c r="C50" s="98" t="s">
        <v>78</v>
      </c>
      <c r="D50" s="462" t="s">
        <v>576</v>
      </c>
      <c r="E50" s="462"/>
      <c r="F50" s="462"/>
      <c r="G50" s="462"/>
      <c r="H50" s="462"/>
      <c r="I50" s="462"/>
      <c r="J50" s="462"/>
      <c r="K50" s="98"/>
      <c r="L50" s="98"/>
      <c r="M50" s="98"/>
      <c r="N50" s="98"/>
      <c r="O50" s="98"/>
      <c r="P50" s="98"/>
      <c r="Q50" s="98"/>
      <c r="R50" s="98"/>
    </row>
    <row r="51" spans="1:18" outlineLevel="1" x14ac:dyDescent="0.2">
      <c r="A51" s="98" t="s">
        <v>96</v>
      </c>
      <c r="B51" s="475">
        <f>Receivers!J147</f>
        <v>213.56435907637658</v>
      </c>
      <c r="C51" s="98" t="s">
        <v>106</v>
      </c>
      <c r="D51" s="462" t="s">
        <v>574</v>
      </c>
      <c r="E51" s="462"/>
      <c r="F51" s="462"/>
      <c r="G51" s="462"/>
      <c r="H51" s="462"/>
      <c r="I51" s="462"/>
      <c r="J51" s="462"/>
      <c r="K51" s="98"/>
      <c r="L51" s="98"/>
      <c r="M51" s="98"/>
      <c r="N51" s="98"/>
      <c r="O51" s="98"/>
      <c r="P51" s="98"/>
      <c r="Q51" s="98"/>
      <c r="R51" s="98"/>
    </row>
    <row r="52" spans="1:18" outlineLevel="1" x14ac:dyDescent="0.2">
      <c r="A52" s="98" t="s">
        <v>97</v>
      </c>
      <c r="B52" s="472">
        <f>B49-B50-10*LOG10(B51)</f>
        <v>-7.8549750896225454</v>
      </c>
      <c r="C52" s="98" t="s">
        <v>107</v>
      </c>
      <c r="D52" s="462" t="s">
        <v>619</v>
      </c>
      <c r="E52" s="462"/>
      <c r="F52" s="462"/>
      <c r="G52" s="462"/>
      <c r="H52" s="462"/>
      <c r="I52" s="462"/>
      <c r="J52" s="462"/>
      <c r="K52" s="98"/>
      <c r="L52" s="98"/>
      <c r="M52" s="98"/>
      <c r="N52" s="98"/>
      <c r="O52" s="98"/>
      <c r="P52" s="98"/>
      <c r="Q52" s="98"/>
      <c r="R52" s="98"/>
    </row>
    <row r="53" spans="1:18" outlineLevel="1" x14ac:dyDescent="0.2">
      <c r="A53" s="98"/>
      <c r="B53" s="472"/>
      <c r="C53" s="98"/>
      <c r="D53" s="462"/>
      <c r="E53" s="462"/>
      <c r="F53" s="462"/>
      <c r="G53" s="462"/>
      <c r="H53" s="462"/>
      <c r="I53" s="462"/>
      <c r="J53" s="462"/>
      <c r="K53" s="98"/>
      <c r="L53" s="98"/>
      <c r="M53" s="98"/>
      <c r="N53" s="98"/>
      <c r="O53" s="98"/>
      <c r="P53" s="98"/>
      <c r="Q53" s="98"/>
      <c r="R53" s="98"/>
    </row>
    <row r="54" spans="1:18" outlineLevel="1" x14ac:dyDescent="0.2">
      <c r="A54" s="98" t="s">
        <v>117</v>
      </c>
      <c r="B54" s="378">
        <f>B19+B49-B48-B50</f>
        <v>-140.52426840775368</v>
      </c>
      <c r="C54" s="98" t="s">
        <v>103</v>
      </c>
      <c r="D54" s="462" t="s">
        <v>620</v>
      </c>
      <c r="E54" s="462"/>
      <c r="F54" s="462"/>
      <c r="G54" s="462"/>
      <c r="H54" s="462"/>
      <c r="I54" s="462"/>
      <c r="J54" s="462"/>
      <c r="K54" s="98"/>
      <c r="L54" s="98"/>
      <c r="M54" s="98"/>
      <c r="N54" s="98"/>
      <c r="O54" s="98"/>
      <c r="P54" s="98"/>
      <c r="Q54" s="98"/>
      <c r="R54" s="98"/>
    </row>
    <row r="55" spans="1:18" outlineLevel="1" x14ac:dyDescent="0.2">
      <c r="A55" s="98"/>
      <c r="B55" s="485"/>
      <c r="C55" s="98"/>
      <c r="D55" s="462"/>
      <c r="E55" s="462"/>
      <c r="F55" s="462"/>
      <c r="G55" s="462"/>
      <c r="H55" s="462"/>
      <c r="I55" s="462"/>
      <c r="J55" s="462"/>
      <c r="K55" s="98"/>
      <c r="L55" s="98"/>
      <c r="M55" s="98"/>
      <c r="N55" s="98"/>
      <c r="O55" s="98"/>
      <c r="P55" s="98"/>
      <c r="Q55" s="98"/>
      <c r="R55" s="98"/>
    </row>
    <row r="56" spans="1:18" outlineLevel="1" x14ac:dyDescent="0.2">
      <c r="A56" s="98" t="s">
        <v>621</v>
      </c>
      <c r="B56" s="420">
        <v>120000</v>
      </c>
      <c r="C56" s="98" t="s">
        <v>118</v>
      </c>
      <c r="D56" s="462" t="s">
        <v>597</v>
      </c>
      <c r="E56" s="462"/>
      <c r="F56" s="462"/>
      <c r="G56" s="462"/>
      <c r="H56" s="462"/>
      <c r="I56" s="462"/>
      <c r="J56" s="462"/>
      <c r="K56" s="98"/>
      <c r="L56" s="98"/>
      <c r="M56" s="98"/>
      <c r="N56" s="98"/>
      <c r="O56" s="98"/>
      <c r="P56" s="98"/>
      <c r="Q56" s="98"/>
      <c r="R56" s="98"/>
    </row>
    <row r="57" spans="1:18" outlineLevel="1" x14ac:dyDescent="0.2">
      <c r="A57" s="98"/>
      <c r="B57" s="484"/>
      <c r="C57" s="98"/>
      <c r="D57" s="462"/>
      <c r="E57" s="462"/>
      <c r="F57" s="462"/>
      <c r="G57" s="462"/>
      <c r="H57" s="462"/>
      <c r="I57" s="462"/>
      <c r="J57" s="462"/>
      <c r="K57" s="98"/>
      <c r="L57" s="98"/>
      <c r="M57" s="98"/>
      <c r="N57" s="98"/>
      <c r="O57" s="98"/>
      <c r="P57" s="98"/>
      <c r="Q57" s="98"/>
      <c r="R57" s="98"/>
    </row>
    <row r="58" spans="1:18" outlineLevel="1" x14ac:dyDescent="0.2">
      <c r="A58" s="98" t="s">
        <v>119</v>
      </c>
      <c r="B58" s="378">
        <f>F27+10*LOG10(B51)+10*LOG10(B56)</f>
        <v>-154.512899772624</v>
      </c>
      <c r="C58" s="98" t="s">
        <v>103</v>
      </c>
      <c r="D58" s="462" t="s">
        <v>666</v>
      </c>
      <c r="E58" s="462"/>
      <c r="F58" s="462"/>
      <c r="G58" s="462"/>
      <c r="H58" s="462"/>
      <c r="I58" s="462"/>
      <c r="J58" s="462"/>
      <c r="K58" s="98"/>
      <c r="L58" s="98"/>
      <c r="M58" s="98"/>
      <c r="N58" s="98"/>
      <c r="O58" s="98"/>
      <c r="P58" s="98"/>
      <c r="Q58" s="98"/>
      <c r="R58" s="98"/>
    </row>
    <row r="59" spans="1:18" outlineLevel="1" x14ac:dyDescent="0.2">
      <c r="A59" s="98"/>
      <c r="B59" s="485"/>
      <c r="C59" s="98"/>
      <c r="D59" s="462"/>
      <c r="E59" s="462"/>
      <c r="F59" s="462"/>
      <c r="G59" s="462"/>
      <c r="H59" s="462"/>
      <c r="I59" s="462"/>
      <c r="J59" s="462"/>
      <c r="K59" s="98"/>
      <c r="L59" s="98"/>
      <c r="M59" s="98"/>
      <c r="N59" s="98"/>
      <c r="O59" s="98"/>
      <c r="P59" s="98"/>
      <c r="Q59" s="98"/>
      <c r="R59" s="98"/>
    </row>
    <row r="60" spans="1:18" outlineLevel="1" x14ac:dyDescent="0.2">
      <c r="A60" s="98" t="s">
        <v>120</v>
      </c>
      <c r="B60" s="458">
        <f>B54-B58</f>
        <v>13.988631364870315</v>
      </c>
      <c r="C60" s="98" t="s">
        <v>78</v>
      </c>
      <c r="D60" s="462" t="s">
        <v>622</v>
      </c>
      <c r="E60" s="462"/>
      <c r="F60" s="462"/>
      <c r="G60" s="462"/>
      <c r="H60" s="462"/>
      <c r="I60" s="462"/>
      <c r="J60" s="462"/>
      <c r="K60" s="98"/>
      <c r="L60" s="98"/>
      <c r="M60" s="98"/>
      <c r="N60" s="98"/>
      <c r="O60" s="98"/>
      <c r="P60" s="98"/>
      <c r="Q60" s="98"/>
      <c r="R60" s="98"/>
    </row>
    <row r="61" spans="1:18" outlineLevel="1" x14ac:dyDescent="0.2">
      <c r="A61" s="98"/>
      <c r="B61" s="323"/>
      <c r="C61" s="98"/>
      <c r="D61" s="462"/>
      <c r="E61" s="462"/>
      <c r="F61" s="462"/>
      <c r="G61" s="462"/>
      <c r="H61" s="462"/>
      <c r="I61" s="462"/>
      <c r="J61" s="462"/>
      <c r="K61" s="98"/>
      <c r="L61" s="98"/>
      <c r="M61" s="98"/>
      <c r="N61" s="98"/>
      <c r="O61" s="98"/>
      <c r="P61" s="98"/>
      <c r="Q61" s="98"/>
      <c r="R61" s="98"/>
    </row>
    <row r="62" spans="1:18" outlineLevel="1" x14ac:dyDescent="0.2">
      <c r="A62" s="98" t="s">
        <v>598</v>
      </c>
      <c r="B62" s="372">
        <v>9.6</v>
      </c>
      <c r="C62" s="98" t="s">
        <v>78</v>
      </c>
      <c r="D62" s="462" t="s">
        <v>623</v>
      </c>
      <c r="E62" s="462"/>
      <c r="F62" s="462"/>
      <c r="G62" s="462"/>
      <c r="H62" s="462"/>
      <c r="I62" s="462"/>
      <c r="J62" s="462"/>
      <c r="K62" s="98"/>
      <c r="L62" s="98"/>
      <c r="M62" s="98"/>
      <c r="N62" s="98"/>
      <c r="O62" s="98"/>
      <c r="P62" s="98"/>
      <c r="Q62" s="98"/>
      <c r="R62" s="98"/>
    </row>
    <row r="63" spans="1:18" ht="13.5" outlineLevel="1" thickBot="1" x14ac:dyDescent="0.25">
      <c r="A63" s="98"/>
      <c r="B63" s="323"/>
      <c r="C63" s="98"/>
      <c r="D63" s="462"/>
      <c r="E63" s="462"/>
      <c r="F63" s="462"/>
      <c r="G63" s="462"/>
      <c r="H63" s="462"/>
      <c r="I63" s="462"/>
      <c r="J63" s="462"/>
      <c r="K63" s="98"/>
      <c r="L63" s="98"/>
      <c r="M63" s="98"/>
      <c r="N63" s="98"/>
      <c r="O63" s="98"/>
      <c r="P63" s="98"/>
      <c r="Q63" s="98"/>
      <c r="R63" s="98"/>
    </row>
    <row r="64" spans="1:18" ht="13.5" outlineLevel="1" thickBot="1" x14ac:dyDescent="0.25">
      <c r="A64" s="98" t="s">
        <v>617</v>
      </c>
      <c r="B64" s="45">
        <f>B60-B62</f>
        <v>4.3886313648703155</v>
      </c>
      <c r="C64" s="98" t="s">
        <v>78</v>
      </c>
      <c r="D64" s="462"/>
      <c r="E64" s="462"/>
      <c r="F64" s="462"/>
      <c r="G64" s="462"/>
      <c r="H64" s="462"/>
      <c r="I64" s="462"/>
      <c r="J64" s="462"/>
      <c r="K64" s="98"/>
      <c r="L64" s="98"/>
      <c r="M64" s="98"/>
      <c r="N64" s="98"/>
      <c r="O64" s="98"/>
      <c r="P64" s="98"/>
      <c r="Q64" s="98"/>
      <c r="R64" s="98"/>
    </row>
    <row r="65" spans="1:18" outlineLevel="1" x14ac:dyDescent="0.2">
      <c r="A65" s="105"/>
      <c r="B65" s="105"/>
      <c r="C65" s="105"/>
      <c r="D65" s="462"/>
      <c r="E65" s="462"/>
      <c r="F65" s="462"/>
      <c r="G65" s="462"/>
      <c r="H65" s="462"/>
      <c r="I65" s="462"/>
      <c r="J65" s="462"/>
      <c r="K65" s="98"/>
      <c r="L65" s="98"/>
      <c r="M65" s="98"/>
      <c r="N65" s="98"/>
      <c r="O65" s="98"/>
      <c r="P65" s="98"/>
      <c r="Q65" s="98"/>
      <c r="R65" s="98"/>
    </row>
    <row r="66" spans="1:18" outlineLevel="1" x14ac:dyDescent="0.2">
      <c r="A66" s="98"/>
      <c r="B66" s="98"/>
      <c r="C66" s="98"/>
      <c r="D66" s="462"/>
      <c r="E66" s="462"/>
      <c r="F66" s="462"/>
      <c r="G66" s="462"/>
      <c r="H66" s="462"/>
      <c r="I66" s="462"/>
      <c r="J66" s="462"/>
      <c r="K66" s="98"/>
      <c r="L66" s="98"/>
      <c r="M66" s="98"/>
      <c r="N66" s="98"/>
      <c r="O66" s="98"/>
      <c r="P66" s="98"/>
      <c r="Q66" s="98"/>
      <c r="R66" s="98"/>
    </row>
    <row r="67" spans="1:18" x14ac:dyDescent="0.2">
      <c r="D67" t="s">
        <v>37</v>
      </c>
    </row>
    <row r="69" spans="1:18" x14ac:dyDescent="0.2">
      <c r="D69" s="461"/>
      <c r="E69" s="461"/>
      <c r="F69" s="461"/>
    </row>
    <row r="78" spans="1:18" x14ac:dyDescent="0.2">
      <c r="G78" s="461"/>
      <c r="H78" s="461"/>
      <c r="I78" s="461"/>
    </row>
    <row r="92" spans="2:2" x14ac:dyDescent="0.2">
      <c r="B92" t="s">
        <v>37</v>
      </c>
    </row>
  </sheetData>
  <phoneticPr fontId="0" type="noConversion"/>
  <pageMargins left="0.75" right="0.75" top="1" bottom="1" header="0.5" footer="0.5"/>
  <pageSetup orientation="portrait" r:id="rId1"/>
  <headerFooter alignWithMargins="0"/>
  <ignoredErrors>
    <ignoredError sqref="B15" formula="1"/>
  </ignoredErrors>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R115"/>
  <sheetViews>
    <sheetView zoomScale="88" workbookViewId="0">
      <selection activeCell="B95" sqref="B95"/>
    </sheetView>
  </sheetViews>
  <sheetFormatPr defaultRowHeight="12.75" x14ac:dyDescent="0.2"/>
  <cols>
    <col min="1" max="1" width="12.7109375" customWidth="1"/>
    <col min="3" max="3" width="9.28515625" customWidth="1"/>
    <col min="4" max="5" width="12" customWidth="1"/>
    <col min="6" max="6" width="12.5703125" customWidth="1"/>
    <col min="7" max="7" width="10.28515625" customWidth="1"/>
    <col min="8" max="8" width="3.7109375" customWidth="1"/>
    <col min="9" max="9" width="3.85546875" customWidth="1"/>
    <col min="10" max="10" width="9.5703125" customWidth="1"/>
    <col min="11" max="11" width="10.5703125" customWidth="1"/>
    <col min="12" max="12" width="12.140625" customWidth="1"/>
    <col min="13" max="13" width="10.28515625" customWidth="1"/>
    <col min="14" max="14" width="13.28515625" customWidth="1"/>
    <col min="15" max="15" width="10.5703125" customWidth="1"/>
  </cols>
  <sheetData>
    <row r="1" spans="1:18" ht="18.75" thickBot="1" x14ac:dyDescent="0.3">
      <c r="A1" s="133" t="s">
        <v>670</v>
      </c>
      <c r="B1" s="135"/>
      <c r="C1" s="135"/>
      <c r="D1" s="135"/>
      <c r="E1" s="135"/>
      <c r="F1" s="135"/>
      <c r="G1" s="728" t="str">
        <f>'Title Page'!F3</f>
        <v>CougSat-1</v>
      </c>
      <c r="H1" s="135"/>
      <c r="I1" s="424"/>
      <c r="J1" s="424"/>
      <c r="K1" s="424"/>
      <c r="L1" s="733" t="str">
        <f>'Title Page'!F25</f>
        <v>2020 January 17</v>
      </c>
      <c r="M1" s="424"/>
      <c r="N1" s="424"/>
      <c r="O1" s="424"/>
      <c r="P1" s="424"/>
      <c r="Q1" s="424"/>
      <c r="R1" s="424"/>
    </row>
    <row r="2" spans="1:18" x14ac:dyDescent="0.2">
      <c r="A2" s="498"/>
      <c r="B2" s="676" t="s">
        <v>862</v>
      </c>
      <c r="C2" s="499"/>
      <c r="D2" s="499"/>
      <c r="E2" s="499"/>
      <c r="F2" s="499"/>
      <c r="G2" s="499" t="s">
        <v>37</v>
      </c>
      <c r="H2" s="500"/>
      <c r="I2" s="534"/>
      <c r="J2" s="676" t="s">
        <v>863</v>
      </c>
      <c r="K2" s="499"/>
      <c r="L2" s="499"/>
      <c r="M2" s="499"/>
      <c r="N2" s="499"/>
      <c r="O2" s="499"/>
      <c r="P2" s="499"/>
      <c r="Q2" s="499"/>
      <c r="R2" s="500"/>
    </row>
    <row r="3" spans="1:18" ht="15" customHeight="1" x14ac:dyDescent="0.25">
      <c r="A3" s="107"/>
      <c r="B3" s="294" t="s">
        <v>707</v>
      </c>
      <c r="C3" s="530"/>
      <c r="D3" s="108"/>
      <c r="E3" s="509" t="s">
        <v>74</v>
      </c>
      <c r="F3" s="525">
        <f>INDEX('Orbit &amp; Frequency'!C31:C34,'Orbit &amp; Frequency'!M31,1)</f>
        <v>437.5</v>
      </c>
      <c r="G3" s="108"/>
      <c r="H3" s="112"/>
      <c r="I3" s="107"/>
      <c r="J3" s="264" t="s">
        <v>709</v>
      </c>
      <c r="K3" s="265"/>
      <c r="L3" s="108"/>
      <c r="M3" s="509" t="s">
        <v>74</v>
      </c>
      <c r="N3" s="548">
        <f>INDEX('Orbit &amp; Frequency'!C37:C40,'Orbit &amp; Frequency'!M37,1)</f>
        <v>437.45</v>
      </c>
      <c r="O3" s="108"/>
      <c r="P3" s="108"/>
      <c r="Q3" s="108"/>
      <c r="R3" s="112"/>
    </row>
    <row r="4" spans="1:18" ht="13.5" thickBot="1" x14ac:dyDescent="0.25">
      <c r="A4" s="107"/>
      <c r="B4" s="108"/>
      <c r="C4" s="108"/>
      <c r="D4" s="108"/>
      <c r="E4" s="108"/>
      <c r="F4" s="108"/>
      <c r="G4" s="108"/>
      <c r="H4" s="112"/>
      <c r="I4" s="107"/>
      <c r="J4" s="108"/>
      <c r="K4" s="108"/>
      <c r="L4" s="108"/>
      <c r="M4" s="108"/>
      <c r="N4" s="108"/>
      <c r="O4" s="108"/>
      <c r="P4" s="108"/>
      <c r="Q4" s="108"/>
      <c r="R4" s="112"/>
    </row>
    <row r="5" spans="1:18" ht="13.5" thickBot="1" x14ac:dyDescent="0.25">
      <c r="A5" s="107" t="s">
        <v>705</v>
      </c>
      <c r="B5" s="463" t="s">
        <v>691</v>
      </c>
      <c r="C5" s="518">
        <f>'Uplink Budget'!B30</f>
        <v>21.465865676724235</v>
      </c>
      <c r="D5" s="108"/>
      <c r="E5" s="508" t="s">
        <v>690</v>
      </c>
      <c r="F5" s="638">
        <f>'Uplink Budget'!B43</f>
        <v>11.865865676724235</v>
      </c>
      <c r="G5" s="639" t="str">
        <f>IF(F5&lt;0,"NO LINK !",IF(F5&lt;6,"MARGINAL LINK",IF(F5&gt;6,"LINK CLOSES")))</f>
        <v>LINK CLOSES</v>
      </c>
      <c r="H5" s="112"/>
      <c r="I5" s="107"/>
      <c r="J5" s="108"/>
      <c r="K5" s="463" t="s">
        <v>708</v>
      </c>
      <c r="L5" s="533">
        <f>'Downlink Budget'!B28</f>
        <v>200000</v>
      </c>
      <c r="M5" s="108"/>
      <c r="N5" s="108"/>
      <c r="O5" s="108"/>
      <c r="P5" s="108"/>
      <c r="Q5" s="108"/>
      <c r="R5" s="112"/>
    </row>
    <row r="6" spans="1:18" ht="13.5" thickBot="1" x14ac:dyDescent="0.25">
      <c r="A6" s="107"/>
      <c r="B6" s="108"/>
      <c r="C6" s="108"/>
      <c r="D6" s="108"/>
      <c r="E6" s="108"/>
      <c r="F6" s="108"/>
      <c r="G6" s="34" t="s">
        <v>37</v>
      </c>
      <c r="H6" s="112"/>
      <c r="I6" s="107"/>
      <c r="J6" s="108"/>
      <c r="K6" s="108"/>
      <c r="L6" s="108"/>
      <c r="M6" s="108"/>
      <c r="N6" s="506" t="s">
        <v>717</v>
      </c>
      <c r="O6" s="503"/>
      <c r="P6" s="108"/>
      <c r="Q6" s="108"/>
      <c r="R6" s="112"/>
    </row>
    <row r="7" spans="1:18" ht="13.5" thickBot="1" x14ac:dyDescent="0.25">
      <c r="A7" s="107" t="s">
        <v>704</v>
      </c>
      <c r="B7" s="463" t="s">
        <v>692</v>
      </c>
      <c r="C7" s="518">
        <f>'Uplink Budget'!B61</f>
        <v>22.434965806804797</v>
      </c>
      <c r="D7" s="108"/>
      <c r="E7" s="508" t="s">
        <v>690</v>
      </c>
      <c r="F7" s="638">
        <f>'Uplink Budget'!B65</f>
        <v>12.834965806804798</v>
      </c>
      <c r="G7" s="639" t="str">
        <f>IF(F7&lt;0,"NO LINK !",IF(F7&lt;6,"MARGINAL LINK",IF(F7&gt;6,"LINK CLOSES")))</f>
        <v>LINK CLOSES</v>
      </c>
      <c r="H7" s="112"/>
      <c r="I7" s="107"/>
      <c r="J7" s="108"/>
      <c r="K7" s="535"/>
      <c r="L7" s="108"/>
      <c r="M7" s="108"/>
      <c r="N7" s="504" t="str">
        <f>'Downlink Budget'!B32</f>
        <v>QPSK</v>
      </c>
      <c r="O7" s="505"/>
      <c r="P7" s="108"/>
      <c r="Q7" s="108"/>
      <c r="R7" s="112"/>
    </row>
    <row r="8" spans="1:18" x14ac:dyDescent="0.2">
      <c r="A8" s="107"/>
      <c r="B8" s="108"/>
      <c r="C8" s="531"/>
      <c r="D8" s="108"/>
      <c r="E8" s="108"/>
      <c r="F8" s="532"/>
      <c r="G8" s="108"/>
      <c r="H8" s="112"/>
      <c r="I8" s="107"/>
      <c r="J8" s="108"/>
      <c r="K8" s="535"/>
      <c r="L8" s="108"/>
      <c r="M8" s="108"/>
      <c r="N8" s="108"/>
      <c r="O8" s="108"/>
      <c r="P8" s="108"/>
      <c r="Q8" s="108"/>
      <c r="R8" s="112"/>
    </row>
    <row r="9" spans="1:18" x14ac:dyDescent="0.2">
      <c r="A9" s="376" t="s">
        <v>370</v>
      </c>
      <c r="B9" s="108"/>
      <c r="C9" s="531"/>
      <c r="D9" s="108"/>
      <c r="E9" s="108"/>
      <c r="F9" s="532"/>
      <c r="G9" s="108"/>
      <c r="H9" s="112"/>
      <c r="I9" s="107"/>
      <c r="J9" s="108"/>
      <c r="K9" s="535"/>
      <c r="L9" s="108"/>
      <c r="M9" s="108"/>
      <c r="N9" s="502" t="s">
        <v>740</v>
      </c>
      <c r="O9" s="503"/>
      <c r="P9" s="108"/>
      <c r="Q9" s="108"/>
      <c r="R9" s="112"/>
    </row>
    <row r="10" spans="1:18" x14ac:dyDescent="0.2">
      <c r="A10" s="107"/>
      <c r="B10" s="108"/>
      <c r="C10" s="463" t="s">
        <v>708</v>
      </c>
      <c r="D10" s="533">
        <f>'Uplink Budget'!B28</f>
        <v>200000</v>
      </c>
      <c r="E10" s="108"/>
      <c r="F10" s="108"/>
      <c r="G10" s="108"/>
      <c r="H10" s="112"/>
      <c r="I10" s="107"/>
      <c r="J10" s="108"/>
      <c r="K10" s="108"/>
      <c r="L10" s="108"/>
      <c r="M10" s="108"/>
      <c r="N10" s="504" t="str">
        <f>'Downlink Budget'!B33</f>
        <v>None</v>
      </c>
      <c r="O10" s="505"/>
      <c r="P10" s="108"/>
      <c r="Q10" s="108"/>
      <c r="R10" s="112"/>
    </row>
    <row r="11" spans="1:18" x14ac:dyDescent="0.2">
      <c r="A11" s="107"/>
      <c r="B11" s="108"/>
      <c r="C11" s="108"/>
      <c r="D11" s="108"/>
      <c r="E11" s="108"/>
      <c r="F11" s="108"/>
      <c r="G11" s="108"/>
      <c r="H11" s="112"/>
      <c r="I11" s="107"/>
      <c r="J11" s="108"/>
      <c r="K11" s="108"/>
      <c r="L11" s="108"/>
      <c r="M11" s="108"/>
      <c r="N11" s="108"/>
      <c r="O11" s="108"/>
      <c r="P11" s="108"/>
      <c r="Q11" s="108"/>
      <c r="R11" s="112"/>
    </row>
    <row r="12" spans="1:18" ht="15.75" x14ac:dyDescent="0.25">
      <c r="A12" s="107"/>
      <c r="B12" s="108"/>
      <c r="C12" s="108"/>
      <c r="D12" s="108"/>
      <c r="E12" s="108"/>
      <c r="F12" s="108"/>
      <c r="G12" s="108"/>
      <c r="H12" s="112"/>
      <c r="I12" s="107"/>
      <c r="J12" s="108"/>
      <c r="K12" s="108"/>
      <c r="L12" s="108"/>
      <c r="M12" s="108"/>
      <c r="N12" s="537" t="s">
        <v>714</v>
      </c>
      <c r="O12" s="542">
        <v>0.4</v>
      </c>
      <c r="P12" s="108"/>
      <c r="Q12" s="108"/>
      <c r="R12" s="112"/>
    </row>
    <row r="13" spans="1:18" x14ac:dyDescent="0.2">
      <c r="A13" s="107"/>
      <c r="B13" s="108"/>
      <c r="C13" s="108"/>
      <c r="D13" s="108" t="s">
        <v>37</v>
      </c>
      <c r="E13" s="108"/>
      <c r="F13" s="502" t="s">
        <v>739</v>
      </c>
      <c r="G13" s="503"/>
      <c r="H13" s="112"/>
      <c r="I13" s="107"/>
      <c r="J13" s="108"/>
      <c r="K13" s="108"/>
      <c r="L13" s="108"/>
      <c r="M13" s="108"/>
      <c r="N13" s="108"/>
      <c r="O13" s="108"/>
      <c r="P13" s="108"/>
      <c r="Q13" s="108"/>
      <c r="R13" s="112"/>
    </row>
    <row r="14" spans="1:18" x14ac:dyDescent="0.2">
      <c r="A14" s="107"/>
      <c r="B14" s="108"/>
      <c r="C14" s="108"/>
      <c r="D14" s="108"/>
      <c r="E14" s="108"/>
      <c r="F14" s="504" t="str">
        <f>'Uplink Budget'!B33</f>
        <v>None</v>
      </c>
      <c r="G14" s="505"/>
      <c r="H14" s="112"/>
      <c r="I14" s="107"/>
      <c r="J14" s="108"/>
      <c r="K14" s="108"/>
      <c r="L14" s="108"/>
      <c r="M14" s="108"/>
      <c r="N14" s="208" t="s">
        <v>715</v>
      </c>
      <c r="O14" s="541">
        <f>O18/O12</f>
        <v>2.5</v>
      </c>
      <c r="P14" s="108"/>
      <c r="Q14" s="108"/>
      <c r="R14" s="112"/>
    </row>
    <row r="15" spans="1:18" x14ac:dyDescent="0.2">
      <c r="A15" s="107"/>
      <c r="B15" s="108"/>
      <c r="C15" s="108"/>
      <c r="D15" s="108"/>
      <c r="E15" s="108"/>
      <c r="F15" s="108"/>
      <c r="G15" s="108"/>
      <c r="H15" s="112"/>
      <c r="I15" s="107"/>
      <c r="J15" s="108"/>
      <c r="K15" s="108"/>
      <c r="L15" s="108"/>
      <c r="M15" s="108"/>
      <c r="N15" s="108"/>
      <c r="O15" s="108"/>
      <c r="P15" s="108"/>
      <c r="Q15" s="108"/>
      <c r="R15" s="112"/>
    </row>
    <row r="16" spans="1:18" x14ac:dyDescent="0.2">
      <c r="A16" s="107"/>
      <c r="B16" s="108"/>
      <c r="C16" s="108"/>
      <c r="D16" s="108"/>
      <c r="E16" s="108"/>
      <c r="F16" s="108"/>
      <c r="G16" s="108"/>
      <c r="H16" s="112"/>
      <c r="I16" s="107"/>
      <c r="J16" s="108"/>
      <c r="K16" s="108"/>
      <c r="L16" s="108"/>
      <c r="M16" s="108"/>
      <c r="N16" s="539" t="s">
        <v>716</v>
      </c>
      <c r="O16" s="541">
        <f>O14-O18</f>
        <v>1.5</v>
      </c>
      <c r="P16" s="108"/>
      <c r="Q16" s="108"/>
      <c r="R16" s="112"/>
    </row>
    <row r="17" spans="1:18" x14ac:dyDescent="0.2">
      <c r="A17" s="107"/>
      <c r="B17" s="108"/>
      <c r="C17" s="108"/>
      <c r="D17" s="108"/>
      <c r="E17" s="108"/>
      <c r="F17" s="108"/>
      <c r="G17" s="108"/>
      <c r="H17" s="112"/>
      <c r="I17" s="107"/>
      <c r="J17" s="109" t="s">
        <v>37</v>
      </c>
      <c r="K17" s="108"/>
      <c r="L17" s="108" t="s">
        <v>750</v>
      </c>
      <c r="M17" s="108"/>
      <c r="N17" s="108"/>
      <c r="O17" s="540"/>
      <c r="P17" s="108"/>
      <c r="Q17" s="108"/>
      <c r="R17" s="112"/>
    </row>
    <row r="18" spans="1:18" x14ac:dyDescent="0.2">
      <c r="A18" s="107"/>
      <c r="B18" s="108"/>
      <c r="C18" s="108"/>
      <c r="D18" s="108"/>
      <c r="E18" s="108"/>
      <c r="F18" s="528" t="s">
        <v>706</v>
      </c>
      <c r="G18" s="529">
        <f>'Uplink Budget'!B35</f>
        <v>1.0000000000000001E-5</v>
      </c>
      <c r="H18" s="112"/>
      <c r="I18" s="107"/>
      <c r="J18" s="108"/>
      <c r="K18" s="108"/>
      <c r="L18" s="108"/>
      <c r="M18" s="108"/>
      <c r="N18" s="463" t="s">
        <v>713</v>
      </c>
      <c r="O18" s="538">
        <f>Transmitters!E51</f>
        <v>1</v>
      </c>
      <c r="P18" s="108"/>
      <c r="Q18" s="108"/>
      <c r="R18" s="112"/>
    </row>
    <row r="19" spans="1:18" x14ac:dyDescent="0.2">
      <c r="A19" s="107"/>
      <c r="B19" s="108"/>
      <c r="C19" s="108"/>
      <c r="D19" s="108"/>
      <c r="E19" s="108"/>
      <c r="F19" s="502" t="s">
        <v>689</v>
      </c>
      <c r="G19" s="503"/>
      <c r="H19" s="112"/>
      <c r="I19" s="107"/>
      <c r="J19" s="108"/>
      <c r="K19" s="108"/>
      <c r="L19" s="108"/>
      <c r="M19" s="108"/>
      <c r="N19" s="108"/>
      <c r="O19" s="108"/>
      <c r="P19" s="108"/>
      <c r="Q19" s="108"/>
      <c r="R19" s="112"/>
    </row>
    <row r="20" spans="1:18" x14ac:dyDescent="0.2">
      <c r="A20" s="107"/>
      <c r="B20" s="108"/>
      <c r="C20" s="108"/>
      <c r="D20" s="108"/>
      <c r="E20" s="108"/>
      <c r="F20" s="504" t="str">
        <f>'Uplink Budget'!B32</f>
        <v>QPSK</v>
      </c>
      <c r="G20" s="505"/>
      <c r="H20" s="112"/>
      <c r="I20" s="107"/>
      <c r="J20" s="108"/>
      <c r="K20" s="108"/>
      <c r="L20" s="108"/>
      <c r="M20" s="108"/>
      <c r="N20" s="463" t="s">
        <v>682</v>
      </c>
      <c r="O20" s="518">
        <f>Transmitters!E60*Transmitters!I54</f>
        <v>0</v>
      </c>
      <c r="P20" s="108"/>
      <c r="Q20" s="108"/>
      <c r="R20" s="112"/>
    </row>
    <row r="21" spans="1:18" x14ac:dyDescent="0.2">
      <c r="A21" s="107"/>
      <c r="B21" s="108"/>
      <c r="C21" s="108"/>
      <c r="D21" s="108"/>
      <c r="E21" s="108"/>
      <c r="F21" s="526" t="s">
        <v>586</v>
      </c>
      <c r="G21" s="527">
        <f>'Uplink Budget'!B41</f>
        <v>9.6</v>
      </c>
      <c r="H21" s="112"/>
      <c r="I21" s="107"/>
      <c r="J21" s="108"/>
      <c r="K21" s="108"/>
      <c r="L21" s="108"/>
      <c r="M21" s="108"/>
      <c r="N21" s="108"/>
      <c r="O21" s="108"/>
      <c r="P21" s="108"/>
      <c r="Q21" s="108"/>
      <c r="R21" s="112"/>
    </row>
    <row r="22" spans="1:18" x14ac:dyDescent="0.2">
      <c r="A22" s="107"/>
      <c r="B22" s="108"/>
      <c r="C22" s="108"/>
      <c r="D22" s="108"/>
      <c r="E22" s="108"/>
      <c r="F22" s="108"/>
      <c r="G22" s="108"/>
      <c r="H22" s="112"/>
      <c r="I22" s="107"/>
      <c r="J22" s="108"/>
      <c r="K22" s="108"/>
      <c r="L22" s="108"/>
      <c r="M22" s="108"/>
      <c r="N22" s="463" t="s">
        <v>718</v>
      </c>
      <c r="O22" s="518">
        <f>Transmitters!I65</f>
        <v>0</v>
      </c>
      <c r="P22" s="108"/>
      <c r="Q22" s="108"/>
      <c r="R22" s="112"/>
    </row>
    <row r="23" spans="1:18" x14ac:dyDescent="0.2">
      <c r="A23" s="107"/>
      <c r="B23" s="108"/>
      <c r="C23" s="108"/>
      <c r="D23" s="108"/>
      <c r="E23" s="108"/>
      <c r="F23" s="108"/>
      <c r="G23" s="108"/>
      <c r="H23" s="112"/>
      <c r="I23" s="107"/>
      <c r="J23" s="109" t="s">
        <v>37</v>
      </c>
      <c r="K23" s="108"/>
      <c r="L23" s="108" t="s">
        <v>751</v>
      </c>
      <c r="M23" s="108"/>
      <c r="N23" s="108"/>
      <c r="O23" s="108"/>
      <c r="P23" s="108"/>
      <c r="Q23" s="108"/>
      <c r="R23" s="112"/>
    </row>
    <row r="24" spans="1:18" x14ac:dyDescent="0.2">
      <c r="A24" s="107"/>
      <c r="B24" s="108"/>
      <c r="C24" s="108"/>
      <c r="D24" s="108"/>
      <c r="E24" s="108"/>
      <c r="F24" s="108"/>
      <c r="G24" s="108"/>
      <c r="H24" s="112"/>
      <c r="I24" s="107"/>
      <c r="J24" s="108"/>
      <c r="K24" s="108"/>
      <c r="L24" s="108"/>
      <c r="M24" s="108"/>
      <c r="N24" s="463" t="s">
        <v>719</v>
      </c>
      <c r="O24" s="518">
        <f>Transmitters!I55*Transmitters!E60</f>
        <v>0</v>
      </c>
      <c r="P24" s="108"/>
      <c r="Q24" s="108"/>
      <c r="R24" s="112"/>
    </row>
    <row r="25" spans="1:18" x14ac:dyDescent="0.2">
      <c r="A25" s="107"/>
      <c r="B25" s="108"/>
      <c r="C25" s="108"/>
      <c r="D25" s="108"/>
      <c r="E25" s="108"/>
      <c r="F25" s="463" t="s">
        <v>702</v>
      </c>
      <c r="G25" s="523">
        <f>'Uplink Budget'!B57</f>
        <v>120000</v>
      </c>
      <c r="H25" s="112"/>
      <c r="I25" s="107"/>
      <c r="J25" s="108"/>
      <c r="K25" s="108"/>
      <c r="L25" s="108"/>
      <c r="M25" s="108"/>
      <c r="N25" s="108"/>
      <c r="O25" s="108"/>
      <c r="P25" s="108"/>
      <c r="Q25" s="108"/>
      <c r="R25" s="112"/>
    </row>
    <row r="26" spans="1:18" x14ac:dyDescent="0.2">
      <c r="A26" s="107"/>
      <c r="B26" s="108"/>
      <c r="C26" s="108"/>
      <c r="D26" s="108"/>
      <c r="E26" s="108"/>
      <c r="F26" s="108" t="s">
        <v>703</v>
      </c>
      <c r="G26" s="108"/>
      <c r="H26" s="112"/>
      <c r="I26" s="107"/>
      <c r="J26" s="108"/>
      <c r="K26" s="108"/>
      <c r="L26" s="108"/>
      <c r="M26" s="108"/>
      <c r="N26" s="463" t="s">
        <v>724</v>
      </c>
      <c r="O26" s="518">
        <f>Transmitters!I66</f>
        <v>0</v>
      </c>
      <c r="P26" s="108"/>
      <c r="Q26" s="108"/>
      <c r="R26" s="112"/>
    </row>
    <row r="27" spans="1:18" x14ac:dyDescent="0.2">
      <c r="A27" s="107"/>
      <c r="B27" s="108"/>
      <c r="C27" s="108"/>
      <c r="D27" s="108"/>
      <c r="E27" s="108"/>
      <c r="F27" s="108"/>
      <c r="G27" s="108"/>
      <c r="H27" s="112"/>
      <c r="I27" s="107"/>
      <c r="J27" s="108"/>
      <c r="K27" s="108"/>
      <c r="L27" s="108"/>
      <c r="M27" s="108"/>
      <c r="N27" s="549">
        <f>Transmitters!F66</f>
        <v>0</v>
      </c>
      <c r="O27" s="515"/>
      <c r="P27" s="108"/>
      <c r="Q27" s="108"/>
      <c r="R27" s="112"/>
    </row>
    <row r="28" spans="1:18" x14ac:dyDescent="0.2">
      <c r="A28" s="107"/>
      <c r="B28" s="108"/>
      <c r="C28" s="108"/>
      <c r="D28" s="108"/>
      <c r="E28" s="108"/>
      <c r="F28" s="108"/>
      <c r="G28" s="108"/>
      <c r="H28" s="112"/>
      <c r="I28" s="107"/>
      <c r="J28" s="108"/>
      <c r="K28" s="108"/>
      <c r="L28" s="108"/>
      <c r="M28" s="108"/>
      <c r="N28" s="108" t="s">
        <v>37</v>
      </c>
      <c r="O28" s="108"/>
      <c r="P28" s="108"/>
      <c r="Q28" s="108"/>
      <c r="R28" s="112"/>
    </row>
    <row r="29" spans="1:18" x14ac:dyDescent="0.2">
      <c r="A29" s="107"/>
      <c r="B29" s="108"/>
      <c r="C29" s="108"/>
      <c r="D29" s="108"/>
      <c r="E29" s="108"/>
      <c r="F29" s="108"/>
      <c r="G29" s="108"/>
      <c r="H29" s="112"/>
      <c r="I29" s="107"/>
      <c r="J29" s="108"/>
      <c r="K29" s="108"/>
      <c r="L29" s="108"/>
      <c r="M29" s="108"/>
      <c r="N29" s="463" t="s">
        <v>720</v>
      </c>
      <c r="O29" s="518">
        <f>Transmitters!E60*Transmitters!I56</f>
        <v>5.7999999999999996E-2</v>
      </c>
      <c r="P29" s="108"/>
      <c r="Q29" s="108"/>
      <c r="R29" s="112"/>
    </row>
    <row r="30" spans="1:18" x14ac:dyDescent="0.2">
      <c r="A30" s="107"/>
      <c r="B30" s="108"/>
      <c r="C30" s="108"/>
      <c r="D30" s="108"/>
      <c r="E30" s="108"/>
      <c r="F30" s="108"/>
      <c r="G30" s="108"/>
      <c r="H30" s="112"/>
      <c r="I30" s="107"/>
      <c r="J30" s="109" t="s">
        <v>37</v>
      </c>
      <c r="K30" s="108"/>
      <c r="L30" s="108" t="s">
        <v>749</v>
      </c>
      <c r="M30" s="108"/>
      <c r="N30" s="108"/>
      <c r="O30" s="108"/>
      <c r="P30" s="108"/>
      <c r="Q30" s="108"/>
      <c r="R30" s="112"/>
    </row>
    <row r="31" spans="1:18" x14ac:dyDescent="0.2">
      <c r="A31" s="107"/>
      <c r="B31" s="108"/>
      <c r="C31" s="108"/>
      <c r="D31" s="108"/>
      <c r="E31" s="108"/>
      <c r="F31" s="108"/>
      <c r="G31" s="108"/>
      <c r="H31" s="112"/>
      <c r="I31" s="107"/>
      <c r="J31" s="108"/>
      <c r="K31" s="108"/>
      <c r="L31" s="108"/>
      <c r="M31" s="108"/>
      <c r="N31" s="463" t="s">
        <v>721</v>
      </c>
      <c r="O31" s="518">
        <f>Transmitters!I69</f>
        <v>0.33799999999999997</v>
      </c>
      <c r="P31" s="108"/>
      <c r="Q31" s="108"/>
      <c r="R31" s="112"/>
    </row>
    <row r="32" spans="1:18" x14ac:dyDescent="0.2">
      <c r="A32" s="107"/>
      <c r="B32" s="108"/>
      <c r="C32" s="108"/>
      <c r="D32" s="108"/>
      <c r="E32" s="108"/>
      <c r="F32" s="108"/>
      <c r="G32" s="108"/>
      <c r="H32" s="112"/>
      <c r="I32" s="107"/>
      <c r="J32" s="108"/>
      <c r="K32" s="108"/>
      <c r="L32" s="108"/>
      <c r="M32" s="108"/>
      <c r="N32" s="108"/>
      <c r="O32" s="108"/>
      <c r="P32" s="108"/>
      <c r="Q32" s="108"/>
      <c r="R32" s="112"/>
    </row>
    <row r="33" spans="1:18" x14ac:dyDescent="0.2">
      <c r="A33" s="107"/>
      <c r="B33" s="108"/>
      <c r="C33" s="108"/>
      <c r="D33" s="108"/>
      <c r="E33" s="108"/>
      <c r="F33" s="108"/>
      <c r="G33" s="108"/>
      <c r="H33" s="112"/>
      <c r="I33" s="107"/>
      <c r="J33" s="108"/>
      <c r="K33" s="108"/>
      <c r="L33" s="108"/>
      <c r="M33" s="501" t="s">
        <v>195</v>
      </c>
      <c r="N33" s="108"/>
      <c r="O33" s="108"/>
      <c r="P33" s="108"/>
      <c r="Q33" s="108"/>
      <c r="R33" s="112"/>
    </row>
    <row r="34" spans="1:18" x14ac:dyDescent="0.2">
      <c r="A34" s="107"/>
      <c r="B34" s="108"/>
      <c r="C34" s="108"/>
      <c r="D34" s="108"/>
      <c r="E34" s="108"/>
      <c r="F34" s="463" t="s">
        <v>694</v>
      </c>
      <c r="G34" s="522">
        <f>'Uplink Budget'!B26</f>
        <v>-22.455960595135252</v>
      </c>
      <c r="H34" s="112"/>
      <c r="I34" s="107"/>
      <c r="J34" s="108"/>
      <c r="K34" s="108"/>
      <c r="L34" s="108"/>
      <c r="M34" s="108"/>
      <c r="N34" s="108"/>
      <c r="O34" s="108"/>
      <c r="P34" s="108"/>
      <c r="Q34" s="108"/>
      <c r="R34" s="112"/>
    </row>
    <row r="35" spans="1:18" x14ac:dyDescent="0.2">
      <c r="A35" s="107"/>
      <c r="B35" s="108"/>
      <c r="C35" s="108"/>
      <c r="D35" s="108"/>
      <c r="E35" s="108"/>
      <c r="F35" s="108"/>
      <c r="G35" s="108"/>
      <c r="H35" s="112"/>
      <c r="I35" s="107"/>
      <c r="J35" s="108"/>
      <c r="K35" s="108"/>
      <c r="L35" s="108"/>
      <c r="M35" s="108"/>
      <c r="N35" s="502" t="s">
        <v>722</v>
      </c>
      <c r="O35" s="551">
        <f>'Downlink Budget'!B10</f>
        <v>2.15</v>
      </c>
      <c r="P35" s="108"/>
      <c r="Q35" s="108"/>
      <c r="R35" s="112"/>
    </row>
    <row r="36" spans="1:18" x14ac:dyDescent="0.2">
      <c r="A36" s="107"/>
      <c r="B36" s="108"/>
      <c r="C36" s="108"/>
      <c r="D36" s="108"/>
      <c r="E36" s="108"/>
      <c r="F36" s="463" t="s">
        <v>693</v>
      </c>
      <c r="G36" s="521">
        <f>'Uplink Budget'!B25</f>
        <v>262.78226976924094</v>
      </c>
      <c r="H36" s="112"/>
      <c r="I36" s="107"/>
      <c r="J36" s="108"/>
      <c r="K36" s="108"/>
      <c r="L36" s="108"/>
      <c r="M36" s="108"/>
      <c r="N36" s="528" t="s">
        <v>291</v>
      </c>
      <c r="O36" s="411" t="str">
        <f>'Antenna Gain'!K41</f>
        <v>Linear</v>
      </c>
      <c r="P36" s="108"/>
      <c r="Q36" s="108"/>
      <c r="R36" s="112"/>
    </row>
    <row r="37" spans="1:18" x14ac:dyDescent="0.2">
      <c r="A37" s="107"/>
      <c r="B37" s="108"/>
      <c r="C37" s="108"/>
      <c r="D37" s="108"/>
      <c r="E37" s="108"/>
      <c r="F37" s="108"/>
      <c r="G37" s="108"/>
      <c r="H37" s="112"/>
      <c r="I37" s="107"/>
      <c r="J37" s="108"/>
      <c r="K37" s="108"/>
      <c r="L37" s="108"/>
      <c r="M37" s="108"/>
      <c r="N37" s="108"/>
      <c r="O37" s="108"/>
      <c r="P37" s="108"/>
      <c r="Q37" s="108"/>
      <c r="R37" s="112"/>
    </row>
    <row r="38" spans="1:18" x14ac:dyDescent="0.2">
      <c r="A38" s="107"/>
      <c r="B38" s="108"/>
      <c r="C38" s="108"/>
      <c r="D38" s="108"/>
      <c r="E38" s="108"/>
      <c r="F38" s="108"/>
      <c r="G38" s="108"/>
      <c r="H38" s="112"/>
      <c r="I38" s="107"/>
      <c r="J38" s="108"/>
      <c r="K38" s="108"/>
      <c r="L38" s="108"/>
      <c r="M38" s="108"/>
      <c r="N38" s="208" t="s">
        <v>723</v>
      </c>
      <c r="O38" s="552">
        <f>'Downlink Budget'!B11</f>
        <v>1.8119999999999998</v>
      </c>
      <c r="P38" s="108"/>
      <c r="Q38" s="108"/>
      <c r="R38" s="112"/>
    </row>
    <row r="39" spans="1:18" x14ac:dyDescent="0.2">
      <c r="A39" s="107"/>
      <c r="B39" s="108"/>
      <c r="C39" s="108"/>
      <c r="D39" s="108"/>
      <c r="E39" s="108"/>
      <c r="F39" s="463" t="s">
        <v>688</v>
      </c>
      <c r="G39" s="521">
        <f>Receivers!J65</f>
        <v>97.7</v>
      </c>
      <c r="H39" s="112"/>
      <c r="I39" s="107"/>
      <c r="J39" s="108"/>
      <c r="K39" s="108"/>
      <c r="L39" s="108"/>
      <c r="M39" s="108"/>
      <c r="N39" s="108"/>
      <c r="O39" s="108"/>
      <c r="P39" s="108"/>
      <c r="Q39" s="108"/>
      <c r="R39" s="112"/>
    </row>
    <row r="40" spans="1:18" x14ac:dyDescent="0.2">
      <c r="A40" s="107"/>
      <c r="B40" s="108"/>
      <c r="C40" s="108"/>
      <c r="D40" s="108"/>
      <c r="E40" s="108"/>
      <c r="F40" s="108"/>
      <c r="G40" s="108"/>
      <c r="H40" s="112"/>
      <c r="I40" s="107"/>
      <c r="J40" s="108"/>
      <c r="K40" s="108"/>
      <c r="L40" s="108"/>
      <c r="M40" s="108"/>
      <c r="N40" s="543" t="s">
        <v>725</v>
      </c>
      <c r="O40" s="544"/>
      <c r="P40" s="108"/>
      <c r="Q40" s="108"/>
      <c r="R40" s="112"/>
    </row>
    <row r="41" spans="1:18" x14ac:dyDescent="0.2">
      <c r="A41" s="107"/>
      <c r="B41" s="108"/>
      <c r="C41" s="108"/>
      <c r="D41" s="108"/>
      <c r="E41" s="108"/>
      <c r="F41" s="108"/>
      <c r="G41" s="108"/>
      <c r="H41" s="112"/>
      <c r="I41" s="107"/>
      <c r="J41" s="108"/>
      <c r="K41" s="108"/>
      <c r="L41" s="108"/>
      <c r="M41" s="108"/>
      <c r="N41" s="556">
        <f>'Downlink Budget'!B13+'Downlink Budget'!B14+'Downlink Budget'!B15+'Downlink Budget'!B16+'Downlink Budget'!B17+'Downlink Budget'!B18+'Downlink Budget'!B22</f>
        <v>157.77658108503087</v>
      </c>
      <c r="O41" s="557" t="s">
        <v>78</v>
      </c>
      <c r="P41" s="108"/>
      <c r="Q41" s="108"/>
      <c r="R41" s="112"/>
    </row>
    <row r="42" spans="1:18" x14ac:dyDescent="0.2">
      <c r="A42" s="107"/>
      <c r="B42" s="108"/>
      <c r="C42" s="108"/>
      <c r="D42" s="108"/>
      <c r="E42" s="108"/>
      <c r="F42" s="108"/>
      <c r="G42" s="108"/>
      <c r="H42" s="112"/>
      <c r="I42" s="107"/>
      <c r="J42" s="108"/>
      <c r="K42" s="108"/>
      <c r="L42" s="108"/>
      <c r="M42" s="108"/>
      <c r="N42" s="108"/>
      <c r="O42" s="108"/>
      <c r="P42" s="108"/>
      <c r="Q42" s="108"/>
      <c r="R42" s="112"/>
    </row>
    <row r="43" spans="1:18" x14ac:dyDescent="0.2">
      <c r="A43" s="107"/>
      <c r="B43" s="108"/>
      <c r="C43" s="108"/>
      <c r="D43" s="108"/>
      <c r="E43" s="108"/>
      <c r="F43" s="108"/>
      <c r="G43" s="108"/>
      <c r="H43" s="112"/>
      <c r="I43" s="107"/>
      <c r="J43" s="108"/>
      <c r="K43" s="108"/>
      <c r="L43" s="108"/>
      <c r="M43" s="108"/>
      <c r="N43" s="463" t="s">
        <v>726</v>
      </c>
      <c r="O43" s="518">
        <f>'Downlink Budget'!B15</f>
        <v>148.59089984822074</v>
      </c>
      <c r="P43" s="108"/>
      <c r="Q43" s="108"/>
      <c r="R43" s="112"/>
    </row>
    <row r="44" spans="1:18" x14ac:dyDescent="0.2">
      <c r="A44" s="107"/>
      <c r="B44" s="108"/>
      <c r="C44" s="108"/>
      <c r="D44" s="108"/>
      <c r="E44" s="108"/>
      <c r="F44" s="108"/>
      <c r="G44" s="108"/>
      <c r="H44" s="112"/>
      <c r="I44" s="107"/>
      <c r="J44" s="108"/>
      <c r="K44" s="108"/>
      <c r="L44" s="108"/>
      <c r="M44" s="108"/>
      <c r="N44" s="108"/>
      <c r="O44" s="108"/>
      <c r="P44" s="108"/>
      <c r="Q44" s="108"/>
      <c r="R44" s="112"/>
    </row>
    <row r="45" spans="1:18" x14ac:dyDescent="0.2">
      <c r="A45" s="107"/>
      <c r="B45" s="108"/>
      <c r="C45" s="108"/>
      <c r="D45" s="108"/>
      <c r="E45" s="108"/>
      <c r="F45" s="463" t="s">
        <v>685</v>
      </c>
      <c r="G45" s="518">
        <f>Receivers!F63</f>
        <v>19.5</v>
      </c>
      <c r="H45" s="112"/>
      <c r="I45" s="107"/>
      <c r="J45" s="108"/>
      <c r="K45" s="108"/>
      <c r="L45" s="108"/>
      <c r="M45" s="108"/>
      <c r="N45" s="108"/>
      <c r="O45" s="108"/>
      <c r="P45" s="108"/>
      <c r="Q45" s="108"/>
      <c r="R45" s="112"/>
    </row>
    <row r="46" spans="1:18" x14ac:dyDescent="0.2">
      <c r="A46" s="107"/>
      <c r="B46" s="108"/>
      <c r="C46" s="108"/>
      <c r="D46" s="108"/>
      <c r="E46" s="108"/>
      <c r="F46" s="108"/>
      <c r="G46" s="108"/>
      <c r="H46" s="112"/>
      <c r="I46" s="107"/>
      <c r="J46" s="108"/>
      <c r="K46" s="108"/>
      <c r="L46" s="108"/>
      <c r="M46" s="108"/>
      <c r="N46" s="108"/>
      <c r="O46" s="108"/>
      <c r="P46" s="108"/>
      <c r="Q46" s="108"/>
      <c r="R46" s="112"/>
    </row>
    <row r="47" spans="1:18" x14ac:dyDescent="0.2">
      <c r="A47" s="107"/>
      <c r="B47" s="108"/>
      <c r="C47" s="108"/>
      <c r="D47" s="108"/>
      <c r="E47" s="108"/>
      <c r="F47" s="463" t="s">
        <v>684</v>
      </c>
      <c r="G47" s="521">
        <f>Receivers!J61</f>
        <v>97.7</v>
      </c>
      <c r="H47" s="112"/>
      <c r="I47" s="107"/>
      <c r="J47" s="108"/>
      <c r="K47" s="108"/>
      <c r="L47" s="108"/>
      <c r="M47" s="108"/>
      <c r="N47" s="463" t="s">
        <v>727</v>
      </c>
      <c r="O47" s="516">
        <f>'Downlink Budget'!B23</f>
        <v>15.740312677277188</v>
      </c>
      <c r="P47" s="108"/>
      <c r="Q47" s="108"/>
      <c r="R47" s="112"/>
    </row>
    <row r="48" spans="1:18" x14ac:dyDescent="0.2">
      <c r="A48" s="107"/>
      <c r="B48" s="108"/>
      <c r="C48" s="108"/>
      <c r="D48" s="108"/>
      <c r="E48" s="108"/>
      <c r="F48" s="108"/>
      <c r="G48" s="108"/>
      <c r="H48" s="112"/>
      <c r="I48" s="107"/>
      <c r="J48" s="108"/>
      <c r="K48" s="108"/>
      <c r="L48" s="108"/>
      <c r="M48" s="108"/>
      <c r="N48" s="528" t="s">
        <v>291</v>
      </c>
      <c r="O48" s="411" t="str">
        <f>'Antenna Gain'!K56</f>
        <v>RHCP</v>
      </c>
      <c r="P48" s="108"/>
      <c r="Q48" s="108"/>
      <c r="R48" s="112"/>
    </row>
    <row r="49" spans="1:18" x14ac:dyDescent="0.2">
      <c r="A49" s="107"/>
      <c r="B49" s="108"/>
      <c r="C49" s="108"/>
      <c r="D49" s="108"/>
      <c r="E49" s="108"/>
      <c r="F49" s="463" t="s">
        <v>686</v>
      </c>
      <c r="G49" s="520">
        <f>Receivers!J53</f>
        <v>0.41000000000000003</v>
      </c>
      <c r="H49" s="112"/>
      <c r="I49" s="107"/>
      <c r="J49" s="108"/>
      <c r="K49" s="108"/>
      <c r="L49" s="108"/>
      <c r="M49" s="108"/>
      <c r="N49" s="108"/>
      <c r="O49" s="108"/>
      <c r="P49" s="108"/>
      <c r="Q49" s="108"/>
      <c r="R49" s="112"/>
    </row>
    <row r="50" spans="1:18" x14ac:dyDescent="0.2">
      <c r="A50" s="107"/>
      <c r="B50" s="108"/>
      <c r="C50" s="108"/>
      <c r="D50" s="108"/>
      <c r="E50" s="108"/>
      <c r="F50" s="108"/>
      <c r="G50" s="108"/>
      <c r="H50" s="112"/>
      <c r="I50" s="107"/>
      <c r="J50" s="108"/>
      <c r="K50" s="108"/>
      <c r="L50" s="108"/>
      <c r="M50" s="501" t="s">
        <v>196</v>
      </c>
      <c r="N50" s="108"/>
      <c r="O50" s="108"/>
      <c r="P50" s="108"/>
      <c r="Q50" s="108"/>
      <c r="R50" s="112"/>
    </row>
    <row r="51" spans="1:18" x14ac:dyDescent="0.2">
      <c r="A51" s="107"/>
      <c r="B51" s="108"/>
      <c r="C51" s="108"/>
      <c r="D51" s="108"/>
      <c r="E51" s="108" t="s">
        <v>671</v>
      </c>
      <c r="F51" s="463" t="s">
        <v>682</v>
      </c>
      <c r="G51" s="519">
        <f>Receivers!J45</f>
        <v>4.0000000000000008E-2</v>
      </c>
      <c r="H51" s="112"/>
      <c r="I51" s="107"/>
      <c r="J51" s="108"/>
      <c r="K51" s="108"/>
      <c r="L51" s="108"/>
      <c r="M51" s="108"/>
      <c r="N51" s="108"/>
      <c r="O51" s="108"/>
      <c r="P51" s="108"/>
      <c r="Q51" s="108"/>
      <c r="R51" s="112"/>
    </row>
    <row r="52" spans="1:18" x14ac:dyDescent="0.2">
      <c r="A52" s="107"/>
      <c r="B52" s="108"/>
      <c r="C52" s="108"/>
      <c r="D52" s="108"/>
      <c r="E52" s="108"/>
      <c r="F52" s="108"/>
      <c r="G52" s="108"/>
      <c r="H52" s="112"/>
      <c r="I52" s="107"/>
      <c r="J52" s="108"/>
      <c r="K52" s="108"/>
      <c r="L52" s="108"/>
      <c r="M52" s="108"/>
      <c r="N52" s="108" t="s">
        <v>37</v>
      </c>
      <c r="O52" s="108"/>
      <c r="P52" s="108"/>
      <c r="Q52" s="108"/>
      <c r="R52" s="112"/>
    </row>
    <row r="53" spans="1:18" x14ac:dyDescent="0.2">
      <c r="A53" s="107"/>
      <c r="B53" s="108"/>
      <c r="C53" s="108"/>
      <c r="D53" s="108"/>
      <c r="E53" s="108"/>
      <c r="F53" s="463" t="s">
        <v>696</v>
      </c>
      <c r="G53" s="512">
        <f>Receivers!J48</f>
        <v>0</v>
      </c>
      <c r="H53" s="112"/>
      <c r="I53" s="107"/>
      <c r="J53" s="108"/>
      <c r="K53" s="108"/>
      <c r="L53" s="108"/>
      <c r="M53" s="108"/>
      <c r="N53" s="108"/>
      <c r="O53" s="108"/>
      <c r="P53" s="108"/>
      <c r="Q53" s="108"/>
      <c r="R53" s="112"/>
    </row>
    <row r="54" spans="1:18" x14ac:dyDescent="0.2">
      <c r="A54" s="107"/>
      <c r="B54" s="108"/>
      <c r="C54" s="108"/>
      <c r="D54" s="108"/>
      <c r="E54" s="108"/>
      <c r="F54" s="108"/>
      <c r="G54" s="108"/>
      <c r="H54" s="112"/>
      <c r="I54" s="107"/>
      <c r="J54" s="108"/>
      <c r="K54" s="108"/>
      <c r="L54" s="108"/>
      <c r="M54" s="108" t="s">
        <v>672</v>
      </c>
      <c r="N54" s="463" t="s">
        <v>728</v>
      </c>
      <c r="O54" s="553">
        <f>Receivers!J47</f>
        <v>0</v>
      </c>
      <c r="P54" s="108"/>
      <c r="Q54" s="108"/>
      <c r="R54" s="112"/>
    </row>
    <row r="55" spans="1:18" x14ac:dyDescent="0.2">
      <c r="A55" s="107"/>
      <c r="B55" s="108"/>
      <c r="C55" s="108"/>
      <c r="D55" s="108"/>
      <c r="E55" s="108" t="s">
        <v>433</v>
      </c>
      <c r="F55" s="463" t="s">
        <v>681</v>
      </c>
      <c r="G55" s="519">
        <f>Receivers!J46</f>
        <v>0</v>
      </c>
      <c r="H55" s="112"/>
      <c r="I55" s="107"/>
      <c r="J55" s="108"/>
      <c r="K55" s="108"/>
      <c r="L55" s="108"/>
      <c r="M55" s="108"/>
      <c r="N55" s="108"/>
      <c r="O55" s="108"/>
      <c r="P55" s="108"/>
      <c r="Q55" s="108"/>
      <c r="R55" s="112"/>
    </row>
    <row r="56" spans="1:18" x14ac:dyDescent="0.2">
      <c r="A56" s="107"/>
      <c r="B56" s="108"/>
      <c r="C56" s="108"/>
      <c r="D56" s="108"/>
      <c r="E56" s="108"/>
      <c r="F56" s="108"/>
      <c r="G56" s="108"/>
      <c r="H56" s="112"/>
      <c r="I56" s="107"/>
      <c r="J56" s="108"/>
      <c r="K56" s="108"/>
      <c r="L56" s="108"/>
      <c r="M56" s="108"/>
      <c r="N56" s="463" t="s">
        <v>789</v>
      </c>
      <c r="O56" s="518">
        <f>Receivers!J120</f>
        <v>0</v>
      </c>
      <c r="P56" s="108"/>
      <c r="Q56" s="108"/>
      <c r="R56" s="112"/>
    </row>
    <row r="57" spans="1:18" x14ac:dyDescent="0.2">
      <c r="A57" s="107"/>
      <c r="B57" s="108"/>
      <c r="C57" s="108"/>
      <c r="D57" s="108"/>
      <c r="E57" s="108"/>
      <c r="F57" s="108"/>
      <c r="G57" s="108"/>
      <c r="H57" s="112"/>
      <c r="I57" s="107"/>
      <c r="J57" s="108"/>
      <c r="K57" s="108"/>
      <c r="L57" s="108"/>
      <c r="M57" s="108"/>
      <c r="N57" s="514" t="str">
        <f>Receivers!J122</f>
        <v>none</v>
      </c>
      <c r="O57" s="515"/>
      <c r="P57" s="108"/>
      <c r="Q57" s="108"/>
      <c r="R57" s="112"/>
    </row>
    <row r="58" spans="1:18" x14ac:dyDescent="0.2">
      <c r="A58" s="107"/>
      <c r="B58" s="108"/>
      <c r="C58" s="108"/>
      <c r="D58" s="108"/>
      <c r="E58" s="108"/>
      <c r="F58" s="463" t="s">
        <v>790</v>
      </c>
      <c r="G58" s="512">
        <f>Receivers!J49</f>
        <v>0.27</v>
      </c>
      <c r="H58" s="112"/>
      <c r="I58" s="107"/>
      <c r="J58" s="108"/>
      <c r="K58" s="108"/>
      <c r="L58" s="108"/>
      <c r="M58" s="108"/>
      <c r="N58" s="108"/>
      <c r="O58" s="108"/>
      <c r="P58" s="108"/>
      <c r="Q58" s="108"/>
      <c r="R58" s="112"/>
    </row>
    <row r="59" spans="1:18" x14ac:dyDescent="0.2">
      <c r="A59" s="107"/>
      <c r="B59" s="108"/>
      <c r="C59" s="108"/>
      <c r="D59" s="108"/>
      <c r="E59" s="108"/>
      <c r="F59" s="514" t="str">
        <f>Receivers!J51</f>
        <v>RF Switch</v>
      </c>
      <c r="G59" s="515"/>
      <c r="H59" s="112"/>
      <c r="I59" s="107"/>
      <c r="J59" s="108"/>
      <c r="K59" s="108"/>
      <c r="L59" s="108"/>
      <c r="M59" s="108" t="s">
        <v>433</v>
      </c>
      <c r="N59" s="463" t="s">
        <v>729</v>
      </c>
      <c r="O59" s="519">
        <f>Receivers!J46</f>
        <v>0</v>
      </c>
      <c r="P59" s="108"/>
      <c r="Q59" s="108"/>
      <c r="R59" s="112"/>
    </row>
    <row r="60" spans="1:18" x14ac:dyDescent="0.2">
      <c r="A60" s="107"/>
      <c r="B60" s="108"/>
      <c r="C60" s="108"/>
      <c r="D60" s="108"/>
      <c r="E60" s="108"/>
      <c r="F60" s="108"/>
      <c r="G60" s="108"/>
      <c r="H60" s="112"/>
      <c r="I60" s="107"/>
      <c r="J60" s="108"/>
      <c r="K60" s="108"/>
      <c r="L60" s="108"/>
      <c r="M60" s="108"/>
      <c r="N60" s="108"/>
      <c r="O60" s="108"/>
      <c r="P60" s="108"/>
      <c r="Q60" s="108"/>
      <c r="R60" s="112"/>
    </row>
    <row r="61" spans="1:18" x14ac:dyDescent="0.2">
      <c r="A61" s="107"/>
      <c r="B61" s="108"/>
      <c r="C61" s="108"/>
      <c r="D61" s="108"/>
      <c r="E61" s="108" t="s">
        <v>672</v>
      </c>
      <c r="F61" s="463" t="s">
        <v>680</v>
      </c>
      <c r="G61" s="519">
        <f>Receivers!J47</f>
        <v>0</v>
      </c>
      <c r="H61" s="112"/>
      <c r="I61" s="107"/>
      <c r="J61" s="108"/>
      <c r="K61" s="108"/>
      <c r="L61" s="108"/>
      <c r="M61" s="108"/>
      <c r="N61" s="108"/>
      <c r="O61" s="108"/>
      <c r="P61" s="108"/>
      <c r="Q61" s="108"/>
      <c r="R61" s="112"/>
    </row>
    <row r="62" spans="1:18" x14ac:dyDescent="0.2">
      <c r="A62" s="107"/>
      <c r="B62" s="108"/>
      <c r="C62" s="108"/>
      <c r="D62" s="108"/>
      <c r="E62" s="108"/>
      <c r="F62" s="108"/>
      <c r="G62" s="108"/>
      <c r="H62" s="112"/>
      <c r="I62" s="107"/>
      <c r="J62" s="108"/>
      <c r="K62" s="108"/>
      <c r="L62" s="108"/>
      <c r="M62" s="108"/>
      <c r="N62" s="463" t="s">
        <v>731</v>
      </c>
      <c r="O62" s="518">
        <f>Receivers!J48</f>
        <v>0</v>
      </c>
      <c r="P62" s="108"/>
      <c r="Q62" s="108"/>
      <c r="R62" s="112"/>
    </row>
    <row r="63" spans="1:18" x14ac:dyDescent="0.2">
      <c r="A63" s="107"/>
      <c r="B63" s="108"/>
      <c r="C63" s="108"/>
      <c r="D63" s="108"/>
      <c r="E63" s="108"/>
      <c r="F63" s="108"/>
      <c r="G63" s="108"/>
      <c r="H63" s="112"/>
      <c r="I63" s="107"/>
      <c r="J63" s="108"/>
      <c r="K63" s="108"/>
      <c r="L63" s="108"/>
      <c r="M63" s="108"/>
      <c r="N63" s="108"/>
      <c r="O63" s="108"/>
      <c r="P63" s="108"/>
      <c r="Q63" s="108"/>
      <c r="R63" s="112"/>
    </row>
    <row r="64" spans="1:18" x14ac:dyDescent="0.2">
      <c r="A64" s="107"/>
      <c r="B64" s="108"/>
      <c r="C64" s="108"/>
      <c r="D64" s="108"/>
      <c r="E64" s="501" t="s">
        <v>196</v>
      </c>
      <c r="F64" s="108"/>
      <c r="G64" s="108"/>
      <c r="H64" s="112"/>
      <c r="I64" s="107"/>
      <c r="J64" s="108"/>
      <c r="K64" s="108"/>
      <c r="L64" s="108"/>
      <c r="M64" s="108"/>
      <c r="N64" s="108"/>
      <c r="O64" s="108"/>
      <c r="P64" s="108"/>
      <c r="Q64" s="108"/>
      <c r="R64" s="112"/>
    </row>
    <row r="65" spans="1:18" x14ac:dyDescent="0.2">
      <c r="A65" s="107"/>
      <c r="B65" s="108"/>
      <c r="C65" s="108"/>
      <c r="D65" s="108"/>
      <c r="E65" s="108"/>
      <c r="F65" s="108"/>
      <c r="G65" s="108"/>
      <c r="H65" s="112"/>
      <c r="I65" s="107"/>
      <c r="J65" s="108"/>
      <c r="K65" s="108"/>
      <c r="L65" s="108"/>
      <c r="M65" s="108" t="s">
        <v>671</v>
      </c>
      <c r="N65" s="463" t="s">
        <v>730</v>
      </c>
      <c r="O65" s="518">
        <f>Receivers!J45</f>
        <v>4.0000000000000008E-2</v>
      </c>
      <c r="P65" s="108"/>
      <c r="Q65" s="108"/>
      <c r="R65" s="112"/>
    </row>
    <row r="66" spans="1:18" x14ac:dyDescent="0.2">
      <c r="A66" s="107"/>
      <c r="B66" s="108"/>
      <c r="C66" s="108"/>
      <c r="D66" s="108"/>
      <c r="E66" s="108"/>
      <c r="F66" s="463" t="s">
        <v>697</v>
      </c>
      <c r="G66" s="516">
        <f>'Uplink Budget'!B23</f>
        <v>2.15</v>
      </c>
      <c r="H66" s="112"/>
      <c r="I66" s="107"/>
      <c r="J66" s="108"/>
      <c r="K66" s="108"/>
      <c r="L66" s="108"/>
      <c r="M66" s="108"/>
      <c r="N66" s="108"/>
      <c r="O66" s="108"/>
      <c r="P66" s="108"/>
      <c r="Q66" s="108"/>
      <c r="R66" s="112"/>
    </row>
    <row r="67" spans="1:18" x14ac:dyDescent="0.2">
      <c r="A67" s="107"/>
      <c r="B67" s="108"/>
      <c r="C67" s="108"/>
      <c r="D67" s="108"/>
      <c r="E67" s="108"/>
      <c r="F67" s="528" t="s">
        <v>711</v>
      </c>
      <c r="G67" s="536" t="str">
        <f>'Antenna Gain'!K11</f>
        <v>RHCP</v>
      </c>
      <c r="H67" s="112"/>
      <c r="I67" s="107"/>
      <c r="J67" s="108"/>
      <c r="K67" s="108"/>
      <c r="L67" s="108"/>
      <c r="M67" s="108"/>
      <c r="N67" s="463" t="s">
        <v>732</v>
      </c>
      <c r="O67" s="518">
        <f>Receivers!J53</f>
        <v>0.41000000000000003</v>
      </c>
      <c r="P67" s="108"/>
      <c r="Q67" s="108"/>
      <c r="R67" s="112"/>
    </row>
    <row r="68" spans="1:18" x14ac:dyDescent="0.2">
      <c r="A68" s="107"/>
      <c r="B68" s="108"/>
      <c r="C68" s="108"/>
      <c r="D68" s="108"/>
      <c r="E68" s="108"/>
      <c r="F68" s="108" t="s">
        <v>37</v>
      </c>
      <c r="G68" s="108"/>
      <c r="H68" s="112"/>
      <c r="I68" s="107"/>
      <c r="J68" s="108"/>
      <c r="K68" s="108"/>
      <c r="L68" s="108"/>
      <c r="M68" s="108"/>
      <c r="N68" s="108"/>
      <c r="O68" s="108"/>
      <c r="P68" s="108"/>
      <c r="Q68" s="108"/>
      <c r="R68" s="112"/>
    </row>
    <row r="69" spans="1:18" x14ac:dyDescent="0.2">
      <c r="A69" s="107"/>
      <c r="B69" s="108"/>
      <c r="C69" s="108"/>
      <c r="D69" s="108"/>
      <c r="E69" s="108"/>
      <c r="F69" s="463" t="s">
        <v>678</v>
      </c>
      <c r="G69" s="518">
        <f>'Uplink Budget'!B15</f>
        <v>148.59189257805076</v>
      </c>
      <c r="H69" s="112"/>
      <c r="I69" s="107"/>
      <c r="J69" s="108"/>
      <c r="K69" s="108"/>
      <c r="L69" s="108"/>
      <c r="M69" s="108"/>
      <c r="N69" s="463" t="s">
        <v>734</v>
      </c>
      <c r="O69" s="521">
        <f>Receivers!J132</f>
        <v>70</v>
      </c>
      <c r="P69" s="108"/>
      <c r="Q69" s="108"/>
      <c r="R69" s="112"/>
    </row>
    <row r="70" spans="1:18" x14ac:dyDescent="0.2">
      <c r="A70" s="107"/>
      <c r="B70" s="108"/>
      <c r="C70" s="108"/>
      <c r="D70" s="108"/>
      <c r="E70" s="108"/>
      <c r="F70" s="108"/>
      <c r="G70" s="108"/>
      <c r="H70" s="112"/>
      <c r="I70" s="107"/>
      <c r="J70" s="108"/>
      <c r="K70" s="108"/>
      <c r="L70" s="108"/>
      <c r="M70" s="108"/>
      <c r="N70" s="108"/>
      <c r="O70" s="108"/>
      <c r="P70" s="108"/>
      <c r="Q70" s="108"/>
      <c r="R70" s="112"/>
    </row>
    <row r="71" spans="1:18" x14ac:dyDescent="0.2">
      <c r="A71" s="107"/>
      <c r="B71" s="108"/>
      <c r="C71" s="108"/>
      <c r="D71" s="108"/>
      <c r="E71" s="108"/>
      <c r="F71" s="506" t="s">
        <v>710</v>
      </c>
      <c r="G71" s="507"/>
      <c r="H71" s="112"/>
      <c r="I71" s="107"/>
      <c r="J71" s="108"/>
      <c r="K71" s="108"/>
      <c r="L71" s="108"/>
      <c r="M71" s="108"/>
      <c r="N71" s="463" t="s">
        <v>733</v>
      </c>
      <c r="O71" s="518">
        <f>Receivers!F134</f>
        <v>29</v>
      </c>
      <c r="P71" s="108"/>
      <c r="Q71" s="108"/>
      <c r="R71" s="112"/>
    </row>
    <row r="72" spans="1:18" x14ac:dyDescent="0.2">
      <c r="A72" s="107"/>
      <c r="B72" s="108"/>
      <c r="C72" s="108"/>
      <c r="D72" s="108"/>
      <c r="E72" s="108"/>
      <c r="F72" s="554">
        <f>'Uplink Budget'!B13+'Uplink Budget'!B14+'Uplink Budget'!B15+'Uplink Budget'!B16+'Uplink Budget'!B17+'Uplink Budget'!B18+'Uplink Budget'!B22</f>
        <v>157.77757381486089</v>
      </c>
      <c r="G72" s="555" t="s">
        <v>78</v>
      </c>
      <c r="H72" s="112"/>
      <c r="I72" s="107"/>
      <c r="J72" s="108"/>
      <c r="K72" s="108"/>
      <c r="L72" s="108"/>
      <c r="M72" s="108"/>
      <c r="N72" s="108"/>
      <c r="O72" s="108"/>
      <c r="P72" s="108"/>
      <c r="Q72" s="108"/>
      <c r="R72" s="112"/>
    </row>
    <row r="73" spans="1:18" x14ac:dyDescent="0.2">
      <c r="A73" s="107"/>
      <c r="B73" s="108"/>
      <c r="C73" s="108"/>
      <c r="D73" s="108"/>
      <c r="E73" s="108"/>
      <c r="F73" s="108"/>
      <c r="G73" s="108"/>
      <c r="H73" s="112"/>
      <c r="I73" s="107"/>
      <c r="J73" s="108"/>
      <c r="K73" s="108"/>
      <c r="L73" s="108"/>
      <c r="M73" s="108"/>
      <c r="N73" s="108"/>
      <c r="O73" s="108"/>
      <c r="P73" s="108"/>
      <c r="Q73" s="108"/>
      <c r="R73" s="112"/>
    </row>
    <row r="74" spans="1:18" x14ac:dyDescent="0.2">
      <c r="A74" s="107"/>
      <c r="B74" s="108"/>
      <c r="C74" s="108"/>
      <c r="D74" s="108"/>
      <c r="E74" s="108"/>
      <c r="F74" s="208" t="s">
        <v>700</v>
      </c>
      <c r="G74" s="517">
        <f>'Uplink Budget'!B11</f>
        <v>24.860312677277189</v>
      </c>
      <c r="H74" s="112"/>
      <c r="I74" s="107"/>
      <c r="J74" s="108"/>
      <c r="K74" s="108"/>
      <c r="L74" s="108"/>
      <c r="M74" s="108"/>
      <c r="N74" s="108"/>
      <c r="O74" s="108"/>
      <c r="P74" s="108"/>
      <c r="Q74" s="108"/>
      <c r="R74" s="112"/>
    </row>
    <row r="75" spans="1:18" x14ac:dyDescent="0.2">
      <c r="A75" s="107"/>
      <c r="B75" s="108"/>
      <c r="C75" s="108"/>
      <c r="D75" s="108"/>
      <c r="E75" s="108"/>
      <c r="F75" s="108"/>
      <c r="G75" s="108"/>
      <c r="H75" s="112"/>
      <c r="I75" s="107"/>
      <c r="J75" s="108"/>
      <c r="K75" s="108"/>
      <c r="L75" s="108"/>
      <c r="M75" s="108"/>
      <c r="N75" s="463" t="s">
        <v>735</v>
      </c>
      <c r="O75" s="521">
        <f>Receivers!J144</f>
        <v>270</v>
      </c>
      <c r="P75" s="108"/>
      <c r="Q75" s="108"/>
      <c r="R75" s="112"/>
    </row>
    <row r="76" spans="1:18" x14ac:dyDescent="0.2">
      <c r="A76" s="107"/>
      <c r="B76" s="108"/>
      <c r="C76" s="108"/>
      <c r="D76" s="108"/>
      <c r="E76" s="108"/>
      <c r="F76" s="463" t="s">
        <v>695</v>
      </c>
      <c r="G76" s="516">
        <f>'Uplink Budget'!B10</f>
        <v>15.740312677277188</v>
      </c>
      <c r="H76" s="112"/>
      <c r="I76" s="107"/>
      <c r="J76" s="108"/>
      <c r="K76" s="108"/>
      <c r="L76" s="108"/>
      <c r="M76" s="108"/>
      <c r="N76" s="108"/>
      <c r="O76" s="108"/>
      <c r="P76" s="108"/>
      <c r="Q76" s="108"/>
      <c r="R76" s="112"/>
    </row>
    <row r="77" spans="1:18" x14ac:dyDescent="0.2">
      <c r="A77" s="107"/>
      <c r="B77" s="108"/>
      <c r="C77" s="108"/>
      <c r="D77" s="108"/>
      <c r="E77" s="108"/>
      <c r="F77" s="528" t="s">
        <v>712</v>
      </c>
      <c r="G77" s="536" t="str">
        <f>'Antenna Gain'!K11</f>
        <v>RHCP</v>
      </c>
      <c r="H77" s="112"/>
      <c r="I77" s="107"/>
      <c r="J77" s="108"/>
      <c r="K77" s="108"/>
      <c r="L77" s="108"/>
      <c r="M77" s="108"/>
      <c r="N77" s="108"/>
      <c r="O77" s="108"/>
      <c r="P77" s="108"/>
      <c r="Q77" s="108"/>
      <c r="R77" s="112"/>
    </row>
    <row r="78" spans="1:18" x14ac:dyDescent="0.2">
      <c r="A78" s="107"/>
      <c r="B78" s="108"/>
      <c r="C78" s="108"/>
      <c r="D78" s="108"/>
      <c r="E78" s="108"/>
      <c r="F78" s="108" t="s">
        <v>37</v>
      </c>
      <c r="G78" s="108"/>
      <c r="H78" s="112"/>
      <c r="I78" s="107"/>
      <c r="J78" s="108"/>
      <c r="K78" s="108"/>
      <c r="L78" s="108"/>
      <c r="M78" s="108"/>
      <c r="N78" s="108"/>
      <c r="O78" s="108"/>
      <c r="P78" s="108"/>
      <c r="Q78" s="108"/>
      <c r="R78" s="112"/>
    </row>
    <row r="79" spans="1:18" x14ac:dyDescent="0.2">
      <c r="A79" s="107"/>
      <c r="B79" s="108"/>
      <c r="C79" s="108"/>
      <c r="D79" s="108"/>
      <c r="E79" s="501" t="s">
        <v>195</v>
      </c>
      <c r="F79" s="108"/>
      <c r="G79" s="108"/>
      <c r="H79" s="112"/>
      <c r="I79" s="107"/>
      <c r="J79" s="108"/>
      <c r="K79" s="108"/>
      <c r="L79" s="108"/>
      <c r="M79" s="108"/>
      <c r="N79" s="108"/>
      <c r="O79" s="108"/>
      <c r="P79" s="108"/>
      <c r="Q79" s="108"/>
      <c r="R79" s="112"/>
    </row>
    <row r="80" spans="1:18" x14ac:dyDescent="0.2">
      <c r="A80" s="107"/>
      <c r="B80" s="108"/>
      <c r="C80" s="108"/>
      <c r="D80" s="108"/>
      <c r="E80" s="108"/>
      <c r="F80" s="108"/>
      <c r="G80" s="108"/>
      <c r="H80" s="112"/>
      <c r="I80" s="107"/>
      <c r="J80" s="108"/>
      <c r="K80" s="108"/>
      <c r="L80" s="108"/>
      <c r="M80" s="108"/>
      <c r="N80" s="108"/>
      <c r="O80" s="108"/>
      <c r="P80" s="108"/>
      <c r="Q80" s="108"/>
      <c r="R80" s="112"/>
    </row>
    <row r="81" spans="1:18" x14ac:dyDescent="0.2">
      <c r="A81" s="107"/>
      <c r="B81" s="108"/>
      <c r="C81" s="108"/>
      <c r="D81" s="108"/>
      <c r="E81" s="108"/>
      <c r="F81" s="108"/>
      <c r="G81" s="108"/>
      <c r="H81" s="112"/>
      <c r="I81" s="107"/>
      <c r="J81" s="108"/>
      <c r="K81" s="108"/>
      <c r="L81" s="108"/>
      <c r="M81" s="108"/>
      <c r="N81" s="108"/>
      <c r="O81" s="108"/>
      <c r="P81" s="108"/>
      <c r="Q81" s="108"/>
      <c r="R81" s="112"/>
    </row>
    <row r="82" spans="1:18" x14ac:dyDescent="0.2">
      <c r="A82" s="107"/>
      <c r="B82" s="108"/>
      <c r="C82" s="108"/>
      <c r="D82" s="108"/>
      <c r="E82" s="108"/>
      <c r="F82" s="463" t="s">
        <v>687</v>
      </c>
      <c r="G82" s="520">
        <f>Transmitters!I34</f>
        <v>0.87999999999999989</v>
      </c>
      <c r="H82" s="112"/>
      <c r="I82" s="107"/>
      <c r="J82" s="108"/>
      <c r="K82" s="108"/>
      <c r="L82" s="108"/>
      <c r="M82" s="108"/>
      <c r="N82" s="108"/>
      <c r="O82" s="108"/>
      <c r="P82" s="108"/>
      <c r="Q82" s="108"/>
      <c r="R82" s="112"/>
    </row>
    <row r="83" spans="1:18" x14ac:dyDescent="0.2">
      <c r="A83" s="107"/>
      <c r="B83" s="108"/>
      <c r="C83" s="108"/>
      <c r="D83" s="108"/>
      <c r="E83" s="108" t="s">
        <v>37</v>
      </c>
      <c r="F83" s="108" t="s">
        <v>37</v>
      </c>
      <c r="G83" s="108"/>
      <c r="H83" s="112"/>
      <c r="I83" s="107"/>
      <c r="J83" s="108"/>
      <c r="K83" s="108"/>
      <c r="L83" s="108"/>
      <c r="M83" s="108"/>
      <c r="N83" s="108"/>
      <c r="O83" s="108"/>
      <c r="P83" s="108"/>
      <c r="Q83" s="108"/>
      <c r="R83" s="112"/>
    </row>
    <row r="84" spans="1:18" x14ac:dyDescent="0.2">
      <c r="A84" s="107"/>
      <c r="B84" s="108"/>
      <c r="C84" s="108"/>
      <c r="D84" s="108"/>
      <c r="E84" s="108" t="s">
        <v>672</v>
      </c>
      <c r="F84" s="463" t="s">
        <v>676</v>
      </c>
      <c r="G84" s="513">
        <f>Transmitters!E25*Transmitters!I21</f>
        <v>0.5</v>
      </c>
      <c r="H84" s="112"/>
      <c r="I84" s="107"/>
      <c r="J84" s="108"/>
      <c r="K84" s="108"/>
      <c r="L84" s="108"/>
      <c r="M84" s="108"/>
      <c r="N84" s="108"/>
      <c r="O84" s="108"/>
      <c r="P84" s="108"/>
      <c r="Q84" s="108"/>
      <c r="R84" s="112"/>
    </row>
    <row r="85" spans="1:18" x14ac:dyDescent="0.2">
      <c r="A85" s="107"/>
      <c r="B85" s="108"/>
      <c r="C85" s="108"/>
      <c r="D85" s="108"/>
      <c r="E85" s="108"/>
      <c r="F85" s="108"/>
      <c r="G85" s="108"/>
      <c r="H85" s="112"/>
      <c r="I85" s="107"/>
      <c r="J85" s="108"/>
      <c r="K85" s="108"/>
      <c r="L85" s="108"/>
      <c r="M85" s="108"/>
      <c r="N85" s="108"/>
      <c r="O85" s="108"/>
      <c r="P85" s="108"/>
      <c r="Q85" s="108"/>
      <c r="R85" s="112"/>
    </row>
    <row r="86" spans="1:18" x14ac:dyDescent="0.2">
      <c r="A86" s="107"/>
      <c r="B86" s="108"/>
      <c r="C86" s="108"/>
      <c r="D86" s="108"/>
      <c r="E86" s="108"/>
      <c r="F86" s="108"/>
      <c r="G86" s="108"/>
      <c r="H86" s="112"/>
      <c r="I86" s="107"/>
      <c r="J86" s="108"/>
      <c r="K86" s="108"/>
      <c r="L86" s="108"/>
      <c r="M86" s="108"/>
      <c r="N86" s="108"/>
      <c r="O86" s="108"/>
      <c r="P86" s="108"/>
      <c r="Q86" s="108"/>
      <c r="R86" s="112"/>
    </row>
    <row r="87" spans="1:18" x14ac:dyDescent="0.2">
      <c r="A87" s="107"/>
      <c r="B87" s="108"/>
      <c r="C87" s="108"/>
      <c r="D87" s="108"/>
      <c r="E87" s="108"/>
      <c r="F87" s="463" t="s">
        <v>683</v>
      </c>
      <c r="G87" s="516">
        <f>Transmitters!I31</f>
        <v>0</v>
      </c>
      <c r="H87" s="112"/>
      <c r="I87" s="107"/>
      <c r="J87" s="108"/>
      <c r="K87" s="108"/>
      <c r="L87" s="108"/>
      <c r="M87" s="108"/>
      <c r="N87" s="108"/>
      <c r="O87" s="108"/>
      <c r="P87" s="108"/>
      <c r="Q87" s="108"/>
      <c r="R87" s="112"/>
    </row>
    <row r="88" spans="1:18" x14ac:dyDescent="0.2">
      <c r="A88" s="107"/>
      <c r="B88" s="108"/>
      <c r="C88" s="108"/>
      <c r="D88" s="108"/>
      <c r="E88" s="108"/>
      <c r="F88" s="550">
        <f>Transmitters!F31</f>
        <v>0</v>
      </c>
      <c r="G88" s="515"/>
      <c r="H88" s="112"/>
      <c r="I88" s="107"/>
      <c r="J88" s="108"/>
      <c r="K88" s="108"/>
      <c r="L88" s="108"/>
      <c r="M88" s="108"/>
      <c r="N88" s="463" t="s">
        <v>736</v>
      </c>
      <c r="O88" s="558">
        <f>'Downlink Budget'!B56</f>
        <v>120000</v>
      </c>
      <c r="P88" s="108"/>
      <c r="Q88" s="108"/>
      <c r="R88" s="112"/>
    </row>
    <row r="89" spans="1:18" x14ac:dyDescent="0.2">
      <c r="A89" s="107"/>
      <c r="B89" s="108"/>
      <c r="C89" s="108"/>
      <c r="D89" s="108"/>
      <c r="E89" s="108"/>
      <c r="F89" s="108"/>
      <c r="G89" s="108"/>
      <c r="H89" s="112"/>
      <c r="I89" s="107"/>
      <c r="J89" s="108"/>
      <c r="K89" s="108"/>
      <c r="L89" s="108"/>
      <c r="M89" s="108"/>
      <c r="N89" s="108" t="s">
        <v>737</v>
      </c>
      <c r="O89" s="108"/>
      <c r="P89" s="108"/>
      <c r="Q89" s="108"/>
      <c r="R89" s="112"/>
    </row>
    <row r="90" spans="1:18" x14ac:dyDescent="0.2">
      <c r="A90" s="107"/>
      <c r="B90" s="108"/>
      <c r="C90" s="108"/>
      <c r="D90" s="108"/>
      <c r="E90" s="108" t="s">
        <v>433</v>
      </c>
      <c r="F90" s="463" t="s">
        <v>675</v>
      </c>
      <c r="G90" s="513">
        <f>Transmitters!E25*Transmitters!I20</f>
        <v>0</v>
      </c>
      <c r="H90" s="112"/>
      <c r="I90" s="107"/>
      <c r="J90" s="108"/>
      <c r="K90" s="108"/>
      <c r="L90" s="108"/>
      <c r="M90" s="108"/>
      <c r="N90" s="108"/>
      <c r="O90" s="108"/>
      <c r="P90" s="108"/>
      <c r="Q90" s="108"/>
      <c r="R90" s="112"/>
    </row>
    <row r="91" spans="1:18" x14ac:dyDescent="0.2">
      <c r="A91" s="107"/>
      <c r="B91" s="108"/>
      <c r="C91" s="108"/>
      <c r="D91" s="108"/>
      <c r="E91" s="108"/>
      <c r="F91" s="108"/>
      <c r="G91" s="108"/>
      <c r="H91" s="112"/>
      <c r="I91" s="107"/>
      <c r="J91" s="108"/>
      <c r="K91" s="108"/>
      <c r="L91" s="108"/>
      <c r="M91" s="108"/>
      <c r="N91" s="108"/>
      <c r="O91" s="108"/>
      <c r="P91" s="108"/>
      <c r="Q91" s="108"/>
      <c r="R91" s="112"/>
    </row>
    <row r="92" spans="1:18" x14ac:dyDescent="0.2">
      <c r="A92" s="107"/>
      <c r="B92" s="108"/>
      <c r="C92" s="108"/>
      <c r="D92" s="108"/>
      <c r="E92" s="108"/>
      <c r="F92" s="108"/>
      <c r="G92" s="108"/>
      <c r="H92" s="112"/>
      <c r="I92" s="107"/>
      <c r="J92" s="108"/>
      <c r="K92" s="108"/>
      <c r="L92" s="108"/>
      <c r="M92" s="108"/>
      <c r="N92" s="108"/>
      <c r="O92" s="108"/>
      <c r="P92" s="108"/>
      <c r="Q92" s="108"/>
      <c r="R92" s="112"/>
    </row>
    <row r="93" spans="1:18" x14ac:dyDescent="0.2">
      <c r="A93" s="107"/>
      <c r="B93" s="108"/>
      <c r="C93" s="108"/>
      <c r="D93" s="108"/>
      <c r="E93" s="108"/>
      <c r="F93" s="463" t="s">
        <v>679</v>
      </c>
      <c r="G93" s="512">
        <f>Transmitters!I30</f>
        <v>0</v>
      </c>
      <c r="H93" s="112"/>
      <c r="I93" s="107"/>
      <c r="J93" s="108"/>
      <c r="K93" s="108"/>
      <c r="L93" s="108"/>
      <c r="M93" s="108"/>
      <c r="N93" s="528" t="s">
        <v>706</v>
      </c>
      <c r="O93" s="559">
        <f>'Downlink Budget'!B35</f>
        <v>1.0000000000000001E-5</v>
      </c>
      <c r="P93" s="108"/>
      <c r="Q93" s="108"/>
      <c r="R93" s="112"/>
    </row>
    <row r="94" spans="1:18" x14ac:dyDescent="0.2">
      <c r="A94" s="107"/>
      <c r="B94" s="108"/>
      <c r="C94" s="108"/>
      <c r="D94" s="108"/>
      <c r="E94" s="108"/>
      <c r="F94" s="108"/>
      <c r="G94" s="108"/>
      <c r="H94" s="112"/>
      <c r="I94" s="107"/>
      <c r="J94" s="108"/>
      <c r="K94" s="108"/>
      <c r="L94" s="108"/>
      <c r="M94" s="108"/>
      <c r="N94" s="545" t="s">
        <v>742</v>
      </c>
      <c r="O94" s="546"/>
      <c r="P94" s="108"/>
      <c r="Q94" s="108"/>
      <c r="R94" s="112"/>
    </row>
    <row r="95" spans="1:18" x14ac:dyDescent="0.2">
      <c r="A95" s="107"/>
      <c r="B95" s="108"/>
      <c r="C95" s="108"/>
      <c r="D95" s="108"/>
      <c r="E95" s="108" t="s">
        <v>671</v>
      </c>
      <c r="F95" s="463" t="s">
        <v>674</v>
      </c>
      <c r="G95" s="513">
        <f>Transmitters!E25*Transmitters!I19</f>
        <v>0</v>
      </c>
      <c r="H95" s="112"/>
      <c r="I95" s="107"/>
      <c r="J95" s="108"/>
      <c r="K95" s="108"/>
      <c r="L95" s="108"/>
      <c r="M95" s="108"/>
      <c r="N95" s="545" t="str">
        <f>'Downlink Budget'!B32</f>
        <v>QPSK</v>
      </c>
      <c r="O95" s="546"/>
      <c r="P95" s="108"/>
      <c r="Q95" s="108"/>
      <c r="R95" s="112"/>
    </row>
    <row r="96" spans="1:18" x14ac:dyDescent="0.2">
      <c r="A96" s="107"/>
      <c r="B96" s="108"/>
      <c r="C96" s="108"/>
      <c r="D96" s="108"/>
      <c r="E96" s="108"/>
      <c r="F96" s="108" t="s">
        <v>37</v>
      </c>
      <c r="G96" s="108"/>
      <c r="H96" s="112"/>
      <c r="I96" s="107"/>
      <c r="J96" s="108"/>
      <c r="K96" s="108"/>
      <c r="L96" s="108"/>
      <c r="M96" s="108"/>
      <c r="N96" s="547" t="s">
        <v>586</v>
      </c>
      <c r="O96" s="527">
        <f>'Downlink Budget'!B41</f>
        <v>9.6</v>
      </c>
      <c r="P96" s="108"/>
      <c r="Q96" s="108"/>
      <c r="R96" s="112"/>
    </row>
    <row r="97" spans="1:18" x14ac:dyDescent="0.2">
      <c r="A97" s="107"/>
      <c r="B97" s="108"/>
      <c r="C97" s="108"/>
      <c r="D97" s="108"/>
      <c r="E97" s="108"/>
      <c r="F97" s="463" t="s">
        <v>673</v>
      </c>
      <c r="G97" s="511">
        <f>Transmitters!E16</f>
        <v>10</v>
      </c>
      <c r="H97" s="112"/>
      <c r="I97" s="107"/>
      <c r="J97" s="108"/>
      <c r="K97" s="108"/>
      <c r="L97" s="108"/>
      <c r="M97" s="108"/>
      <c r="N97" s="108"/>
      <c r="O97" s="108"/>
      <c r="P97" s="108"/>
      <c r="Q97" s="108"/>
      <c r="R97" s="112"/>
    </row>
    <row r="98" spans="1:18" x14ac:dyDescent="0.2">
      <c r="A98" s="107"/>
      <c r="B98" s="108"/>
      <c r="C98" s="108"/>
      <c r="D98" s="108"/>
      <c r="E98" s="108"/>
      <c r="F98" s="108"/>
      <c r="G98" s="108"/>
      <c r="H98" s="112"/>
      <c r="I98" s="107"/>
      <c r="J98" s="108"/>
      <c r="K98" s="108"/>
      <c r="L98" s="108"/>
      <c r="M98" s="108"/>
      <c r="N98" s="108"/>
      <c r="O98" s="108"/>
      <c r="P98" s="108"/>
      <c r="Q98" s="108"/>
      <c r="R98" s="112"/>
    </row>
    <row r="99" spans="1:18" x14ac:dyDescent="0.2">
      <c r="A99" s="107"/>
      <c r="B99" s="108"/>
      <c r="C99" s="108"/>
      <c r="D99" s="108"/>
      <c r="E99" s="108"/>
      <c r="F99" s="108"/>
      <c r="G99" s="108"/>
      <c r="H99" s="112"/>
      <c r="I99" s="107"/>
      <c r="J99" s="108"/>
      <c r="K99" s="108"/>
      <c r="L99" s="108"/>
      <c r="M99" s="108"/>
      <c r="N99" s="108"/>
      <c r="O99" s="108"/>
      <c r="P99" s="108"/>
      <c r="Q99" s="108"/>
      <c r="R99" s="112"/>
    </row>
    <row r="100" spans="1:18" x14ac:dyDescent="0.2">
      <c r="A100" s="107"/>
      <c r="B100" s="108"/>
      <c r="C100" s="108"/>
      <c r="D100" s="108"/>
      <c r="E100" s="108"/>
      <c r="F100" s="108"/>
      <c r="G100" s="108"/>
      <c r="H100" s="112"/>
      <c r="I100" s="107"/>
      <c r="J100" s="108"/>
      <c r="K100" s="108"/>
      <c r="L100" s="108"/>
      <c r="M100" s="108"/>
      <c r="N100" s="502" t="s">
        <v>738</v>
      </c>
      <c r="O100" s="503"/>
      <c r="P100" s="108"/>
      <c r="Q100" s="108"/>
      <c r="R100" s="112"/>
    </row>
    <row r="101" spans="1:18" x14ac:dyDescent="0.2">
      <c r="A101" s="107"/>
      <c r="B101" s="108"/>
      <c r="C101" s="108"/>
      <c r="D101" s="108"/>
      <c r="E101" s="108"/>
      <c r="F101" s="108"/>
      <c r="G101" s="108"/>
      <c r="H101" s="112"/>
      <c r="I101" s="107"/>
      <c r="J101" s="108"/>
      <c r="K101" s="108"/>
      <c r="L101" s="108"/>
      <c r="M101" s="108"/>
      <c r="N101" s="560" t="str">
        <f>'Downlink Budget'!B33</f>
        <v>None</v>
      </c>
      <c r="O101" s="505"/>
      <c r="P101" s="108"/>
      <c r="Q101" s="108"/>
      <c r="R101" s="112"/>
    </row>
    <row r="102" spans="1:18" x14ac:dyDescent="0.2">
      <c r="A102" s="107"/>
      <c r="B102" s="108"/>
      <c r="C102" s="108"/>
      <c r="D102" s="108"/>
      <c r="E102" s="108"/>
      <c r="F102" s="108"/>
      <c r="G102" s="108"/>
      <c r="H102" s="112"/>
      <c r="I102" s="107"/>
      <c r="J102" s="108"/>
      <c r="K102" s="108"/>
      <c r="L102" s="108"/>
      <c r="M102" s="108"/>
      <c r="N102" s="108"/>
      <c r="O102" s="108"/>
      <c r="P102" s="108"/>
      <c r="Q102" s="108"/>
      <c r="R102" s="112"/>
    </row>
    <row r="103" spans="1:18" x14ac:dyDescent="0.2">
      <c r="A103" s="107"/>
      <c r="B103" s="108"/>
      <c r="C103" s="108"/>
      <c r="D103" s="108"/>
      <c r="E103" s="108"/>
      <c r="F103" s="502" t="s">
        <v>701</v>
      </c>
      <c r="G103" s="503"/>
      <c r="H103" s="112"/>
      <c r="I103" s="107"/>
      <c r="J103" s="108"/>
      <c r="K103" s="108"/>
      <c r="L103" s="108"/>
      <c r="M103" s="108"/>
      <c r="N103" s="108"/>
      <c r="O103" s="108"/>
      <c r="P103" s="108"/>
      <c r="Q103" s="108"/>
      <c r="R103" s="112"/>
    </row>
    <row r="104" spans="1:18" x14ac:dyDescent="0.2">
      <c r="A104" s="107"/>
      <c r="B104" s="108"/>
      <c r="C104" s="108"/>
      <c r="D104" s="108"/>
      <c r="E104" s="108"/>
      <c r="F104" s="504" t="str">
        <f>'Uplink Budget'!B32</f>
        <v>QPSK</v>
      </c>
      <c r="G104" s="505"/>
      <c r="H104" s="112"/>
      <c r="I104" s="107"/>
      <c r="J104" s="108"/>
      <c r="K104" s="108"/>
      <c r="L104" s="108"/>
      <c r="M104" s="108"/>
      <c r="N104" s="108"/>
      <c r="O104" s="108"/>
      <c r="P104" s="108"/>
      <c r="Q104" s="108"/>
      <c r="R104" s="112"/>
    </row>
    <row r="105" spans="1:18" x14ac:dyDescent="0.2">
      <c r="A105" s="107"/>
      <c r="B105" s="108"/>
      <c r="C105" s="108"/>
      <c r="D105" s="108"/>
      <c r="E105" s="108"/>
      <c r="F105" s="108"/>
      <c r="G105" s="108"/>
      <c r="H105" s="112"/>
      <c r="I105" s="107"/>
      <c r="J105" s="108"/>
      <c r="K105" s="463" t="s">
        <v>708</v>
      </c>
      <c r="L105" s="558">
        <f>'Downlink Budget'!B28</f>
        <v>200000</v>
      </c>
      <c r="M105" s="108"/>
      <c r="N105" s="108"/>
      <c r="O105" s="108" t="s">
        <v>37</v>
      </c>
      <c r="P105" s="108" t="s">
        <v>37</v>
      </c>
      <c r="Q105" s="108"/>
      <c r="R105" s="112"/>
    </row>
    <row r="106" spans="1:18" ht="13.5" thickBot="1" x14ac:dyDescent="0.25">
      <c r="A106" s="107"/>
      <c r="B106" s="108"/>
      <c r="C106" s="108"/>
      <c r="D106" s="108"/>
      <c r="E106" s="108"/>
      <c r="F106" s="506" t="s">
        <v>741</v>
      </c>
      <c r="G106" s="507"/>
      <c r="H106" s="112"/>
      <c r="I106" s="107"/>
      <c r="J106" s="108"/>
      <c r="K106" s="108"/>
      <c r="L106" s="108"/>
      <c r="M106" s="108"/>
      <c r="N106" s="108"/>
      <c r="O106" s="108"/>
      <c r="P106" s="108"/>
      <c r="Q106" s="108"/>
      <c r="R106" s="112"/>
    </row>
    <row r="107" spans="1:18" ht="13.5" thickBot="1" x14ac:dyDescent="0.25">
      <c r="A107" s="107"/>
      <c r="B107" s="108"/>
      <c r="C107" s="108"/>
      <c r="D107" s="108"/>
      <c r="E107" s="108"/>
      <c r="F107" s="504" t="str">
        <f>'Uplink Budget'!B33</f>
        <v>None</v>
      </c>
      <c r="G107" s="505"/>
      <c r="H107" s="112"/>
      <c r="I107" s="107" t="s">
        <v>743</v>
      </c>
      <c r="J107" s="108"/>
      <c r="K107" s="463" t="s">
        <v>746</v>
      </c>
      <c r="L107" s="518">
        <f>'Downlink Budget'!B30</f>
        <v>11.770143868706782</v>
      </c>
      <c r="M107" s="108"/>
      <c r="N107" s="524" t="s">
        <v>690</v>
      </c>
      <c r="O107" s="638">
        <f>'Downlink Budget'!B43</f>
        <v>2.1701438687067824</v>
      </c>
      <c r="P107" s="639" t="str">
        <f>IF(O107&lt;0,"NO LINK !",IF(O107&lt;6,"MARGINAL LINK",IF(O107&gt;6,"LINK CLOSES")))</f>
        <v>MARGINAL LINK</v>
      </c>
      <c r="Q107" s="108"/>
      <c r="R107" s="112"/>
    </row>
    <row r="108" spans="1:18" ht="13.5" thickBot="1" x14ac:dyDescent="0.25">
      <c r="A108" s="107"/>
      <c r="B108" s="108"/>
      <c r="C108" s="108"/>
      <c r="D108" s="108"/>
      <c r="E108" s="108"/>
      <c r="F108" s="108"/>
      <c r="G108" s="108"/>
      <c r="H108" s="112"/>
      <c r="I108" s="107"/>
      <c r="J108" s="108"/>
      <c r="K108" s="108"/>
      <c r="L108" s="108"/>
      <c r="M108" s="108"/>
      <c r="N108" s="108"/>
      <c r="O108" s="108"/>
      <c r="P108" s="108"/>
      <c r="Q108" s="108"/>
      <c r="R108" s="112"/>
    </row>
    <row r="109" spans="1:18" ht="13.5" thickBot="1" x14ac:dyDescent="0.25">
      <c r="A109" s="107"/>
      <c r="B109" s="108"/>
      <c r="C109" s="463" t="s">
        <v>677</v>
      </c>
      <c r="D109" s="510">
        <f>'Uplink Budget'!B28</f>
        <v>200000</v>
      </c>
      <c r="E109" s="108"/>
      <c r="F109" s="108"/>
      <c r="G109" s="108"/>
      <c r="H109" s="112"/>
      <c r="I109" s="107" t="s">
        <v>745</v>
      </c>
      <c r="J109" s="108"/>
      <c r="K109" s="463" t="s">
        <v>747</v>
      </c>
      <c r="L109" s="518">
        <f>'Downlink Budget'!B60</f>
        <v>13.988631364870315</v>
      </c>
      <c r="M109" s="108"/>
      <c r="N109" s="524" t="s">
        <v>748</v>
      </c>
      <c r="O109" s="638">
        <f>'Downlink Budget'!B64</f>
        <v>4.3886313648703155</v>
      </c>
      <c r="P109" s="639" t="str">
        <f>IF(O109&lt;0,"NO LINK !",IF(O109&lt;6,"MARGINAL LINK",IF(O109&gt;6,"LINK CLOSES")))</f>
        <v>MARGINAL LINK</v>
      </c>
      <c r="Q109" s="108"/>
      <c r="R109" s="112"/>
    </row>
    <row r="110" spans="1:18" x14ac:dyDescent="0.2">
      <c r="A110" s="107"/>
      <c r="B110" s="108"/>
      <c r="C110" s="108"/>
      <c r="D110" s="108"/>
      <c r="E110" s="108"/>
      <c r="F110" s="108"/>
      <c r="G110" s="108"/>
      <c r="H110" s="112"/>
      <c r="I110" s="107"/>
      <c r="J110" s="108"/>
      <c r="K110" s="108"/>
      <c r="L110" s="108"/>
      <c r="M110" s="108"/>
      <c r="N110" s="108"/>
      <c r="O110" s="108"/>
      <c r="P110" s="108"/>
      <c r="Q110" s="108"/>
      <c r="R110" s="112"/>
    </row>
    <row r="111" spans="1:18" x14ac:dyDescent="0.2">
      <c r="A111" s="107"/>
      <c r="B111" s="108"/>
      <c r="C111" s="108"/>
      <c r="D111" s="108"/>
      <c r="E111" s="108"/>
      <c r="F111" s="108"/>
      <c r="G111" s="108"/>
      <c r="H111" s="112"/>
      <c r="I111" s="107"/>
      <c r="J111" s="108"/>
      <c r="K111" s="108"/>
      <c r="L111" s="108"/>
      <c r="M111" s="108"/>
      <c r="N111" s="108"/>
      <c r="O111" s="108"/>
      <c r="P111" s="108"/>
      <c r="Q111" s="108"/>
      <c r="R111" s="112"/>
    </row>
    <row r="112" spans="1:18" x14ac:dyDescent="0.2">
      <c r="A112" s="107"/>
      <c r="B112" s="108"/>
      <c r="C112" s="108"/>
      <c r="D112" s="108"/>
      <c r="E112" s="108"/>
      <c r="F112" s="108"/>
      <c r="G112" s="108"/>
      <c r="H112" s="112"/>
      <c r="I112" s="107"/>
      <c r="J112" s="108"/>
      <c r="K112" s="108"/>
      <c r="L112" s="108"/>
      <c r="M112" s="108"/>
      <c r="N112" s="108"/>
      <c r="O112" s="108"/>
      <c r="P112" s="108"/>
      <c r="Q112" s="108"/>
      <c r="R112" s="112"/>
    </row>
    <row r="113" spans="1:18" x14ac:dyDescent="0.2">
      <c r="A113" s="107"/>
      <c r="B113" s="108"/>
      <c r="C113" s="108"/>
      <c r="D113" s="108"/>
      <c r="E113" s="108"/>
      <c r="F113" s="108"/>
      <c r="G113" s="108"/>
      <c r="H113" s="112"/>
      <c r="I113" s="107"/>
      <c r="J113" s="108"/>
      <c r="K113" s="108"/>
      <c r="L113" s="108"/>
      <c r="M113" s="108"/>
      <c r="N113" s="108"/>
      <c r="O113" s="108"/>
      <c r="P113" s="108"/>
      <c r="Q113" s="108"/>
      <c r="R113" s="112"/>
    </row>
    <row r="114" spans="1:18" x14ac:dyDescent="0.2">
      <c r="A114" s="107"/>
      <c r="B114" s="108"/>
      <c r="C114" s="108"/>
      <c r="D114" s="108"/>
      <c r="E114" s="108"/>
      <c r="F114" s="108"/>
      <c r="G114" s="108"/>
      <c r="H114" s="112"/>
      <c r="I114" s="107"/>
      <c r="J114" s="108"/>
      <c r="K114" s="108"/>
      <c r="L114" s="108"/>
      <c r="M114" s="108"/>
      <c r="N114" s="108"/>
      <c r="O114" s="108" t="s">
        <v>37</v>
      </c>
      <c r="P114" s="108"/>
      <c r="Q114" s="108"/>
      <c r="R114" s="112"/>
    </row>
    <row r="115" spans="1:18" ht="13.5" thickBot="1" x14ac:dyDescent="0.25">
      <c r="A115" s="119"/>
      <c r="B115" s="120"/>
      <c r="C115" s="120"/>
      <c r="D115" s="120"/>
      <c r="E115" s="120"/>
      <c r="F115" s="120"/>
      <c r="G115" s="120"/>
      <c r="H115" s="121"/>
      <c r="I115" s="119"/>
      <c r="J115" s="120"/>
      <c r="K115" s="120"/>
      <c r="L115" s="120"/>
      <c r="M115" s="120"/>
      <c r="N115" s="120"/>
      <c r="O115" s="120"/>
      <c r="P115" s="120"/>
      <c r="Q115" s="120"/>
      <c r="R115" s="121"/>
    </row>
  </sheetData>
  <phoneticPr fontId="26" type="noConversion"/>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0.25" right="0.25" top="0.75" bottom="0.75" header="0.3" footer="0.3"/>
  <pageSetup paperSize="3" scale="76" fitToHeight="0" orientation="portrait" horizontalDpi="4294967293" r:id="rId1"/>
  <headerFooter alignWithMargins="0"/>
  <drawing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C300"/>
  <sheetViews>
    <sheetView topLeftCell="A7" zoomScale="85" workbookViewId="0">
      <selection activeCell="C35" sqref="C35"/>
    </sheetView>
  </sheetViews>
  <sheetFormatPr defaultRowHeight="12.75" x14ac:dyDescent="0.2"/>
  <cols>
    <col min="1" max="1" width="20.140625" customWidth="1"/>
    <col min="2" max="2" width="11" customWidth="1"/>
    <col min="3" max="3" width="27.140625" customWidth="1"/>
    <col min="4" max="4" width="18.5703125" customWidth="1"/>
    <col min="5" max="5" width="18.140625" customWidth="1"/>
  </cols>
  <sheetData>
    <row r="1" spans="1:29" ht="18.75" thickBot="1" x14ac:dyDescent="0.3">
      <c r="A1" s="133" t="s">
        <v>838</v>
      </c>
      <c r="B1" s="135"/>
      <c r="C1" s="135"/>
      <c r="D1" s="135"/>
      <c r="E1" s="135"/>
      <c r="F1" s="135"/>
      <c r="G1" s="135"/>
      <c r="H1" s="135"/>
      <c r="I1" s="135"/>
      <c r="J1" s="135"/>
      <c r="K1" s="135"/>
      <c r="L1" s="135"/>
      <c r="M1" s="135"/>
      <c r="N1" s="135"/>
      <c r="O1" s="135"/>
      <c r="P1" s="135"/>
      <c r="Q1" s="135"/>
      <c r="R1" s="135"/>
      <c r="S1" s="135"/>
      <c r="T1" s="135"/>
      <c r="U1" s="135"/>
      <c r="V1" s="135"/>
      <c r="W1" s="135"/>
      <c r="X1" s="135"/>
      <c r="Y1" s="135"/>
      <c r="Z1" s="135"/>
      <c r="AA1" s="135"/>
      <c r="AB1" s="135"/>
      <c r="AC1" s="135"/>
    </row>
    <row r="2" spans="1:29" x14ac:dyDescent="0.2">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x14ac:dyDescent="0.2">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x14ac:dyDescent="0.2">
      <c r="A4" s="653" t="s">
        <v>386</v>
      </c>
      <c r="B4" s="4"/>
      <c r="C4" s="3"/>
      <c r="D4" s="3" t="s">
        <v>37</v>
      </c>
      <c r="E4" s="3"/>
      <c r="F4" s="3"/>
      <c r="G4" s="3"/>
      <c r="H4" s="3"/>
      <c r="I4" s="3"/>
      <c r="J4" s="3"/>
      <c r="K4" s="3"/>
      <c r="L4" s="3"/>
      <c r="M4" s="3"/>
      <c r="N4" s="3"/>
      <c r="O4" s="3"/>
      <c r="P4" s="3"/>
      <c r="Q4" s="3"/>
      <c r="R4" s="3"/>
      <c r="S4" s="3"/>
      <c r="T4" s="3"/>
      <c r="U4" s="3"/>
      <c r="V4" s="3"/>
      <c r="W4" s="3"/>
      <c r="X4" s="3"/>
      <c r="Y4" s="3"/>
      <c r="Z4" s="3"/>
      <c r="AA4" s="3"/>
      <c r="AB4" s="3"/>
      <c r="AC4" s="3"/>
    </row>
    <row r="5" spans="1:29" x14ac:dyDescent="0.2">
      <c r="A5" s="501"/>
      <c r="B5" s="4"/>
      <c r="C5" s="3"/>
      <c r="D5" s="3"/>
      <c r="E5" s="3"/>
      <c r="F5" s="3"/>
      <c r="G5" s="3"/>
      <c r="H5" s="3"/>
      <c r="I5" s="3"/>
      <c r="J5" s="3"/>
      <c r="K5" s="3"/>
      <c r="L5" s="3"/>
      <c r="M5" s="3"/>
      <c r="N5" s="3"/>
      <c r="O5" s="3"/>
      <c r="P5" s="3"/>
      <c r="Q5" s="3"/>
      <c r="R5" s="3"/>
      <c r="S5" s="3"/>
      <c r="T5" s="3"/>
      <c r="U5" s="3"/>
      <c r="V5" s="3"/>
      <c r="W5" s="3"/>
      <c r="X5" s="3"/>
      <c r="Y5" s="3"/>
      <c r="Z5" s="3"/>
      <c r="AA5" s="3"/>
      <c r="AB5" s="3"/>
      <c r="AC5" s="3"/>
    </row>
    <row r="6" spans="1:29" x14ac:dyDescent="0.2">
      <c r="A6" s="662" t="s">
        <v>864</v>
      </c>
      <c r="B6" s="3"/>
      <c r="C6" s="3"/>
      <c r="D6" s="3"/>
      <c r="E6" s="3"/>
      <c r="F6" s="3"/>
      <c r="G6" s="3"/>
      <c r="H6" s="3"/>
      <c r="I6" s="3"/>
      <c r="J6" s="3"/>
      <c r="K6" s="3"/>
      <c r="L6" s="3"/>
      <c r="M6" s="3"/>
      <c r="N6" s="3"/>
      <c r="O6" s="3"/>
      <c r="P6" s="3"/>
      <c r="Q6" s="3"/>
      <c r="R6" s="3"/>
      <c r="S6" s="3"/>
      <c r="T6" s="3"/>
      <c r="U6" s="3"/>
      <c r="V6" s="3"/>
      <c r="W6" s="3"/>
      <c r="X6" s="3"/>
      <c r="Y6" s="3"/>
      <c r="Z6" s="3"/>
      <c r="AA6" s="3"/>
      <c r="AB6" s="3"/>
      <c r="AC6" s="3"/>
    </row>
    <row r="7" spans="1:29" x14ac:dyDescent="0.2">
      <c r="A7" s="3"/>
      <c r="B7" s="34"/>
      <c r="C7" s="3"/>
      <c r="D7" s="3"/>
      <c r="E7" s="3"/>
      <c r="F7" s="3"/>
      <c r="G7" s="3"/>
      <c r="H7" s="3"/>
      <c r="I7" s="3"/>
      <c r="J7" s="3"/>
      <c r="K7" s="3"/>
      <c r="L7" s="3"/>
      <c r="M7" s="3"/>
      <c r="N7" s="3"/>
      <c r="O7" s="3"/>
      <c r="P7" s="3"/>
      <c r="Q7" s="3"/>
      <c r="R7" s="3"/>
      <c r="S7" s="3"/>
      <c r="T7" s="3"/>
      <c r="U7" s="3"/>
      <c r="V7" s="3"/>
      <c r="W7" s="3"/>
      <c r="X7" s="3"/>
      <c r="Y7" s="3"/>
      <c r="Z7" s="3"/>
      <c r="AA7" s="3"/>
      <c r="AB7" s="3"/>
      <c r="AC7" s="3"/>
    </row>
    <row r="8" spans="1:29" x14ac:dyDescent="0.2">
      <c r="A8" s="108"/>
      <c r="B8" s="651" t="s">
        <v>839</v>
      </c>
      <c r="C8" s="655" t="s">
        <v>383</v>
      </c>
      <c r="D8" s="656" t="s">
        <v>385</v>
      </c>
      <c r="E8" s="405" t="s">
        <v>37</v>
      </c>
      <c r="F8" s="461"/>
      <c r="G8" s="461"/>
      <c r="H8" s="461"/>
      <c r="I8" s="461"/>
      <c r="J8" s="461"/>
      <c r="K8" s="461"/>
      <c r="L8" s="461"/>
      <c r="M8" s="461"/>
      <c r="N8" s="3"/>
      <c r="O8" s="3"/>
      <c r="P8" s="3"/>
      <c r="Q8" s="3"/>
      <c r="R8" s="3"/>
      <c r="S8" s="3"/>
      <c r="T8" s="3"/>
      <c r="U8" s="3"/>
      <c r="V8" s="3"/>
      <c r="W8" s="3"/>
      <c r="X8" s="3"/>
      <c r="Y8" s="3"/>
      <c r="Z8" s="3"/>
      <c r="AA8" s="3"/>
      <c r="AB8" s="3"/>
      <c r="AC8" s="3"/>
    </row>
    <row r="9" spans="1:29" x14ac:dyDescent="0.2">
      <c r="A9" s="3"/>
      <c r="B9" s="3"/>
      <c r="C9" s="34">
        <v>0</v>
      </c>
      <c r="D9" s="767">
        <f t="shared" ref="D9:D27" si="0">IF(C9&lt;100,5.15+10*LOG10(COS(RADIANS(90-C9))),"No Signal")</f>
        <v>-156.97841279011377</v>
      </c>
      <c r="E9" s="3"/>
      <c r="F9" s="461"/>
      <c r="G9" s="461"/>
      <c r="H9" s="461"/>
      <c r="I9" s="461"/>
      <c r="J9" s="461"/>
      <c r="K9" s="461"/>
      <c r="L9" s="461"/>
      <c r="M9" s="461"/>
      <c r="N9" s="3"/>
      <c r="O9" s="3"/>
      <c r="P9" s="3"/>
      <c r="Q9" s="3"/>
      <c r="R9" s="3"/>
      <c r="S9" s="3"/>
      <c r="T9" s="3"/>
      <c r="U9" s="3"/>
      <c r="V9" s="3"/>
      <c r="W9" s="3"/>
      <c r="X9" s="3"/>
      <c r="Y9" s="3"/>
      <c r="Z9" s="3"/>
      <c r="AA9" s="3"/>
      <c r="AB9" s="3"/>
      <c r="AC9" s="3"/>
    </row>
    <row r="10" spans="1:29" x14ac:dyDescent="0.2">
      <c r="A10" s="3"/>
      <c r="B10" s="3"/>
      <c r="C10" s="34">
        <v>5</v>
      </c>
      <c r="D10" s="767">
        <f t="shared" si="0"/>
        <v>-5.4470399166987971</v>
      </c>
      <c r="E10" s="3"/>
      <c r="F10" s="461"/>
      <c r="G10" s="461"/>
      <c r="H10" s="461"/>
      <c r="I10" s="461"/>
      <c r="J10" s="461"/>
      <c r="K10" s="461"/>
      <c r="L10" s="461"/>
      <c r="M10" s="461"/>
      <c r="N10" s="3"/>
      <c r="O10" s="3"/>
      <c r="P10" s="3"/>
      <c r="Q10" s="3"/>
      <c r="R10" s="3"/>
      <c r="S10" s="3"/>
      <c r="T10" s="3"/>
      <c r="U10" s="3"/>
      <c r="V10" s="3"/>
      <c r="W10" s="3"/>
      <c r="X10" s="3"/>
      <c r="Y10" s="3"/>
      <c r="Z10" s="3"/>
      <c r="AA10" s="3"/>
      <c r="AB10" s="3"/>
      <c r="AC10" s="3"/>
    </row>
    <row r="11" spans="1:29" x14ac:dyDescent="0.2">
      <c r="A11" s="3"/>
      <c r="B11" s="3"/>
      <c r="C11" s="34">
        <v>10</v>
      </c>
      <c r="D11" s="767">
        <f t="shared" si="0"/>
        <v>-2.4532976998839926</v>
      </c>
      <c r="E11" s="3"/>
      <c r="F11" s="461"/>
      <c r="G11" s="461"/>
      <c r="H11" s="461"/>
      <c r="I11" s="461"/>
      <c r="J11" s="461"/>
      <c r="K11" s="461"/>
      <c r="L11" s="461"/>
      <c r="M11" s="461"/>
      <c r="N11" s="3"/>
      <c r="O11" s="3"/>
      <c r="P11" s="3"/>
      <c r="Q11" s="3"/>
      <c r="R11" s="3"/>
      <c r="S11" s="3"/>
      <c r="T11" s="3"/>
      <c r="U11" s="3"/>
      <c r="V11" s="3"/>
      <c r="W11" s="3"/>
      <c r="X11" s="3"/>
      <c r="Y11" s="3"/>
      <c r="Z11" s="3"/>
      <c r="AA11" s="3"/>
      <c r="AB11" s="3"/>
      <c r="AC11" s="3"/>
    </row>
    <row r="12" spans="1:29" x14ac:dyDescent="0.2">
      <c r="A12" s="3"/>
      <c r="B12" s="3"/>
      <c r="C12" s="34">
        <v>15</v>
      </c>
      <c r="D12" s="767">
        <f t="shared" si="0"/>
        <v>-0.72003769430660824</v>
      </c>
      <c r="E12" s="3"/>
      <c r="F12" s="461"/>
      <c r="G12" s="461"/>
      <c r="H12" s="461"/>
      <c r="I12" s="461"/>
      <c r="J12" s="461"/>
      <c r="K12" s="461"/>
      <c r="L12" s="461"/>
      <c r="M12" s="461"/>
      <c r="N12" s="3"/>
      <c r="O12" s="3"/>
      <c r="P12" s="3"/>
      <c r="Q12" s="3"/>
      <c r="R12" s="3"/>
      <c r="S12" s="3"/>
      <c r="T12" s="3"/>
      <c r="U12" s="3"/>
      <c r="V12" s="3"/>
      <c r="W12" s="3"/>
      <c r="X12" s="3"/>
      <c r="Y12" s="3"/>
      <c r="Z12" s="3"/>
      <c r="AA12" s="3"/>
      <c r="AB12" s="3"/>
      <c r="AC12" s="3"/>
    </row>
    <row r="13" spans="1:29" x14ac:dyDescent="0.2">
      <c r="A13" s="3"/>
      <c r="B13" s="3"/>
      <c r="C13" s="34">
        <v>20</v>
      </c>
      <c r="D13" s="767">
        <f t="shared" si="0"/>
        <v>0.4905168464551739</v>
      </c>
      <c r="E13" s="3"/>
      <c r="F13" s="461"/>
      <c r="G13" s="461"/>
      <c r="H13" s="461"/>
      <c r="I13" s="461"/>
      <c r="J13" s="461"/>
      <c r="K13" s="461"/>
      <c r="L13" s="461"/>
      <c r="M13" s="461"/>
      <c r="N13" s="3"/>
      <c r="O13" s="3"/>
      <c r="P13" s="3"/>
      <c r="Q13" s="3"/>
      <c r="R13" s="3"/>
      <c r="S13" s="3"/>
      <c r="T13" s="3"/>
      <c r="U13" s="3"/>
      <c r="V13" s="3"/>
      <c r="W13" s="3"/>
      <c r="X13" s="3"/>
      <c r="Y13" s="3"/>
      <c r="Z13" s="3"/>
      <c r="AA13" s="3"/>
      <c r="AB13" s="3"/>
      <c r="AC13" s="3"/>
    </row>
    <row r="14" spans="1:29" x14ac:dyDescent="0.2">
      <c r="A14" s="3"/>
      <c r="B14" s="3"/>
      <c r="C14" s="34">
        <v>25</v>
      </c>
      <c r="D14" s="767">
        <f t="shared" si="0"/>
        <v>1.409482594031398</v>
      </c>
      <c r="E14" s="3"/>
      <c r="F14" s="461"/>
      <c r="G14" s="461"/>
      <c r="H14" s="461"/>
      <c r="I14" s="461"/>
      <c r="J14" s="461"/>
      <c r="K14" s="461"/>
      <c r="L14" s="461"/>
      <c r="M14" s="461"/>
      <c r="N14" s="3"/>
      <c r="O14" s="3"/>
      <c r="P14" s="3"/>
      <c r="Q14" s="3"/>
      <c r="R14" s="3"/>
      <c r="S14" s="3"/>
      <c r="T14" s="3"/>
      <c r="U14" s="3"/>
      <c r="V14" s="3"/>
      <c r="W14" s="3"/>
      <c r="X14" s="3"/>
      <c r="Y14" s="3"/>
      <c r="Z14" s="3"/>
      <c r="AA14" s="3"/>
      <c r="AB14" s="3"/>
      <c r="AC14" s="3"/>
    </row>
    <row r="15" spans="1:29" x14ac:dyDescent="0.2">
      <c r="A15" s="3"/>
      <c r="B15" s="3"/>
      <c r="C15" s="34">
        <v>30</v>
      </c>
      <c r="D15" s="767">
        <f t="shared" si="0"/>
        <v>2.1397000433601896</v>
      </c>
      <c r="E15" s="3"/>
      <c r="F15" s="461"/>
      <c r="G15" s="461"/>
      <c r="H15" s="461"/>
      <c r="I15" s="461"/>
      <c r="J15" s="461"/>
      <c r="K15" s="461"/>
      <c r="L15" s="461"/>
      <c r="M15" s="461"/>
      <c r="N15" s="3"/>
      <c r="O15" s="3"/>
      <c r="P15" s="3"/>
      <c r="Q15" s="3"/>
      <c r="R15" s="3"/>
      <c r="S15" s="3"/>
      <c r="T15" s="3"/>
      <c r="U15" s="3"/>
      <c r="V15" s="3"/>
      <c r="W15" s="3"/>
      <c r="X15" s="3"/>
      <c r="Y15" s="3"/>
      <c r="Z15" s="3"/>
      <c r="AA15" s="3"/>
      <c r="AB15" s="3"/>
      <c r="AC15" s="3"/>
    </row>
    <row r="16" spans="1:29" x14ac:dyDescent="0.2">
      <c r="A16" s="3"/>
      <c r="B16" s="3"/>
      <c r="C16" s="34">
        <v>35</v>
      </c>
      <c r="D16" s="767">
        <f t="shared" si="0"/>
        <v>2.7359130135409742</v>
      </c>
      <c r="E16" s="3"/>
      <c r="F16" s="461"/>
      <c r="G16" s="461"/>
      <c r="H16" s="461"/>
      <c r="I16" s="461"/>
      <c r="J16" s="461"/>
      <c r="K16" s="461"/>
      <c r="L16" s="461"/>
      <c r="M16" s="461"/>
      <c r="N16" s="3"/>
      <c r="O16" s="3"/>
      <c r="P16" s="3"/>
      <c r="Q16" s="3"/>
      <c r="R16" s="3"/>
      <c r="S16" s="3"/>
      <c r="T16" s="3"/>
      <c r="U16" s="3"/>
      <c r="V16" s="3"/>
      <c r="W16" s="3"/>
      <c r="X16" s="3"/>
      <c r="Y16" s="3"/>
      <c r="Z16" s="3"/>
      <c r="AA16" s="3"/>
      <c r="AB16" s="3"/>
      <c r="AC16" s="3"/>
    </row>
    <row r="17" spans="1:29" x14ac:dyDescent="0.2">
      <c r="A17" s="3"/>
      <c r="B17" s="3"/>
      <c r="C17" s="34">
        <v>40</v>
      </c>
      <c r="D17" s="767">
        <f t="shared" si="0"/>
        <v>3.2306749675243496</v>
      </c>
      <c r="E17" s="3"/>
      <c r="F17" s="461"/>
      <c r="G17" s="461"/>
      <c r="H17" s="461"/>
      <c r="I17" s="461"/>
      <c r="J17" s="461"/>
      <c r="K17" s="461"/>
      <c r="L17" s="461"/>
      <c r="M17" s="461"/>
      <c r="N17" s="3"/>
      <c r="O17" s="3"/>
      <c r="P17" s="3"/>
      <c r="Q17" s="3"/>
      <c r="R17" s="3"/>
      <c r="S17" s="3"/>
      <c r="T17" s="3"/>
      <c r="U17" s="3"/>
      <c r="V17" s="3"/>
      <c r="W17" s="3"/>
      <c r="X17" s="3"/>
      <c r="Y17" s="3"/>
      <c r="Z17" s="3"/>
      <c r="AA17" s="3"/>
      <c r="AB17" s="3"/>
      <c r="AC17" s="3"/>
    </row>
    <row r="18" spans="1:29" x14ac:dyDescent="0.2">
      <c r="A18" s="3"/>
      <c r="B18" s="3"/>
      <c r="C18" s="34">
        <v>45</v>
      </c>
      <c r="D18" s="767">
        <f t="shared" si="0"/>
        <v>3.6448500216800945</v>
      </c>
      <c r="E18" s="3"/>
      <c r="F18" s="461"/>
      <c r="G18" s="461"/>
      <c r="H18" s="461"/>
      <c r="I18" s="461" t="s">
        <v>845</v>
      </c>
      <c r="J18" s="461"/>
      <c r="K18" s="461"/>
      <c r="L18" s="461"/>
      <c r="M18" s="461"/>
      <c r="N18" s="3"/>
      <c r="O18" s="3"/>
      <c r="P18" s="3"/>
      <c r="Q18" s="3"/>
      <c r="R18" s="3"/>
      <c r="S18" s="3"/>
      <c r="T18" s="3"/>
      <c r="U18" s="3"/>
      <c r="V18" s="3"/>
      <c r="W18" s="3"/>
      <c r="X18" s="3"/>
      <c r="Y18" s="3"/>
      <c r="Z18" s="3"/>
      <c r="AA18" s="3"/>
      <c r="AB18" s="3"/>
      <c r="AC18" s="3"/>
    </row>
    <row r="19" spans="1:29" x14ac:dyDescent="0.2">
      <c r="A19" s="3"/>
      <c r="B19" s="3"/>
      <c r="C19" s="34">
        <v>50</v>
      </c>
      <c r="D19" s="767">
        <f t="shared" si="0"/>
        <v>3.9925396655351948</v>
      </c>
      <c r="E19" s="3"/>
      <c r="F19" s="461"/>
      <c r="G19" s="461"/>
      <c r="H19" s="461"/>
      <c r="I19" s="461"/>
      <c r="J19" s="461" t="s">
        <v>846</v>
      </c>
      <c r="K19" s="461"/>
      <c r="L19" s="461"/>
      <c r="M19" s="461"/>
      <c r="N19" s="3"/>
      <c r="O19" s="3"/>
      <c r="P19" s="3"/>
      <c r="Q19" s="3"/>
      <c r="R19" s="3"/>
      <c r="S19" s="3"/>
      <c r="T19" s="3"/>
      <c r="U19" s="3"/>
      <c r="V19" s="3"/>
      <c r="W19" s="3"/>
      <c r="X19" s="3"/>
      <c r="Y19" s="3"/>
      <c r="Z19" s="3"/>
      <c r="AA19" s="3"/>
      <c r="AB19" s="3"/>
      <c r="AC19" s="3"/>
    </row>
    <row r="20" spans="1:29" x14ac:dyDescent="0.2">
      <c r="A20" s="3"/>
      <c r="B20" s="3"/>
      <c r="C20" s="34">
        <v>55</v>
      </c>
      <c r="D20" s="767">
        <f t="shared" si="0"/>
        <v>4.2836451942485798</v>
      </c>
      <c r="E20" s="3"/>
      <c r="F20" s="461"/>
      <c r="G20" s="461"/>
      <c r="H20" s="461"/>
      <c r="I20" s="461"/>
      <c r="J20" s="461"/>
      <c r="K20" s="461"/>
      <c r="L20" s="461"/>
      <c r="M20" s="461"/>
      <c r="N20" s="3"/>
      <c r="O20" s="3"/>
      <c r="P20" s="3"/>
      <c r="Q20" s="3"/>
      <c r="R20" s="3"/>
      <c r="S20" s="3"/>
      <c r="T20" s="3"/>
      <c r="U20" s="3"/>
      <c r="V20" s="3"/>
      <c r="W20" s="3"/>
      <c r="X20" s="3"/>
      <c r="Y20" s="3"/>
      <c r="Z20" s="3"/>
      <c r="AA20" s="3"/>
      <c r="AB20" s="3"/>
      <c r="AC20" s="3"/>
    </row>
    <row r="21" spans="1:29" x14ac:dyDescent="0.2">
      <c r="A21" s="3"/>
      <c r="B21" s="3"/>
      <c r="C21" s="34">
        <v>60</v>
      </c>
      <c r="D21" s="767">
        <f t="shared" si="0"/>
        <v>4.5253063169585008</v>
      </c>
      <c r="E21" s="3" t="s">
        <v>37</v>
      </c>
      <c r="F21" s="461"/>
      <c r="G21" s="461"/>
      <c r="H21" s="461"/>
      <c r="I21" s="461"/>
      <c r="J21" s="461"/>
      <c r="K21" s="461"/>
      <c r="L21" s="461"/>
      <c r="M21" s="461"/>
      <c r="N21" s="3"/>
      <c r="O21" s="3"/>
      <c r="P21" s="3"/>
      <c r="Q21" s="3"/>
      <c r="R21" s="3"/>
      <c r="S21" s="3"/>
      <c r="T21" s="3"/>
      <c r="U21" s="3"/>
      <c r="V21" s="3"/>
      <c r="W21" s="3"/>
      <c r="X21" s="3"/>
      <c r="Y21" s="3"/>
      <c r="Z21" s="3"/>
      <c r="AA21" s="3"/>
      <c r="AB21" s="3"/>
      <c r="AC21" s="3"/>
    </row>
    <row r="22" spans="1:29" x14ac:dyDescent="0.2">
      <c r="A22" s="3"/>
      <c r="B22" s="3"/>
      <c r="C22" s="34">
        <v>65</v>
      </c>
      <c r="D22" s="767">
        <f t="shared" si="0"/>
        <v>4.7227571148639855</v>
      </c>
      <c r="E22" s="3"/>
      <c r="F22" s="461"/>
      <c r="G22" s="461"/>
      <c r="H22" s="461"/>
      <c r="I22" s="461"/>
      <c r="J22" s="461"/>
      <c r="K22" s="461"/>
      <c r="L22" s="461"/>
      <c r="M22" s="461"/>
      <c r="N22" s="3"/>
      <c r="O22" s="3"/>
      <c r="P22" s="3"/>
      <c r="Q22" s="3"/>
      <c r="R22" s="3"/>
      <c r="S22" s="3"/>
      <c r="T22" s="3"/>
      <c r="U22" s="3"/>
      <c r="V22" s="3"/>
      <c r="W22" s="3"/>
      <c r="X22" s="3"/>
      <c r="Y22" s="3"/>
      <c r="Z22" s="3"/>
      <c r="AA22" s="3"/>
      <c r="AB22" s="3"/>
      <c r="AC22" s="3"/>
    </row>
    <row r="23" spans="1:29" x14ac:dyDescent="0.2">
      <c r="A23" s="3"/>
      <c r="B23" s="3"/>
      <c r="C23" s="34">
        <v>70</v>
      </c>
      <c r="D23" s="767">
        <f t="shared" si="0"/>
        <v>4.8798581644293648</v>
      </c>
      <c r="E23" s="3"/>
      <c r="F23" s="461"/>
      <c r="G23" s="461"/>
      <c r="H23" s="461"/>
      <c r="I23" s="461"/>
      <c r="J23" s="461"/>
      <c r="K23" s="461"/>
      <c r="L23" s="461"/>
      <c r="M23" s="461"/>
      <c r="N23" s="3"/>
      <c r="O23" s="3"/>
      <c r="P23" s="3"/>
      <c r="Q23" s="3"/>
      <c r="R23" s="3"/>
      <c r="S23" s="3"/>
      <c r="T23" s="3"/>
      <c r="U23" s="3"/>
      <c r="V23" s="3"/>
      <c r="W23" s="3"/>
      <c r="X23" s="3"/>
      <c r="Y23" s="3"/>
      <c r="Z23" s="3"/>
      <c r="AA23" s="3"/>
      <c r="AB23" s="3"/>
      <c r="AC23" s="3"/>
    </row>
    <row r="24" spans="1:29" x14ac:dyDescent="0.2">
      <c r="A24" s="3"/>
      <c r="B24" s="3"/>
      <c r="C24" s="34">
        <v>75</v>
      </c>
      <c r="D24" s="767">
        <f t="shared" si="0"/>
        <v>4.9994377810269857</v>
      </c>
      <c r="E24" s="3"/>
      <c r="F24" s="461"/>
      <c r="G24" s="461"/>
      <c r="H24" s="461"/>
      <c r="I24" s="461"/>
      <c r="J24" s="461"/>
      <c r="K24" s="461"/>
      <c r="L24" s="461"/>
      <c r="M24" s="461"/>
      <c r="N24" s="3"/>
      <c r="O24" s="3"/>
      <c r="P24" s="3"/>
      <c r="Q24" s="3"/>
      <c r="R24" s="3"/>
      <c r="S24" s="3"/>
      <c r="T24" s="3"/>
      <c r="U24" s="3"/>
      <c r="V24" s="3"/>
      <c r="W24" s="3"/>
      <c r="X24" s="3"/>
      <c r="Y24" s="3"/>
      <c r="Z24" s="3"/>
      <c r="AA24" s="3"/>
      <c r="AB24" s="3"/>
      <c r="AC24" s="3"/>
    </row>
    <row r="25" spans="1:29" x14ac:dyDescent="0.2">
      <c r="A25" s="3"/>
      <c r="B25" s="3"/>
      <c r="C25" s="34">
        <v>80</v>
      </c>
      <c r="D25" s="767">
        <f t="shared" si="0"/>
        <v>5.0835145896993552</v>
      </c>
      <c r="E25" s="3"/>
      <c r="F25" s="461"/>
      <c r="G25" s="461"/>
      <c r="H25" s="461"/>
      <c r="I25" s="461"/>
      <c r="J25" s="461"/>
      <c r="K25" s="461"/>
      <c r="L25" s="461"/>
      <c r="M25" s="461"/>
      <c r="N25" s="3"/>
      <c r="O25" s="3"/>
      <c r="P25" s="3"/>
      <c r="Q25" s="3"/>
      <c r="R25" s="3"/>
      <c r="S25" s="3"/>
      <c r="T25" s="3"/>
      <c r="U25" s="3"/>
      <c r="V25" s="3"/>
      <c r="W25" s="3"/>
      <c r="X25" s="3"/>
      <c r="Y25" s="3"/>
      <c r="Z25" s="3"/>
      <c r="AA25" s="3"/>
      <c r="AB25" s="3"/>
      <c r="AC25" s="3"/>
    </row>
    <row r="26" spans="1:29" x14ac:dyDescent="0.2">
      <c r="A26" s="3"/>
      <c r="B26" s="3"/>
      <c r="C26" s="34">
        <v>85</v>
      </c>
      <c r="D26" s="767">
        <f t="shared" si="0"/>
        <v>5.1334422601749914</v>
      </c>
      <c r="E26" s="3"/>
      <c r="F26" s="461"/>
      <c r="G26" s="461"/>
      <c r="H26" s="461"/>
      <c r="I26" s="461"/>
      <c r="J26" s="461"/>
      <c r="K26" s="461"/>
      <c r="L26" s="461"/>
      <c r="M26" s="461"/>
      <c r="N26" s="3"/>
      <c r="O26" s="3"/>
      <c r="P26" s="3"/>
      <c r="Q26" s="3"/>
      <c r="R26" s="3"/>
      <c r="S26" s="3"/>
      <c r="T26" s="3"/>
      <c r="U26" s="3"/>
      <c r="V26" s="3"/>
      <c r="W26" s="3"/>
      <c r="X26" s="3"/>
      <c r="Y26" s="3"/>
      <c r="Z26" s="3"/>
      <c r="AA26" s="3"/>
      <c r="AB26" s="3"/>
      <c r="AC26" s="3"/>
    </row>
    <row r="27" spans="1:29" x14ac:dyDescent="0.2">
      <c r="A27" s="3"/>
      <c r="B27" s="3"/>
      <c r="C27" s="34">
        <v>90</v>
      </c>
      <c r="D27" s="767">
        <f t="shared" si="0"/>
        <v>5.15</v>
      </c>
      <c r="E27" s="3"/>
      <c r="F27" s="461"/>
      <c r="G27" s="461"/>
      <c r="H27" s="461"/>
      <c r="I27" s="461"/>
      <c r="J27" s="461"/>
      <c r="K27" s="461"/>
      <c r="L27" s="461"/>
      <c r="M27" s="461"/>
      <c r="N27" s="3"/>
      <c r="O27" s="3"/>
      <c r="P27" s="3"/>
      <c r="Q27" s="3"/>
      <c r="R27" s="3"/>
      <c r="S27" s="3"/>
      <c r="T27" s="3"/>
      <c r="U27" s="3"/>
      <c r="V27" s="3"/>
      <c r="W27" s="3"/>
      <c r="X27" s="3"/>
      <c r="Y27" s="3"/>
      <c r="Z27" s="3"/>
      <c r="AA27" s="3"/>
      <c r="AB27" s="3"/>
      <c r="AC27" s="3"/>
    </row>
    <row r="28" spans="1:29" x14ac:dyDescent="0.2">
      <c r="A28" s="3"/>
      <c r="B28" s="3"/>
      <c r="C28" s="34">
        <v>92.5</v>
      </c>
      <c r="D28" s="767">
        <v>0</v>
      </c>
      <c r="E28" s="3"/>
      <c r="F28" s="461"/>
      <c r="G28" s="461"/>
      <c r="H28" s="461"/>
      <c r="I28" s="461"/>
      <c r="J28" s="461"/>
      <c r="K28" s="461"/>
      <c r="L28" s="461"/>
      <c r="M28" s="461"/>
      <c r="N28" s="3"/>
      <c r="O28" s="3"/>
      <c r="P28" s="3"/>
      <c r="Q28" s="3"/>
      <c r="R28" s="3"/>
      <c r="S28" s="3"/>
      <c r="T28" s="3"/>
      <c r="U28" s="3"/>
      <c r="V28" s="3"/>
      <c r="W28" s="3"/>
      <c r="X28" s="3"/>
      <c r="Y28" s="3"/>
      <c r="Z28" s="3"/>
      <c r="AA28" s="3"/>
      <c r="AB28" s="3"/>
      <c r="AC28" s="3"/>
    </row>
    <row r="29" spans="1:29" x14ac:dyDescent="0.2">
      <c r="A29" s="3"/>
      <c r="B29" s="3"/>
      <c r="C29" s="34">
        <v>95</v>
      </c>
      <c r="D29" s="767">
        <v>-20</v>
      </c>
      <c r="E29" s="3"/>
      <c r="F29" s="461"/>
      <c r="G29" s="461"/>
      <c r="H29" s="461"/>
      <c r="I29" s="461"/>
      <c r="J29" s="461"/>
      <c r="K29" s="461"/>
      <c r="L29" s="461"/>
      <c r="M29" s="461"/>
      <c r="N29" s="3"/>
      <c r="O29" s="3"/>
      <c r="P29" s="3"/>
      <c r="Q29" s="3"/>
      <c r="R29" s="3"/>
      <c r="S29" s="3"/>
      <c r="T29" s="3"/>
      <c r="U29" s="3"/>
      <c r="V29" s="3"/>
      <c r="W29" s="3"/>
      <c r="X29" s="3"/>
      <c r="Y29" s="3"/>
      <c r="Z29" s="3"/>
      <c r="AA29" s="3"/>
      <c r="AB29" s="3"/>
      <c r="AC29" s="3"/>
    </row>
    <row r="30" spans="1:29" x14ac:dyDescent="0.2">
      <c r="A30" s="3"/>
      <c r="B30" s="3"/>
      <c r="C30" s="34">
        <v>97.5</v>
      </c>
      <c r="D30" s="767">
        <v>-60</v>
      </c>
      <c r="E30" s="3"/>
      <c r="F30" s="461"/>
      <c r="G30" s="461"/>
      <c r="H30" s="461"/>
      <c r="I30" s="461"/>
      <c r="J30" s="461"/>
      <c r="K30" s="461"/>
      <c r="L30" s="461"/>
      <c r="M30" s="461"/>
      <c r="N30" s="3"/>
      <c r="O30" s="3"/>
      <c r="P30" s="3"/>
      <c r="Q30" s="3"/>
      <c r="R30" s="3"/>
      <c r="S30" s="3"/>
      <c r="T30" s="3"/>
      <c r="U30" s="3"/>
      <c r="V30" s="3"/>
      <c r="W30" s="3"/>
      <c r="X30" s="3"/>
      <c r="Y30" s="3"/>
      <c r="Z30" s="3"/>
      <c r="AA30" s="3"/>
      <c r="AB30" s="3"/>
      <c r="AC30" s="3"/>
    </row>
    <row r="31" spans="1:29" x14ac:dyDescent="0.2">
      <c r="A31" s="3"/>
      <c r="B31" s="3"/>
      <c r="C31" s="34">
        <v>100</v>
      </c>
      <c r="D31" s="767">
        <v>-160</v>
      </c>
      <c r="E31" s="3"/>
      <c r="F31" s="461"/>
      <c r="G31" s="461"/>
      <c r="H31" s="461"/>
      <c r="I31" s="461"/>
      <c r="J31" s="461"/>
      <c r="K31" s="461"/>
      <c r="L31" s="461"/>
      <c r="M31" s="461"/>
      <c r="N31" s="3"/>
      <c r="O31" s="3"/>
      <c r="P31" s="3"/>
      <c r="Q31" s="3"/>
      <c r="R31" s="3"/>
      <c r="S31" s="3"/>
      <c r="T31" s="3"/>
      <c r="U31" s="3"/>
      <c r="V31" s="3"/>
      <c r="W31" s="3"/>
      <c r="X31" s="3"/>
      <c r="Y31" s="3"/>
      <c r="Z31" s="3"/>
      <c r="AA31" s="3"/>
      <c r="AB31" s="3"/>
      <c r="AC31" s="3"/>
    </row>
    <row r="32" spans="1:29" x14ac:dyDescent="0.2">
      <c r="A32" s="3"/>
      <c r="B32" s="3"/>
      <c r="C32" s="34">
        <v>110</v>
      </c>
      <c r="D32" s="767" t="s">
        <v>531</v>
      </c>
      <c r="E32" s="3"/>
      <c r="F32" s="461"/>
      <c r="G32" s="461"/>
      <c r="H32" s="461"/>
      <c r="I32" s="461"/>
      <c r="J32" s="461"/>
      <c r="K32" s="461"/>
      <c r="L32" s="461"/>
      <c r="M32" s="461"/>
      <c r="N32" s="3"/>
      <c r="O32" s="3"/>
      <c r="P32" s="3"/>
      <c r="Q32" s="3"/>
      <c r="R32" s="3"/>
      <c r="S32" s="3"/>
      <c r="T32" s="3"/>
      <c r="U32" s="3"/>
      <c r="V32" s="3"/>
      <c r="W32" s="3"/>
      <c r="X32" s="3"/>
      <c r="Y32" s="3"/>
      <c r="Z32" s="3"/>
      <c r="AA32" s="3"/>
      <c r="AB32" s="3"/>
      <c r="AC32" s="3"/>
    </row>
    <row r="33" spans="1:29" x14ac:dyDescent="0.2">
      <c r="A33" s="3"/>
      <c r="B33" s="3"/>
      <c r="C33" s="34"/>
      <c r="D33" s="767"/>
      <c r="E33" s="3"/>
      <c r="F33" s="461"/>
      <c r="G33" s="461"/>
      <c r="H33" s="461"/>
      <c r="I33" s="461"/>
      <c r="J33" s="461"/>
      <c r="K33" s="461"/>
      <c r="L33" s="461"/>
      <c r="M33" s="461"/>
      <c r="N33" s="3"/>
      <c r="O33" s="3"/>
      <c r="P33" s="3"/>
      <c r="Q33" s="3"/>
      <c r="R33" s="3"/>
      <c r="S33" s="3"/>
      <c r="T33" s="3"/>
      <c r="U33" s="3"/>
      <c r="V33" s="3"/>
      <c r="W33" s="3"/>
      <c r="X33" s="3"/>
      <c r="Y33" s="3"/>
      <c r="Z33" s="3"/>
      <c r="AA33" s="3"/>
      <c r="AB33" s="3"/>
      <c r="AC33" s="3"/>
    </row>
    <row r="34" spans="1:29" x14ac:dyDescent="0.2">
      <c r="A34" s="3"/>
      <c r="B34" s="3"/>
      <c r="C34" s="34"/>
      <c r="D34" s="767"/>
      <c r="E34" s="3"/>
      <c r="F34" s="461"/>
      <c r="G34" s="461"/>
      <c r="H34" s="461"/>
      <c r="I34" s="461"/>
      <c r="J34" s="461"/>
      <c r="K34" s="461"/>
      <c r="L34" s="461"/>
      <c r="M34" s="461"/>
      <c r="N34" s="3"/>
      <c r="O34" s="3"/>
      <c r="P34" s="3"/>
      <c r="Q34" s="3"/>
      <c r="R34" s="3"/>
      <c r="S34" s="3"/>
      <c r="T34" s="3"/>
      <c r="U34" s="3"/>
      <c r="V34" s="3"/>
      <c r="W34" s="3"/>
      <c r="X34" s="3"/>
      <c r="Y34" s="3"/>
      <c r="Z34" s="3"/>
      <c r="AA34" s="3"/>
      <c r="AB34" s="3"/>
      <c r="AC34" s="3"/>
    </row>
    <row r="35" spans="1:29" x14ac:dyDescent="0.2">
      <c r="A35" s="3"/>
      <c r="B35" s="3"/>
      <c r="C35" s="34"/>
      <c r="D35" s="767"/>
      <c r="E35" s="3"/>
      <c r="F35" s="108"/>
      <c r="G35" s="108"/>
      <c r="H35" s="108"/>
      <c r="I35" s="108"/>
      <c r="J35" s="108"/>
      <c r="K35" s="108"/>
      <c r="L35" s="108"/>
      <c r="M35" s="108"/>
      <c r="N35" s="3"/>
      <c r="O35" s="3"/>
      <c r="P35" s="3"/>
      <c r="Q35" s="3"/>
      <c r="R35" s="3"/>
      <c r="S35" s="3"/>
      <c r="T35" s="3"/>
      <c r="U35" s="3"/>
      <c r="V35" s="3"/>
      <c r="W35" s="3"/>
      <c r="X35" s="3"/>
      <c r="Y35" s="3"/>
      <c r="Z35" s="3"/>
      <c r="AA35" s="3"/>
      <c r="AB35" s="3"/>
      <c r="AC35" s="3"/>
    </row>
    <row r="36" spans="1:29" x14ac:dyDescent="0.2">
      <c r="A36" s="3"/>
      <c r="B36" s="3"/>
      <c r="C36" s="34"/>
      <c r="D36" s="767"/>
      <c r="E36" s="3"/>
      <c r="F36" s="108"/>
      <c r="G36" s="108"/>
      <c r="H36" s="108"/>
      <c r="I36" s="108"/>
      <c r="J36" s="108"/>
      <c r="K36" s="108"/>
      <c r="L36" s="501" t="s">
        <v>532</v>
      </c>
      <c r="M36" s="501"/>
      <c r="N36" s="3"/>
      <c r="O36" s="3"/>
      <c r="P36" s="3"/>
      <c r="Q36" s="3"/>
      <c r="R36" s="3"/>
      <c r="S36" s="3"/>
      <c r="T36" s="3"/>
      <c r="U36" s="3"/>
      <c r="V36" s="3"/>
      <c r="W36" s="3"/>
      <c r="X36" s="3"/>
      <c r="Y36" s="3"/>
      <c r="Z36" s="3"/>
      <c r="AA36" s="3"/>
      <c r="AB36" s="3"/>
      <c r="AC36" s="3"/>
    </row>
    <row r="37" spans="1:29" x14ac:dyDescent="0.2">
      <c r="A37" s="3"/>
      <c r="B37" s="3"/>
      <c r="C37" s="34"/>
      <c r="D37" s="767"/>
      <c r="E37" s="3"/>
      <c r="F37" s="108"/>
      <c r="G37" s="108"/>
      <c r="H37" s="108"/>
      <c r="I37" s="108"/>
      <c r="J37" s="108"/>
      <c r="K37" s="108"/>
      <c r="L37" s="108"/>
      <c r="M37" s="108"/>
      <c r="N37" s="3"/>
      <c r="O37" s="3"/>
      <c r="P37" s="3"/>
      <c r="Q37" s="3"/>
      <c r="R37" s="3"/>
      <c r="S37" s="3"/>
      <c r="T37" s="3"/>
      <c r="U37" s="3"/>
      <c r="V37" s="3"/>
      <c r="W37" s="3"/>
      <c r="X37" s="3"/>
      <c r="Y37" s="3"/>
      <c r="Z37" s="3"/>
      <c r="AA37" s="3"/>
      <c r="AB37" s="3"/>
      <c r="AC37" s="3"/>
    </row>
    <row r="38" spans="1:29" x14ac:dyDescent="0.2">
      <c r="A38" s="3"/>
      <c r="B38" s="3"/>
      <c r="C38" s="34"/>
      <c r="D38" s="767"/>
      <c r="E38" s="3"/>
      <c r="F38" s="3" t="s">
        <v>270</v>
      </c>
      <c r="G38" s="3"/>
      <c r="H38" s="3">
        <v>5.15</v>
      </c>
      <c r="I38" s="3" t="s">
        <v>266</v>
      </c>
      <c r="J38" s="3"/>
      <c r="K38" s="3"/>
      <c r="L38" s="3"/>
      <c r="M38" s="108"/>
      <c r="N38" s="3"/>
      <c r="O38" s="3"/>
      <c r="P38" s="3"/>
      <c r="Q38" s="3"/>
      <c r="R38" s="3"/>
      <c r="S38" s="3"/>
      <c r="T38" s="3"/>
      <c r="U38" s="3"/>
      <c r="V38" s="3"/>
      <c r="W38" s="3"/>
      <c r="X38" s="3"/>
      <c r="Y38" s="3"/>
      <c r="Z38" s="3"/>
      <c r="AA38" s="3"/>
      <c r="AB38" s="3"/>
      <c r="AC38" s="3"/>
    </row>
    <row r="39" spans="1:29" x14ac:dyDescent="0.2">
      <c r="A39" s="3"/>
      <c r="B39" s="3"/>
      <c r="C39" s="34"/>
      <c r="D39" s="767"/>
      <c r="E39" s="3"/>
      <c r="F39" s="3"/>
      <c r="G39" s="3"/>
      <c r="H39" s="3"/>
      <c r="I39" s="3"/>
      <c r="J39" s="3"/>
      <c r="K39" s="3"/>
      <c r="L39" s="3"/>
      <c r="M39" s="108"/>
      <c r="N39" s="3"/>
      <c r="O39" s="3"/>
      <c r="P39" s="3"/>
      <c r="Q39" s="3"/>
      <c r="R39" s="3"/>
      <c r="S39" s="3"/>
      <c r="T39" s="3"/>
      <c r="U39" s="3"/>
      <c r="V39" s="3"/>
      <c r="W39" s="3"/>
      <c r="X39" s="3"/>
      <c r="Y39" s="3"/>
      <c r="Z39" s="3"/>
      <c r="AA39" s="3"/>
      <c r="AB39" s="3"/>
      <c r="AC39" s="3"/>
    </row>
    <row r="40" spans="1:29" x14ac:dyDescent="0.2">
      <c r="A40" s="3"/>
      <c r="B40" s="3"/>
      <c r="C40" s="34"/>
      <c r="D40" s="767"/>
      <c r="E40" s="3"/>
      <c r="F40" s="3" t="s">
        <v>292</v>
      </c>
      <c r="G40" s="3"/>
      <c r="H40" s="3">
        <v>38.6</v>
      </c>
      <c r="I40" s="3" t="s">
        <v>46</v>
      </c>
      <c r="J40" s="3" t="s">
        <v>641</v>
      </c>
      <c r="K40" s="3"/>
      <c r="L40" s="3"/>
      <c r="M40" s="108"/>
      <c r="N40" s="3"/>
      <c r="O40" s="3"/>
      <c r="P40" s="3"/>
      <c r="Q40" s="3"/>
      <c r="R40" s="3"/>
      <c r="S40" s="3"/>
      <c r="T40" s="3"/>
      <c r="U40" s="3"/>
      <c r="V40" s="3"/>
      <c r="W40" s="3"/>
      <c r="X40" s="3"/>
      <c r="Y40" s="3"/>
      <c r="Z40" s="3"/>
      <c r="AA40" s="3"/>
      <c r="AB40" s="3"/>
      <c r="AC40" s="3"/>
    </row>
    <row r="41" spans="1:29" x14ac:dyDescent="0.2">
      <c r="A41" s="3"/>
      <c r="B41" s="3"/>
      <c r="C41" s="34"/>
      <c r="D41" s="767"/>
      <c r="E41" s="3"/>
      <c r="F41" s="3"/>
      <c r="G41" s="3"/>
      <c r="H41" s="3"/>
      <c r="I41" s="3"/>
      <c r="J41" s="3"/>
      <c r="K41" s="3"/>
      <c r="L41" s="3"/>
      <c r="M41" s="108"/>
      <c r="N41" s="3"/>
      <c r="O41" s="3"/>
      <c r="P41" s="3"/>
      <c r="Q41" s="3"/>
      <c r="R41" s="3"/>
      <c r="S41" s="3"/>
      <c r="T41" s="3"/>
      <c r="U41" s="3"/>
      <c r="V41" s="3"/>
      <c r="W41" s="3"/>
      <c r="X41" s="3"/>
      <c r="Y41" s="3"/>
      <c r="Z41" s="3"/>
      <c r="AA41" s="3"/>
      <c r="AB41" s="3"/>
      <c r="AC41" s="3"/>
    </row>
    <row r="42" spans="1:29" x14ac:dyDescent="0.2">
      <c r="A42" s="3"/>
      <c r="B42" s="3"/>
      <c r="C42" s="34"/>
      <c r="D42" s="767"/>
      <c r="E42" s="3"/>
      <c r="F42" s="3" t="s">
        <v>639</v>
      </c>
      <c r="G42" s="3"/>
      <c r="H42" s="598">
        <v>0</v>
      </c>
      <c r="I42" s="3" t="s">
        <v>46</v>
      </c>
      <c r="J42" s="3" t="s">
        <v>640</v>
      </c>
      <c r="K42" s="3"/>
      <c r="L42" s="3"/>
      <c r="M42" s="108"/>
      <c r="N42" s="3"/>
      <c r="O42" s="3"/>
      <c r="P42" s="3"/>
      <c r="Q42" s="3"/>
      <c r="R42" s="3"/>
      <c r="S42" s="3"/>
      <c r="T42" s="3"/>
      <c r="U42" s="3"/>
      <c r="V42" s="3"/>
      <c r="W42" s="3"/>
      <c r="X42" s="3"/>
      <c r="Y42" s="3"/>
      <c r="Z42" s="3"/>
      <c r="AA42" s="3"/>
      <c r="AB42" s="3"/>
      <c r="AC42" s="3"/>
    </row>
    <row r="43" spans="1:29" x14ac:dyDescent="0.2">
      <c r="A43" s="3"/>
      <c r="B43" s="3"/>
      <c r="C43" s="34"/>
      <c r="D43" s="767"/>
      <c r="E43" s="3"/>
      <c r="F43" s="3"/>
      <c r="G43" s="3"/>
      <c r="H43" s="3"/>
      <c r="I43" s="3"/>
      <c r="J43" s="3"/>
      <c r="K43" s="3"/>
      <c r="L43" s="3"/>
      <c r="M43" s="108"/>
      <c r="N43" s="3"/>
      <c r="O43" s="3"/>
      <c r="P43" s="3"/>
      <c r="Q43" s="3"/>
      <c r="R43" s="3"/>
      <c r="S43" s="3"/>
      <c r="T43" s="3"/>
      <c r="U43" s="3"/>
      <c r="V43" s="3"/>
      <c r="W43" s="3"/>
      <c r="X43" s="3"/>
      <c r="Y43" s="3"/>
      <c r="Z43" s="3"/>
      <c r="AA43" s="3"/>
      <c r="AB43" s="3"/>
      <c r="AC43" s="3"/>
    </row>
    <row r="44" spans="1:29" x14ac:dyDescent="0.2">
      <c r="A44" s="3"/>
      <c r="B44" s="3"/>
      <c r="C44" s="34" t="s">
        <v>37</v>
      </c>
      <c r="D44" s="449" t="s">
        <v>37</v>
      </c>
      <c r="E44" s="3"/>
      <c r="F44" s="3" t="s">
        <v>642</v>
      </c>
      <c r="G44" s="3"/>
      <c r="H44" s="3">
        <v>5.15</v>
      </c>
      <c r="I44" s="3" t="s">
        <v>266</v>
      </c>
      <c r="J44" s="3" t="s">
        <v>643</v>
      </c>
      <c r="K44" s="3"/>
      <c r="L44" s="3"/>
      <c r="M44" s="3"/>
      <c r="N44" s="3"/>
      <c r="O44" s="3"/>
      <c r="P44" s="3"/>
      <c r="Q44" s="3"/>
      <c r="R44" s="3"/>
      <c r="S44" s="3"/>
      <c r="T44" s="3"/>
      <c r="U44" s="3"/>
      <c r="V44" s="3"/>
      <c r="W44" s="3"/>
      <c r="X44" s="3"/>
      <c r="Y44" s="3"/>
      <c r="Z44" s="3"/>
      <c r="AA44" s="3"/>
      <c r="AB44" s="3"/>
      <c r="AC44" s="3"/>
    </row>
    <row r="45" spans="1:29" x14ac:dyDescent="0.2">
      <c r="A45" s="3"/>
      <c r="B45" s="3"/>
      <c r="C45" s="108"/>
      <c r="D45" s="34"/>
      <c r="E45" s="3"/>
      <c r="F45" s="3"/>
      <c r="G45" s="3"/>
      <c r="H45" s="3"/>
      <c r="I45" s="3"/>
      <c r="J45" s="3"/>
      <c r="K45" s="3"/>
      <c r="L45" s="3"/>
      <c r="M45" s="3"/>
      <c r="N45" s="3"/>
      <c r="O45" s="3"/>
      <c r="P45" s="3"/>
      <c r="Q45" s="3"/>
      <c r="R45" s="3"/>
      <c r="S45" s="3"/>
      <c r="T45" s="3"/>
      <c r="U45" s="3"/>
      <c r="V45" s="3"/>
      <c r="W45" s="3"/>
      <c r="X45" s="3"/>
      <c r="Y45" s="3"/>
      <c r="Z45" s="3"/>
      <c r="AA45" s="3"/>
      <c r="AB45" s="3"/>
      <c r="AC45" s="3"/>
    </row>
    <row r="46" spans="1:29" x14ac:dyDescent="0.2">
      <c r="A46" s="3"/>
      <c r="B46" s="34" t="s">
        <v>37</v>
      </c>
      <c r="C46" s="3"/>
      <c r="D46" s="3"/>
      <c r="E46" s="3"/>
      <c r="F46" s="3" t="s">
        <v>644</v>
      </c>
      <c r="G46" s="3"/>
      <c r="H46" s="598">
        <v>0</v>
      </c>
      <c r="I46" s="3" t="s">
        <v>46</v>
      </c>
      <c r="J46" s="3"/>
      <c r="K46" s="3"/>
      <c r="L46" s="3"/>
      <c r="M46" s="3"/>
      <c r="N46" s="3"/>
      <c r="O46" s="3"/>
      <c r="P46" s="3"/>
      <c r="Q46" s="3"/>
      <c r="R46" s="3"/>
      <c r="S46" s="3"/>
      <c r="T46" s="3"/>
      <c r="U46" s="3"/>
      <c r="V46" s="3"/>
      <c r="W46" s="3"/>
      <c r="X46" s="3"/>
      <c r="Y46" s="3"/>
      <c r="Z46" s="3"/>
      <c r="AA46" s="3"/>
      <c r="AB46" s="3"/>
      <c r="AC46" s="3"/>
    </row>
    <row r="47" spans="1:29" x14ac:dyDescent="0.2">
      <c r="A47" s="3"/>
      <c r="B47" s="34"/>
      <c r="C47" s="3"/>
      <c r="D47" s="3"/>
      <c r="E47" s="3"/>
      <c r="F47" s="3" t="s">
        <v>37</v>
      </c>
      <c r="G47" s="3"/>
      <c r="H47" s="598"/>
      <c r="I47" s="3"/>
      <c r="J47" s="3"/>
      <c r="K47" s="3"/>
      <c r="L47" s="3"/>
      <c r="M47" s="3"/>
      <c r="N47" s="3"/>
      <c r="O47" s="3"/>
      <c r="P47" s="3"/>
      <c r="Q47" s="3"/>
      <c r="R47" s="3"/>
      <c r="S47" s="3"/>
      <c r="T47" s="3"/>
      <c r="U47" s="3"/>
      <c r="V47" s="3"/>
      <c r="W47" s="3"/>
      <c r="X47" s="3"/>
      <c r="Y47" s="3"/>
      <c r="Z47" s="3"/>
      <c r="AA47" s="3"/>
      <c r="AB47" s="3"/>
      <c r="AC47" s="3"/>
    </row>
    <row r="48" spans="1:29" x14ac:dyDescent="0.2">
      <c r="A48" s="3"/>
      <c r="B48" s="34"/>
      <c r="C48" s="3"/>
      <c r="D48" s="3"/>
      <c r="E48" s="3"/>
      <c r="F48" s="3"/>
      <c r="G48" s="3"/>
      <c r="H48" s="598"/>
      <c r="I48" s="3"/>
      <c r="J48" s="3"/>
      <c r="K48" s="3"/>
      <c r="L48" s="3"/>
      <c r="M48" s="3"/>
      <c r="N48" s="3"/>
      <c r="O48" s="3"/>
      <c r="P48" s="3"/>
      <c r="Q48" s="3"/>
      <c r="R48" s="3"/>
      <c r="S48" s="3"/>
      <c r="T48" s="3"/>
      <c r="U48" s="3"/>
      <c r="V48" s="3"/>
      <c r="W48" s="3"/>
      <c r="X48" s="3"/>
      <c r="Y48" s="3"/>
      <c r="Z48" s="3"/>
      <c r="AA48" s="3"/>
      <c r="AB48" s="3"/>
      <c r="AC48" s="3"/>
    </row>
    <row r="49" spans="1:29" x14ac:dyDescent="0.2">
      <c r="A49" s="3"/>
      <c r="B49" s="651" t="s">
        <v>840</v>
      </c>
      <c r="C49" s="489" t="s">
        <v>383</v>
      </c>
      <c r="D49" s="656" t="s">
        <v>385</v>
      </c>
      <c r="E49" s="405"/>
      <c r="F49" t="s">
        <v>37</v>
      </c>
      <c r="P49" s="3"/>
      <c r="Q49" s="3"/>
      <c r="R49" s="3"/>
      <c r="S49" s="3"/>
      <c r="T49" s="3"/>
      <c r="U49" s="3"/>
      <c r="V49" s="3"/>
      <c r="W49" s="3"/>
      <c r="X49" s="3"/>
      <c r="Y49" s="3"/>
      <c r="Z49" s="3"/>
      <c r="AA49" s="3"/>
      <c r="AB49" s="3"/>
      <c r="AC49" s="3"/>
    </row>
    <row r="50" spans="1:29" x14ac:dyDescent="0.2">
      <c r="A50" s="3"/>
      <c r="B50" s="3"/>
      <c r="C50" s="86">
        <v>0</v>
      </c>
      <c r="D50" s="18">
        <f>2.15+10*LOG10(COS(RADIANS(C50)))</f>
        <v>2.15</v>
      </c>
      <c r="E50" s="3"/>
      <c r="P50" s="3"/>
      <c r="Q50" s="3"/>
      <c r="R50" s="3"/>
      <c r="S50" s="3"/>
      <c r="T50" s="3"/>
      <c r="U50" s="3"/>
      <c r="V50" s="3"/>
      <c r="W50" s="3"/>
      <c r="X50" s="3"/>
      <c r="Y50" s="3"/>
      <c r="Z50" s="3"/>
      <c r="AA50" s="3"/>
      <c r="AB50" s="3"/>
      <c r="AC50" s="3"/>
    </row>
    <row r="51" spans="1:29" x14ac:dyDescent="0.2">
      <c r="A51" s="3"/>
      <c r="B51" s="3"/>
      <c r="C51" s="86">
        <f>C50+10</f>
        <v>10</v>
      </c>
      <c r="D51" s="18">
        <f t="shared" ref="D51:D60" si="1">2.15+10*LOG10(COS(RADIANS(C51)))</f>
        <v>2.0835145896993548</v>
      </c>
      <c r="E51" s="3"/>
      <c r="P51" s="3"/>
      <c r="Q51" s="3"/>
      <c r="R51" s="3"/>
      <c r="S51" s="3"/>
      <c r="T51" s="3"/>
      <c r="U51" s="3"/>
      <c r="V51" s="3"/>
      <c r="W51" s="3"/>
      <c r="X51" s="3"/>
      <c r="Y51" s="3"/>
      <c r="Z51" s="3"/>
      <c r="AA51" s="3"/>
      <c r="AB51" s="3"/>
      <c r="AC51" s="3"/>
    </row>
    <row r="52" spans="1:29" x14ac:dyDescent="0.2">
      <c r="A52" s="3"/>
      <c r="B52" s="3"/>
      <c r="C52" s="86">
        <f t="shared" ref="C52:C94" si="2">C51+10</f>
        <v>20</v>
      </c>
      <c r="D52" s="18">
        <f t="shared" si="1"/>
        <v>1.8798581644293648</v>
      </c>
      <c r="E52" s="3"/>
      <c r="P52" s="3"/>
      <c r="Q52" s="3"/>
      <c r="R52" s="3"/>
      <c r="S52" s="3"/>
      <c r="T52" s="3"/>
      <c r="U52" s="3"/>
      <c r="V52" s="3"/>
      <c r="W52" s="3"/>
      <c r="X52" s="3"/>
      <c r="Y52" s="3"/>
      <c r="Z52" s="3"/>
      <c r="AA52" s="3"/>
      <c r="AB52" s="3"/>
      <c r="AC52" s="3"/>
    </row>
    <row r="53" spans="1:29" x14ac:dyDescent="0.2">
      <c r="A53" s="3"/>
      <c r="B53" s="3"/>
      <c r="C53" s="86">
        <f t="shared" si="2"/>
        <v>30</v>
      </c>
      <c r="D53" s="18">
        <f t="shared" si="1"/>
        <v>1.5253063169585004</v>
      </c>
      <c r="E53" s="3"/>
      <c r="P53" s="3"/>
      <c r="Q53" s="3"/>
      <c r="R53" s="3"/>
      <c r="S53" s="3"/>
      <c r="T53" s="3"/>
      <c r="U53" s="3"/>
      <c r="V53" s="3"/>
      <c r="W53" s="3"/>
      <c r="X53" s="3"/>
      <c r="Y53" s="3"/>
      <c r="Z53" s="3"/>
      <c r="AA53" s="3"/>
      <c r="AB53" s="3"/>
      <c r="AC53" s="3"/>
    </row>
    <row r="54" spans="1:29" x14ac:dyDescent="0.2">
      <c r="A54" s="3"/>
      <c r="B54" s="3"/>
      <c r="C54" s="86">
        <f t="shared" si="2"/>
        <v>40</v>
      </c>
      <c r="D54" s="18">
        <f t="shared" si="1"/>
        <v>0.99253966553519413</v>
      </c>
      <c r="E54" s="3"/>
      <c r="P54" s="3"/>
      <c r="Q54" s="3"/>
      <c r="R54" s="3"/>
      <c r="S54" s="3"/>
      <c r="T54" s="3"/>
      <c r="U54" s="3"/>
      <c r="V54" s="3"/>
      <c r="W54" s="3"/>
      <c r="X54" s="3"/>
      <c r="Y54" s="3"/>
      <c r="Z54" s="3"/>
      <c r="AA54" s="3"/>
      <c r="AB54" s="3"/>
      <c r="AC54" s="3"/>
    </row>
    <row r="55" spans="1:29" x14ac:dyDescent="0.2">
      <c r="A55" s="3"/>
      <c r="B55" s="3" t="s">
        <v>37</v>
      </c>
      <c r="C55" s="86">
        <f t="shared" si="2"/>
        <v>50</v>
      </c>
      <c r="D55" s="18">
        <f t="shared" si="1"/>
        <v>0.23067496752434913</v>
      </c>
      <c r="E55" s="3"/>
      <c r="P55" s="3"/>
      <c r="Q55" s="3"/>
      <c r="R55" s="3"/>
      <c r="S55" s="3"/>
      <c r="T55" s="3"/>
      <c r="U55" s="3"/>
      <c r="V55" s="3"/>
      <c r="W55" s="3"/>
      <c r="X55" s="3"/>
      <c r="Y55" s="3"/>
      <c r="Z55" s="3"/>
      <c r="AA55" s="3"/>
      <c r="AB55" s="3"/>
      <c r="AC55" s="3"/>
    </row>
    <row r="56" spans="1:29" x14ac:dyDescent="0.2">
      <c r="A56" s="3"/>
      <c r="B56" s="3"/>
      <c r="C56" s="86">
        <f t="shared" si="2"/>
        <v>60</v>
      </c>
      <c r="D56" s="18">
        <f t="shared" si="1"/>
        <v>-0.86029995663981085</v>
      </c>
      <c r="E56" s="3"/>
      <c r="P56" s="3"/>
      <c r="Q56" s="3"/>
      <c r="R56" s="3"/>
      <c r="S56" s="3"/>
      <c r="T56" s="3"/>
      <c r="U56" s="3"/>
      <c r="V56" s="3"/>
      <c r="W56" s="3"/>
      <c r="X56" s="3"/>
      <c r="Y56" s="3"/>
      <c r="Z56" s="3"/>
      <c r="AA56" s="3"/>
      <c r="AB56" s="3"/>
      <c r="AC56" s="3"/>
    </row>
    <row r="57" spans="1:29" x14ac:dyDescent="0.2">
      <c r="A57" s="3"/>
      <c r="B57" s="3"/>
      <c r="C57" s="86">
        <f t="shared" si="2"/>
        <v>70</v>
      </c>
      <c r="D57" s="18">
        <f t="shared" si="1"/>
        <v>-2.5094831535448265</v>
      </c>
      <c r="E57" s="3"/>
      <c r="P57" s="3"/>
      <c r="Q57" s="3"/>
      <c r="R57" s="3"/>
      <c r="S57" s="3"/>
      <c r="T57" s="3"/>
      <c r="U57" s="3"/>
      <c r="V57" s="3"/>
      <c r="W57" s="3"/>
      <c r="X57" s="3"/>
      <c r="Y57" s="3"/>
      <c r="Z57" s="3"/>
      <c r="AA57" s="3"/>
      <c r="AB57" s="3"/>
      <c r="AC57" s="3"/>
    </row>
    <row r="58" spans="1:29" x14ac:dyDescent="0.2">
      <c r="A58" s="3"/>
      <c r="B58" s="3"/>
      <c r="C58" s="86">
        <f t="shared" si="2"/>
        <v>80</v>
      </c>
      <c r="D58" s="18">
        <f t="shared" si="1"/>
        <v>-5.4532976998839935</v>
      </c>
      <c r="E58" s="3" t="s">
        <v>37</v>
      </c>
      <c r="P58" s="3"/>
      <c r="Q58" s="3"/>
      <c r="R58" s="3"/>
      <c r="S58" s="3"/>
      <c r="T58" s="3"/>
      <c r="U58" s="3"/>
      <c r="V58" s="3"/>
      <c r="W58" s="3"/>
      <c r="X58" s="3"/>
      <c r="Y58" s="3"/>
      <c r="Z58" s="3"/>
      <c r="AA58" s="3"/>
      <c r="AB58" s="3"/>
      <c r="AC58" s="3"/>
    </row>
    <row r="59" spans="1:29" x14ac:dyDescent="0.2">
      <c r="A59" s="3"/>
      <c r="B59" s="3"/>
      <c r="C59" s="86">
        <v>85</v>
      </c>
      <c r="D59" s="18">
        <f t="shared" si="1"/>
        <v>-8.4470399166987971</v>
      </c>
      <c r="E59" s="3"/>
      <c r="P59" s="3"/>
      <c r="Q59" s="3"/>
      <c r="R59" s="3"/>
      <c r="S59" s="3"/>
      <c r="T59" s="3"/>
      <c r="U59" s="3"/>
      <c r="V59" s="3"/>
      <c r="W59" s="3"/>
      <c r="X59" s="3"/>
      <c r="Y59" s="3"/>
      <c r="Z59" s="3"/>
      <c r="AA59" s="3"/>
      <c r="AB59" s="3"/>
      <c r="AC59" s="3"/>
    </row>
    <row r="60" spans="1:29" x14ac:dyDescent="0.2">
      <c r="A60" s="3"/>
      <c r="B60" s="3"/>
      <c r="C60" s="86">
        <v>87.5</v>
      </c>
      <c r="D60" s="18">
        <f t="shared" si="1"/>
        <v>-11.453204383841507</v>
      </c>
      <c r="E60" s="3"/>
      <c r="P60" s="3"/>
      <c r="Q60" s="3"/>
      <c r="R60" s="3"/>
      <c r="S60" s="3"/>
      <c r="T60" s="3"/>
      <c r="U60" s="3"/>
      <c r="V60" s="3"/>
      <c r="W60" s="3"/>
      <c r="X60" s="3"/>
      <c r="Y60" s="3"/>
      <c r="Z60" s="3"/>
      <c r="AA60" s="3"/>
      <c r="AB60" s="3"/>
      <c r="AC60" s="3"/>
    </row>
    <row r="61" spans="1:29" x14ac:dyDescent="0.2">
      <c r="A61" s="3"/>
      <c r="B61" s="3"/>
      <c r="C61" s="86">
        <f>C58+10</f>
        <v>90</v>
      </c>
      <c r="D61" s="18">
        <v>-40</v>
      </c>
      <c r="E61" s="3"/>
      <c r="P61" s="3"/>
      <c r="Q61" s="3"/>
      <c r="R61" s="3"/>
      <c r="S61" s="3"/>
      <c r="T61" s="3"/>
      <c r="U61" s="3"/>
      <c r="V61" s="3"/>
      <c r="W61" s="3"/>
      <c r="X61" s="3"/>
      <c r="Y61" s="3"/>
      <c r="Z61" s="3"/>
      <c r="AA61" s="3"/>
      <c r="AB61" s="3"/>
      <c r="AC61" s="3"/>
    </row>
    <row r="62" spans="1:29" x14ac:dyDescent="0.2">
      <c r="A62" s="3"/>
      <c r="B62" s="3"/>
      <c r="C62" s="86">
        <v>92.5</v>
      </c>
      <c r="D62" s="18">
        <f>2.15+10*LOG10(-COS(RADIANS(C62)))</f>
        <v>-11.453204383841518</v>
      </c>
      <c r="E62" s="3"/>
      <c r="P62" s="3"/>
      <c r="Q62" s="3"/>
      <c r="R62" s="3"/>
      <c r="S62" s="3"/>
      <c r="T62" s="3"/>
      <c r="U62" s="3"/>
      <c r="V62" s="3"/>
      <c r="W62" s="3"/>
      <c r="X62" s="3"/>
      <c r="Y62" s="3"/>
      <c r="Z62" s="3"/>
      <c r="AA62" s="3"/>
      <c r="AB62" s="3"/>
      <c r="AC62" s="3"/>
    </row>
    <row r="63" spans="1:29" x14ac:dyDescent="0.2">
      <c r="A63" s="3"/>
      <c r="B63" s="3"/>
      <c r="C63" s="86">
        <v>95</v>
      </c>
      <c r="D63" s="18">
        <f>2.15+10*LOG10(-COS(RADIANS(C63)))</f>
        <v>-8.4470399166987935</v>
      </c>
      <c r="E63" s="3" t="s">
        <v>37</v>
      </c>
      <c r="P63" s="3"/>
      <c r="Q63" s="3"/>
      <c r="R63" s="3"/>
      <c r="S63" s="3"/>
      <c r="T63" s="3"/>
      <c r="U63" s="3"/>
      <c r="V63" s="3"/>
      <c r="W63" s="3"/>
      <c r="X63" s="3"/>
      <c r="Y63" s="3"/>
      <c r="Z63" s="3"/>
      <c r="AA63" s="3"/>
      <c r="AB63" s="3"/>
      <c r="AC63" s="3"/>
    </row>
    <row r="64" spans="1:29" x14ac:dyDescent="0.2">
      <c r="A64" s="3"/>
      <c r="B64" s="3"/>
      <c r="C64" s="86">
        <f>C61+10</f>
        <v>100</v>
      </c>
      <c r="D64" s="18">
        <f>2.15+10*LOG10(-COS(RADIANS(C64)))</f>
        <v>-5.453297699883997</v>
      </c>
      <c r="E64" s="3"/>
      <c r="P64" s="3"/>
      <c r="Q64" s="3"/>
      <c r="R64" s="3"/>
      <c r="S64" s="3"/>
      <c r="T64" s="3"/>
      <c r="U64" s="3"/>
      <c r="V64" s="3"/>
      <c r="W64" s="3"/>
      <c r="X64" s="3"/>
      <c r="Y64" s="3"/>
      <c r="Z64" s="3"/>
      <c r="AA64" s="3"/>
      <c r="AB64" s="3"/>
      <c r="AC64" s="3"/>
    </row>
    <row r="65" spans="1:29" x14ac:dyDescent="0.2">
      <c r="A65" s="3"/>
      <c r="B65" s="3"/>
      <c r="C65" s="86">
        <f t="shared" si="2"/>
        <v>110</v>
      </c>
      <c r="D65" s="18">
        <f t="shared" ref="D65:D82" si="3">2.15+10*LOG10(-COS(RADIANS(C65)))</f>
        <v>-2.5094831535448283</v>
      </c>
      <c r="E65" s="3"/>
      <c r="P65" s="3"/>
      <c r="Q65" s="3"/>
      <c r="R65" s="3"/>
      <c r="S65" s="3"/>
      <c r="T65" s="3"/>
      <c r="U65" s="3"/>
      <c r="V65" s="3"/>
      <c r="W65" s="3"/>
      <c r="X65" s="3"/>
      <c r="Y65" s="3"/>
      <c r="Z65" s="3"/>
      <c r="AA65" s="3"/>
      <c r="AB65" s="3"/>
      <c r="AC65" s="3"/>
    </row>
    <row r="66" spans="1:29" x14ac:dyDescent="0.2">
      <c r="A66" s="3"/>
      <c r="B66" s="3"/>
      <c r="C66" s="86">
        <f t="shared" si="2"/>
        <v>120</v>
      </c>
      <c r="D66" s="18">
        <f t="shared" si="3"/>
        <v>-0.86029995663981351</v>
      </c>
      <c r="E66" s="3"/>
      <c r="P66" s="3"/>
      <c r="Q66" s="3"/>
      <c r="R66" s="3"/>
      <c r="S66" s="3"/>
      <c r="T66" s="3"/>
      <c r="U66" s="3"/>
      <c r="V66" s="3"/>
      <c r="W66" s="3"/>
      <c r="X66" s="3"/>
      <c r="Y66" s="3"/>
      <c r="Z66" s="3"/>
      <c r="AA66" s="3"/>
      <c r="AB66" s="3"/>
      <c r="AC66" s="3"/>
    </row>
    <row r="67" spans="1:29" x14ac:dyDescent="0.2">
      <c r="A67" s="3"/>
      <c r="B67" s="3"/>
      <c r="C67" s="86">
        <f t="shared" si="2"/>
        <v>130</v>
      </c>
      <c r="D67" s="18">
        <f t="shared" si="3"/>
        <v>0.23067496752434913</v>
      </c>
      <c r="E67" s="3"/>
      <c r="P67" s="3"/>
      <c r="Q67" s="3"/>
      <c r="R67" s="3"/>
      <c r="S67" s="3"/>
      <c r="T67" s="3"/>
      <c r="U67" s="3"/>
      <c r="V67" s="3"/>
      <c r="W67" s="3"/>
      <c r="X67" s="3"/>
      <c r="Y67" s="3"/>
      <c r="Z67" s="3"/>
      <c r="AA67" s="3"/>
      <c r="AB67" s="3"/>
      <c r="AC67" s="3"/>
    </row>
    <row r="68" spans="1:29" x14ac:dyDescent="0.2">
      <c r="A68" s="3"/>
      <c r="B68" s="3"/>
      <c r="C68" s="86">
        <f t="shared" si="2"/>
        <v>140</v>
      </c>
      <c r="D68" s="18">
        <f t="shared" si="3"/>
        <v>0.99253966553519346</v>
      </c>
      <c r="E68" s="3"/>
      <c r="P68" s="3"/>
      <c r="Q68" s="3"/>
      <c r="R68" s="3"/>
      <c r="S68" s="3"/>
      <c r="T68" s="3"/>
      <c r="U68" s="3"/>
      <c r="V68" s="3"/>
      <c r="W68" s="3"/>
      <c r="X68" s="3"/>
      <c r="Y68" s="3"/>
      <c r="Z68" s="3"/>
      <c r="AA68" s="3"/>
      <c r="AB68" s="3"/>
      <c r="AC68" s="3"/>
    </row>
    <row r="69" spans="1:29" x14ac:dyDescent="0.2">
      <c r="A69" s="3"/>
      <c r="B69" s="3"/>
      <c r="C69" s="86">
        <f t="shared" si="2"/>
        <v>150</v>
      </c>
      <c r="D69" s="18">
        <f t="shared" si="3"/>
        <v>1.5253063169585004</v>
      </c>
      <c r="E69" s="3"/>
      <c r="P69" s="3"/>
      <c r="Q69" s="3"/>
      <c r="R69" s="3"/>
      <c r="S69" s="3"/>
      <c r="T69" s="3"/>
      <c r="U69" s="3"/>
      <c r="V69" s="3"/>
      <c r="W69" s="3"/>
      <c r="X69" s="3"/>
      <c r="Y69" s="3"/>
      <c r="Z69" s="3"/>
      <c r="AA69" s="3"/>
      <c r="AB69" s="3"/>
      <c r="AC69" s="3"/>
    </row>
    <row r="70" spans="1:29" x14ac:dyDescent="0.2">
      <c r="A70" s="3"/>
      <c r="B70" s="3"/>
      <c r="C70" s="86">
        <f t="shared" si="2"/>
        <v>160</v>
      </c>
      <c r="D70" s="18">
        <f t="shared" si="3"/>
        <v>1.8798581644293644</v>
      </c>
      <c r="E70" s="3"/>
      <c r="P70" s="3"/>
      <c r="Q70" s="3"/>
      <c r="R70" s="3"/>
      <c r="S70" s="3"/>
      <c r="T70" s="3"/>
      <c r="U70" s="3"/>
      <c r="V70" s="3"/>
      <c r="W70" s="3"/>
      <c r="X70" s="3"/>
      <c r="Y70" s="3"/>
      <c r="Z70" s="3"/>
      <c r="AA70" s="3"/>
      <c r="AB70" s="3"/>
      <c r="AC70" s="3"/>
    </row>
    <row r="71" spans="1:29" x14ac:dyDescent="0.2">
      <c r="A71" s="3"/>
      <c r="B71" s="3"/>
      <c r="C71" s="86">
        <f t="shared" si="2"/>
        <v>170</v>
      </c>
      <c r="D71" s="18">
        <f t="shared" si="3"/>
        <v>2.0835145896993548</v>
      </c>
      <c r="E71" s="3"/>
      <c r="P71" s="3"/>
      <c r="Q71" s="3"/>
      <c r="R71" s="3"/>
      <c r="S71" s="3"/>
      <c r="T71" s="3"/>
      <c r="U71" s="3"/>
      <c r="V71" s="3"/>
      <c r="W71" s="3"/>
      <c r="X71" s="3"/>
      <c r="Y71" s="3"/>
      <c r="Z71" s="3"/>
      <c r="AA71" s="3"/>
      <c r="AB71" s="3"/>
      <c r="AC71" s="3"/>
    </row>
    <row r="72" spans="1:29" x14ac:dyDescent="0.2">
      <c r="A72" s="3"/>
      <c r="B72" s="3"/>
      <c r="C72" s="86">
        <f t="shared" si="2"/>
        <v>180</v>
      </c>
      <c r="D72" s="18">
        <f t="shared" si="3"/>
        <v>2.15</v>
      </c>
      <c r="E72" s="3"/>
      <c r="P72" s="3"/>
      <c r="Q72" s="3"/>
      <c r="R72" s="3"/>
      <c r="S72" s="3"/>
      <c r="T72" s="3"/>
      <c r="U72" s="3"/>
      <c r="V72" s="3"/>
      <c r="W72" s="3"/>
      <c r="X72" s="3"/>
      <c r="Y72" s="3"/>
      <c r="Z72" s="3"/>
      <c r="AA72" s="3"/>
      <c r="AB72" s="3"/>
      <c r="AC72" s="3"/>
    </row>
    <row r="73" spans="1:29" x14ac:dyDescent="0.2">
      <c r="A73" s="3"/>
      <c r="B73" s="3"/>
      <c r="C73" s="86">
        <f t="shared" si="2"/>
        <v>190</v>
      </c>
      <c r="D73" s="18">
        <f t="shared" si="3"/>
        <v>2.0835145896993548</v>
      </c>
      <c r="E73" s="3"/>
      <c r="P73" s="3"/>
      <c r="Q73" s="3"/>
      <c r="R73" s="3"/>
      <c r="S73" s="3"/>
      <c r="T73" s="3"/>
      <c r="U73" s="3"/>
      <c r="V73" s="3"/>
      <c r="W73" s="3"/>
      <c r="X73" s="3"/>
      <c r="Y73" s="3"/>
      <c r="Z73" s="3"/>
      <c r="AA73" s="3"/>
      <c r="AB73" s="3"/>
      <c r="AC73" s="3"/>
    </row>
    <row r="74" spans="1:29" x14ac:dyDescent="0.2">
      <c r="A74" s="3"/>
      <c r="B74" s="3"/>
      <c r="C74" s="86">
        <f t="shared" si="2"/>
        <v>200</v>
      </c>
      <c r="D74" s="18">
        <f t="shared" si="3"/>
        <v>1.8798581644293648</v>
      </c>
      <c r="E74" s="3"/>
      <c r="P74" s="3"/>
      <c r="Q74" s="3"/>
      <c r="R74" s="3"/>
      <c r="S74" s="3"/>
      <c r="T74" s="3"/>
      <c r="U74" s="3"/>
      <c r="V74" s="3"/>
      <c r="W74" s="3"/>
      <c r="X74" s="3"/>
      <c r="Y74" s="3"/>
      <c r="Z74" s="3"/>
      <c r="AA74" s="3"/>
      <c r="AB74" s="3"/>
      <c r="AC74" s="3"/>
    </row>
    <row r="75" spans="1:29" x14ac:dyDescent="0.2">
      <c r="A75" s="3"/>
      <c r="B75" s="3"/>
      <c r="C75" s="86">
        <f t="shared" si="2"/>
        <v>210</v>
      </c>
      <c r="D75" s="18">
        <f t="shared" si="3"/>
        <v>1.5253063169584999</v>
      </c>
      <c r="E75" s="3"/>
      <c r="P75" s="3"/>
      <c r="Q75" s="3"/>
      <c r="R75" s="3"/>
      <c r="S75" s="3"/>
      <c r="T75" s="3"/>
      <c r="U75" s="3"/>
      <c r="V75" s="3"/>
      <c r="W75" s="3"/>
      <c r="X75" s="3"/>
      <c r="Y75" s="3"/>
      <c r="Z75" s="3"/>
      <c r="AA75" s="3"/>
      <c r="AB75" s="3"/>
      <c r="AC75" s="3"/>
    </row>
    <row r="76" spans="1:29" x14ac:dyDescent="0.2">
      <c r="A76" s="3"/>
      <c r="B76" s="3"/>
      <c r="C76" s="86">
        <f t="shared" si="2"/>
        <v>220</v>
      </c>
      <c r="D76" s="18">
        <f t="shared" si="3"/>
        <v>0.99253966553519413</v>
      </c>
      <c r="E76" s="3"/>
      <c r="P76" s="3"/>
      <c r="Q76" s="3"/>
      <c r="R76" s="3"/>
      <c r="S76" s="3"/>
      <c r="T76" s="3"/>
      <c r="U76" s="3"/>
      <c r="V76" s="3"/>
      <c r="W76" s="3"/>
      <c r="X76" s="3"/>
      <c r="Y76" s="3"/>
      <c r="Z76" s="3"/>
      <c r="AA76" s="3"/>
      <c r="AB76" s="3"/>
      <c r="AC76" s="3"/>
    </row>
    <row r="77" spans="1:29" x14ac:dyDescent="0.2">
      <c r="A77" s="3"/>
      <c r="B77" s="3"/>
      <c r="C77" s="86">
        <f t="shared" si="2"/>
        <v>230</v>
      </c>
      <c r="D77" s="18">
        <f t="shared" si="3"/>
        <v>0.23067496752435002</v>
      </c>
      <c r="E77" s="3"/>
      <c r="P77" s="3"/>
      <c r="Q77" s="3"/>
      <c r="R77" s="3"/>
      <c r="S77" s="3"/>
      <c r="T77" s="3"/>
      <c r="U77" s="3"/>
      <c r="V77" s="3"/>
      <c r="W77" s="3"/>
      <c r="X77" s="3"/>
      <c r="Y77" s="3"/>
      <c r="Z77" s="3"/>
      <c r="AA77" s="3"/>
      <c r="AB77" s="3"/>
      <c r="AC77" s="3"/>
    </row>
    <row r="78" spans="1:29" x14ac:dyDescent="0.2">
      <c r="A78" s="3"/>
      <c r="B78" s="3"/>
      <c r="C78" s="86">
        <f t="shared" si="2"/>
        <v>240</v>
      </c>
      <c r="D78" s="18">
        <f t="shared" si="3"/>
        <v>-0.86029995663980818</v>
      </c>
      <c r="E78" s="3"/>
      <c r="P78" s="3"/>
      <c r="Q78" s="3"/>
      <c r="R78" s="3"/>
      <c r="S78" s="3"/>
      <c r="T78" s="3"/>
      <c r="U78" s="3"/>
      <c r="V78" s="3"/>
      <c r="W78" s="3"/>
      <c r="X78" s="3"/>
      <c r="Y78" s="3"/>
      <c r="Z78" s="3"/>
      <c r="AA78" s="3"/>
      <c r="AB78" s="3"/>
      <c r="AC78" s="3"/>
    </row>
    <row r="79" spans="1:29" x14ac:dyDescent="0.2">
      <c r="A79" s="3"/>
      <c r="B79" s="3"/>
      <c r="C79" s="86">
        <f t="shared" si="2"/>
        <v>250</v>
      </c>
      <c r="D79" s="18">
        <f t="shared" si="3"/>
        <v>-2.5094831535448301</v>
      </c>
      <c r="E79" s="3"/>
      <c r="P79" s="3"/>
      <c r="Q79" s="3"/>
      <c r="R79" s="3"/>
      <c r="S79" s="3"/>
      <c r="T79" s="3"/>
      <c r="U79" s="3"/>
      <c r="V79" s="3"/>
      <c r="W79" s="3"/>
      <c r="X79" s="3"/>
      <c r="Y79" s="3"/>
      <c r="Z79" s="3"/>
      <c r="AA79" s="3"/>
      <c r="AB79" s="3"/>
      <c r="AC79" s="3"/>
    </row>
    <row r="80" spans="1:29" x14ac:dyDescent="0.2">
      <c r="A80" s="3"/>
      <c r="B80" s="3"/>
      <c r="C80" s="86">
        <f t="shared" si="2"/>
        <v>260</v>
      </c>
      <c r="D80" s="18">
        <f t="shared" si="3"/>
        <v>-5.4532976998839953</v>
      </c>
      <c r="E80" s="3"/>
      <c r="P80" s="3"/>
      <c r="Q80" s="3"/>
      <c r="R80" s="3"/>
      <c r="S80" s="3"/>
      <c r="T80" s="3"/>
      <c r="U80" s="3"/>
      <c r="V80" s="3"/>
      <c r="W80" s="3"/>
      <c r="X80" s="3"/>
      <c r="Y80" s="3"/>
      <c r="Z80" s="3"/>
      <c r="AA80" s="3"/>
      <c r="AB80" s="3"/>
      <c r="AC80" s="3"/>
    </row>
    <row r="81" spans="1:29" x14ac:dyDescent="0.2">
      <c r="A81" s="3"/>
      <c r="B81" s="3"/>
      <c r="C81" s="86">
        <v>265</v>
      </c>
      <c r="D81" s="18">
        <f t="shared" si="3"/>
        <v>-8.4470399166987935</v>
      </c>
      <c r="E81" s="3" t="s">
        <v>37</v>
      </c>
      <c r="F81" s="3"/>
      <c r="G81" s="3"/>
      <c r="H81" s="3"/>
      <c r="I81" s="3"/>
      <c r="J81" s="3"/>
      <c r="K81" s="3"/>
      <c r="L81" s="3"/>
      <c r="M81" s="4" t="s">
        <v>645</v>
      </c>
      <c r="N81" s="3"/>
      <c r="O81" s="3"/>
      <c r="P81" s="3"/>
      <c r="Q81" s="3"/>
      <c r="R81" s="3"/>
      <c r="S81" s="3"/>
      <c r="T81" s="3"/>
      <c r="U81" s="3"/>
      <c r="V81" s="3"/>
      <c r="W81" s="3"/>
      <c r="X81" s="3"/>
      <c r="Y81" s="3"/>
      <c r="Z81" s="3"/>
      <c r="AA81" s="3"/>
      <c r="AB81" s="3"/>
      <c r="AC81" s="3"/>
    </row>
    <row r="82" spans="1:29" x14ac:dyDescent="0.2">
      <c r="A82" s="3"/>
      <c r="B82" s="3"/>
      <c r="C82" s="86">
        <v>267.5</v>
      </c>
      <c r="D82" s="18">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x14ac:dyDescent="0.2">
      <c r="A83" s="3"/>
      <c r="B83" s="3"/>
      <c r="C83" s="86">
        <f>C80+10</f>
        <v>270</v>
      </c>
      <c r="D83" s="18">
        <v>-40</v>
      </c>
      <c r="E83" s="3"/>
      <c r="F83" s="3"/>
      <c r="G83" s="3" t="s">
        <v>270</v>
      </c>
      <c r="H83" s="3"/>
      <c r="I83" s="3">
        <v>2.15</v>
      </c>
      <c r="J83" s="3" t="s">
        <v>266</v>
      </c>
      <c r="K83" s="3"/>
      <c r="L83" s="3"/>
      <c r="M83" s="3"/>
      <c r="N83" s="3"/>
      <c r="O83" s="3"/>
      <c r="P83" s="3"/>
      <c r="Q83" s="3"/>
      <c r="R83" s="3"/>
      <c r="S83" s="3"/>
      <c r="T83" s="3"/>
      <c r="U83" s="3"/>
      <c r="V83" s="3"/>
      <c r="W83" s="3"/>
      <c r="X83" s="3"/>
      <c r="Y83" s="3"/>
      <c r="Z83" s="3"/>
      <c r="AA83" s="3"/>
      <c r="AB83" s="3"/>
      <c r="AC83" s="3"/>
    </row>
    <row r="84" spans="1:29" x14ac:dyDescent="0.2">
      <c r="A84" s="3"/>
      <c r="B84" s="3"/>
      <c r="C84" s="86">
        <v>272.5</v>
      </c>
      <c r="D84" s="18">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x14ac:dyDescent="0.2">
      <c r="A85" s="3"/>
      <c r="B85" s="3"/>
      <c r="C85" s="86">
        <v>275</v>
      </c>
      <c r="D85" s="18">
        <f t="shared" si="4"/>
        <v>-8.4470399166988113</v>
      </c>
      <c r="E85" s="3"/>
      <c r="F85" s="3"/>
      <c r="G85" s="3" t="s">
        <v>292</v>
      </c>
      <c r="H85" s="3"/>
      <c r="I85" s="3">
        <v>78.8</v>
      </c>
      <c r="J85" s="3" t="s">
        <v>46</v>
      </c>
      <c r="K85" s="3" t="s">
        <v>641</v>
      </c>
      <c r="L85" s="3"/>
      <c r="M85" s="3"/>
      <c r="N85" s="3"/>
      <c r="O85" s="3"/>
      <c r="P85" s="3"/>
      <c r="Q85" s="3"/>
      <c r="R85" s="3"/>
      <c r="S85" s="3"/>
      <c r="T85" s="3"/>
      <c r="U85" s="3"/>
      <c r="V85" s="3"/>
      <c r="W85" s="3"/>
      <c r="X85" s="3"/>
      <c r="Y85" s="3"/>
      <c r="Z85" s="3"/>
      <c r="AA85" s="3"/>
      <c r="AB85" s="3"/>
      <c r="AC85" s="3"/>
    </row>
    <row r="86" spans="1:29" x14ac:dyDescent="0.2">
      <c r="A86" s="3"/>
      <c r="B86" s="3"/>
      <c r="C86" s="86">
        <f>C83+10</f>
        <v>280</v>
      </c>
      <c r="D86" s="18">
        <f t="shared" si="4"/>
        <v>-5.4532976998840041</v>
      </c>
      <c r="E86" s="3" t="s">
        <v>37</v>
      </c>
      <c r="F86" s="3"/>
      <c r="G86" s="3"/>
      <c r="H86" s="3"/>
      <c r="I86" s="3"/>
      <c r="J86" s="3"/>
      <c r="K86" s="3"/>
      <c r="L86" s="3"/>
      <c r="M86" s="3"/>
      <c r="N86" s="3"/>
      <c r="O86" s="3"/>
      <c r="P86" s="3"/>
      <c r="Q86" s="3"/>
      <c r="R86" s="3"/>
      <c r="S86" s="3"/>
      <c r="T86" s="3"/>
      <c r="U86" s="3"/>
      <c r="V86" s="3"/>
      <c r="W86" s="3"/>
      <c r="X86" s="3"/>
      <c r="Y86" s="3"/>
      <c r="Z86" s="3"/>
      <c r="AA86" s="3"/>
      <c r="AB86" s="3"/>
      <c r="AC86" s="3"/>
    </row>
    <row r="87" spans="1:29" x14ac:dyDescent="0.2">
      <c r="A87" s="3"/>
      <c r="B87" s="3"/>
      <c r="C87" s="86">
        <f t="shared" si="2"/>
        <v>290</v>
      </c>
      <c r="D87" s="18">
        <f t="shared" si="4"/>
        <v>-2.5094831535448248</v>
      </c>
      <c r="E87" s="3"/>
      <c r="F87" s="3"/>
      <c r="G87" s="3" t="s">
        <v>639</v>
      </c>
      <c r="H87" s="3"/>
      <c r="I87" s="598">
        <v>0</v>
      </c>
      <c r="J87" s="3" t="s">
        <v>46</v>
      </c>
      <c r="K87" s="3" t="s">
        <v>640</v>
      </c>
      <c r="L87" s="3"/>
      <c r="M87" s="3"/>
      <c r="N87" s="3"/>
      <c r="O87" s="3"/>
      <c r="P87" s="3"/>
      <c r="Q87" s="3"/>
      <c r="R87" s="3"/>
      <c r="S87" s="3"/>
      <c r="T87" s="3"/>
      <c r="U87" s="3"/>
      <c r="V87" s="3"/>
      <c r="W87" s="3"/>
      <c r="X87" s="3"/>
      <c r="Y87" s="3"/>
      <c r="Z87" s="3"/>
      <c r="AA87" s="3"/>
      <c r="AB87" s="3"/>
      <c r="AC87" s="3"/>
    </row>
    <row r="88" spans="1:29" x14ac:dyDescent="0.2">
      <c r="A88" s="3"/>
      <c r="B88" s="3"/>
      <c r="C88" s="86">
        <f t="shared" si="2"/>
        <v>300</v>
      </c>
      <c r="D88" s="18">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x14ac:dyDescent="0.2">
      <c r="A89" s="3"/>
      <c r="B89" s="3"/>
      <c r="C89" s="86">
        <f t="shared" si="2"/>
        <v>310</v>
      </c>
      <c r="D89" s="18">
        <f t="shared" si="4"/>
        <v>0.23067496752434824</v>
      </c>
      <c r="E89" s="3"/>
      <c r="F89" s="3"/>
      <c r="G89" s="3" t="s">
        <v>642</v>
      </c>
      <c r="H89" s="3"/>
      <c r="I89" s="3">
        <v>2.15</v>
      </c>
      <c r="J89" s="3" t="s">
        <v>266</v>
      </c>
      <c r="K89" s="3" t="s">
        <v>643</v>
      </c>
      <c r="L89" s="3"/>
      <c r="M89" s="3"/>
      <c r="N89" s="3"/>
      <c r="O89" s="3"/>
      <c r="P89" s="3"/>
      <c r="Q89" s="3"/>
      <c r="R89" s="3"/>
      <c r="S89" s="3"/>
      <c r="T89" s="3"/>
      <c r="U89" s="3"/>
      <c r="V89" s="3"/>
      <c r="W89" s="3"/>
      <c r="X89" s="3"/>
      <c r="Y89" s="3"/>
      <c r="Z89" s="3"/>
      <c r="AA89" s="3"/>
      <c r="AB89" s="3"/>
      <c r="AC89" s="3"/>
    </row>
    <row r="90" spans="1:29" x14ac:dyDescent="0.2">
      <c r="A90" s="3"/>
      <c r="B90" s="3"/>
      <c r="C90" s="86">
        <f t="shared" si="2"/>
        <v>320</v>
      </c>
      <c r="D90" s="18">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x14ac:dyDescent="0.2">
      <c r="A91" s="3"/>
      <c r="B91" s="3"/>
      <c r="C91" s="86">
        <f t="shared" si="2"/>
        <v>330</v>
      </c>
      <c r="D91" s="18">
        <f t="shared" si="4"/>
        <v>1.5253063169584988</v>
      </c>
      <c r="E91" s="3"/>
      <c r="F91" s="3"/>
      <c r="G91" s="3" t="s">
        <v>644</v>
      </c>
      <c r="H91" s="3"/>
      <c r="I91" s="598">
        <v>0</v>
      </c>
      <c r="J91" s="3" t="s">
        <v>46</v>
      </c>
      <c r="K91" s="3"/>
      <c r="L91" s="3"/>
      <c r="M91" s="3"/>
      <c r="N91" s="3"/>
      <c r="O91" s="3"/>
      <c r="P91" s="3"/>
      <c r="Q91" s="3"/>
      <c r="R91" s="3"/>
      <c r="S91" s="3"/>
      <c r="T91" s="3"/>
      <c r="U91" s="3"/>
      <c r="V91" s="3"/>
      <c r="W91" s="3"/>
      <c r="X91" s="3"/>
      <c r="Y91" s="3"/>
      <c r="Z91" s="3"/>
      <c r="AA91" s="3"/>
      <c r="AB91" s="3"/>
      <c r="AC91" s="3"/>
    </row>
    <row r="92" spans="1:29" x14ac:dyDescent="0.2">
      <c r="A92" s="3"/>
      <c r="B92" s="3"/>
      <c r="C92" s="86">
        <f t="shared" si="2"/>
        <v>340</v>
      </c>
      <c r="D92" s="18">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x14ac:dyDescent="0.2">
      <c r="A93" s="3"/>
      <c r="B93" s="3"/>
      <c r="C93" s="86">
        <f t="shared" si="2"/>
        <v>350</v>
      </c>
      <c r="D93" s="18">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x14ac:dyDescent="0.2">
      <c r="A94" s="3"/>
      <c r="B94" s="3"/>
      <c r="C94" s="86">
        <f t="shared" si="2"/>
        <v>360</v>
      </c>
      <c r="D94" s="18">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x14ac:dyDescent="0.2">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x14ac:dyDescent="0.2">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x14ac:dyDescent="0.2">
      <c r="A97" s="3"/>
      <c r="B97" s="34" t="s">
        <v>37</v>
      </c>
      <c r="C97" s="3"/>
      <c r="D97" s="658" t="s">
        <v>293</v>
      </c>
      <c r="E97" s="659" t="s">
        <v>384</v>
      </c>
      <c r="F97" s="3"/>
      <c r="G97" s="3"/>
      <c r="H97" s="3"/>
      <c r="I97" s="3"/>
      <c r="J97" s="3"/>
      <c r="K97" s="3"/>
      <c r="L97" s="3"/>
      <c r="M97" s="3"/>
      <c r="N97" s="3"/>
      <c r="O97" s="3"/>
      <c r="P97" s="3"/>
      <c r="Q97" s="3"/>
      <c r="R97" s="3"/>
      <c r="S97" s="3"/>
      <c r="T97" s="3"/>
      <c r="U97" s="3"/>
      <c r="V97" s="3"/>
      <c r="W97" s="3"/>
      <c r="X97" s="3"/>
      <c r="Y97" s="3"/>
      <c r="Z97" s="3"/>
      <c r="AA97" s="3"/>
      <c r="AB97" s="3"/>
      <c r="AC97" s="3"/>
    </row>
    <row r="98" spans="1:29" x14ac:dyDescent="0.2">
      <c r="A98" s="3"/>
      <c r="B98" s="651" t="s">
        <v>847</v>
      </c>
      <c r="C98" s="489" t="s">
        <v>383</v>
      </c>
      <c r="D98" s="657" t="s">
        <v>385</v>
      </c>
      <c r="E98" s="660" t="s">
        <v>385</v>
      </c>
      <c r="F98" s="3"/>
      <c r="G98" s="3"/>
      <c r="H98" s="3"/>
      <c r="I98" s="3"/>
      <c r="J98" s="3"/>
      <c r="K98" s="3"/>
      <c r="L98" s="3"/>
      <c r="M98" s="3"/>
      <c r="N98" s="3"/>
      <c r="O98" s="3"/>
      <c r="U98" s="3"/>
      <c r="V98" s="3"/>
      <c r="W98" s="3"/>
      <c r="X98" s="3"/>
      <c r="Y98" s="3"/>
      <c r="Z98" s="3"/>
      <c r="AA98" s="3"/>
      <c r="AB98" s="3"/>
      <c r="AC98" s="3"/>
    </row>
    <row r="99" spans="1:29" ht="25.5" x14ac:dyDescent="0.2">
      <c r="A99" s="3"/>
      <c r="B99" s="773" t="s">
        <v>533</v>
      </c>
      <c r="C99" s="86">
        <v>0</v>
      </c>
      <c r="D99" s="36">
        <f>2-0.00075*(C99)^2</f>
        <v>2</v>
      </c>
      <c r="E99" s="36">
        <f>0.5-0.00075*(180-C99)^2</f>
        <v>-23.8</v>
      </c>
      <c r="F99" t="s">
        <v>37</v>
      </c>
      <c r="G99" t="s">
        <v>37</v>
      </c>
      <c r="U99" s="3"/>
      <c r="V99" s="3"/>
      <c r="W99" s="3"/>
      <c r="X99" s="3"/>
      <c r="Y99" s="3"/>
      <c r="Z99" s="3"/>
      <c r="AA99" s="3"/>
      <c r="AB99" s="3"/>
      <c r="AC99" s="3"/>
    </row>
    <row r="100" spans="1:29" x14ac:dyDescent="0.2">
      <c r="A100" s="3"/>
      <c r="B100" s="3"/>
      <c r="C100" s="86">
        <f>C99+5</f>
        <v>5</v>
      </c>
      <c r="D100" s="36">
        <f t="shared" ref="D100:D135" si="5">2-0.00075*(C100)^2</f>
        <v>1.98125</v>
      </c>
      <c r="E100" s="36">
        <f t="shared" ref="E100:E135" si="6">0.5-0.00075*(180-C100)^2</f>
        <v>-22.46875</v>
      </c>
      <c r="U100" s="3"/>
      <c r="V100" s="3"/>
      <c r="W100" s="3"/>
      <c r="X100" s="3"/>
      <c r="Y100" s="3"/>
      <c r="Z100" s="3"/>
      <c r="AA100" s="3"/>
      <c r="AB100" s="3"/>
      <c r="AC100" s="3"/>
    </row>
    <row r="101" spans="1:29" x14ac:dyDescent="0.2">
      <c r="A101" s="3"/>
      <c r="B101" s="3"/>
      <c r="C101" s="86">
        <f t="shared" ref="C101:C128" si="7">C100+5</f>
        <v>10</v>
      </c>
      <c r="D101" s="36">
        <f t="shared" si="5"/>
        <v>1.925</v>
      </c>
      <c r="E101" s="36">
        <f t="shared" si="6"/>
        <v>-21.175000000000001</v>
      </c>
      <c r="U101" s="3"/>
      <c r="V101" s="3"/>
      <c r="W101" s="3"/>
      <c r="X101" s="3"/>
      <c r="Y101" s="3"/>
      <c r="Z101" s="3"/>
      <c r="AA101" s="3"/>
      <c r="AB101" s="3"/>
      <c r="AC101" s="3"/>
    </row>
    <row r="102" spans="1:29" x14ac:dyDescent="0.2">
      <c r="A102" s="3"/>
      <c r="B102" s="3"/>
      <c r="C102" s="86">
        <f t="shared" si="7"/>
        <v>15</v>
      </c>
      <c r="D102" s="36">
        <f t="shared" si="5"/>
        <v>1.83125</v>
      </c>
      <c r="E102" s="36">
        <f t="shared" si="6"/>
        <v>-19.918749999999999</v>
      </c>
      <c r="U102" s="3"/>
      <c r="V102" s="3"/>
      <c r="W102" s="3"/>
      <c r="X102" s="3"/>
      <c r="Y102" s="3"/>
      <c r="Z102" s="3"/>
      <c r="AA102" s="3"/>
      <c r="AB102" s="3"/>
      <c r="AC102" s="3"/>
    </row>
    <row r="103" spans="1:29" x14ac:dyDescent="0.2">
      <c r="A103" s="3"/>
      <c r="B103" s="3"/>
      <c r="C103" s="86">
        <f t="shared" si="7"/>
        <v>20</v>
      </c>
      <c r="D103" s="36">
        <f t="shared" si="5"/>
        <v>1.7</v>
      </c>
      <c r="E103" s="36">
        <f t="shared" si="6"/>
        <v>-18.7</v>
      </c>
      <c r="U103" s="3"/>
      <c r="V103" s="3"/>
      <c r="W103" s="3"/>
      <c r="X103" s="3"/>
      <c r="Y103" s="3"/>
      <c r="Z103" s="3"/>
      <c r="AA103" s="3"/>
      <c r="AB103" s="3"/>
      <c r="AC103" s="3"/>
    </row>
    <row r="104" spans="1:29" x14ac:dyDescent="0.2">
      <c r="A104" s="3"/>
      <c r="B104" s="3" t="s">
        <v>37</v>
      </c>
      <c r="C104" s="86">
        <f t="shared" si="7"/>
        <v>25</v>
      </c>
      <c r="D104" s="36">
        <f t="shared" si="5"/>
        <v>1.53125</v>
      </c>
      <c r="E104" s="36">
        <f t="shared" si="6"/>
        <v>-17.518750000000001</v>
      </c>
      <c r="U104" s="3"/>
      <c r="V104" s="3"/>
      <c r="W104" s="3"/>
      <c r="X104" s="3"/>
      <c r="Y104" s="3"/>
      <c r="Z104" s="3"/>
      <c r="AA104" s="3"/>
      <c r="AB104" s="3"/>
      <c r="AC104" s="3"/>
    </row>
    <row r="105" spans="1:29" x14ac:dyDescent="0.2">
      <c r="A105" s="3"/>
      <c r="B105" s="3"/>
      <c r="C105" s="86">
        <f t="shared" si="7"/>
        <v>30</v>
      </c>
      <c r="D105" s="36">
        <f t="shared" si="5"/>
        <v>1.325</v>
      </c>
      <c r="E105" s="36">
        <f t="shared" si="6"/>
        <v>-16.375</v>
      </c>
      <c r="U105" s="3"/>
      <c r="V105" s="3"/>
      <c r="W105" s="3"/>
      <c r="X105" s="3"/>
      <c r="Y105" s="3"/>
      <c r="Z105" s="3"/>
      <c r="AA105" s="3"/>
      <c r="AB105" s="3"/>
      <c r="AC105" s="3"/>
    </row>
    <row r="106" spans="1:29" x14ac:dyDescent="0.2">
      <c r="A106" s="3"/>
      <c r="B106" s="3"/>
      <c r="C106" s="86">
        <f t="shared" si="7"/>
        <v>35</v>
      </c>
      <c r="D106" s="36">
        <f t="shared" si="5"/>
        <v>1.0812499999999998</v>
      </c>
      <c r="E106" s="36">
        <f t="shared" si="6"/>
        <v>-15.268750000000001</v>
      </c>
      <c r="U106" s="3"/>
      <c r="V106" s="3"/>
      <c r="W106" s="3"/>
      <c r="X106" s="3"/>
      <c r="Y106" s="3"/>
      <c r="Z106" s="3"/>
      <c r="AA106" s="3"/>
      <c r="AB106" s="3"/>
      <c r="AC106" s="3"/>
    </row>
    <row r="107" spans="1:29" x14ac:dyDescent="0.2">
      <c r="A107" s="3"/>
      <c r="B107" s="3"/>
      <c r="C107" s="86">
        <f t="shared" si="7"/>
        <v>40</v>
      </c>
      <c r="D107" s="36">
        <f t="shared" si="5"/>
        <v>0.8</v>
      </c>
      <c r="E107" s="36">
        <f t="shared" si="6"/>
        <v>-14.200000000000001</v>
      </c>
      <c r="U107" s="3"/>
      <c r="V107" s="3"/>
      <c r="W107" s="3"/>
      <c r="X107" s="3"/>
      <c r="Y107" s="3"/>
      <c r="Z107" s="3"/>
      <c r="AA107" s="3"/>
      <c r="AB107" s="3"/>
      <c r="AC107" s="3"/>
    </row>
    <row r="108" spans="1:29" x14ac:dyDescent="0.2">
      <c r="A108" s="3"/>
      <c r="B108" s="3"/>
      <c r="C108" s="86">
        <f t="shared" si="7"/>
        <v>45</v>
      </c>
      <c r="D108" s="36">
        <f t="shared" si="5"/>
        <v>0.48124999999999996</v>
      </c>
      <c r="E108" s="36">
        <f t="shared" si="6"/>
        <v>-13.168750000000001</v>
      </c>
      <c r="U108" s="3"/>
      <c r="V108" s="3"/>
      <c r="W108" s="3"/>
      <c r="X108" s="3"/>
      <c r="Y108" s="3"/>
      <c r="Z108" s="3"/>
      <c r="AA108" s="3"/>
      <c r="AB108" s="3"/>
      <c r="AC108" s="3"/>
    </row>
    <row r="109" spans="1:29" x14ac:dyDescent="0.2">
      <c r="A109" s="3"/>
      <c r="B109" s="3"/>
      <c r="C109" s="86">
        <f t="shared" si="7"/>
        <v>50</v>
      </c>
      <c r="D109" s="36">
        <f t="shared" si="5"/>
        <v>0.125</v>
      </c>
      <c r="E109" s="36">
        <f t="shared" si="6"/>
        <v>-12.175000000000001</v>
      </c>
      <c r="U109" s="3"/>
      <c r="V109" s="3"/>
      <c r="W109" s="3"/>
      <c r="X109" s="3"/>
      <c r="Y109" s="3"/>
      <c r="Z109" s="3"/>
      <c r="AA109" s="3"/>
      <c r="AB109" s="3"/>
      <c r="AC109" s="3"/>
    </row>
    <row r="110" spans="1:29" x14ac:dyDescent="0.2">
      <c r="A110" s="3"/>
      <c r="B110" s="3"/>
      <c r="C110" s="86">
        <f t="shared" si="7"/>
        <v>55</v>
      </c>
      <c r="D110" s="36">
        <f t="shared" si="5"/>
        <v>-0.26875000000000027</v>
      </c>
      <c r="E110" s="36">
        <f t="shared" si="6"/>
        <v>-11.21875</v>
      </c>
      <c r="U110" s="3"/>
      <c r="V110" s="3"/>
      <c r="W110" s="3"/>
      <c r="X110" s="3"/>
      <c r="Y110" s="3"/>
      <c r="Z110" s="3"/>
      <c r="AA110" s="3"/>
      <c r="AB110" s="3"/>
      <c r="AC110" s="3"/>
    </row>
    <row r="111" spans="1:29" x14ac:dyDescent="0.2">
      <c r="A111" s="3"/>
      <c r="B111" s="3"/>
      <c r="C111" s="86">
        <f t="shared" si="7"/>
        <v>60</v>
      </c>
      <c r="D111" s="36">
        <f t="shared" si="5"/>
        <v>-0.70000000000000018</v>
      </c>
      <c r="E111" s="36">
        <f t="shared" si="6"/>
        <v>-10.3</v>
      </c>
      <c r="U111" s="3"/>
      <c r="V111" s="3"/>
      <c r="W111" s="3"/>
      <c r="X111" s="3"/>
      <c r="Y111" s="3"/>
      <c r="Z111" s="3"/>
      <c r="AA111" s="3"/>
      <c r="AB111" s="3"/>
      <c r="AC111" s="3"/>
    </row>
    <row r="112" spans="1:29" x14ac:dyDescent="0.2">
      <c r="A112" s="3"/>
      <c r="B112" s="3"/>
      <c r="C112" s="86">
        <f t="shared" si="7"/>
        <v>65</v>
      </c>
      <c r="D112" s="36">
        <f t="shared" si="5"/>
        <v>-1.1687500000000002</v>
      </c>
      <c r="E112" s="36">
        <f t="shared" si="6"/>
        <v>-9.4187500000000011</v>
      </c>
      <c r="U112" s="3"/>
      <c r="V112" s="3"/>
      <c r="W112" s="3"/>
      <c r="X112" s="3"/>
      <c r="Y112" s="3"/>
      <c r="Z112" s="3"/>
      <c r="AA112" s="3"/>
      <c r="AB112" s="3"/>
      <c r="AC112" s="3"/>
    </row>
    <row r="113" spans="1:29" x14ac:dyDescent="0.2">
      <c r="A113" s="3"/>
      <c r="B113" s="3"/>
      <c r="C113" s="86">
        <f t="shared" si="7"/>
        <v>70</v>
      </c>
      <c r="D113" s="36">
        <f t="shared" si="5"/>
        <v>-1.6750000000000003</v>
      </c>
      <c r="E113" s="36">
        <f t="shared" si="6"/>
        <v>-8.5750000000000011</v>
      </c>
      <c r="U113" s="3"/>
      <c r="V113" s="3"/>
      <c r="W113" s="3"/>
      <c r="X113" s="3"/>
      <c r="Y113" s="3"/>
      <c r="Z113" s="3"/>
      <c r="AA113" s="3"/>
      <c r="AB113" s="3"/>
      <c r="AC113" s="3"/>
    </row>
    <row r="114" spans="1:29" x14ac:dyDescent="0.2">
      <c r="A114" s="3"/>
      <c r="B114" s="3"/>
      <c r="C114" s="86">
        <f t="shared" si="7"/>
        <v>75</v>
      </c>
      <c r="D114" s="36">
        <f t="shared" si="5"/>
        <v>-2.21875</v>
      </c>
      <c r="E114" s="36">
        <f t="shared" si="6"/>
        <v>-7.7687500000000007</v>
      </c>
      <c r="U114" s="3"/>
      <c r="V114" s="3"/>
      <c r="W114" s="3"/>
      <c r="X114" s="3"/>
      <c r="Y114" s="3"/>
      <c r="Z114" s="3"/>
      <c r="AA114" s="3"/>
      <c r="AB114" s="3"/>
      <c r="AC114" s="3"/>
    </row>
    <row r="115" spans="1:29" x14ac:dyDescent="0.2">
      <c r="A115" s="3"/>
      <c r="B115" s="3"/>
      <c r="C115" s="86">
        <f t="shared" si="7"/>
        <v>80</v>
      </c>
      <c r="D115" s="36">
        <f t="shared" si="5"/>
        <v>-2.8</v>
      </c>
      <c r="E115" s="36">
        <f t="shared" si="6"/>
        <v>-7</v>
      </c>
      <c r="U115" s="3"/>
      <c r="V115" s="3"/>
      <c r="W115" s="3"/>
      <c r="X115" s="3"/>
      <c r="Y115" s="3"/>
      <c r="Z115" s="3"/>
      <c r="AA115" s="3"/>
      <c r="AB115" s="3"/>
      <c r="AC115" s="3"/>
    </row>
    <row r="116" spans="1:29" x14ac:dyDescent="0.2">
      <c r="A116" s="3"/>
      <c r="B116" s="3"/>
      <c r="C116" s="86">
        <f t="shared" si="7"/>
        <v>85</v>
      </c>
      <c r="D116" s="36">
        <f t="shared" si="5"/>
        <v>-3.4187500000000002</v>
      </c>
      <c r="E116" s="36">
        <f t="shared" si="6"/>
        <v>-6.2687499999999998</v>
      </c>
      <c r="U116" s="3"/>
      <c r="V116" s="3"/>
      <c r="W116" s="3"/>
      <c r="X116" s="3"/>
      <c r="Y116" s="3"/>
      <c r="Z116" s="3"/>
      <c r="AA116" s="3"/>
      <c r="AB116" s="3"/>
      <c r="AC116" s="3"/>
    </row>
    <row r="117" spans="1:29" x14ac:dyDescent="0.2">
      <c r="A117" s="3"/>
      <c r="B117" s="3"/>
      <c r="C117" s="86">
        <f t="shared" si="7"/>
        <v>90</v>
      </c>
      <c r="D117" s="36">
        <f t="shared" si="5"/>
        <v>-4.0750000000000002</v>
      </c>
      <c r="E117" s="36">
        <f t="shared" si="6"/>
        <v>-5.5750000000000002</v>
      </c>
      <c r="U117" s="3"/>
      <c r="V117" s="3"/>
      <c r="W117" s="3"/>
      <c r="X117" s="3"/>
      <c r="Y117" s="3"/>
      <c r="Z117" s="3"/>
      <c r="AA117" s="3"/>
      <c r="AB117" s="3"/>
      <c r="AC117" s="3"/>
    </row>
    <row r="118" spans="1:29" x14ac:dyDescent="0.2">
      <c r="A118" s="3"/>
      <c r="B118" s="3"/>
      <c r="C118" s="86">
        <f t="shared" si="7"/>
        <v>95</v>
      </c>
      <c r="D118" s="36">
        <f t="shared" si="5"/>
        <v>-4.7687499999999998</v>
      </c>
      <c r="E118" s="36">
        <f t="shared" si="6"/>
        <v>-4.9187500000000002</v>
      </c>
      <c r="U118" s="3"/>
      <c r="V118" s="3"/>
      <c r="W118" s="3"/>
      <c r="X118" s="3"/>
      <c r="Y118" s="3"/>
      <c r="Z118" s="3"/>
      <c r="AA118" s="3"/>
      <c r="AB118" s="3"/>
      <c r="AC118" s="3"/>
    </row>
    <row r="119" spans="1:29" x14ac:dyDescent="0.2">
      <c r="A119" s="3"/>
      <c r="B119" s="3"/>
      <c r="C119" s="86">
        <f t="shared" si="7"/>
        <v>100</v>
      </c>
      <c r="D119" s="36">
        <f t="shared" si="5"/>
        <v>-5.5</v>
      </c>
      <c r="E119" s="36">
        <f t="shared" si="6"/>
        <v>-4.3</v>
      </c>
      <c r="U119" s="3"/>
      <c r="V119" s="3"/>
      <c r="W119" s="3"/>
      <c r="X119" s="3"/>
      <c r="Y119" s="3"/>
      <c r="Z119" s="3"/>
      <c r="AA119" s="3"/>
      <c r="AB119" s="3"/>
      <c r="AC119" s="3"/>
    </row>
    <row r="120" spans="1:29" x14ac:dyDescent="0.2">
      <c r="A120" s="3"/>
      <c r="B120" s="3"/>
      <c r="C120" s="86">
        <f t="shared" si="7"/>
        <v>105</v>
      </c>
      <c r="D120" s="36">
        <f t="shared" si="5"/>
        <v>-6.2687500000000007</v>
      </c>
      <c r="E120" s="36">
        <f t="shared" si="6"/>
        <v>-3.71875</v>
      </c>
      <c r="U120" s="3"/>
      <c r="V120" s="3"/>
      <c r="W120" s="3"/>
      <c r="X120" s="3"/>
      <c r="Y120" s="3"/>
      <c r="Z120" s="3"/>
      <c r="AA120" s="3"/>
      <c r="AB120" s="3"/>
      <c r="AC120" s="3"/>
    </row>
    <row r="121" spans="1:29" x14ac:dyDescent="0.2">
      <c r="A121" s="3"/>
      <c r="B121" s="3"/>
      <c r="C121" s="86">
        <f t="shared" si="7"/>
        <v>110</v>
      </c>
      <c r="D121" s="36">
        <f t="shared" si="5"/>
        <v>-7.0750000000000011</v>
      </c>
      <c r="E121" s="36">
        <f t="shared" si="6"/>
        <v>-3.1750000000000003</v>
      </c>
      <c r="U121" s="3"/>
      <c r="V121" s="3"/>
      <c r="W121" s="3"/>
      <c r="X121" s="3"/>
      <c r="Y121" s="3"/>
      <c r="Z121" s="3"/>
      <c r="AA121" s="3"/>
      <c r="AB121" s="3"/>
      <c r="AC121" s="3"/>
    </row>
    <row r="122" spans="1:29" x14ac:dyDescent="0.2">
      <c r="A122" s="3"/>
      <c r="B122" s="3"/>
      <c r="C122" s="86">
        <f t="shared" si="7"/>
        <v>115</v>
      </c>
      <c r="D122" s="36">
        <f t="shared" si="5"/>
        <v>-7.9187500000000011</v>
      </c>
      <c r="E122" s="36">
        <f t="shared" si="6"/>
        <v>-2.6687500000000002</v>
      </c>
      <c r="U122" s="3"/>
      <c r="V122" s="3"/>
      <c r="W122" s="3"/>
      <c r="X122" s="3"/>
      <c r="Y122" s="3"/>
      <c r="Z122" s="3"/>
      <c r="AA122" s="3"/>
      <c r="AB122" s="3"/>
      <c r="AC122" s="3"/>
    </row>
    <row r="123" spans="1:29" x14ac:dyDescent="0.2">
      <c r="A123" s="3"/>
      <c r="B123" s="3"/>
      <c r="C123" s="86">
        <f t="shared" si="7"/>
        <v>120</v>
      </c>
      <c r="D123" s="36">
        <f t="shared" si="5"/>
        <v>-8.8000000000000007</v>
      </c>
      <c r="E123" s="36">
        <f t="shared" si="6"/>
        <v>-2.2000000000000002</v>
      </c>
      <c r="U123" s="3"/>
      <c r="V123" s="3"/>
      <c r="W123" s="3"/>
      <c r="X123" s="3"/>
      <c r="Y123" s="3"/>
      <c r="Z123" s="3"/>
      <c r="AA123" s="3"/>
      <c r="AB123" s="3"/>
      <c r="AC123" s="3"/>
    </row>
    <row r="124" spans="1:29" x14ac:dyDescent="0.2">
      <c r="A124" s="3"/>
      <c r="B124" s="3"/>
      <c r="C124" s="86">
        <f t="shared" si="7"/>
        <v>125</v>
      </c>
      <c r="D124" s="36">
        <f t="shared" si="5"/>
        <v>-9.71875</v>
      </c>
      <c r="E124" s="36">
        <f t="shared" si="6"/>
        <v>-1.7687500000000003</v>
      </c>
      <c r="U124" s="3"/>
      <c r="V124" s="3"/>
      <c r="W124" s="3"/>
      <c r="X124" s="3"/>
      <c r="Y124" s="3"/>
      <c r="Z124" s="3"/>
      <c r="AA124" s="3"/>
      <c r="AB124" s="3"/>
      <c r="AC124" s="3"/>
    </row>
    <row r="125" spans="1:29" x14ac:dyDescent="0.2">
      <c r="A125" s="3"/>
      <c r="B125" s="3"/>
      <c r="C125" s="86">
        <f t="shared" si="7"/>
        <v>130</v>
      </c>
      <c r="D125" s="36">
        <f t="shared" si="5"/>
        <v>-10.675000000000001</v>
      </c>
      <c r="E125" s="36">
        <f t="shared" si="6"/>
        <v>-1.375</v>
      </c>
      <c r="U125" s="3"/>
      <c r="V125" s="3"/>
      <c r="W125" s="3"/>
      <c r="X125" s="3"/>
      <c r="Y125" s="3"/>
      <c r="Z125" s="3"/>
      <c r="AA125" s="3"/>
      <c r="AB125" s="3"/>
      <c r="AC125" s="3"/>
    </row>
    <row r="126" spans="1:29" x14ac:dyDescent="0.2">
      <c r="A126" s="3"/>
      <c r="B126" s="3"/>
      <c r="C126" s="86">
        <f t="shared" si="7"/>
        <v>135</v>
      </c>
      <c r="D126" s="36">
        <f t="shared" si="5"/>
        <v>-11.668750000000001</v>
      </c>
      <c r="E126" s="36">
        <f t="shared" si="6"/>
        <v>-1.01875</v>
      </c>
      <c r="U126" s="3"/>
      <c r="V126" s="3"/>
      <c r="W126" s="3"/>
      <c r="X126" s="3"/>
      <c r="Y126" s="3"/>
      <c r="Z126" s="3"/>
      <c r="AA126" s="3"/>
      <c r="AB126" s="3"/>
      <c r="AC126" s="3"/>
    </row>
    <row r="127" spans="1:29" x14ac:dyDescent="0.2">
      <c r="A127" s="3"/>
      <c r="B127" s="3"/>
      <c r="C127" s="86">
        <f t="shared" si="7"/>
        <v>140</v>
      </c>
      <c r="D127" s="36">
        <f t="shared" si="5"/>
        <v>-12.700000000000001</v>
      </c>
      <c r="E127" s="36">
        <f t="shared" si="6"/>
        <v>-0.7</v>
      </c>
      <c r="U127" s="3"/>
      <c r="V127" s="3"/>
      <c r="W127" s="3"/>
      <c r="X127" s="3"/>
      <c r="Y127" s="3"/>
      <c r="Z127" s="3"/>
      <c r="AA127" s="3"/>
      <c r="AB127" s="3"/>
      <c r="AC127" s="3"/>
    </row>
    <row r="128" spans="1:29" x14ac:dyDescent="0.2">
      <c r="A128" s="3"/>
      <c r="B128" s="3"/>
      <c r="C128" s="86">
        <f t="shared" si="7"/>
        <v>145</v>
      </c>
      <c r="D128" s="36">
        <f t="shared" si="5"/>
        <v>-13.768750000000001</v>
      </c>
      <c r="E128" s="36">
        <f t="shared" si="6"/>
        <v>-0.41875000000000007</v>
      </c>
      <c r="U128" s="3"/>
      <c r="V128" s="3"/>
      <c r="W128" s="3"/>
      <c r="X128" s="3"/>
      <c r="Y128" s="3"/>
      <c r="Z128" s="3"/>
      <c r="AA128" s="3"/>
      <c r="AB128" s="3"/>
      <c r="AC128" s="3"/>
    </row>
    <row r="129" spans="1:29" x14ac:dyDescent="0.2">
      <c r="A129" s="3"/>
      <c r="B129" s="3"/>
      <c r="C129" s="86">
        <f>C128+5</f>
        <v>150</v>
      </c>
      <c r="D129" s="36">
        <f t="shared" si="5"/>
        <v>-14.875</v>
      </c>
      <c r="E129" s="36">
        <f t="shared" si="6"/>
        <v>-0.17500000000000004</v>
      </c>
      <c r="U129" s="3"/>
      <c r="V129" s="3"/>
      <c r="W129" s="3"/>
      <c r="X129" s="3"/>
      <c r="Y129" s="3"/>
      <c r="Z129" s="3"/>
      <c r="AA129" s="3"/>
      <c r="AB129" s="3"/>
      <c r="AC129" s="3"/>
    </row>
    <row r="130" spans="1:29" x14ac:dyDescent="0.2">
      <c r="A130" s="3"/>
      <c r="B130" s="3"/>
      <c r="C130" s="86">
        <f>C129+5</f>
        <v>155</v>
      </c>
      <c r="D130" s="36">
        <f t="shared" si="5"/>
        <v>-16.018750000000001</v>
      </c>
      <c r="E130" s="36">
        <f t="shared" si="6"/>
        <v>3.125E-2</v>
      </c>
      <c r="U130" s="3"/>
      <c r="V130" s="3"/>
      <c r="W130" s="3"/>
      <c r="X130" s="3"/>
      <c r="Y130" s="3"/>
      <c r="Z130" s="3"/>
      <c r="AA130" s="3"/>
      <c r="AB130" s="3"/>
      <c r="AC130" s="3"/>
    </row>
    <row r="131" spans="1:29" x14ac:dyDescent="0.2">
      <c r="A131" s="3"/>
      <c r="B131" s="3"/>
      <c r="C131" s="86">
        <f t="shared" ref="C131:C170" si="8">C130+5</f>
        <v>160</v>
      </c>
      <c r="D131" s="36">
        <f t="shared" si="5"/>
        <v>-17.2</v>
      </c>
      <c r="E131" s="36">
        <f t="shared" si="6"/>
        <v>0.2</v>
      </c>
      <c r="U131" s="3"/>
      <c r="V131" s="3"/>
      <c r="W131" s="3"/>
      <c r="X131" s="3"/>
      <c r="Y131" s="3"/>
      <c r="Z131" s="3"/>
      <c r="AA131" s="3"/>
      <c r="AB131" s="3"/>
      <c r="AC131" s="3"/>
    </row>
    <row r="132" spans="1:29" x14ac:dyDescent="0.2">
      <c r="A132" s="3"/>
      <c r="B132" s="3"/>
      <c r="C132" s="86">
        <f t="shared" si="8"/>
        <v>165</v>
      </c>
      <c r="D132" s="36">
        <f t="shared" si="5"/>
        <v>-18.418749999999999</v>
      </c>
      <c r="E132" s="36">
        <f t="shared" si="6"/>
        <v>0.33124999999999999</v>
      </c>
      <c r="U132" s="3"/>
      <c r="V132" s="3"/>
      <c r="W132" s="3"/>
      <c r="X132" s="3"/>
      <c r="Y132" s="3"/>
      <c r="Z132" s="3"/>
      <c r="AA132" s="3"/>
      <c r="AB132" s="3"/>
      <c r="AC132" s="3"/>
    </row>
    <row r="133" spans="1:29" x14ac:dyDescent="0.2">
      <c r="A133" s="3"/>
      <c r="B133" s="3"/>
      <c r="C133" s="86">
        <f t="shared" si="8"/>
        <v>170</v>
      </c>
      <c r="D133" s="36">
        <f t="shared" si="5"/>
        <v>-19.675000000000001</v>
      </c>
      <c r="E133" s="36">
        <f t="shared" si="6"/>
        <v>0.42499999999999999</v>
      </c>
      <c r="U133" s="3"/>
      <c r="V133" s="3"/>
      <c r="W133" s="3"/>
      <c r="X133" s="3"/>
      <c r="Y133" s="3"/>
      <c r="Z133" s="3"/>
      <c r="AA133" s="3"/>
      <c r="AB133" s="3"/>
      <c r="AC133" s="3"/>
    </row>
    <row r="134" spans="1:29" x14ac:dyDescent="0.2">
      <c r="A134" s="3"/>
      <c r="B134" s="3"/>
      <c r="C134" s="86">
        <f t="shared" si="8"/>
        <v>175</v>
      </c>
      <c r="D134" s="36">
        <f t="shared" si="5"/>
        <v>-20.96875</v>
      </c>
      <c r="E134" s="18">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x14ac:dyDescent="0.2">
      <c r="A135" s="3"/>
      <c r="B135" s="3"/>
      <c r="C135" s="86">
        <f t="shared" si="8"/>
        <v>180</v>
      </c>
      <c r="D135" s="36">
        <f t="shared" si="5"/>
        <v>-22.3</v>
      </c>
      <c r="E135" s="36">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x14ac:dyDescent="0.2">
      <c r="A136" s="3"/>
      <c r="B136" s="3"/>
      <c r="C136" s="86">
        <f t="shared" si="8"/>
        <v>185</v>
      </c>
      <c r="D136" s="36">
        <f>2-0.00075*(360-C136)^2</f>
        <v>-20.96875</v>
      </c>
      <c r="E136" s="18">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x14ac:dyDescent="0.2">
      <c r="A137" s="3"/>
      <c r="B137" s="3"/>
      <c r="C137" s="86">
        <f t="shared" si="8"/>
        <v>190</v>
      </c>
      <c r="D137" s="36">
        <f t="shared" ref="D137:D171" si="9">2-0.00075*(360-C137)^2</f>
        <v>-19.675000000000001</v>
      </c>
      <c r="E137" s="18">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x14ac:dyDescent="0.2">
      <c r="A138" s="3"/>
      <c r="B138" s="3"/>
      <c r="C138" s="86">
        <f t="shared" si="8"/>
        <v>195</v>
      </c>
      <c r="D138" s="36">
        <f t="shared" si="9"/>
        <v>-18.418749999999999</v>
      </c>
      <c r="E138" s="18">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x14ac:dyDescent="0.2">
      <c r="A139" s="3"/>
      <c r="B139" s="3"/>
      <c r="C139" s="86">
        <f t="shared" si="8"/>
        <v>200</v>
      </c>
      <c r="D139" s="36">
        <f t="shared" si="9"/>
        <v>-17.2</v>
      </c>
      <c r="E139" s="18">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x14ac:dyDescent="0.2">
      <c r="A140" s="3"/>
      <c r="B140" s="3"/>
      <c r="C140" s="86">
        <f t="shared" si="8"/>
        <v>205</v>
      </c>
      <c r="D140" s="36">
        <f t="shared" si="9"/>
        <v>-16.018750000000001</v>
      </c>
      <c r="E140" s="18">
        <f t="shared" si="10"/>
        <v>3.125E-2</v>
      </c>
      <c r="F140" s="3"/>
      <c r="G140" s="3" t="s">
        <v>37</v>
      </c>
      <c r="H140" s="3"/>
      <c r="I140" s="3"/>
      <c r="J140" s="3"/>
      <c r="K140" s="3"/>
      <c r="L140" s="3"/>
      <c r="M140" s="3"/>
      <c r="N140" s="3"/>
      <c r="O140" s="3"/>
      <c r="P140" s="3"/>
      <c r="Q140" s="3"/>
      <c r="R140" s="3"/>
      <c r="S140" s="3"/>
      <c r="T140" s="3"/>
      <c r="U140" s="3"/>
      <c r="V140" s="3"/>
      <c r="W140" s="3"/>
      <c r="X140" s="3"/>
      <c r="Y140" s="3"/>
      <c r="Z140" s="3"/>
      <c r="AA140" s="3"/>
      <c r="AB140" s="3"/>
      <c r="AC140" s="3"/>
    </row>
    <row r="141" spans="1:29" x14ac:dyDescent="0.2">
      <c r="A141" s="3"/>
      <c r="B141" s="3"/>
      <c r="C141" s="86">
        <f t="shared" si="8"/>
        <v>210</v>
      </c>
      <c r="D141" s="36">
        <f t="shared" si="9"/>
        <v>-14.875</v>
      </c>
      <c r="E141" s="18">
        <f t="shared" si="10"/>
        <v>-0.17500000000000004</v>
      </c>
      <c r="F141" s="3"/>
      <c r="G141" s="3" t="s">
        <v>37</v>
      </c>
      <c r="H141" s="3"/>
      <c r="I141" s="3"/>
      <c r="J141" s="3"/>
      <c r="K141" s="3"/>
      <c r="L141" s="3"/>
      <c r="M141" s="3"/>
      <c r="N141" s="3"/>
      <c r="O141" s="3"/>
      <c r="P141" s="3"/>
      <c r="Q141" s="3"/>
      <c r="R141" s="3"/>
      <c r="S141" s="3"/>
      <c r="T141" s="3"/>
      <c r="U141" s="3"/>
      <c r="V141" s="3"/>
      <c r="W141" s="3"/>
      <c r="X141" s="3"/>
      <c r="Y141" s="3"/>
      <c r="Z141" s="3"/>
      <c r="AA141" s="3"/>
      <c r="AB141" s="3"/>
      <c r="AC141" s="3"/>
    </row>
    <row r="142" spans="1:29" x14ac:dyDescent="0.2">
      <c r="A142" s="3"/>
      <c r="B142" s="3"/>
      <c r="C142" s="86">
        <f t="shared" si="8"/>
        <v>215</v>
      </c>
      <c r="D142" s="36">
        <f t="shared" si="9"/>
        <v>-13.768750000000001</v>
      </c>
      <c r="E142" s="18">
        <f t="shared" si="10"/>
        <v>-0.41875000000000007</v>
      </c>
      <c r="F142" s="3"/>
      <c r="G142" s="3" t="s">
        <v>37</v>
      </c>
      <c r="H142" s="3"/>
      <c r="I142" s="3"/>
      <c r="J142" s="3"/>
      <c r="K142" s="3"/>
      <c r="L142" s="3"/>
      <c r="M142" s="3"/>
      <c r="N142" s="3"/>
      <c r="O142" s="3"/>
      <c r="P142" s="3"/>
      <c r="Q142" s="3"/>
      <c r="R142" s="3"/>
      <c r="S142" s="3"/>
      <c r="T142" s="3"/>
      <c r="U142" s="3"/>
      <c r="V142" s="3"/>
      <c r="W142" s="3"/>
      <c r="X142" s="3"/>
      <c r="Y142" s="3"/>
      <c r="Z142" s="3"/>
      <c r="AA142" s="3"/>
      <c r="AB142" s="3"/>
      <c r="AC142" s="3"/>
    </row>
    <row r="143" spans="1:29" x14ac:dyDescent="0.2">
      <c r="A143" s="3"/>
      <c r="B143" s="3"/>
      <c r="C143" s="86">
        <f t="shared" si="8"/>
        <v>220</v>
      </c>
      <c r="D143" s="36">
        <f t="shared" si="9"/>
        <v>-12.700000000000001</v>
      </c>
      <c r="E143" s="18">
        <f t="shared" si="10"/>
        <v>-0.7</v>
      </c>
      <c r="F143" s="3"/>
      <c r="G143" s="3" t="s">
        <v>37</v>
      </c>
      <c r="H143" s="3"/>
      <c r="I143" s="3"/>
      <c r="J143" s="3"/>
      <c r="K143" s="3"/>
      <c r="L143" s="3"/>
      <c r="M143" s="3"/>
      <c r="N143" s="3"/>
      <c r="O143" s="3"/>
      <c r="P143" s="3"/>
      <c r="Q143" s="3"/>
      <c r="R143" s="3"/>
      <c r="S143" s="3"/>
      <c r="T143" s="3"/>
      <c r="U143" s="3"/>
      <c r="V143" s="3"/>
      <c r="W143" s="3"/>
      <c r="X143" s="3"/>
      <c r="Y143" s="3"/>
      <c r="Z143" s="3"/>
      <c r="AA143" s="3"/>
      <c r="AB143" s="3"/>
      <c r="AC143" s="3"/>
    </row>
    <row r="144" spans="1:29" x14ac:dyDescent="0.2">
      <c r="A144" s="3"/>
      <c r="B144" s="3"/>
      <c r="C144" s="86">
        <f t="shared" si="8"/>
        <v>225</v>
      </c>
      <c r="D144" s="36">
        <f t="shared" si="9"/>
        <v>-11.668750000000001</v>
      </c>
      <c r="E144" s="18">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x14ac:dyDescent="0.2">
      <c r="A145" s="3"/>
      <c r="B145" s="3"/>
      <c r="C145" s="86">
        <f t="shared" si="8"/>
        <v>230</v>
      </c>
      <c r="D145" s="36">
        <f t="shared" si="9"/>
        <v>-10.675000000000001</v>
      </c>
      <c r="E145" s="18">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x14ac:dyDescent="0.2">
      <c r="A146" s="3"/>
      <c r="B146" s="3"/>
      <c r="C146" s="86">
        <f t="shared" si="8"/>
        <v>235</v>
      </c>
      <c r="D146" s="36">
        <f t="shared" si="9"/>
        <v>-9.71875</v>
      </c>
      <c r="E146" s="18">
        <f t="shared" si="10"/>
        <v>-1.7687500000000003</v>
      </c>
      <c r="F146" s="3" t="s">
        <v>37</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x14ac:dyDescent="0.2">
      <c r="A147" s="3"/>
      <c r="B147" s="3"/>
      <c r="C147" s="86">
        <f t="shared" si="8"/>
        <v>240</v>
      </c>
      <c r="D147" s="36">
        <f t="shared" si="9"/>
        <v>-8.8000000000000007</v>
      </c>
      <c r="E147" s="18">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x14ac:dyDescent="0.2">
      <c r="A148" s="3"/>
      <c r="B148" s="3"/>
      <c r="C148" s="86">
        <f t="shared" si="8"/>
        <v>245</v>
      </c>
      <c r="D148" s="36">
        <f t="shared" si="9"/>
        <v>-7.9187500000000011</v>
      </c>
      <c r="E148" s="18">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x14ac:dyDescent="0.2">
      <c r="A149" s="3"/>
      <c r="B149" s="3"/>
      <c r="C149" s="86">
        <f t="shared" si="8"/>
        <v>250</v>
      </c>
      <c r="D149" s="36">
        <f t="shared" si="9"/>
        <v>-7.0750000000000011</v>
      </c>
      <c r="E149" s="18">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x14ac:dyDescent="0.2">
      <c r="A150" s="3"/>
      <c r="B150" s="3"/>
      <c r="C150" s="86">
        <f t="shared" si="8"/>
        <v>255</v>
      </c>
      <c r="D150" s="36">
        <f t="shared" si="9"/>
        <v>-6.2687500000000007</v>
      </c>
      <c r="E150" s="18">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x14ac:dyDescent="0.2">
      <c r="A151" s="3"/>
      <c r="B151" s="3"/>
      <c r="C151" s="86">
        <f t="shared" si="8"/>
        <v>260</v>
      </c>
      <c r="D151" s="36">
        <f t="shared" si="9"/>
        <v>-5.5</v>
      </c>
      <c r="E151" s="18">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x14ac:dyDescent="0.2">
      <c r="A152" s="3"/>
      <c r="B152" s="3"/>
      <c r="C152" s="86">
        <f t="shared" si="8"/>
        <v>265</v>
      </c>
      <c r="D152" s="36">
        <f t="shared" si="9"/>
        <v>-4.7687499999999998</v>
      </c>
      <c r="E152" s="18">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x14ac:dyDescent="0.2">
      <c r="A153" s="3"/>
      <c r="B153" s="3"/>
      <c r="C153" s="86">
        <f t="shared" si="8"/>
        <v>270</v>
      </c>
      <c r="D153" s="36">
        <f t="shared" si="9"/>
        <v>-4.0750000000000002</v>
      </c>
      <c r="E153" s="18">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x14ac:dyDescent="0.2">
      <c r="A154" s="3"/>
      <c r="B154" s="3"/>
      <c r="C154" s="86">
        <f t="shared" si="8"/>
        <v>275</v>
      </c>
      <c r="D154" s="36">
        <f t="shared" si="9"/>
        <v>-3.4187500000000002</v>
      </c>
      <c r="E154" s="18">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x14ac:dyDescent="0.2">
      <c r="A155" s="3"/>
      <c r="B155" s="3"/>
      <c r="C155" s="86">
        <f t="shared" si="8"/>
        <v>280</v>
      </c>
      <c r="D155" s="36">
        <f t="shared" si="9"/>
        <v>-2.8</v>
      </c>
      <c r="E155" s="18">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x14ac:dyDescent="0.2">
      <c r="A156" s="3"/>
      <c r="B156" s="3"/>
      <c r="C156" s="86">
        <f t="shared" si="8"/>
        <v>285</v>
      </c>
      <c r="D156" s="36">
        <f t="shared" si="9"/>
        <v>-2.21875</v>
      </c>
      <c r="E156" s="18">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x14ac:dyDescent="0.2">
      <c r="A157" s="3"/>
      <c r="B157" s="3"/>
      <c r="C157" s="86">
        <f t="shared" si="8"/>
        <v>290</v>
      </c>
      <c r="D157" s="36">
        <f t="shared" si="9"/>
        <v>-1.6750000000000003</v>
      </c>
      <c r="E157" s="18">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x14ac:dyDescent="0.2">
      <c r="A158" s="3"/>
      <c r="B158" s="3"/>
      <c r="C158" s="86">
        <f t="shared" si="8"/>
        <v>295</v>
      </c>
      <c r="D158" s="36">
        <f t="shared" si="9"/>
        <v>-1.1687500000000002</v>
      </c>
      <c r="E158" s="18">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x14ac:dyDescent="0.2">
      <c r="A159" s="3"/>
      <c r="B159" s="3"/>
      <c r="C159" s="86">
        <f t="shared" si="8"/>
        <v>300</v>
      </c>
      <c r="D159" s="36">
        <f t="shared" si="9"/>
        <v>-0.70000000000000018</v>
      </c>
      <c r="E159" s="18">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x14ac:dyDescent="0.2">
      <c r="A160" s="3"/>
      <c r="B160" s="3"/>
      <c r="C160" s="86">
        <f t="shared" si="8"/>
        <v>305</v>
      </c>
      <c r="D160" s="36">
        <f t="shared" si="9"/>
        <v>-0.26875000000000027</v>
      </c>
      <c r="E160" s="18">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x14ac:dyDescent="0.2">
      <c r="A161" s="3"/>
      <c r="B161" s="3"/>
      <c r="C161" s="86">
        <f t="shared" si="8"/>
        <v>310</v>
      </c>
      <c r="D161" s="36">
        <f t="shared" si="9"/>
        <v>0.125</v>
      </c>
      <c r="E161" s="18">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x14ac:dyDescent="0.2">
      <c r="A162" s="3"/>
      <c r="B162" s="3"/>
      <c r="C162" s="86">
        <f t="shared" si="8"/>
        <v>315</v>
      </c>
      <c r="D162" s="36">
        <f t="shared" si="9"/>
        <v>0.48124999999999996</v>
      </c>
      <c r="E162" s="18">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x14ac:dyDescent="0.2">
      <c r="A163" s="3"/>
      <c r="B163" s="3"/>
      <c r="C163" s="86">
        <f t="shared" si="8"/>
        <v>320</v>
      </c>
      <c r="D163" s="36">
        <f t="shared" si="9"/>
        <v>0.8</v>
      </c>
      <c r="E163" s="18">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x14ac:dyDescent="0.2">
      <c r="A164" s="3"/>
      <c r="B164" s="3"/>
      <c r="C164" s="86">
        <f t="shared" si="8"/>
        <v>325</v>
      </c>
      <c r="D164" s="36">
        <f t="shared" si="9"/>
        <v>1.0812499999999998</v>
      </c>
      <c r="E164" s="18">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x14ac:dyDescent="0.2">
      <c r="A165" s="3"/>
      <c r="B165" s="3"/>
      <c r="C165" s="86">
        <f t="shared" si="8"/>
        <v>330</v>
      </c>
      <c r="D165" s="36">
        <f t="shared" si="9"/>
        <v>1.325</v>
      </c>
      <c r="E165" s="18">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x14ac:dyDescent="0.2">
      <c r="A166" s="3"/>
      <c r="B166" s="3"/>
      <c r="C166" s="86">
        <f t="shared" si="8"/>
        <v>335</v>
      </c>
      <c r="D166" s="36">
        <f t="shared" si="9"/>
        <v>1.53125</v>
      </c>
      <c r="E166" s="18">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x14ac:dyDescent="0.2">
      <c r="A167" s="3"/>
      <c r="B167" s="3"/>
      <c r="C167" s="86">
        <f t="shared" si="8"/>
        <v>340</v>
      </c>
      <c r="D167" s="36">
        <f t="shared" si="9"/>
        <v>1.7</v>
      </c>
      <c r="E167" s="18">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x14ac:dyDescent="0.2">
      <c r="A168" s="3"/>
      <c r="B168" s="3"/>
      <c r="C168" s="86">
        <f t="shared" si="8"/>
        <v>345</v>
      </c>
      <c r="D168" s="36">
        <f t="shared" si="9"/>
        <v>1.83125</v>
      </c>
      <c r="E168" s="18">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x14ac:dyDescent="0.2">
      <c r="A169" s="3"/>
      <c r="B169" s="3"/>
      <c r="C169" s="86">
        <f t="shared" si="8"/>
        <v>350</v>
      </c>
      <c r="D169" s="36">
        <f t="shared" si="9"/>
        <v>1.925</v>
      </c>
      <c r="E169" s="18">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x14ac:dyDescent="0.2">
      <c r="A170" s="3"/>
      <c r="B170" s="3"/>
      <c r="C170" s="86">
        <f t="shared" si="8"/>
        <v>355</v>
      </c>
      <c r="D170" s="36">
        <f t="shared" si="9"/>
        <v>1.98125</v>
      </c>
      <c r="E170" s="18">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x14ac:dyDescent="0.2">
      <c r="A171" s="3"/>
      <c r="B171" s="3"/>
      <c r="C171" s="86">
        <v>360</v>
      </c>
      <c r="D171" s="36">
        <f t="shared" si="9"/>
        <v>2</v>
      </c>
      <c r="E171" s="18">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x14ac:dyDescent="0.2">
      <c r="A172" s="3"/>
      <c r="B172" s="3"/>
      <c r="C172" s="86"/>
      <c r="D172" s="36"/>
      <c r="E172" s="18"/>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x14ac:dyDescent="0.2">
      <c r="A173" s="3"/>
      <c r="B173" s="3"/>
      <c r="C173" s="86"/>
      <c r="D173" s="36"/>
      <c r="E173" s="18"/>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x14ac:dyDescent="0.2">
      <c r="A174" s="3"/>
      <c r="B174" s="34" t="s">
        <v>37</v>
      </c>
      <c r="C174" s="3"/>
      <c r="D174" s="658" t="s">
        <v>293</v>
      </c>
      <c r="E174" s="659" t="s">
        <v>384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x14ac:dyDescent="0.2">
      <c r="A175" s="3"/>
      <c r="B175" s="651" t="s">
        <v>848</v>
      </c>
      <c r="C175" s="489" t="s">
        <v>383</v>
      </c>
      <c r="D175" s="657" t="s">
        <v>385</v>
      </c>
      <c r="E175" s="657" t="s">
        <v>385</v>
      </c>
      <c r="F175" s="461"/>
      <c r="G175" s="461"/>
      <c r="H175" s="461"/>
      <c r="I175" s="461"/>
      <c r="J175" s="461"/>
      <c r="K175" s="461"/>
      <c r="L175" s="461"/>
      <c r="M175" s="108"/>
      <c r="N175" s="108"/>
      <c r="O175" s="3"/>
      <c r="P175" s="3"/>
      <c r="Q175" s="3"/>
      <c r="R175" s="3"/>
      <c r="S175" s="3"/>
      <c r="T175" s="3"/>
      <c r="U175" s="3"/>
      <c r="V175" s="3"/>
      <c r="W175" s="3"/>
      <c r="X175" s="3"/>
      <c r="Y175" s="3"/>
      <c r="Z175" s="3"/>
      <c r="AA175" s="3"/>
      <c r="AB175" s="3"/>
      <c r="AC175" s="3"/>
    </row>
    <row r="176" spans="1:29" x14ac:dyDescent="0.2">
      <c r="A176" s="3"/>
      <c r="B176" s="34"/>
      <c r="C176" s="86">
        <v>0</v>
      </c>
      <c r="D176" s="449">
        <f>4-1.5*((4-10*LOG10(1.256*(1+COS(RADIANS(C176))))))</f>
        <v>4.0002945259773774</v>
      </c>
      <c r="E176" s="86"/>
      <c r="F176" s="461"/>
      <c r="G176" s="461"/>
      <c r="H176" s="461"/>
      <c r="I176" s="461"/>
      <c r="J176" s="461"/>
      <c r="K176" s="461"/>
      <c r="L176" s="461"/>
      <c r="M176" s="108"/>
      <c r="N176" s="108"/>
      <c r="O176" s="3"/>
      <c r="P176" s="3"/>
      <c r="Q176" s="3"/>
      <c r="R176" s="3"/>
      <c r="S176" s="3"/>
      <c r="T176" s="3"/>
      <c r="U176" s="3"/>
      <c r="V176" s="3"/>
      <c r="W176" s="3"/>
      <c r="X176" s="3"/>
      <c r="Y176" s="3"/>
      <c r="Z176" s="3"/>
      <c r="AA176" s="3"/>
      <c r="AB176" s="3"/>
      <c r="AC176" s="3"/>
    </row>
    <row r="177" spans="1:29" x14ac:dyDescent="0.2">
      <c r="A177" s="3"/>
      <c r="B177" s="34"/>
      <c r="C177" s="86">
        <f>C176+5</f>
        <v>5</v>
      </c>
      <c r="D177" s="449">
        <f t="shared" ref="D177:D211" si="11">4-1.5*((4-10*LOG10(1.256*(1+COS(RADIANS(C177))))))</f>
        <v>3.9878880574860744</v>
      </c>
      <c r="E177" s="86"/>
      <c r="F177" s="461"/>
      <c r="G177" s="461"/>
      <c r="H177" s="461"/>
      <c r="I177" s="461"/>
      <c r="J177" s="461"/>
      <c r="K177" s="461"/>
      <c r="L177" s="461"/>
      <c r="M177" s="108"/>
      <c r="N177" s="108"/>
      <c r="O177" s="3"/>
      <c r="P177" s="3"/>
      <c r="Q177" s="3"/>
      <c r="R177" s="3"/>
      <c r="S177" s="3"/>
      <c r="T177" s="3"/>
      <c r="U177" s="3"/>
      <c r="V177" s="3"/>
      <c r="W177" s="3"/>
      <c r="X177" s="3"/>
      <c r="Y177" s="3"/>
      <c r="Z177" s="3"/>
      <c r="AA177" s="3"/>
      <c r="AB177" s="3"/>
      <c r="AC177" s="3"/>
    </row>
    <row r="178" spans="1:29" x14ac:dyDescent="0.2">
      <c r="A178" s="3"/>
      <c r="B178" s="34"/>
      <c r="C178" s="86">
        <f t="shared" ref="C178:C212" si="12">C177+5</f>
        <v>10</v>
      </c>
      <c r="D178" s="449">
        <f t="shared" si="11"/>
        <v>3.9506213065023497</v>
      </c>
      <c r="E178" s="86"/>
      <c r="F178" s="461"/>
      <c r="G178" s="461"/>
      <c r="H178" s="461"/>
      <c r="I178" s="461"/>
      <c r="J178" s="461"/>
      <c r="K178" s="461"/>
      <c r="L178" s="461"/>
      <c r="M178" s="108"/>
      <c r="N178" s="108"/>
      <c r="O178" s="3"/>
      <c r="P178" s="3"/>
      <c r="Q178" s="3"/>
      <c r="R178" s="3"/>
      <c r="S178" s="3"/>
      <c r="T178" s="3"/>
      <c r="U178" s="3"/>
      <c r="V178" s="3"/>
      <c r="W178" s="3"/>
      <c r="X178" s="3"/>
      <c r="Y178" s="3"/>
      <c r="Z178" s="3"/>
      <c r="AA178" s="3"/>
      <c r="AB178" s="3"/>
      <c r="AC178" s="3"/>
    </row>
    <row r="179" spans="1:29" x14ac:dyDescent="0.2">
      <c r="A179" s="3"/>
      <c r="B179" s="34"/>
      <c r="C179" s="86">
        <f t="shared" si="12"/>
        <v>15</v>
      </c>
      <c r="D179" s="449">
        <f t="shared" si="11"/>
        <v>3.8883515113557801</v>
      </c>
      <c r="E179" s="86"/>
      <c r="F179" s="461"/>
      <c r="G179" s="461"/>
      <c r="H179" s="461"/>
      <c r="I179" s="461"/>
      <c r="J179" s="461"/>
      <c r="K179" s="461"/>
      <c r="L179" s="461"/>
      <c r="M179" s="108"/>
      <c r="N179" s="108"/>
      <c r="O179" s="3"/>
      <c r="P179" s="3"/>
      <c r="Q179" s="3"/>
      <c r="R179" s="3"/>
      <c r="S179" s="3"/>
      <c r="T179" s="3"/>
      <c r="U179" s="3"/>
      <c r="V179" s="3"/>
      <c r="W179" s="3"/>
      <c r="X179" s="3"/>
      <c r="Y179" s="3"/>
      <c r="Z179" s="3"/>
      <c r="AA179" s="3"/>
      <c r="AB179" s="3"/>
      <c r="AC179" s="3"/>
    </row>
    <row r="180" spans="1:29" x14ac:dyDescent="0.2">
      <c r="A180" s="3"/>
      <c r="B180" s="34"/>
      <c r="C180" s="86">
        <f t="shared" si="12"/>
        <v>20</v>
      </c>
      <c r="D180" s="449">
        <f t="shared" si="11"/>
        <v>3.8008382950754434</v>
      </c>
      <c r="E180" s="86"/>
      <c r="F180" s="461"/>
      <c r="G180" s="461"/>
      <c r="H180" s="461"/>
      <c r="I180" s="461"/>
      <c r="J180" s="461"/>
      <c r="K180" s="461"/>
      <c r="L180" s="461"/>
      <c r="M180" s="108"/>
      <c r="N180" s="108"/>
      <c r="O180" s="3"/>
      <c r="P180" s="3"/>
      <c r="Q180" s="3"/>
      <c r="R180" s="3"/>
      <c r="S180" s="3"/>
      <c r="T180" s="3"/>
      <c r="U180" s="3"/>
      <c r="V180" s="3"/>
      <c r="W180" s="3"/>
      <c r="X180" s="3"/>
      <c r="Y180" s="3"/>
      <c r="Z180" s="3"/>
      <c r="AA180" s="3"/>
      <c r="AB180" s="3"/>
      <c r="AC180" s="3"/>
    </row>
    <row r="181" spans="1:29" x14ac:dyDescent="0.2">
      <c r="A181" s="3"/>
      <c r="B181" s="34"/>
      <c r="C181" s="86">
        <f t="shared" si="12"/>
        <v>25</v>
      </c>
      <c r="D181" s="449">
        <f t="shared" si="11"/>
        <v>3.6877399197602871</v>
      </c>
      <c r="E181" s="86" t="s">
        <v>37</v>
      </c>
      <c r="F181" s="461"/>
      <c r="G181" s="461"/>
      <c r="H181" s="461"/>
      <c r="I181" s="461"/>
      <c r="J181" s="461"/>
      <c r="K181" s="461"/>
      <c r="L181" s="461"/>
      <c r="M181" s="108"/>
      <c r="N181" s="108"/>
      <c r="O181" s="3"/>
      <c r="P181" s="3"/>
      <c r="Q181" s="3"/>
      <c r="R181" s="3"/>
      <c r="S181" s="3"/>
      <c r="T181" s="3"/>
      <c r="U181" s="3"/>
      <c r="V181" s="3"/>
      <c r="W181" s="3"/>
      <c r="X181" s="3"/>
      <c r="Y181" s="3"/>
      <c r="Z181" s="3"/>
      <c r="AA181" s="3"/>
      <c r="AB181" s="3"/>
      <c r="AC181" s="3"/>
    </row>
    <row r="182" spans="1:29" x14ac:dyDescent="0.2">
      <c r="A182" s="3"/>
      <c r="B182" s="34"/>
      <c r="C182" s="86">
        <f t="shared" si="12"/>
        <v>30</v>
      </c>
      <c r="D182" s="449">
        <f t="shared" si="11"/>
        <v>3.5486078690583334</v>
      </c>
      <c r="E182" s="86"/>
      <c r="F182" s="461"/>
      <c r="G182" s="461"/>
      <c r="H182" s="461"/>
      <c r="I182" s="461"/>
      <c r="J182" s="461"/>
      <c r="K182" s="461"/>
      <c r="L182" s="461"/>
      <c r="M182" s="108"/>
      <c r="N182" s="108"/>
      <c r="O182" s="3"/>
      <c r="P182" s="3"/>
      <c r="Q182" s="3"/>
      <c r="R182" s="3"/>
      <c r="S182" s="3"/>
      <c r="T182" s="3"/>
      <c r="U182" s="3"/>
      <c r="V182" s="3"/>
      <c r="W182" s="3"/>
      <c r="X182" s="3"/>
      <c r="Y182" s="3"/>
      <c r="Z182" s="3"/>
      <c r="AA182" s="3"/>
      <c r="AB182" s="3"/>
      <c r="AC182" s="3"/>
    </row>
    <row r="183" spans="1:29" x14ac:dyDescent="0.2">
      <c r="A183" s="3"/>
      <c r="B183" s="34"/>
      <c r="C183" s="86">
        <f t="shared" si="12"/>
        <v>35</v>
      </c>
      <c r="D183" s="449">
        <f t="shared" si="11"/>
        <v>3.3828795731450212</v>
      </c>
      <c r="E183" s="86"/>
      <c r="F183" s="461"/>
      <c r="G183" s="461"/>
      <c r="H183" s="461"/>
      <c r="I183" s="461"/>
      <c r="J183" s="461"/>
      <c r="K183" s="461"/>
      <c r="L183" s="461"/>
      <c r="M183" s="108"/>
      <c r="N183" s="108"/>
      <c r="O183" s="3"/>
      <c r="P183" s="3"/>
      <c r="Q183" s="3"/>
      <c r="R183" s="3"/>
      <c r="S183" s="3"/>
      <c r="T183" s="3"/>
      <c r="U183" s="3"/>
      <c r="V183" s="3"/>
      <c r="W183" s="3"/>
      <c r="X183" s="3"/>
      <c r="Y183" s="3"/>
      <c r="Z183" s="3"/>
      <c r="AA183" s="3"/>
      <c r="AB183" s="3"/>
      <c r="AC183" s="3"/>
    </row>
    <row r="184" spans="1:29" x14ac:dyDescent="0.2">
      <c r="A184" s="3"/>
      <c r="B184" s="34"/>
      <c r="C184" s="86">
        <f t="shared" si="12"/>
        <v>40</v>
      </c>
      <c r="D184" s="449">
        <f t="shared" si="11"/>
        <v>3.1898690192654722</v>
      </c>
      <c r="E184" s="86"/>
      <c r="F184" s="461"/>
      <c r="G184" s="461"/>
      <c r="H184" s="461"/>
      <c r="I184" s="461"/>
      <c r="J184" s="461"/>
      <c r="K184" s="461"/>
      <c r="L184" s="461"/>
      <c r="M184" s="108"/>
      <c r="N184" s="108"/>
      <c r="O184" s="3"/>
      <c r="P184" s="3"/>
      <c r="Q184" s="3"/>
      <c r="R184" s="3"/>
      <c r="S184" s="3"/>
      <c r="T184" s="3"/>
      <c r="U184" s="3"/>
      <c r="V184" s="3"/>
      <c r="W184" s="3"/>
      <c r="X184" s="3"/>
      <c r="Y184" s="3"/>
      <c r="Z184" s="3"/>
      <c r="AA184" s="3"/>
      <c r="AB184" s="3"/>
      <c r="AC184" s="3"/>
    </row>
    <row r="185" spans="1:29" x14ac:dyDescent="0.2">
      <c r="A185" s="3"/>
      <c r="B185" s="34"/>
      <c r="C185" s="86">
        <f t="shared" si="12"/>
        <v>45</v>
      </c>
      <c r="D185" s="449">
        <f t="shared" si="11"/>
        <v>2.9687549036057468</v>
      </c>
      <c r="E185" s="86"/>
      <c r="F185" s="461"/>
      <c r="G185" s="461"/>
      <c r="H185" s="461" t="s">
        <v>37</v>
      </c>
      <c r="I185" s="461" t="s">
        <v>850</v>
      </c>
      <c r="J185" s="461"/>
      <c r="K185" s="461"/>
      <c r="L185" s="461"/>
      <c r="M185" s="108"/>
      <c r="N185" s="108"/>
      <c r="O185" s="3"/>
      <c r="P185" s="3"/>
      <c r="Q185" s="3"/>
      <c r="R185" s="3"/>
      <c r="S185" s="3"/>
      <c r="T185" s="3"/>
      <c r="U185" s="3"/>
      <c r="V185" s="3"/>
      <c r="W185" s="3"/>
      <c r="X185" s="3"/>
      <c r="Y185" s="3"/>
      <c r="Z185" s="3"/>
      <c r="AA185" s="3"/>
      <c r="AB185" s="3"/>
      <c r="AC185" s="3"/>
    </row>
    <row r="186" spans="1:29" x14ac:dyDescent="0.2">
      <c r="A186" s="3"/>
      <c r="B186" s="34"/>
      <c r="C186" s="86">
        <f t="shared" si="12"/>
        <v>50</v>
      </c>
      <c r="D186" s="449">
        <f t="shared" si="11"/>
        <v>2.7185658705693321</v>
      </c>
      <c r="E186" s="86"/>
      <c r="F186" s="461"/>
      <c r="G186" s="461"/>
      <c r="H186" s="461"/>
      <c r="I186" s="461"/>
      <c r="J186" s="461" t="s">
        <v>846</v>
      </c>
      <c r="K186" s="461"/>
      <c r="L186" s="461"/>
      <c r="M186" s="108"/>
      <c r="N186" s="108"/>
      <c r="O186" s="3"/>
      <c r="P186" s="3"/>
      <c r="Q186" s="3"/>
      <c r="R186" s="3"/>
      <c r="S186" s="3"/>
      <c r="T186" s="3"/>
      <c r="U186" s="3"/>
      <c r="V186" s="3"/>
      <c r="W186" s="3"/>
      <c r="X186" s="3"/>
      <c r="Y186" s="3"/>
      <c r="Z186" s="3"/>
      <c r="AA186" s="3"/>
      <c r="AB186" s="3"/>
      <c r="AC186" s="3"/>
    </row>
    <row r="187" spans="1:29" x14ac:dyDescent="0.2">
      <c r="A187" s="3"/>
      <c r="B187" s="34"/>
      <c r="C187" s="86">
        <f t="shared" si="12"/>
        <v>55</v>
      </c>
      <c r="D187" s="449">
        <f t="shared" si="11"/>
        <v>2.4381622447440372</v>
      </c>
      <c r="E187" s="86"/>
      <c r="F187" s="461"/>
      <c r="G187" s="461"/>
      <c r="H187" s="461"/>
      <c r="I187" s="461"/>
      <c r="J187" s="461"/>
      <c r="K187" s="461"/>
      <c r="L187" s="461"/>
      <c r="M187" s="108"/>
      <c r="N187" s="108"/>
      <c r="O187" s="3"/>
      <c r="P187" s="3"/>
      <c r="Q187" s="3"/>
      <c r="R187" s="3"/>
      <c r="S187" s="3"/>
      <c r="T187" s="3"/>
      <c r="U187" s="3"/>
      <c r="V187" s="3"/>
      <c r="W187" s="3"/>
      <c r="X187" s="3"/>
      <c r="Y187" s="3"/>
      <c r="Z187" s="3"/>
      <c r="AA187" s="3"/>
      <c r="AB187" s="3"/>
      <c r="AC187" s="3"/>
    </row>
    <row r="188" spans="1:29" x14ac:dyDescent="0.2">
      <c r="A188" s="3"/>
      <c r="B188" s="34"/>
      <c r="C188" s="86">
        <f t="shared" si="12"/>
        <v>60</v>
      </c>
      <c r="D188" s="449">
        <f t="shared" si="11"/>
        <v>2.1262134768528775</v>
      </c>
      <c r="E188" s="86"/>
      <c r="F188" s="461"/>
      <c r="G188" s="461"/>
      <c r="H188" s="461"/>
      <c r="I188" s="461"/>
      <c r="J188" s="461"/>
      <c r="K188" s="461"/>
      <c r="L188" s="461"/>
      <c r="M188" s="108"/>
      <c r="N188" s="108"/>
      <c r="O188" s="3"/>
      <c r="P188" s="3"/>
      <c r="Q188" s="3"/>
      <c r="R188" s="3"/>
      <c r="S188" s="3"/>
      <c r="T188" s="3"/>
      <c r="U188" s="3"/>
      <c r="V188" s="3"/>
      <c r="W188" s="3"/>
      <c r="X188" s="3"/>
      <c r="Y188" s="3"/>
      <c r="Z188" s="3"/>
      <c r="AA188" s="3"/>
      <c r="AB188" s="3"/>
      <c r="AC188" s="3"/>
    </row>
    <row r="189" spans="1:29" x14ac:dyDescent="0.2">
      <c r="A189" s="3"/>
      <c r="B189" s="34"/>
      <c r="C189" s="86">
        <f t="shared" si="12"/>
        <v>65</v>
      </c>
      <c r="D189" s="449">
        <f t="shared" si="11"/>
        <v>1.7811702806787064</v>
      </c>
      <c r="E189" s="86"/>
      <c r="F189" s="461"/>
      <c r="G189" s="461"/>
      <c r="H189" s="461"/>
      <c r="I189" s="461"/>
      <c r="J189" s="461"/>
      <c r="K189" s="461"/>
      <c r="L189" s="461"/>
      <c r="M189" s="108"/>
      <c r="N189" s="108"/>
      <c r="O189" s="3"/>
      <c r="P189" s="3"/>
      <c r="Q189" s="3"/>
      <c r="R189" s="3"/>
      <c r="S189" s="3"/>
      <c r="T189" s="3"/>
      <c r="U189" s="3"/>
      <c r="V189" s="3"/>
      <c r="W189" s="3"/>
      <c r="X189" s="3"/>
      <c r="Y189" s="3"/>
      <c r="Z189" s="3"/>
      <c r="AA189" s="3"/>
      <c r="AB189" s="3"/>
      <c r="AC189" s="3"/>
    </row>
    <row r="190" spans="1:29" x14ac:dyDescent="0.2">
      <c r="A190" s="3"/>
      <c r="B190" s="34"/>
      <c r="C190" s="86">
        <f t="shared" si="12"/>
        <v>70</v>
      </c>
      <c r="D190" s="449">
        <f t="shared" si="11"/>
        <v>1.4012301087231167</v>
      </c>
      <c r="E190" s="86"/>
      <c r="F190" s="461"/>
      <c r="G190" s="461"/>
      <c r="H190" s="461"/>
      <c r="I190" s="461"/>
      <c r="J190" s="461"/>
      <c r="K190" s="461"/>
      <c r="L190" s="461"/>
      <c r="M190" s="108"/>
      <c r="N190" s="108"/>
      <c r="O190" s="3"/>
      <c r="P190" s="3"/>
      <c r="Q190" s="3"/>
      <c r="R190" s="3"/>
      <c r="S190" s="3"/>
      <c r="T190" s="3"/>
      <c r="U190" s="3"/>
      <c r="V190" s="3"/>
      <c r="W190" s="3"/>
      <c r="X190" s="3"/>
      <c r="Y190" s="3"/>
      <c r="Z190" s="3"/>
      <c r="AA190" s="3"/>
      <c r="AB190" s="3"/>
      <c r="AC190" s="3"/>
    </row>
    <row r="191" spans="1:29" x14ac:dyDescent="0.2">
      <c r="A191" s="3"/>
      <c r="B191" s="34"/>
      <c r="C191" s="86">
        <f t="shared" si="12"/>
        <v>75</v>
      </c>
      <c r="D191" s="449">
        <f t="shared" si="11"/>
        <v>0.98429416422027893</v>
      </c>
      <c r="E191" s="86"/>
      <c r="F191" s="461"/>
      <c r="G191" s="461"/>
      <c r="H191" s="461"/>
      <c r="I191" s="461"/>
      <c r="J191" s="461"/>
      <c r="K191" s="461"/>
      <c r="L191" s="461"/>
      <c r="M191" s="108"/>
      <c r="N191" s="108"/>
      <c r="O191" s="3"/>
      <c r="P191" s="3"/>
      <c r="Q191" s="3"/>
      <c r="R191" s="3"/>
      <c r="S191" s="3"/>
      <c r="T191" s="3"/>
      <c r="U191" s="3"/>
      <c r="V191" s="3"/>
      <c r="W191" s="3"/>
      <c r="X191" s="3"/>
      <c r="Y191" s="3"/>
      <c r="Z191" s="3"/>
      <c r="AA191" s="3"/>
      <c r="AB191" s="3"/>
      <c r="AC191" s="3"/>
    </row>
    <row r="192" spans="1:29" x14ac:dyDescent="0.2">
      <c r="A192" s="3"/>
      <c r="B192" s="34"/>
      <c r="C192" s="86">
        <f t="shared" si="12"/>
        <v>80</v>
      </c>
      <c r="D192" s="449">
        <f t="shared" si="11"/>
        <v>0.52791352258296209</v>
      </c>
      <c r="E192" s="86"/>
      <c r="F192" s="461"/>
      <c r="G192" s="461"/>
      <c r="H192" s="461"/>
      <c r="I192" s="461"/>
      <c r="J192" s="461"/>
      <c r="K192" s="461"/>
      <c r="L192" s="461"/>
      <c r="M192" s="108"/>
      <c r="N192" s="108"/>
      <c r="O192" s="3"/>
      <c r="P192" s="3"/>
      <c r="Q192" s="3"/>
      <c r="R192" s="3"/>
      <c r="S192" s="3"/>
      <c r="T192" s="3"/>
      <c r="U192" s="3"/>
      <c r="V192" s="3"/>
      <c r="W192" s="3"/>
      <c r="X192" s="3"/>
      <c r="Y192" s="3"/>
      <c r="Z192" s="3"/>
      <c r="AA192" s="3"/>
      <c r="AB192" s="3"/>
      <c r="AC192" s="3"/>
    </row>
    <row r="193" spans="1:29" x14ac:dyDescent="0.2">
      <c r="A193" s="3"/>
      <c r="B193" s="34"/>
      <c r="C193" s="86">
        <f t="shared" si="12"/>
        <v>85</v>
      </c>
      <c r="D193" s="449">
        <f t="shared" si="11"/>
        <v>2.9221055497633763E-2</v>
      </c>
      <c r="E193" s="86"/>
      <c r="F193" s="461"/>
      <c r="G193" s="461"/>
      <c r="H193" s="461"/>
      <c r="I193" s="461"/>
      <c r="J193" s="461"/>
      <c r="K193" s="461"/>
      <c r="L193" s="461"/>
      <c r="M193" s="108"/>
      <c r="N193" s="108"/>
      <c r="O193" s="3"/>
      <c r="P193" s="3"/>
      <c r="Q193" s="3"/>
      <c r="R193" s="3"/>
      <c r="S193" s="3"/>
      <c r="T193" s="3"/>
      <c r="U193" s="3"/>
      <c r="V193" s="3"/>
      <c r="W193" s="3"/>
      <c r="X193" s="3"/>
      <c r="Y193" s="3"/>
      <c r="Z193" s="3"/>
      <c r="AA193" s="3"/>
      <c r="AB193" s="3"/>
      <c r="AC193" s="3"/>
    </row>
    <row r="194" spans="1:29" x14ac:dyDescent="0.2">
      <c r="A194" s="3"/>
      <c r="B194" s="34"/>
      <c r="C194" s="86">
        <f t="shared" si="12"/>
        <v>90</v>
      </c>
      <c r="D194" s="449">
        <f t="shared" si="11"/>
        <v>-0.51515540898233958</v>
      </c>
      <c r="E194" s="86"/>
      <c r="F194" s="461"/>
      <c r="G194" s="461"/>
      <c r="H194" s="461"/>
      <c r="I194" s="461"/>
      <c r="J194" s="461"/>
      <c r="K194" s="461"/>
      <c r="L194" s="461"/>
      <c r="M194" s="108"/>
      <c r="N194" s="108"/>
      <c r="O194" s="3"/>
      <c r="P194" s="3"/>
      <c r="Q194" s="3"/>
      <c r="R194" s="3"/>
      <c r="S194" s="3"/>
      <c r="T194" s="3"/>
      <c r="U194" s="3"/>
      <c r="V194" s="3"/>
      <c r="W194" s="3"/>
      <c r="X194" s="3"/>
      <c r="Y194" s="3"/>
      <c r="Z194" s="3"/>
      <c r="AA194" s="3"/>
      <c r="AB194" s="3"/>
      <c r="AC194" s="3"/>
    </row>
    <row r="195" spans="1:29" x14ac:dyDescent="0.2">
      <c r="A195" s="3"/>
      <c r="B195" s="34"/>
      <c r="C195" s="86">
        <f t="shared" si="12"/>
        <v>95</v>
      </c>
      <c r="D195" s="449">
        <f t="shared" si="11"/>
        <v>-1.1092050929373443</v>
      </c>
      <c r="E195" s="86"/>
      <c r="F195" s="461"/>
      <c r="G195" s="461"/>
      <c r="H195" s="461"/>
      <c r="I195" s="461"/>
      <c r="J195" s="461"/>
      <c r="K195" s="461"/>
      <c r="L195" s="461"/>
      <c r="M195" s="108"/>
      <c r="N195" s="108"/>
      <c r="O195" s="3"/>
      <c r="P195" s="3"/>
      <c r="Q195" s="3"/>
      <c r="R195" s="3"/>
      <c r="S195" s="3"/>
      <c r="T195" s="3"/>
      <c r="U195" s="3"/>
      <c r="V195" s="3"/>
      <c r="W195" s="3"/>
      <c r="X195" s="3"/>
      <c r="Y195" s="3"/>
      <c r="Z195" s="3"/>
      <c r="AA195" s="3"/>
      <c r="AB195" s="3"/>
      <c r="AC195" s="3"/>
    </row>
    <row r="196" spans="1:29" x14ac:dyDescent="0.2">
      <c r="A196" s="3"/>
      <c r="B196" s="34"/>
      <c r="C196" s="86">
        <f t="shared" si="12"/>
        <v>100</v>
      </c>
      <c r="D196" s="449">
        <f t="shared" si="11"/>
        <v>-1.7576805714495745</v>
      </c>
      <c r="E196" s="86"/>
      <c r="F196" s="461"/>
      <c r="G196" s="461"/>
      <c r="H196" s="461"/>
      <c r="I196" s="461"/>
      <c r="J196" s="461"/>
      <c r="K196" s="461"/>
      <c r="L196" s="461"/>
      <c r="M196" s="108"/>
      <c r="N196" s="108"/>
      <c r="O196" s="3"/>
      <c r="P196" s="3"/>
      <c r="Q196" s="3"/>
      <c r="R196" s="3"/>
      <c r="S196" s="3"/>
      <c r="T196" s="3"/>
      <c r="U196" s="3"/>
      <c r="V196" s="3"/>
      <c r="W196" s="3"/>
      <c r="X196" s="3"/>
      <c r="Y196" s="3"/>
      <c r="Z196" s="3"/>
      <c r="AA196" s="3"/>
      <c r="AB196" s="3"/>
      <c r="AC196" s="3"/>
    </row>
    <row r="197" spans="1:29" x14ac:dyDescent="0.2">
      <c r="A197" s="3"/>
      <c r="B197" s="34"/>
      <c r="C197" s="86">
        <f t="shared" si="12"/>
        <v>105</v>
      </c>
      <c r="D197" s="449">
        <f t="shared" si="11"/>
        <v>-2.4662916391040044</v>
      </c>
      <c r="E197" s="86"/>
      <c r="F197" s="461"/>
      <c r="G197" s="461"/>
      <c r="H197" s="461"/>
      <c r="I197" s="461"/>
      <c r="J197" s="461"/>
      <c r="K197" s="461"/>
      <c r="L197" s="461"/>
      <c r="M197" s="108"/>
      <c r="N197" s="108"/>
      <c r="O197" s="3"/>
      <c r="P197" s="3"/>
      <c r="Q197" s="3"/>
      <c r="R197" s="3"/>
      <c r="S197" s="3"/>
      <c r="T197" s="3"/>
      <c r="U197" s="3"/>
      <c r="V197" s="3"/>
      <c r="W197" s="3"/>
      <c r="X197" s="3"/>
      <c r="Y197" s="3"/>
      <c r="Z197" s="3"/>
      <c r="AA197" s="3"/>
      <c r="AB197" s="3"/>
      <c r="AC197" s="3"/>
    </row>
    <row r="198" spans="1:29" x14ac:dyDescent="0.2">
      <c r="A198" s="3"/>
      <c r="B198" s="34"/>
      <c r="C198" s="86">
        <f t="shared" si="12"/>
        <v>110</v>
      </c>
      <c r="D198" s="449">
        <f t="shared" si="11"/>
        <v>-3.2419664333997016</v>
      </c>
      <c r="E198" s="86"/>
      <c r="F198" s="461"/>
      <c r="G198" s="461"/>
      <c r="H198" s="461"/>
      <c r="I198" s="461"/>
      <c r="J198" s="461"/>
      <c r="K198" s="461"/>
      <c r="L198" s="461"/>
      <c r="M198" s="108"/>
      <c r="N198" s="108"/>
      <c r="O198" s="3"/>
      <c r="P198" s="3"/>
      <c r="Q198" s="3"/>
      <c r="R198" s="3"/>
      <c r="S198" s="3"/>
      <c r="T198" s="3"/>
      <c r="U198" s="3"/>
      <c r="V198" s="3"/>
      <c r="W198" s="3"/>
      <c r="X198" s="3"/>
      <c r="Y198" s="3"/>
      <c r="Z198" s="3"/>
      <c r="AA198" s="3"/>
      <c r="AB198" s="3"/>
      <c r="AC198" s="3"/>
    </row>
    <row r="199" spans="1:29" x14ac:dyDescent="0.2">
      <c r="A199" s="3"/>
      <c r="B199" s="34"/>
      <c r="C199" s="86">
        <f t="shared" si="12"/>
        <v>115</v>
      </c>
      <c r="D199" s="449">
        <f t="shared" si="11"/>
        <v>-4.0932097540514292</v>
      </c>
      <c r="E199" s="86"/>
      <c r="F199" s="461"/>
      <c r="G199" s="461"/>
      <c r="H199" s="461"/>
      <c r="I199" s="461"/>
      <c r="J199" s="461"/>
      <c r="K199" s="461"/>
      <c r="L199" s="461"/>
      <c r="M199" s="108"/>
      <c r="N199" s="108"/>
      <c r="O199" s="3"/>
      <c r="P199" s="3"/>
      <c r="Q199" s="3"/>
      <c r="R199" s="3"/>
      <c r="S199" s="3"/>
      <c r="T199" s="3"/>
      <c r="U199" s="3"/>
      <c r="V199" s="3"/>
      <c r="W199" s="3"/>
      <c r="X199" s="3"/>
      <c r="Y199" s="3"/>
      <c r="Z199" s="3"/>
      <c r="AA199" s="3"/>
      <c r="AB199" s="3"/>
      <c r="AC199" s="3"/>
    </row>
    <row r="200" spans="1:29" x14ac:dyDescent="0.2">
      <c r="A200" s="3"/>
      <c r="B200" s="34"/>
      <c r="C200" s="86">
        <f t="shared" si="12"/>
        <v>120</v>
      </c>
      <c r="D200" s="449">
        <f t="shared" si="11"/>
        <v>-5.0306053439420548</v>
      </c>
      <c r="E200" s="86"/>
      <c r="F200" s="3"/>
      <c r="G200" s="3"/>
      <c r="H200" s="3"/>
      <c r="I200" s="3"/>
      <c r="J200" s="3"/>
      <c r="K200" s="3"/>
      <c r="L200" s="3"/>
      <c r="M200" s="3"/>
      <c r="N200" s="3"/>
      <c r="O200" s="3"/>
      <c r="P200" s="3" t="s">
        <v>37</v>
      </c>
      <c r="Q200" s="3"/>
      <c r="R200" s="3"/>
      <c r="S200" s="3"/>
      <c r="T200" s="3"/>
      <c r="U200" s="3"/>
      <c r="V200" s="3"/>
      <c r="W200" s="3"/>
      <c r="X200" s="3"/>
      <c r="Y200" s="3"/>
      <c r="Z200" s="3"/>
      <c r="AA200" s="3"/>
      <c r="AB200" s="3"/>
      <c r="AC200" s="3"/>
    </row>
    <row r="201" spans="1:29" x14ac:dyDescent="0.2">
      <c r="A201" s="3"/>
      <c r="B201" s="34"/>
      <c r="C201" s="86">
        <f t="shared" si="12"/>
        <v>125</v>
      </c>
      <c r="D201" s="449">
        <f t="shared" si="11"/>
        <v>-6.0675374799629793</v>
      </c>
      <c r="E201" s="86"/>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x14ac:dyDescent="0.2">
      <c r="A202" s="3"/>
      <c r="B202" s="34"/>
      <c r="C202" s="86">
        <f t="shared" si="12"/>
        <v>130</v>
      </c>
      <c r="D202" s="449">
        <f t="shared" si="11"/>
        <v>-7.2212576919284306</v>
      </c>
      <c r="E202" s="86"/>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x14ac:dyDescent="0.2">
      <c r="A203" s="3"/>
      <c r="B203" s="34"/>
      <c r="C203" s="86">
        <f t="shared" si="12"/>
        <v>135</v>
      </c>
      <c r="D203" s="449">
        <f t="shared" si="11"/>
        <v>-8.5145156565301416</v>
      </c>
      <c r="E203" s="86"/>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x14ac:dyDescent="0.2">
      <c r="A204" s="3"/>
      <c r="B204" s="34"/>
      <c r="C204" s="86">
        <f t="shared" si="12"/>
        <v>140</v>
      </c>
      <c r="D204" s="449">
        <f t="shared" si="11"/>
        <v>-9.9781549346571019</v>
      </c>
      <c r="E204" s="86"/>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x14ac:dyDescent="0.2">
      <c r="A205" s="3"/>
      <c r="B205" s="34"/>
      <c r="C205" s="86">
        <f t="shared" si="12"/>
        <v>145</v>
      </c>
      <c r="D205" s="449">
        <f t="shared" si="11"/>
        <v>-11.655451350486784</v>
      </c>
      <c r="E205" s="86"/>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x14ac:dyDescent="0.2">
      <c r="A206" s="3"/>
      <c r="B206" s="34"/>
      <c r="C206" s="86">
        <f t="shared" si="12"/>
        <v>150</v>
      </c>
      <c r="D206" s="449">
        <f t="shared" si="11"/>
        <v>-13.60981855694245</v>
      </c>
      <c r="E206" s="86" t="s">
        <v>37</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x14ac:dyDescent="0.2">
      <c r="A207" s="3"/>
      <c r="B207" s="34"/>
      <c r="C207" s="86">
        <f t="shared" si="12"/>
        <v>155</v>
      </c>
      <c r="D207" s="449">
        <f t="shared" si="11"/>
        <v>-15.939602955630772</v>
      </c>
      <c r="E207" s="86"/>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x14ac:dyDescent="0.2">
      <c r="A208" s="3"/>
      <c r="B208" s="34"/>
      <c r="C208" s="86">
        <f t="shared" si="12"/>
        <v>160</v>
      </c>
      <c r="D208" s="449">
        <f t="shared" si="11"/>
        <v>-18.809598573674599</v>
      </c>
      <c r="E208" s="86"/>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x14ac:dyDescent="0.2">
      <c r="A209" s="3"/>
      <c r="B209" s="34"/>
      <c r="C209" s="86">
        <f t="shared" si="12"/>
        <v>165</v>
      </c>
      <c r="D209" s="449">
        <f t="shared" si="11"/>
        <v>-22.528775412240272</v>
      </c>
      <c r="E209" s="86"/>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x14ac:dyDescent="0.2">
      <c r="A210" s="3"/>
      <c r="B210" s="34"/>
      <c r="C210" s="86">
        <f t="shared" si="12"/>
        <v>170</v>
      </c>
      <c r="D210" s="449">
        <f t="shared" si="11"/>
        <v>-27.790825224118993</v>
      </c>
      <c r="E210" s="86"/>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x14ac:dyDescent="0.2">
      <c r="A211" s="3"/>
      <c r="B211" s="34"/>
      <c r="C211" s="86">
        <f t="shared" si="12"/>
        <v>175</v>
      </c>
      <c r="D211" s="449">
        <f t="shared" si="11"/>
        <v>-36.809318625547164</v>
      </c>
      <c r="E211" s="86"/>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x14ac:dyDescent="0.2">
      <c r="A212" s="3"/>
      <c r="B212" s="34"/>
      <c r="C212" s="86">
        <f t="shared" si="12"/>
        <v>180</v>
      </c>
      <c r="D212" s="449">
        <v>-160</v>
      </c>
      <c r="E212" s="86"/>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5" thickBot="1" x14ac:dyDescent="0.25">
      <c r="A214" s="3"/>
      <c r="B214" s="34" t="s">
        <v>37</v>
      </c>
      <c r="C214" s="3"/>
      <c r="D214" s="658" t="s">
        <v>293</v>
      </c>
      <c r="E214" s="659" t="s">
        <v>384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x14ac:dyDescent="0.2">
      <c r="A215" s="3"/>
      <c r="B215" s="651" t="s">
        <v>849</v>
      </c>
      <c r="C215" s="489" t="s">
        <v>383</v>
      </c>
      <c r="D215" s="657" t="s">
        <v>385</v>
      </c>
      <c r="E215" s="660" t="s">
        <v>385</v>
      </c>
      <c r="F215" s="461"/>
      <c r="G215" s="461" t="s">
        <v>37</v>
      </c>
      <c r="H215" s="461"/>
      <c r="I215" s="461"/>
      <c r="J215" s="461"/>
      <c r="K215" s="461"/>
      <c r="L215" s="461"/>
      <c r="M215" s="461"/>
      <c r="N215" s="648"/>
      <c r="O215" s="3"/>
      <c r="P215" s="3"/>
      <c r="Q215" s="3"/>
      <c r="R215" s="3"/>
      <c r="S215" s="3"/>
      <c r="T215" s="3"/>
      <c r="U215" s="3"/>
      <c r="V215" s="3"/>
      <c r="W215" s="3"/>
      <c r="X215" s="3"/>
      <c r="Y215" s="3"/>
      <c r="Z215" s="3"/>
      <c r="AA215" s="3"/>
      <c r="AB215" s="3"/>
      <c r="AC215" s="3"/>
    </row>
    <row r="216" spans="1:29" x14ac:dyDescent="0.2">
      <c r="A216" s="3"/>
      <c r="B216" s="3"/>
      <c r="C216" s="642">
        <v>1.0000000000000001E-5</v>
      </c>
      <c r="D216" s="654">
        <f>6-(-10*LOG10(3282.81*((SIN(RADIANS(C216*1.7724))^2)/((C216*1.7724)^2))))</f>
        <v>6.0000048287003951</v>
      </c>
      <c r="E216" s="86" t="s">
        <v>37</v>
      </c>
      <c r="F216" s="461"/>
      <c r="G216" s="461"/>
      <c r="H216" s="461"/>
      <c r="I216" s="461"/>
      <c r="J216" s="461"/>
      <c r="K216" s="461"/>
      <c r="L216" s="461"/>
      <c r="M216" s="461"/>
      <c r="N216" s="649"/>
      <c r="O216" s="3"/>
      <c r="P216" s="3"/>
      <c r="Q216" s="3"/>
      <c r="R216" s="3"/>
      <c r="S216" s="3"/>
      <c r="T216" s="3"/>
      <c r="U216" s="3"/>
      <c r="V216" s="3"/>
      <c r="W216" s="3"/>
      <c r="X216" s="3"/>
      <c r="Y216" s="3"/>
      <c r="Z216" s="3"/>
      <c r="AA216" s="3"/>
      <c r="AB216" s="3"/>
      <c r="AC216" s="3"/>
    </row>
    <row r="217" spans="1:29" x14ac:dyDescent="0.2">
      <c r="A217" s="3"/>
      <c r="B217" s="3"/>
      <c r="C217" s="642">
        <f>C216+5</f>
        <v>5.0000099999999996</v>
      </c>
      <c r="D217" s="654">
        <f t="shared" ref="D217:D252" si="13">6-(-10*LOG10(3282.81*((SIN(RADIANS(C217*1.7724))^2)/((C217*1.7724)^2))))</f>
        <v>5.9653447349382374</v>
      </c>
      <c r="E217" s="86" t="s">
        <v>37</v>
      </c>
      <c r="F217" s="461"/>
      <c r="G217" s="461"/>
      <c r="H217" s="461"/>
      <c r="I217" s="461"/>
      <c r="J217" s="461"/>
      <c r="K217" s="461"/>
      <c r="L217" s="461"/>
      <c r="M217" s="461"/>
      <c r="N217" s="649"/>
      <c r="O217" s="3"/>
      <c r="P217" s="3"/>
      <c r="Q217" s="3"/>
      <c r="R217" s="3"/>
      <c r="S217" s="3"/>
      <c r="T217" s="3"/>
      <c r="U217" s="3"/>
      <c r="V217" s="3"/>
      <c r="W217" s="3"/>
      <c r="X217" s="3"/>
      <c r="Y217" s="3"/>
      <c r="Z217" s="3"/>
      <c r="AA217" s="3"/>
      <c r="AB217" s="3"/>
      <c r="AC217" s="3"/>
    </row>
    <row r="218" spans="1:29" x14ac:dyDescent="0.2">
      <c r="A218" s="3"/>
      <c r="B218" s="3"/>
      <c r="C218" s="642">
        <f t="shared" ref="C218:C283" si="14">C217+5</f>
        <v>10.00001</v>
      </c>
      <c r="D218" s="654">
        <f t="shared" si="13"/>
        <v>5.8610307884493329</v>
      </c>
      <c r="E218" s="86"/>
      <c r="F218" s="461"/>
      <c r="G218" s="461"/>
      <c r="H218" s="461"/>
      <c r="I218" s="461"/>
      <c r="J218" s="461"/>
      <c r="K218" s="461"/>
      <c r="L218" s="461"/>
      <c r="M218" s="461"/>
      <c r="N218" s="649"/>
      <c r="O218" s="3"/>
      <c r="P218" s="3"/>
      <c r="Q218" s="3"/>
      <c r="R218" s="3"/>
      <c r="S218" s="3"/>
      <c r="T218" s="3"/>
      <c r="U218" s="3"/>
      <c r="V218" s="3"/>
      <c r="W218" s="3"/>
      <c r="X218" s="3"/>
      <c r="Y218" s="3"/>
      <c r="Z218" s="3"/>
      <c r="AA218" s="3"/>
      <c r="AB218" s="3"/>
      <c r="AC218" s="3"/>
    </row>
    <row r="219" spans="1:29" x14ac:dyDescent="0.2">
      <c r="A219" s="3"/>
      <c r="B219" s="3"/>
      <c r="C219" s="642">
        <f t="shared" si="14"/>
        <v>15.00001</v>
      </c>
      <c r="D219" s="654">
        <f t="shared" si="13"/>
        <v>5.6860456751103436</v>
      </c>
      <c r="E219" s="86"/>
      <c r="F219" s="461"/>
      <c r="G219" s="461"/>
      <c r="H219" s="461"/>
      <c r="I219" s="461"/>
      <c r="J219" s="461"/>
      <c r="K219" s="461"/>
      <c r="L219" s="461"/>
      <c r="M219" s="461"/>
      <c r="N219" s="649"/>
      <c r="O219" s="3"/>
      <c r="P219" s="3"/>
      <c r="Q219" s="3"/>
      <c r="R219" s="3"/>
      <c r="S219" s="3"/>
      <c r="T219" s="3"/>
      <c r="U219" s="3"/>
      <c r="V219" s="3"/>
      <c r="W219" s="3"/>
      <c r="X219" s="3"/>
      <c r="Y219" s="3"/>
      <c r="Z219" s="3"/>
      <c r="AA219" s="3"/>
      <c r="AB219" s="3"/>
      <c r="AC219" s="3"/>
    </row>
    <row r="220" spans="1:29" x14ac:dyDescent="0.2">
      <c r="A220" s="3"/>
      <c r="B220" s="3"/>
      <c r="C220" s="642">
        <f t="shared" si="14"/>
        <v>20.00001</v>
      </c>
      <c r="D220" s="654">
        <f t="shared" si="13"/>
        <v>5.4386406342061937</v>
      </c>
      <c r="E220" s="86"/>
      <c r="F220" s="461"/>
      <c r="G220" s="461"/>
      <c r="H220" s="461"/>
      <c r="I220" s="461"/>
      <c r="J220" s="461"/>
      <c r="K220" s="461"/>
      <c r="L220" s="461"/>
      <c r="M220" s="461"/>
      <c r="N220" s="649"/>
      <c r="O220" s="3"/>
      <c r="P220" s="3"/>
      <c r="Q220" s="3"/>
      <c r="R220" s="3"/>
      <c r="S220" s="3"/>
      <c r="T220" s="3"/>
      <c r="U220" s="3"/>
      <c r="V220" s="3"/>
      <c r="W220" s="3"/>
      <c r="X220" s="3"/>
      <c r="Y220" s="3"/>
      <c r="Z220" s="3"/>
      <c r="AA220" s="3"/>
      <c r="AB220" s="3"/>
      <c r="AC220" s="3"/>
    </row>
    <row r="221" spans="1:29" x14ac:dyDescent="0.2">
      <c r="A221" s="3"/>
      <c r="B221" s="3"/>
      <c r="C221" s="642">
        <f t="shared" si="14"/>
        <v>25.00001</v>
      </c>
      <c r="D221" s="654">
        <f t="shared" si="13"/>
        <v>5.1162496734715912</v>
      </c>
      <c r="E221" s="86"/>
      <c r="F221" s="461"/>
      <c r="G221" s="461"/>
      <c r="H221" s="461"/>
      <c r="I221" s="461"/>
      <c r="J221" s="461"/>
      <c r="K221" s="461"/>
      <c r="L221" s="461"/>
      <c r="M221" s="461"/>
      <c r="N221" s="649"/>
      <c r="O221" s="3"/>
      <c r="P221" s="3"/>
      <c r="Q221" s="3"/>
      <c r="R221" s="3"/>
      <c r="S221" s="3"/>
      <c r="T221" s="3"/>
      <c r="U221" s="3"/>
      <c r="V221" s="3"/>
      <c r="W221" s="3"/>
      <c r="X221" s="3"/>
      <c r="Y221" s="3"/>
      <c r="Z221" s="3"/>
      <c r="AA221" s="3"/>
      <c r="AB221" s="3"/>
      <c r="AC221" s="3"/>
    </row>
    <row r="222" spans="1:29" x14ac:dyDescent="0.2">
      <c r="A222" s="3"/>
      <c r="B222" s="3"/>
      <c r="C222" s="642">
        <f t="shared" si="14"/>
        <v>30.00001</v>
      </c>
      <c r="D222" s="654">
        <f t="shared" si="13"/>
        <v>4.7153564644619106</v>
      </c>
      <c r="E222" s="86"/>
      <c r="F222" s="461"/>
      <c r="G222" s="461"/>
      <c r="H222" s="461"/>
      <c r="I222" s="461"/>
      <c r="J222" s="461"/>
      <c r="K222" s="461"/>
      <c r="L222" s="461"/>
      <c r="M222" s="461"/>
      <c r="N222" s="649"/>
      <c r="O222" s="3"/>
      <c r="P222" s="3"/>
      <c r="Q222" s="3"/>
      <c r="R222" s="3"/>
      <c r="S222" s="3"/>
      <c r="T222" s="3"/>
      <c r="U222" s="3"/>
      <c r="V222" s="3"/>
      <c r="W222" s="3"/>
      <c r="X222" s="3"/>
      <c r="Y222" s="3"/>
      <c r="Z222" s="3"/>
      <c r="AA222" s="3"/>
      <c r="AB222" s="3"/>
      <c r="AC222" s="3"/>
    </row>
    <row r="223" spans="1:29" x14ac:dyDescent="0.2">
      <c r="A223" s="3"/>
      <c r="B223" s="3"/>
      <c r="C223" s="642">
        <f t="shared" si="14"/>
        <v>35.000010000000003</v>
      </c>
      <c r="D223" s="654">
        <f t="shared" si="13"/>
        <v>4.2312978799201479</v>
      </c>
      <c r="E223" s="86"/>
      <c r="F223" s="461"/>
      <c r="G223" s="461"/>
      <c r="H223" s="461"/>
      <c r="I223" s="461"/>
      <c r="J223" s="461"/>
      <c r="K223" s="461"/>
      <c r="L223" s="461"/>
      <c r="M223" s="461"/>
      <c r="N223" s="649"/>
      <c r="O223" s="3"/>
      <c r="P223" s="3"/>
      <c r="Q223" s="3"/>
      <c r="R223" s="3"/>
      <c r="S223" s="3"/>
      <c r="T223" s="3"/>
      <c r="U223" s="3"/>
      <c r="V223" s="3"/>
      <c r="W223" s="3"/>
      <c r="X223" s="3"/>
      <c r="Y223" s="3"/>
      <c r="Z223" s="3"/>
      <c r="AA223" s="3"/>
      <c r="AB223" s="3"/>
      <c r="AC223" s="3"/>
    </row>
    <row r="224" spans="1:29" x14ac:dyDescent="0.2">
      <c r="A224" s="3"/>
      <c r="B224" s="3"/>
      <c r="C224" s="642">
        <f t="shared" si="14"/>
        <v>40.000010000000003</v>
      </c>
      <c r="D224" s="654">
        <f t="shared" si="13"/>
        <v>3.6579781652012575</v>
      </c>
      <c r="E224" s="86"/>
      <c r="F224" s="461"/>
      <c r="G224" s="461"/>
      <c r="H224" s="461"/>
      <c r="I224" s="461"/>
      <c r="J224" s="461"/>
      <c r="K224" s="461"/>
      <c r="L224" s="461"/>
      <c r="M224" s="461"/>
      <c r="N224" s="649"/>
      <c r="O224" s="3"/>
      <c r="P224" s="3"/>
      <c r="Q224" s="3"/>
      <c r="R224" s="3"/>
      <c r="S224" s="3"/>
      <c r="T224" s="3"/>
      <c r="U224" s="3"/>
      <c r="V224" s="3"/>
      <c r="W224" s="3"/>
      <c r="X224" s="3"/>
      <c r="Y224" s="3"/>
      <c r="Z224" s="3"/>
      <c r="AA224" s="3"/>
      <c r="AB224" s="3"/>
      <c r="AC224" s="3"/>
    </row>
    <row r="225" spans="1:29" x14ac:dyDescent="0.2">
      <c r="A225" s="3"/>
      <c r="B225" s="3"/>
      <c r="C225" s="642">
        <f t="shared" si="14"/>
        <v>45.000010000000003</v>
      </c>
      <c r="D225" s="654">
        <f t="shared" si="13"/>
        <v>2.9874513525559072</v>
      </c>
      <c r="E225" s="86"/>
      <c r="F225" s="461"/>
      <c r="G225" s="461"/>
      <c r="H225" s="461" t="s">
        <v>37</v>
      </c>
      <c r="I225" s="461" t="s">
        <v>851</v>
      </c>
      <c r="J225" s="461"/>
      <c r="K225" s="461"/>
      <c r="L225" s="461"/>
      <c r="M225" s="461"/>
      <c r="N225" s="649"/>
      <c r="O225" s="3"/>
      <c r="P225" s="3"/>
      <c r="Q225" s="3"/>
      <c r="R225" s="3"/>
      <c r="S225" s="3"/>
      <c r="T225" s="3"/>
      <c r="U225" s="3"/>
      <c r="V225" s="3"/>
      <c r="W225" s="3"/>
      <c r="X225" s="3"/>
      <c r="Y225" s="3"/>
      <c r="Z225" s="3"/>
      <c r="AA225" s="3"/>
      <c r="AB225" s="3"/>
      <c r="AC225" s="3"/>
    </row>
    <row r="226" spans="1:29" x14ac:dyDescent="0.2">
      <c r="A226" s="3"/>
      <c r="B226" s="3"/>
      <c r="C226" s="642">
        <f t="shared" si="14"/>
        <v>50.000010000000003</v>
      </c>
      <c r="D226" s="654">
        <f t="shared" si="13"/>
        <v>2.2093012463479962</v>
      </c>
      <c r="E226" s="86"/>
      <c r="F226" s="461"/>
      <c r="G226" s="461"/>
      <c r="H226" s="461"/>
      <c r="I226" s="461"/>
      <c r="J226" s="652" t="s">
        <v>846</v>
      </c>
      <c r="K226" s="461"/>
      <c r="L226" s="461"/>
      <c r="M226" s="461"/>
      <c r="N226" s="649"/>
      <c r="O226" s="3"/>
      <c r="P226" s="3"/>
      <c r="Q226" s="3"/>
      <c r="R226" s="3"/>
      <c r="S226" s="3"/>
      <c r="T226" s="3"/>
      <c r="U226" s="3"/>
      <c r="V226" s="3"/>
      <c r="W226" s="3"/>
      <c r="X226" s="3"/>
      <c r="Y226" s="3"/>
      <c r="Z226" s="3"/>
      <c r="AA226" s="3"/>
      <c r="AB226" s="3"/>
      <c r="AC226" s="3"/>
    </row>
    <row r="227" spans="1:29" x14ac:dyDescent="0.2">
      <c r="A227" s="3"/>
      <c r="B227" s="3"/>
      <c r="C227" s="642">
        <f t="shared" si="14"/>
        <v>55.000010000000003</v>
      </c>
      <c r="D227" s="654">
        <f t="shared" si="13"/>
        <v>1.3096970623209385</v>
      </c>
      <c r="E227" s="86"/>
      <c r="F227" s="461"/>
      <c r="G227" s="461"/>
      <c r="H227" s="461"/>
      <c r="I227" s="461"/>
      <c r="J227" s="461"/>
      <c r="K227" s="461"/>
      <c r="L227" s="461"/>
      <c r="M227" s="461"/>
      <c r="N227" s="649"/>
      <c r="O227" s="3"/>
      <c r="P227" s="3"/>
      <c r="Q227" s="3"/>
      <c r="R227" s="3"/>
      <c r="S227" s="3"/>
      <c r="T227" s="3"/>
      <c r="U227" s="3"/>
      <c r="V227" s="3"/>
      <c r="W227" s="3"/>
      <c r="X227" s="3"/>
      <c r="Y227" s="3"/>
      <c r="Z227" s="3"/>
      <c r="AA227" s="3"/>
      <c r="AB227" s="3"/>
      <c r="AC227" s="3"/>
    </row>
    <row r="228" spans="1:29" x14ac:dyDescent="0.2">
      <c r="A228" s="3"/>
      <c r="B228" s="3"/>
      <c r="C228" s="642">
        <f t="shared" si="14"/>
        <v>60.000010000000003</v>
      </c>
      <c r="D228" s="654">
        <f t="shared" si="13"/>
        <v>0.26990490064927641</v>
      </c>
      <c r="E228" s="86"/>
      <c r="F228" s="461"/>
      <c r="G228" s="461"/>
      <c r="H228" s="461"/>
      <c r="I228" s="461"/>
      <c r="J228" s="461"/>
      <c r="K228" s="461"/>
      <c r="L228" s="461"/>
      <c r="M228" s="461"/>
      <c r="N228" s="649"/>
      <c r="O228" s="3"/>
      <c r="P228" s="3"/>
      <c r="Q228" s="3"/>
      <c r="R228" s="3"/>
      <c r="S228" s="3"/>
      <c r="T228" s="3"/>
      <c r="U228" s="3"/>
      <c r="V228" s="3"/>
      <c r="W228" s="3"/>
      <c r="X228" s="3"/>
      <c r="Y228" s="3"/>
      <c r="Z228" s="3"/>
      <c r="AA228" s="3"/>
      <c r="AB228" s="3"/>
      <c r="AC228" s="3"/>
    </row>
    <row r="229" spans="1:29" x14ac:dyDescent="0.2">
      <c r="A229" s="3"/>
      <c r="B229" s="3"/>
      <c r="C229" s="642">
        <f t="shared" si="14"/>
        <v>65.000010000000003</v>
      </c>
      <c r="D229" s="654">
        <f t="shared" si="13"/>
        <v>-0.93616362774185458</v>
      </c>
      <c r="E229" s="86"/>
      <c r="F229" s="461"/>
      <c r="G229" s="461"/>
      <c r="H229" s="461"/>
      <c r="I229" s="461"/>
      <c r="J229" s="461"/>
      <c r="K229" s="461"/>
      <c r="L229" s="461"/>
      <c r="M229" s="461"/>
      <c r="N229" s="649"/>
      <c r="O229" s="3"/>
      <c r="P229" s="3"/>
      <c r="Q229" s="3"/>
      <c r="R229" s="3"/>
      <c r="S229" s="3"/>
      <c r="T229" s="3"/>
      <c r="U229" s="3"/>
      <c r="V229" s="3"/>
      <c r="W229" s="3"/>
      <c r="X229" s="3"/>
      <c r="Y229" s="3"/>
      <c r="Z229" s="3"/>
      <c r="AA229" s="3"/>
      <c r="AB229" s="3"/>
      <c r="AC229" s="3"/>
    </row>
    <row r="230" spans="1:29" x14ac:dyDescent="0.2">
      <c r="A230" s="3"/>
      <c r="B230" s="3"/>
      <c r="C230" s="642">
        <f t="shared" si="14"/>
        <v>70.000010000000003</v>
      </c>
      <c r="D230" s="654">
        <f t="shared" si="13"/>
        <v>-2.346219096006557</v>
      </c>
      <c r="E230" s="86"/>
      <c r="F230" s="461"/>
      <c r="G230" s="461"/>
      <c r="H230" s="461"/>
      <c r="I230" s="461"/>
      <c r="J230" s="461"/>
      <c r="K230" s="461"/>
      <c r="L230" s="461"/>
      <c r="M230" s="461"/>
      <c r="N230" s="649"/>
      <c r="O230" s="3"/>
      <c r="P230" s="3"/>
      <c r="Q230" s="3"/>
      <c r="R230" s="3"/>
      <c r="S230" s="3"/>
      <c r="T230" s="3"/>
      <c r="U230" s="3"/>
      <c r="V230" s="3"/>
      <c r="W230" s="3"/>
      <c r="X230" s="3"/>
      <c r="Y230" s="3"/>
      <c r="Z230" s="3"/>
      <c r="AA230" s="3"/>
      <c r="AB230" s="3"/>
      <c r="AC230" s="3"/>
    </row>
    <row r="231" spans="1:29" x14ac:dyDescent="0.2">
      <c r="A231" s="3"/>
      <c r="B231" s="3"/>
      <c r="C231" s="642">
        <f t="shared" si="14"/>
        <v>75.000010000000003</v>
      </c>
      <c r="D231" s="654">
        <f t="shared" si="13"/>
        <v>-4.0175734305176114</v>
      </c>
      <c r="E231" s="86"/>
      <c r="F231" s="461"/>
      <c r="G231" s="461"/>
      <c r="H231" s="461"/>
      <c r="I231" s="461"/>
      <c r="J231" s="461"/>
      <c r="K231" s="461"/>
      <c r="L231" s="461"/>
      <c r="M231" s="461"/>
      <c r="N231" s="649"/>
      <c r="O231" s="3"/>
      <c r="P231" s="3"/>
      <c r="Q231" s="3"/>
      <c r="R231" s="3"/>
      <c r="S231" s="3"/>
      <c r="T231" s="3"/>
      <c r="U231" s="3"/>
      <c r="V231" s="3"/>
      <c r="W231" s="3"/>
      <c r="X231" s="3"/>
      <c r="Y231" s="3"/>
      <c r="Z231" s="3"/>
      <c r="AA231" s="3"/>
      <c r="AB231" s="3"/>
      <c r="AC231" s="3"/>
    </row>
    <row r="232" spans="1:29" x14ac:dyDescent="0.2">
      <c r="A232" s="3"/>
      <c r="B232" s="3"/>
      <c r="C232" s="642">
        <f t="shared" si="14"/>
        <v>80.000010000000003</v>
      </c>
      <c r="D232" s="654">
        <f t="shared" si="13"/>
        <v>-6.0435331070795471</v>
      </c>
      <c r="E232" s="86"/>
      <c r="F232" s="461"/>
      <c r="G232" s="461"/>
      <c r="H232" s="461"/>
      <c r="I232" s="461"/>
      <c r="J232" s="461"/>
      <c r="K232" s="461"/>
      <c r="L232" s="461"/>
      <c r="M232" s="461"/>
      <c r="N232" s="649"/>
      <c r="O232" s="3"/>
      <c r="P232" s="3"/>
      <c r="Q232" s="3"/>
      <c r="R232" s="3"/>
      <c r="S232" s="3"/>
      <c r="T232" s="3"/>
      <c r="U232" s="3"/>
      <c r="V232" s="3"/>
      <c r="W232" s="3"/>
      <c r="X232" s="3"/>
      <c r="Y232" s="3"/>
      <c r="Z232" s="3"/>
      <c r="AA232" s="3"/>
      <c r="AB232" s="3"/>
      <c r="AC232" s="3"/>
    </row>
    <row r="233" spans="1:29" x14ac:dyDescent="0.2">
      <c r="A233" s="3"/>
      <c r="B233" s="3"/>
      <c r="C233" s="642">
        <f t="shared" si="14"/>
        <v>85.000010000000003</v>
      </c>
      <c r="D233" s="654">
        <f t="shared" si="13"/>
        <v>-8.5917789014445276</v>
      </c>
      <c r="E233" s="86"/>
      <c r="F233" s="461"/>
      <c r="G233" s="461"/>
      <c r="H233" s="461"/>
      <c r="I233" s="461"/>
      <c r="J233" s="461"/>
      <c r="K233" s="461"/>
      <c r="L233" s="461"/>
      <c r="M233" s="461"/>
      <c r="N233" s="649"/>
      <c r="O233" s="3"/>
      <c r="P233" s="3"/>
      <c r="Q233" s="3"/>
      <c r="R233" s="3"/>
      <c r="S233" s="3"/>
      <c r="T233" s="3"/>
      <c r="U233" s="3"/>
      <c r="V233" s="3"/>
      <c r="W233" s="3"/>
      <c r="X233" s="3"/>
      <c r="Y233" s="3"/>
      <c r="Z233" s="3"/>
      <c r="AA233" s="3"/>
      <c r="AB233" s="3"/>
      <c r="AC233" s="3"/>
    </row>
    <row r="234" spans="1:29" x14ac:dyDescent="0.2">
      <c r="A234" s="3"/>
      <c r="B234" s="3"/>
      <c r="C234" s="642">
        <f t="shared" si="14"/>
        <v>90.000010000000003</v>
      </c>
      <c r="D234" s="654">
        <f t="shared" si="13"/>
        <v>-12.013620001173564</v>
      </c>
      <c r="E234" s="86"/>
      <c r="F234" s="461"/>
      <c r="G234" s="461"/>
      <c r="H234" s="461"/>
      <c r="I234" s="461"/>
      <c r="J234" s="461"/>
      <c r="K234" s="461"/>
      <c r="L234" s="461"/>
      <c r="M234" s="461"/>
      <c r="N234" s="649"/>
      <c r="O234" s="3"/>
      <c r="P234" s="3"/>
      <c r="Q234" s="3"/>
      <c r="R234" s="3"/>
      <c r="S234" s="3"/>
      <c r="T234" s="3"/>
      <c r="U234" s="3"/>
      <c r="V234" s="3"/>
      <c r="W234" s="3"/>
      <c r="X234" s="3"/>
      <c r="Y234" s="3"/>
      <c r="Z234" s="3"/>
      <c r="AA234" s="3"/>
      <c r="AB234" s="3"/>
      <c r="AC234" s="3"/>
    </row>
    <row r="235" spans="1:29" x14ac:dyDescent="0.2">
      <c r="A235" s="3"/>
      <c r="B235" s="3"/>
      <c r="C235" s="642">
        <f t="shared" si="14"/>
        <v>95.000010000000003</v>
      </c>
      <c r="D235" s="654">
        <f t="shared" si="13"/>
        <v>-17.279743973217315</v>
      </c>
      <c r="E235" s="86"/>
      <c r="F235" s="461"/>
      <c r="G235" s="461"/>
      <c r="H235" s="461"/>
      <c r="I235" s="461"/>
      <c r="J235" s="461"/>
      <c r="K235" s="461"/>
      <c r="L235" s="461"/>
      <c r="M235" s="461"/>
      <c r="N235" s="649"/>
      <c r="O235" s="3"/>
      <c r="P235" s="3"/>
      <c r="Q235" s="3"/>
      <c r="R235" s="3"/>
      <c r="S235" s="3"/>
      <c r="T235" s="3"/>
      <c r="U235" s="3"/>
      <c r="V235" s="3"/>
      <c r="W235" s="3"/>
      <c r="X235" s="3"/>
      <c r="Y235" s="3"/>
      <c r="Z235" s="3"/>
      <c r="AA235" s="3"/>
      <c r="AB235" s="3"/>
      <c r="AC235" s="3"/>
    </row>
    <row r="236" spans="1:29" x14ac:dyDescent="0.2">
      <c r="A236" s="3"/>
      <c r="B236" s="3"/>
      <c r="C236" s="642">
        <f t="shared" si="14"/>
        <v>100.00001</v>
      </c>
      <c r="D236" s="654">
        <f t="shared" si="13"/>
        <v>-30.156464421918081</v>
      </c>
      <c r="E236" s="86"/>
      <c r="F236" s="461"/>
      <c r="G236" s="461"/>
      <c r="H236" s="461"/>
      <c r="I236" s="461"/>
      <c r="J236" s="461"/>
      <c r="K236" s="461"/>
      <c r="L236" s="461"/>
      <c r="M236" s="461"/>
      <c r="N236" s="649"/>
      <c r="O236" s="3"/>
      <c r="P236" s="3"/>
      <c r="Q236" s="3"/>
      <c r="R236" s="3"/>
      <c r="S236" s="3"/>
      <c r="T236" s="3"/>
      <c r="U236" s="3"/>
      <c r="V236" s="3"/>
      <c r="W236" s="3"/>
      <c r="X236" s="3"/>
      <c r="Y236" s="3"/>
      <c r="Z236" s="3"/>
      <c r="AA236" s="3"/>
      <c r="AB236" s="3"/>
      <c r="AC236" s="3"/>
    </row>
    <row r="237" spans="1:29" x14ac:dyDescent="0.2">
      <c r="A237" s="3"/>
      <c r="B237" s="3"/>
      <c r="C237" s="642">
        <f t="shared" si="14"/>
        <v>105.00001</v>
      </c>
      <c r="D237" s="654">
        <f t="shared" si="13"/>
        <v>-23.701973405406868</v>
      </c>
      <c r="E237" s="86"/>
      <c r="F237" s="461"/>
      <c r="G237" s="461"/>
      <c r="H237" s="461"/>
      <c r="I237" s="461"/>
      <c r="J237" s="461"/>
      <c r="K237" s="461"/>
      <c r="L237" s="461"/>
      <c r="M237" s="461"/>
      <c r="N237" s="649"/>
      <c r="O237" s="3"/>
      <c r="P237" s="3"/>
      <c r="Q237" s="3"/>
      <c r="R237" s="3"/>
      <c r="S237" s="3"/>
      <c r="T237" s="3"/>
      <c r="U237" s="3"/>
      <c r="V237" s="3"/>
      <c r="W237" s="3"/>
      <c r="X237" s="3"/>
      <c r="Y237" s="3"/>
      <c r="Z237" s="3"/>
      <c r="AA237" s="3"/>
      <c r="AB237" s="3"/>
      <c r="AC237" s="3"/>
    </row>
    <row r="238" spans="1:29" x14ac:dyDescent="0.2">
      <c r="A238" s="3"/>
      <c r="B238" s="3"/>
      <c r="C238" s="642">
        <f t="shared" si="14"/>
        <v>110.00001</v>
      </c>
      <c r="D238" s="654">
        <f t="shared" si="13"/>
        <v>-16.397090501132354</v>
      </c>
      <c r="E238" s="86"/>
      <c r="F238" s="461"/>
      <c r="G238" s="461"/>
      <c r="H238" s="461"/>
      <c r="I238" s="461"/>
      <c r="J238" s="461"/>
      <c r="K238" s="461"/>
      <c r="L238" s="461"/>
      <c r="M238" s="461"/>
      <c r="N238" s="649"/>
      <c r="O238" s="3"/>
      <c r="P238" s="3"/>
      <c r="Q238" s="3"/>
      <c r="R238" s="3"/>
      <c r="S238" s="3"/>
      <c r="T238" s="3"/>
      <c r="U238" s="3"/>
      <c r="V238" s="3"/>
      <c r="W238" s="3"/>
      <c r="X238" s="3"/>
      <c r="Y238" s="3"/>
      <c r="Z238" s="3"/>
      <c r="AA238" s="3"/>
      <c r="AB238" s="3"/>
      <c r="AC238" s="3"/>
    </row>
    <row r="239" spans="1:29" ht="13.5" thickBot="1" x14ac:dyDescent="0.25">
      <c r="A239" s="3"/>
      <c r="B239" s="3"/>
      <c r="C239" s="642">
        <f t="shared" si="14"/>
        <v>115.00001</v>
      </c>
      <c r="D239" s="654">
        <f t="shared" si="13"/>
        <v>-12.895951874930702</v>
      </c>
      <c r="E239" s="86"/>
      <c r="F239" s="461"/>
      <c r="G239" s="461"/>
      <c r="H239" s="461"/>
      <c r="I239" s="461"/>
      <c r="J239" s="461"/>
      <c r="K239" s="461"/>
      <c r="L239" s="461"/>
      <c r="M239" s="461"/>
      <c r="N239" s="650"/>
      <c r="O239" s="3"/>
      <c r="P239" s="3"/>
      <c r="Q239" s="3"/>
      <c r="R239" s="3"/>
      <c r="S239" s="3"/>
      <c r="T239" s="3"/>
      <c r="U239" s="3"/>
      <c r="V239" s="3"/>
      <c r="W239" s="3"/>
      <c r="X239" s="3"/>
      <c r="Y239" s="3"/>
      <c r="Z239" s="3"/>
      <c r="AA239" s="3"/>
      <c r="AB239" s="3"/>
      <c r="AC239" s="3"/>
    </row>
    <row r="240" spans="1:29" x14ac:dyDescent="0.2">
      <c r="A240" s="3"/>
      <c r="B240" s="3"/>
      <c r="C240" s="642">
        <f t="shared" si="14"/>
        <v>120.00001</v>
      </c>
      <c r="D240" s="654">
        <f t="shared" si="13"/>
        <v>-10.743493220007636</v>
      </c>
      <c r="E240" s="86"/>
      <c r="F240" s="108"/>
      <c r="G240" s="108"/>
      <c r="H240" s="108"/>
      <c r="I240" s="108"/>
      <c r="J240" s="108"/>
      <c r="K240" s="108"/>
      <c r="L240" s="108"/>
      <c r="M240" s="108"/>
      <c r="N240" s="3"/>
      <c r="O240" s="3"/>
      <c r="P240" s="3"/>
      <c r="Q240" s="3"/>
      <c r="R240" s="3"/>
      <c r="S240" s="3"/>
      <c r="T240" s="3"/>
      <c r="U240" s="3"/>
      <c r="V240" s="3"/>
      <c r="W240" s="3"/>
      <c r="X240" s="3"/>
      <c r="Y240" s="3"/>
      <c r="Z240" s="3"/>
      <c r="AA240" s="3"/>
      <c r="AB240" s="3"/>
      <c r="AC240" s="3"/>
    </row>
    <row r="241" spans="1:29" x14ac:dyDescent="0.2">
      <c r="A241" s="3"/>
      <c r="B241" s="3"/>
      <c r="C241" s="642">
        <f t="shared" si="14"/>
        <v>125.00001</v>
      </c>
      <c r="D241" s="654">
        <f t="shared" si="13"/>
        <v>-9.3131238834920467</v>
      </c>
      <c r="E241" s="86"/>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x14ac:dyDescent="0.2">
      <c r="A242" s="3"/>
      <c r="B242" s="3"/>
      <c r="C242" s="642">
        <f t="shared" si="14"/>
        <v>130.00001</v>
      </c>
      <c r="D242" s="654">
        <f t="shared" si="13"/>
        <v>-8.3505360701726996</v>
      </c>
      <c r="E242" s="86"/>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x14ac:dyDescent="0.2">
      <c r="A243" s="3"/>
      <c r="B243" s="3"/>
      <c r="C243" s="642">
        <f t="shared" si="14"/>
        <v>135.00001</v>
      </c>
      <c r="D243" s="654">
        <f t="shared" si="13"/>
        <v>-7.7293164278551636</v>
      </c>
      <c r="E243" s="86"/>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x14ac:dyDescent="0.2">
      <c r="A244" s="3"/>
      <c r="B244" s="3"/>
      <c r="C244" s="642">
        <f t="shared" si="14"/>
        <v>140.00001</v>
      </c>
      <c r="D244" s="654">
        <f t="shared" si="13"/>
        <v>-7.3797189350454673</v>
      </c>
      <c r="E244" s="86"/>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x14ac:dyDescent="0.2">
      <c r="A245" s="3"/>
      <c r="B245" s="3"/>
      <c r="C245" s="642">
        <f t="shared" si="14"/>
        <v>145.00001</v>
      </c>
      <c r="D245" s="654">
        <f t="shared" si="13"/>
        <v>-7.2617287207414059</v>
      </c>
      <c r="E245" s="86"/>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x14ac:dyDescent="0.2">
      <c r="A246" s="3"/>
      <c r="B246" s="3"/>
      <c r="C246" s="642">
        <f t="shared" si="14"/>
        <v>150.00001</v>
      </c>
      <c r="D246" s="654">
        <f t="shared" si="13"/>
        <v>-7.3532972791944715</v>
      </c>
      <c r="E246" s="86"/>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x14ac:dyDescent="0.2">
      <c r="A247" s="3"/>
      <c r="B247" s="3"/>
      <c r="C247" s="642">
        <f t="shared" si="14"/>
        <v>155.00001</v>
      </c>
      <c r="D247" s="654">
        <f t="shared" si="13"/>
        <v>-7.6449434430417593</v>
      </c>
      <c r="E247" s="86"/>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x14ac:dyDescent="0.2">
      <c r="A248" s="3"/>
      <c r="B248" s="3"/>
      <c r="C248" s="642">
        <f t="shared" si="14"/>
        <v>160.00001</v>
      </c>
      <c r="D248" s="654">
        <f t="shared" si="13"/>
        <v>-8.1376149609957675</v>
      </c>
      <c r="E248" s="86"/>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x14ac:dyDescent="0.2">
      <c r="A249" s="3"/>
      <c r="B249" s="3"/>
      <c r="C249" s="642">
        <f t="shared" si="14"/>
        <v>165.00001</v>
      </c>
      <c r="D249" s="654">
        <f t="shared" si="13"/>
        <v>-8.842764611816559</v>
      </c>
      <c r="E249" s="86"/>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x14ac:dyDescent="0.2">
      <c r="A250" s="3"/>
      <c r="B250" s="3"/>
      <c r="C250" s="642">
        <f t="shared" si="14"/>
        <v>170.00001</v>
      </c>
      <c r="D250" s="654">
        <f t="shared" si="13"/>
        <v>-9.7846725758335822</v>
      </c>
      <c r="E250" s="86"/>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x14ac:dyDescent="0.2">
      <c r="A251" s="3"/>
      <c r="B251" s="3"/>
      <c r="C251" s="642">
        <f t="shared" si="14"/>
        <v>175.00001</v>
      </c>
      <c r="D251" s="654">
        <f t="shared" si="13"/>
        <v>-11.006151919034188</v>
      </c>
      <c r="E251" s="86"/>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x14ac:dyDescent="0.2">
      <c r="A252" s="3"/>
      <c r="B252" s="3"/>
      <c r="C252" s="642">
        <f t="shared" si="14"/>
        <v>180.00001</v>
      </c>
      <c r="D252" s="654">
        <f t="shared" si="13"/>
        <v>-12.580956411963957</v>
      </c>
      <c r="E252" s="86"/>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x14ac:dyDescent="0.2">
      <c r="A253" s="3"/>
      <c r="B253" s="3"/>
      <c r="C253" s="642">
        <f t="shared" si="14"/>
        <v>185.00001</v>
      </c>
      <c r="D253" s="654">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x14ac:dyDescent="0.2">
      <c r="A254" s="3"/>
      <c r="B254" s="3"/>
      <c r="C254" s="642">
        <f t="shared" si="14"/>
        <v>190.00001</v>
      </c>
      <c r="D254" s="654">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x14ac:dyDescent="0.2">
      <c r="A255" s="3"/>
      <c r="B255" s="3"/>
      <c r="C255" s="642">
        <f t="shared" si="14"/>
        <v>195.00001</v>
      </c>
      <c r="D255" s="3">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x14ac:dyDescent="0.2">
      <c r="A256" s="3"/>
      <c r="B256" s="3"/>
      <c r="C256" s="642">
        <f t="shared" si="14"/>
        <v>200.00001</v>
      </c>
      <c r="D256" s="3">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x14ac:dyDescent="0.2">
      <c r="A257" s="3"/>
      <c r="B257" s="3"/>
      <c r="C257" s="642">
        <f t="shared" si="14"/>
        <v>205.00001</v>
      </c>
      <c r="D257" s="3">
        <v>-7.6</v>
      </c>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x14ac:dyDescent="0.2">
      <c r="A258" s="3"/>
      <c r="B258" s="3"/>
      <c r="C258" s="642">
        <f t="shared" si="14"/>
        <v>210.00001</v>
      </c>
      <c r="D258" s="3">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x14ac:dyDescent="0.2">
      <c r="A259" s="3"/>
      <c r="B259" s="3"/>
      <c r="C259" s="642">
        <f t="shared" si="14"/>
        <v>215.00001</v>
      </c>
      <c r="D259" s="3">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x14ac:dyDescent="0.2">
      <c r="A260" s="3"/>
      <c r="B260" s="3"/>
      <c r="C260" s="642">
        <f t="shared" si="14"/>
        <v>220.00001</v>
      </c>
      <c r="D260" s="3">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x14ac:dyDescent="0.2">
      <c r="A261" s="3"/>
      <c r="B261" s="3"/>
      <c r="C261" s="642">
        <f t="shared" si="14"/>
        <v>225.00001</v>
      </c>
      <c r="D261" s="3">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x14ac:dyDescent="0.2">
      <c r="A262" s="3"/>
      <c r="B262" s="3"/>
      <c r="C262" s="642">
        <f t="shared" si="14"/>
        <v>230.00001</v>
      </c>
      <c r="D262" s="3">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x14ac:dyDescent="0.2">
      <c r="A263" s="3"/>
      <c r="B263" s="3"/>
      <c r="C263" s="642">
        <f t="shared" si="14"/>
        <v>235.00001</v>
      </c>
      <c r="D263" s="3">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x14ac:dyDescent="0.2">
      <c r="A264" s="3"/>
      <c r="B264" s="3"/>
      <c r="C264" s="642">
        <f t="shared" si="14"/>
        <v>240.00001</v>
      </c>
      <c r="D264" s="3">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x14ac:dyDescent="0.2">
      <c r="A265" s="3"/>
      <c r="B265" s="3"/>
      <c r="C265" s="642">
        <f t="shared" si="14"/>
        <v>245.00001</v>
      </c>
      <c r="D265" s="3">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x14ac:dyDescent="0.2">
      <c r="A266" s="3"/>
      <c r="B266" s="3"/>
      <c r="C266" s="642">
        <f t="shared" si="14"/>
        <v>250.00001</v>
      </c>
      <c r="D266" s="3">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x14ac:dyDescent="0.2">
      <c r="A267" s="3"/>
      <c r="B267" s="3"/>
      <c r="C267" s="642">
        <f t="shared" si="14"/>
        <v>255.00001</v>
      </c>
      <c r="D267" s="3">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x14ac:dyDescent="0.2">
      <c r="A268" s="3"/>
      <c r="B268" s="3"/>
      <c r="C268" s="642">
        <f t="shared" si="14"/>
        <v>260.00000999999997</v>
      </c>
      <c r="D268" s="3">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x14ac:dyDescent="0.2">
      <c r="A269" s="3"/>
      <c r="B269" s="3"/>
      <c r="C269" s="642">
        <f t="shared" si="14"/>
        <v>265.00000999999997</v>
      </c>
      <c r="D269" s="3">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x14ac:dyDescent="0.2">
      <c r="A270" s="3"/>
      <c r="B270" s="3"/>
      <c r="C270" s="642">
        <f t="shared" si="14"/>
        <v>270.00000999999997</v>
      </c>
      <c r="D270" s="598">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x14ac:dyDescent="0.2">
      <c r="A271" s="3"/>
      <c r="B271" s="3"/>
      <c r="C271" s="642">
        <f t="shared" si="14"/>
        <v>275.00000999999997</v>
      </c>
      <c r="D271" s="598">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x14ac:dyDescent="0.2">
      <c r="A272" s="3"/>
      <c r="B272" s="3"/>
      <c r="C272" s="642">
        <f t="shared" si="14"/>
        <v>280.00000999999997</v>
      </c>
      <c r="D272" s="598">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x14ac:dyDescent="0.2">
      <c r="A273" s="3"/>
      <c r="B273" s="3"/>
      <c r="C273" s="642">
        <f t="shared" si="14"/>
        <v>285.00000999999997</v>
      </c>
      <c r="D273" s="3">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x14ac:dyDescent="0.2">
      <c r="A274" s="3"/>
      <c r="B274" s="3"/>
      <c r="C274" s="642">
        <f t="shared" si="14"/>
        <v>290.00000999999997</v>
      </c>
      <c r="D274" s="3">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x14ac:dyDescent="0.2">
      <c r="A275" s="3"/>
      <c r="B275" s="3"/>
      <c r="C275" s="642">
        <f t="shared" si="14"/>
        <v>295.00000999999997</v>
      </c>
      <c r="D275" s="3">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x14ac:dyDescent="0.2">
      <c r="A276" s="3"/>
      <c r="B276" s="3"/>
      <c r="C276" s="642">
        <f t="shared" si="14"/>
        <v>300.00000999999997</v>
      </c>
      <c r="D276" s="3">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x14ac:dyDescent="0.2">
      <c r="A277" s="3"/>
      <c r="B277" s="3"/>
      <c r="C277" s="642">
        <f t="shared" si="14"/>
        <v>305.00000999999997</v>
      </c>
      <c r="D277" s="3">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x14ac:dyDescent="0.2">
      <c r="A278" s="3"/>
      <c r="B278" s="3"/>
      <c r="C278" s="642">
        <f t="shared" si="14"/>
        <v>310.00000999999997</v>
      </c>
      <c r="D278" s="598">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x14ac:dyDescent="0.2">
      <c r="A279" s="3"/>
      <c r="B279" s="3"/>
      <c r="C279" s="642">
        <f t="shared" si="14"/>
        <v>315.00000999999997</v>
      </c>
      <c r="D279" s="3">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x14ac:dyDescent="0.2">
      <c r="A280" s="3"/>
      <c r="B280" s="3"/>
      <c r="C280" s="642">
        <f t="shared" si="14"/>
        <v>320.00000999999997</v>
      </c>
      <c r="D280" s="3">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x14ac:dyDescent="0.2">
      <c r="A281" s="3"/>
      <c r="B281" s="3"/>
      <c r="C281" s="642">
        <f t="shared" si="14"/>
        <v>325.00000999999997</v>
      </c>
      <c r="D281" s="3">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x14ac:dyDescent="0.2">
      <c r="A282" s="3"/>
      <c r="B282" s="3"/>
      <c r="C282" s="642">
        <f>C281+5</f>
        <v>330.00000999999997</v>
      </c>
      <c r="D282" s="3">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x14ac:dyDescent="0.2">
      <c r="A283" s="3"/>
      <c r="B283" s="3"/>
      <c r="C283" s="642">
        <f t="shared" si="14"/>
        <v>335.00000999999997</v>
      </c>
      <c r="D283" s="3">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x14ac:dyDescent="0.2">
      <c r="A284" s="3"/>
      <c r="B284" s="3"/>
      <c r="C284" s="642">
        <f>C283+5</f>
        <v>340.00000999999997</v>
      </c>
      <c r="D284" s="3">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x14ac:dyDescent="0.2">
      <c r="A285" s="3"/>
      <c r="B285" s="3"/>
      <c r="C285" s="642">
        <f>C284+5</f>
        <v>345.00000999999997</v>
      </c>
      <c r="D285" s="3">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x14ac:dyDescent="0.2">
      <c r="A286" s="3"/>
      <c r="B286" s="3"/>
      <c r="C286" s="642">
        <f>C285+5</f>
        <v>350.00000999999997</v>
      </c>
      <c r="D286" s="598">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x14ac:dyDescent="0.2">
      <c r="A287" s="3"/>
      <c r="B287" s="3"/>
      <c r="C287" s="642">
        <f>C286+5</f>
        <v>355.00000999999997</v>
      </c>
      <c r="D287" s="598">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x14ac:dyDescent="0.2">
      <c r="A288" s="3"/>
      <c r="B288" s="3"/>
      <c r="C288" s="642" t="s">
        <v>37</v>
      </c>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U118"/>
  <sheetViews>
    <sheetView topLeftCell="A93" workbookViewId="0">
      <selection activeCell="A9" sqref="A9"/>
    </sheetView>
  </sheetViews>
  <sheetFormatPr defaultRowHeight="12.75" x14ac:dyDescent="0.2"/>
  <cols>
    <col min="1" max="1" width="17.140625" customWidth="1"/>
    <col min="4" max="4" width="10.85546875" customWidth="1"/>
    <col min="5" max="5" width="16.140625" customWidth="1"/>
    <col min="6" max="6" width="14.7109375" customWidth="1"/>
    <col min="10" max="10" width="12.5703125" customWidth="1"/>
  </cols>
  <sheetData>
    <row r="1" spans="1:21" ht="18.75" x14ac:dyDescent="0.3">
      <c r="A1" s="578"/>
      <c r="B1" s="579"/>
      <c r="C1" s="580" t="s">
        <v>382</v>
      </c>
      <c r="D1" s="580"/>
      <c r="E1" s="579"/>
      <c r="F1" s="579"/>
      <c r="G1" s="581"/>
      <c r="H1" s="3"/>
      <c r="I1" s="3"/>
      <c r="J1" s="3"/>
      <c r="K1" s="3"/>
      <c r="L1" s="3"/>
      <c r="M1" s="3"/>
      <c r="N1" s="3"/>
      <c r="O1" s="3"/>
      <c r="P1" s="3"/>
      <c r="Q1" s="3"/>
      <c r="R1" s="3"/>
    </row>
    <row r="2" spans="1:21" ht="18" x14ac:dyDescent="0.25">
      <c r="A2" s="582" t="s">
        <v>284</v>
      </c>
      <c r="B2" s="583"/>
      <c r="C2" s="583"/>
      <c r="D2" s="583"/>
      <c r="E2" s="424"/>
      <c r="F2" s="424"/>
      <c r="G2" s="584"/>
      <c r="H2" s="3"/>
      <c r="I2" s="3"/>
      <c r="J2" s="3"/>
      <c r="K2" s="3"/>
      <c r="L2" s="3"/>
      <c r="M2" s="3"/>
      <c r="N2" s="3"/>
      <c r="O2" s="3"/>
      <c r="P2" s="3"/>
      <c r="Q2" s="3"/>
      <c r="R2" s="3"/>
    </row>
    <row r="3" spans="1:21" ht="18.75" thickBot="1" x14ac:dyDescent="0.3">
      <c r="A3" s="585" t="s">
        <v>359</v>
      </c>
      <c r="B3" s="586"/>
      <c r="C3" s="586"/>
      <c r="D3" s="586"/>
      <c r="E3" s="587"/>
      <c r="F3" s="135"/>
      <c r="G3" s="588"/>
      <c r="H3" s="3"/>
      <c r="I3" s="489" t="s">
        <v>268</v>
      </c>
      <c r="J3" s="562" t="str">
        <f>'Title Page'!F25</f>
        <v>2020 January 17</v>
      </c>
      <c r="K3" s="405"/>
      <c r="L3" s="4" t="s">
        <v>37</v>
      </c>
      <c r="M3" s="4" t="s">
        <v>37</v>
      </c>
      <c r="N3" s="3"/>
      <c r="O3" s="3"/>
      <c r="P3" s="3"/>
      <c r="Q3" s="3"/>
      <c r="R3" s="3"/>
    </row>
    <row r="4" spans="1:21" ht="13.5" thickBot="1" x14ac:dyDescent="0.25">
      <c r="A4" s="4"/>
      <c r="B4" s="3"/>
      <c r="C4" s="3"/>
      <c r="D4" s="3"/>
      <c r="E4" s="3"/>
      <c r="F4" s="3"/>
      <c r="G4" s="3"/>
      <c r="H4" s="3"/>
      <c r="I4" s="3"/>
      <c r="J4" s="3"/>
      <c r="K4" s="3"/>
      <c r="L4" s="3"/>
      <c r="M4" s="4"/>
      <c r="N4" s="3"/>
      <c r="O4" s="3"/>
      <c r="P4" s="3"/>
      <c r="Q4" s="3"/>
      <c r="R4" s="3"/>
    </row>
    <row r="5" spans="1:21" ht="13.5" thickBot="1" x14ac:dyDescent="0.25">
      <c r="A5" s="680" t="s">
        <v>74</v>
      </c>
      <c r="B5" s="679">
        <v>1.27</v>
      </c>
      <c r="C5" s="3" t="s">
        <v>269</v>
      </c>
      <c r="D5" s="3"/>
      <c r="E5" s="597" t="s">
        <v>270</v>
      </c>
      <c r="F5" s="602">
        <f>20.4+20*LOG10(B6)+20*LOG10(B5)+10*LOG10(B7/100)</f>
        <v>23.401526495175197</v>
      </c>
      <c r="G5" s="3" t="s">
        <v>37</v>
      </c>
      <c r="H5" s="425" t="s">
        <v>870</v>
      </c>
      <c r="I5" s="338"/>
      <c r="J5" s="200"/>
      <c r="K5" s="3"/>
      <c r="L5" s="3"/>
      <c r="M5" s="3"/>
      <c r="N5" s="3"/>
      <c r="O5" s="3"/>
      <c r="P5" s="3"/>
      <c r="Q5" s="3"/>
      <c r="R5" s="3"/>
    </row>
    <row r="6" spans="1:21" ht="13.5" thickBot="1" x14ac:dyDescent="0.25">
      <c r="A6" s="680" t="s">
        <v>271</v>
      </c>
      <c r="B6" s="679">
        <v>1.5</v>
      </c>
      <c r="C6" s="3" t="s">
        <v>272</v>
      </c>
      <c r="D6" s="3"/>
      <c r="E6" s="3"/>
      <c r="F6" s="86"/>
      <c r="G6" s="3"/>
      <c r="H6" s="3"/>
      <c r="I6" s="3"/>
      <c r="J6" s="3"/>
      <c r="K6" s="3"/>
      <c r="L6" s="3"/>
      <c r="M6" s="3"/>
      <c r="N6" s="3"/>
      <c r="O6" s="3"/>
      <c r="P6" s="3"/>
      <c r="Q6" s="3"/>
      <c r="R6" s="3"/>
    </row>
    <row r="7" spans="1:21" ht="13.5" thickBot="1" x14ac:dyDescent="0.25">
      <c r="A7" s="681" t="s">
        <v>282</v>
      </c>
      <c r="B7" s="679">
        <v>55</v>
      </c>
      <c r="C7" s="3" t="s">
        <v>267</v>
      </c>
      <c r="D7" s="4" t="s">
        <v>380</v>
      </c>
      <c r="E7" s="4" t="s">
        <v>381</v>
      </c>
      <c r="F7" s="601">
        <f>21/(B5*B6)</f>
        <v>11.023622047244094</v>
      </c>
      <c r="G7" s="3" t="s">
        <v>239</v>
      </c>
      <c r="H7" s="593" t="s">
        <v>285</v>
      </c>
      <c r="I7" s="3"/>
      <c r="J7" s="3"/>
      <c r="K7" s="3"/>
      <c r="L7" s="3"/>
      <c r="M7" s="3"/>
      <c r="N7" s="3"/>
      <c r="O7" s="3"/>
      <c r="P7" s="3"/>
      <c r="Q7" s="3"/>
      <c r="R7" s="31" t="s">
        <v>37</v>
      </c>
      <c r="S7" s="142">
        <f>F7/2</f>
        <v>5.5118110236220472</v>
      </c>
    </row>
    <row r="8" spans="1:21" ht="13.5" thickBot="1" x14ac:dyDescent="0.25">
      <c r="A8" s="589"/>
      <c r="B8" s="594"/>
      <c r="C8" s="101"/>
      <c r="D8" s="101"/>
      <c r="E8" s="4"/>
      <c r="F8" s="595"/>
      <c r="G8" s="101"/>
      <c r="H8" s="247"/>
      <c r="I8" s="101"/>
      <c r="J8" s="101"/>
      <c r="K8" s="101"/>
      <c r="L8" s="101"/>
      <c r="M8" s="101"/>
      <c r="N8" s="101"/>
      <c r="O8" s="101"/>
      <c r="P8" s="101"/>
      <c r="Q8" s="101"/>
      <c r="R8" s="596"/>
      <c r="S8" s="142"/>
    </row>
    <row r="9" spans="1:21" x14ac:dyDescent="0.2">
      <c r="A9" s="575" t="s">
        <v>370</v>
      </c>
      <c r="B9" s="576" t="s">
        <v>358</v>
      </c>
      <c r="C9" s="577"/>
      <c r="D9" s="577"/>
      <c r="E9" s="577"/>
      <c r="F9" s="603"/>
      <c r="G9" s="87"/>
      <c r="H9" s="87"/>
      <c r="I9" s="87"/>
      <c r="J9" s="87"/>
      <c r="K9" s="103"/>
      <c r="L9" s="3"/>
      <c r="M9" s="3"/>
      <c r="N9" s="3"/>
      <c r="O9" s="3"/>
      <c r="P9" s="3"/>
      <c r="Q9" s="3"/>
    </row>
    <row r="10" spans="1:21" ht="13.5" thickBot="1" x14ac:dyDescent="0.25">
      <c r="A10" s="571"/>
      <c r="B10" s="590"/>
      <c r="C10" s="571" t="s">
        <v>37</v>
      </c>
      <c r="D10" s="571"/>
      <c r="E10" s="571"/>
      <c r="F10" s="604" t="s">
        <v>286</v>
      </c>
      <c r="G10" s="605"/>
      <c r="H10" s="605"/>
      <c r="I10" s="606" t="s">
        <v>287</v>
      </c>
      <c r="J10" s="605"/>
      <c r="K10" s="607"/>
      <c r="L10" s="3"/>
      <c r="M10" s="3"/>
      <c r="N10" s="3"/>
      <c r="O10" s="3"/>
      <c r="P10" s="3"/>
      <c r="Q10" s="4"/>
      <c r="U10" s="143"/>
    </row>
    <row r="11" spans="1:21" x14ac:dyDescent="0.2">
      <c r="A11" s="571"/>
      <c r="B11" s="591">
        <v>1E-4</v>
      </c>
      <c r="C11" s="592">
        <f>((SIN(RADIANS(B11)))^2)/B11^2</f>
        <v>3.046174197863993E-4</v>
      </c>
      <c r="D11" s="591">
        <f>C11*1000000</f>
        <v>304.6174197863993</v>
      </c>
      <c r="E11" s="592">
        <f>D11/304.6174</f>
        <v>1.0000000649549217</v>
      </c>
      <c r="F11" s="270">
        <v>0</v>
      </c>
      <c r="G11" s="268" t="s">
        <v>78</v>
      </c>
      <c r="H11" s="268"/>
      <c r="I11" s="284">
        <f>(S7*B11)/79.76</f>
        <v>6.9104952653235296E-6</v>
      </c>
      <c r="J11" s="285" t="s">
        <v>273</v>
      </c>
      <c r="K11" s="94"/>
      <c r="L11" s="3"/>
      <c r="M11" s="3"/>
      <c r="N11" s="3"/>
      <c r="O11" s="3"/>
      <c r="P11" s="3"/>
      <c r="Q11" s="3"/>
      <c r="R11" s="144"/>
      <c r="S11" s="145"/>
      <c r="T11" s="144"/>
      <c r="U11" s="146"/>
    </row>
    <row r="12" spans="1:21" x14ac:dyDescent="0.2">
      <c r="A12" s="571"/>
      <c r="B12" s="591">
        <v>0.1</v>
      </c>
      <c r="C12" s="592">
        <f>((SIN(RADIANS(B12)))^2)/B12^2</f>
        <v>3.0461711048092603E-4</v>
      </c>
      <c r="D12" s="591">
        <f>C12*1000000</f>
        <v>304.61711048092604</v>
      </c>
      <c r="E12" s="591">
        <f t="shared" ref="E12:E75" si="0">D12/304.6174</f>
        <v>0.99999904956488395</v>
      </c>
      <c r="F12" s="761">
        <f>10*LOG10(E12)</f>
        <v>-4.1276892246433878E-6</v>
      </c>
      <c r="G12" s="268" t="s">
        <v>78</v>
      </c>
      <c r="H12" s="268"/>
      <c r="I12" s="269">
        <f>(S7*B12)/79.76</f>
        <v>6.9104952653235296E-3</v>
      </c>
      <c r="J12" s="93"/>
      <c r="K12" s="94"/>
      <c r="L12" s="3"/>
      <c r="M12" s="3"/>
      <c r="N12" s="3"/>
      <c r="O12" s="3"/>
      <c r="P12" s="3"/>
      <c r="Q12" s="3"/>
      <c r="R12" s="144"/>
      <c r="S12" s="144"/>
      <c r="T12" s="144"/>
      <c r="U12" s="147"/>
    </row>
    <row r="13" spans="1:21" x14ac:dyDescent="0.2">
      <c r="A13" s="571"/>
      <c r="B13" s="591">
        <v>3.5</v>
      </c>
      <c r="C13" s="591">
        <f>((SIN(RADIANS(B13)))^2)/B13^2</f>
        <v>3.0423870851746797E-4</v>
      </c>
      <c r="D13" s="591">
        <f>C13*1000000</f>
        <v>304.23870851746796</v>
      </c>
      <c r="E13" s="591">
        <f t="shared" si="0"/>
        <v>0.99875682911569719</v>
      </c>
      <c r="F13" s="270">
        <f>10*LOG10(E13)</f>
        <v>-5.4023812889198589E-3</v>
      </c>
      <c r="G13" s="268" t="s">
        <v>78</v>
      </c>
      <c r="H13" s="268" t="s">
        <v>37</v>
      </c>
      <c r="I13" s="269">
        <f>(S7*B13)/79.76</f>
        <v>0.24186733428632354</v>
      </c>
      <c r="J13" s="93" t="s">
        <v>37</v>
      </c>
      <c r="K13" s="94"/>
      <c r="L13" s="3"/>
      <c r="M13" s="3"/>
      <c r="N13" s="3"/>
      <c r="O13" s="3"/>
      <c r="P13" s="3"/>
      <c r="Q13" s="3"/>
      <c r="R13" s="144"/>
      <c r="S13" s="144"/>
      <c r="T13" s="144"/>
      <c r="U13" s="148"/>
    </row>
    <row r="14" spans="1:21" x14ac:dyDescent="0.2">
      <c r="A14" s="571"/>
      <c r="B14" s="591">
        <v>10</v>
      </c>
      <c r="C14" s="591">
        <f t="shared" ref="C14:C77" si="1">((SIN(RADIANS(B14)))^2)/B14^2</f>
        <v>3.0153689607045805E-4</v>
      </c>
      <c r="D14" s="591">
        <f t="shared" ref="D14:D77" si="2">C14*1000000</f>
        <v>301.53689607045806</v>
      </c>
      <c r="E14" s="591">
        <f t="shared" si="0"/>
        <v>0.98988730148198389</v>
      </c>
      <c r="F14" s="270">
        <f>10*LOG10(E14)</f>
        <v>-4.4142469484505009E-2</v>
      </c>
      <c r="G14" s="268" t="s">
        <v>78</v>
      </c>
      <c r="H14" s="268"/>
      <c r="I14" s="271">
        <f>(S7*B14)/79.76</f>
        <v>0.69104952653235296</v>
      </c>
      <c r="J14" s="93"/>
      <c r="K14" s="94"/>
      <c r="L14" s="3"/>
      <c r="M14" s="3"/>
      <c r="N14" s="3"/>
      <c r="O14" s="3"/>
      <c r="P14" s="3"/>
      <c r="Q14" s="31"/>
      <c r="R14" s="144"/>
      <c r="S14" s="144"/>
      <c r="T14" s="144"/>
      <c r="U14" s="148"/>
    </row>
    <row r="15" spans="1:21" x14ac:dyDescent="0.2">
      <c r="A15" s="571"/>
      <c r="B15" s="591">
        <v>25</v>
      </c>
      <c r="C15" s="591">
        <f t="shared" si="1"/>
        <v>2.8576991225076853E-4</v>
      </c>
      <c r="D15" s="591">
        <f t="shared" si="2"/>
        <v>285.76991225076853</v>
      </c>
      <c r="E15" s="591">
        <f t="shared" si="0"/>
        <v>0.93812734351605831</v>
      </c>
      <c r="F15" s="272">
        <f t="shared" ref="F15:F78" si="3">10*LOG10(E15)</f>
        <v>-0.27738205509447322</v>
      </c>
      <c r="G15" s="268" t="s">
        <v>78</v>
      </c>
      <c r="H15" s="268"/>
      <c r="I15" s="271">
        <f>(S7*B15)/79.76</f>
        <v>1.7276238163308821</v>
      </c>
      <c r="J15" s="93"/>
      <c r="K15" s="94"/>
      <c r="L15" s="3"/>
      <c r="M15" s="3"/>
      <c r="N15" s="3"/>
      <c r="O15" s="3"/>
      <c r="P15" s="3"/>
      <c r="Q15" s="598"/>
      <c r="R15" s="144"/>
      <c r="S15" s="144"/>
      <c r="T15" s="144"/>
      <c r="U15" s="148"/>
    </row>
    <row r="16" spans="1:21" x14ac:dyDescent="0.2">
      <c r="A16" s="571"/>
      <c r="B16" s="591">
        <v>30</v>
      </c>
      <c r="C16" s="591">
        <f t="shared" si="1"/>
        <v>2.7777777777777772E-4</v>
      </c>
      <c r="D16" s="591">
        <f t="shared" si="2"/>
        <v>277.77777777777771</v>
      </c>
      <c r="E16" s="591">
        <f t="shared" si="0"/>
        <v>0.91189071201375149</v>
      </c>
      <c r="F16" s="272">
        <f t="shared" si="3"/>
        <v>-0.4005720773893886</v>
      </c>
      <c r="G16" s="268" t="s">
        <v>78</v>
      </c>
      <c r="H16" s="268"/>
      <c r="I16" s="271">
        <f>(S7*B16)/79.76</f>
        <v>2.073148579597059</v>
      </c>
      <c r="J16" s="93"/>
      <c r="K16" s="94"/>
      <c r="L16" s="3"/>
      <c r="M16" s="3"/>
      <c r="N16" s="3"/>
      <c r="O16" s="3"/>
      <c r="P16" s="3"/>
      <c r="Q16" s="598"/>
      <c r="R16" s="144"/>
      <c r="S16" s="144"/>
      <c r="T16" s="144"/>
      <c r="U16" s="148"/>
    </row>
    <row r="17" spans="1:21" x14ac:dyDescent="0.2">
      <c r="A17" s="571"/>
      <c r="B17" s="591">
        <v>40</v>
      </c>
      <c r="C17" s="591">
        <f t="shared" si="1"/>
        <v>2.5823494447908422E-4</v>
      </c>
      <c r="D17" s="591">
        <f t="shared" si="2"/>
        <v>258.23494447908422</v>
      </c>
      <c r="E17" s="591">
        <f t="shared" si="0"/>
        <v>0.84773537059630943</v>
      </c>
      <c r="F17" s="272">
        <f t="shared" si="3"/>
        <v>-0.71739696122706598</v>
      </c>
      <c r="G17" s="268" t="s">
        <v>78</v>
      </c>
      <c r="H17" s="268"/>
      <c r="I17" s="271">
        <f>(S7*B17)/79.76</f>
        <v>2.7641981061294119</v>
      </c>
      <c r="J17" s="93" t="s">
        <v>37</v>
      </c>
      <c r="K17" s="94"/>
      <c r="L17" s="3"/>
      <c r="M17" s="3"/>
      <c r="N17" s="3"/>
      <c r="O17" s="3"/>
      <c r="P17" s="3"/>
      <c r="Q17" s="598"/>
      <c r="R17" s="144"/>
      <c r="S17" s="144"/>
      <c r="T17" s="144"/>
      <c r="U17" s="148"/>
    </row>
    <row r="18" spans="1:21" x14ac:dyDescent="0.2">
      <c r="A18" s="571"/>
      <c r="B18" s="591">
        <v>47</v>
      </c>
      <c r="C18" s="591">
        <f t="shared" si="1"/>
        <v>2.4213591528839411E-4</v>
      </c>
      <c r="D18" s="591">
        <f t="shared" si="2"/>
        <v>242.1359152883941</v>
      </c>
      <c r="E18" s="591">
        <f t="shared" si="0"/>
        <v>0.79488537190716657</v>
      </c>
      <c r="F18" s="270">
        <f t="shared" si="3"/>
        <v>-0.99695495164283776</v>
      </c>
      <c r="G18" s="268" t="s">
        <v>78</v>
      </c>
      <c r="H18" s="268"/>
      <c r="I18" s="271">
        <f>(S7*B18)/79.76</f>
        <v>3.2479327747020585</v>
      </c>
      <c r="J18" s="93"/>
      <c r="K18" s="94"/>
      <c r="L18" s="3"/>
      <c r="M18" s="3"/>
      <c r="N18" s="3"/>
      <c r="O18" s="3"/>
      <c r="P18" s="3"/>
      <c r="Q18" s="598"/>
      <c r="R18" s="144"/>
      <c r="S18" s="144"/>
      <c r="T18" s="144"/>
      <c r="U18" s="149"/>
    </row>
    <row r="19" spans="1:21" x14ac:dyDescent="0.2">
      <c r="A19" s="571"/>
      <c r="B19" s="591">
        <v>56.5</v>
      </c>
      <c r="C19" s="591">
        <f t="shared" si="1"/>
        <v>2.1782929414821425E-4</v>
      </c>
      <c r="D19" s="591">
        <f t="shared" si="2"/>
        <v>217.82929414821425</v>
      </c>
      <c r="E19" s="591">
        <f t="shared" si="0"/>
        <v>0.71509143649776497</v>
      </c>
      <c r="F19" s="272">
        <f t="shared" si="3"/>
        <v>-1.4563842277584849</v>
      </c>
      <c r="G19" s="268" t="s">
        <v>78</v>
      </c>
      <c r="H19" s="268"/>
      <c r="I19" s="271">
        <f>(S7*B19)/79.76</f>
        <v>3.9044298249077944</v>
      </c>
      <c r="J19" s="93" t="s">
        <v>37</v>
      </c>
      <c r="K19" s="94"/>
      <c r="L19" s="3"/>
      <c r="M19" s="3"/>
      <c r="N19" s="3"/>
      <c r="O19" s="3"/>
      <c r="P19" s="3"/>
      <c r="Q19" s="598"/>
      <c r="R19" s="144"/>
      <c r="S19" s="144"/>
      <c r="T19" s="144"/>
      <c r="U19" s="149"/>
    </row>
    <row r="20" spans="1:21" x14ac:dyDescent="0.2">
      <c r="A20" s="571"/>
      <c r="B20" s="591">
        <v>60</v>
      </c>
      <c r="C20" s="591">
        <f t="shared" si="1"/>
        <v>2.0833333333333329E-4</v>
      </c>
      <c r="D20" s="591">
        <f t="shared" si="2"/>
        <v>208.33333333333329</v>
      </c>
      <c r="E20" s="591">
        <f t="shared" si="0"/>
        <v>0.68391803401031359</v>
      </c>
      <c r="F20" s="272">
        <f t="shared" si="3"/>
        <v>-1.6499594434723883</v>
      </c>
      <c r="G20" s="268" t="s">
        <v>78</v>
      </c>
      <c r="H20" s="268"/>
      <c r="I20" s="271">
        <f>(S7*B20)/79.76</f>
        <v>4.146297159194118</v>
      </c>
      <c r="J20" s="93"/>
      <c r="K20" s="94"/>
      <c r="L20" s="3"/>
      <c r="M20" s="3"/>
      <c r="N20" s="3"/>
      <c r="O20" s="3"/>
      <c r="P20" s="3"/>
      <c r="Q20" s="598"/>
      <c r="R20" s="144"/>
      <c r="S20" s="144"/>
      <c r="T20" s="144"/>
      <c r="U20" s="149"/>
    </row>
    <row r="21" spans="1:21" x14ac:dyDescent="0.2">
      <c r="A21" s="571"/>
      <c r="B21" s="591">
        <v>70</v>
      </c>
      <c r="C21" s="591">
        <f t="shared" si="1"/>
        <v>1.8020861664479364E-4</v>
      </c>
      <c r="D21" s="591">
        <f t="shared" si="2"/>
        <v>180.20861664479364</v>
      </c>
      <c r="E21" s="591">
        <f t="shared" si="0"/>
        <v>0.59159002947564276</v>
      </c>
      <c r="F21" s="272">
        <f t="shared" si="3"/>
        <v>-2.2797915411429233</v>
      </c>
      <c r="G21" s="268" t="s">
        <v>78</v>
      </c>
      <c r="H21" s="268"/>
      <c r="I21" s="271">
        <f>(S7*B21)/79.76</f>
        <v>4.8373466857264704</v>
      </c>
      <c r="J21" s="93"/>
      <c r="K21" s="94"/>
      <c r="L21" s="3"/>
      <c r="M21" s="3"/>
      <c r="N21" s="3"/>
      <c r="O21" s="3"/>
      <c r="P21" s="3"/>
      <c r="Q21" s="599"/>
      <c r="R21" s="144"/>
      <c r="S21" s="145"/>
      <c r="T21" s="144"/>
      <c r="U21" s="147"/>
    </row>
    <row r="22" spans="1:21" x14ac:dyDescent="0.2">
      <c r="A22" s="571"/>
      <c r="B22" s="591">
        <v>79.760000000000005</v>
      </c>
      <c r="C22" s="591">
        <f t="shared" si="1"/>
        <v>1.5222403494475541E-4</v>
      </c>
      <c r="D22" s="591">
        <f t="shared" si="2"/>
        <v>152.2240349447554</v>
      </c>
      <c r="E22" s="591">
        <f t="shared" si="0"/>
        <v>0.49972206100096517</v>
      </c>
      <c r="F22" s="273">
        <f t="shared" si="3"/>
        <v>-3.0127147753460362</v>
      </c>
      <c r="G22" s="268" t="s">
        <v>78</v>
      </c>
      <c r="H22" s="268"/>
      <c r="I22" s="274">
        <f>(S7*B22)/79.76</f>
        <v>5.5118110236220472</v>
      </c>
      <c r="J22" s="275" t="s">
        <v>283</v>
      </c>
      <c r="K22" s="276"/>
      <c r="L22" s="3"/>
      <c r="M22" s="3"/>
      <c r="N22" s="3"/>
      <c r="O22" s="3"/>
      <c r="P22" s="3"/>
      <c r="Q22" s="600"/>
      <c r="R22" s="144"/>
      <c r="S22" s="144"/>
      <c r="T22" s="144"/>
      <c r="U22" s="149"/>
    </row>
    <row r="23" spans="1:21" x14ac:dyDescent="0.2">
      <c r="A23" s="571"/>
      <c r="B23" s="591">
        <v>80</v>
      </c>
      <c r="C23" s="591">
        <f t="shared" si="1"/>
        <v>1.5153848599889908E-4</v>
      </c>
      <c r="D23" s="591">
        <f t="shared" si="2"/>
        <v>151.53848599889909</v>
      </c>
      <c r="E23" s="591">
        <f t="shared" si="0"/>
        <v>0.49747153642207931</v>
      </c>
      <c r="F23" s="270">
        <f t="shared" si="3"/>
        <v>-3.032317630156677</v>
      </c>
      <c r="G23" s="268" t="s">
        <v>78</v>
      </c>
      <c r="H23" s="268"/>
      <c r="I23" s="271">
        <f>(S7*B23)/79.76</f>
        <v>5.5283962122588237</v>
      </c>
      <c r="J23" s="93" t="s">
        <v>37</v>
      </c>
      <c r="K23" s="94"/>
      <c r="L23" s="3"/>
      <c r="M23" s="3"/>
      <c r="N23" s="3"/>
      <c r="O23" s="3"/>
      <c r="P23" s="3"/>
      <c r="Q23" s="598"/>
      <c r="R23" s="144"/>
      <c r="S23" s="144"/>
      <c r="T23" s="144"/>
      <c r="U23" s="149"/>
    </row>
    <row r="24" spans="1:21" x14ac:dyDescent="0.2">
      <c r="A24" s="571"/>
      <c r="B24" s="591">
        <v>90.8</v>
      </c>
      <c r="C24" s="591">
        <f t="shared" si="1"/>
        <v>1.2126727880419004E-4</v>
      </c>
      <c r="D24" s="591">
        <f t="shared" si="2"/>
        <v>121.26727880419004</v>
      </c>
      <c r="E24" s="591">
        <f t="shared" si="0"/>
        <v>0.39809701876580278</v>
      </c>
      <c r="F24" s="270">
        <f t="shared" si="3"/>
        <v>-4.000110747103232</v>
      </c>
      <c r="G24" s="268" t="s">
        <v>78</v>
      </c>
      <c r="H24" s="268"/>
      <c r="I24" s="277">
        <f>(S7*B24)/79.76</f>
        <v>6.274729700913765</v>
      </c>
      <c r="J24" s="93"/>
      <c r="K24" s="94"/>
      <c r="L24" s="3"/>
      <c r="M24" s="3"/>
      <c r="N24" s="3"/>
      <c r="O24" s="3"/>
      <c r="P24" s="3"/>
      <c r="Q24" s="598"/>
      <c r="R24" s="144"/>
      <c r="S24" s="144"/>
      <c r="T24" s="144"/>
      <c r="U24" s="149"/>
    </row>
    <row r="25" spans="1:21" x14ac:dyDescent="0.2">
      <c r="A25" s="571"/>
      <c r="B25" s="591">
        <v>100</v>
      </c>
      <c r="C25" s="591">
        <f t="shared" si="1"/>
        <v>9.6984631039295408E-5</v>
      </c>
      <c r="D25" s="591">
        <f t="shared" si="2"/>
        <v>96.984631039295408</v>
      </c>
      <c r="E25" s="591">
        <f t="shared" si="0"/>
        <v>0.31838178331013073</v>
      </c>
      <c r="F25" s="272">
        <f t="shared" si="3"/>
        <v>-4.9705178903178053</v>
      </c>
      <c r="G25" s="268" t="s">
        <v>78</v>
      </c>
      <c r="H25" s="268"/>
      <c r="I25" s="271">
        <f>(S7*B25)/79.76</f>
        <v>6.9104952653235285</v>
      </c>
      <c r="J25" s="93"/>
      <c r="K25" s="94"/>
      <c r="L25" s="3"/>
      <c r="M25" s="3"/>
      <c r="N25" s="3"/>
      <c r="O25" s="3"/>
      <c r="P25" s="3"/>
      <c r="Q25" s="598"/>
      <c r="R25" s="144"/>
      <c r="S25" s="144"/>
      <c r="T25" s="144"/>
      <c r="U25" s="149"/>
    </row>
    <row r="26" spans="1:21" x14ac:dyDescent="0.2">
      <c r="A26" s="571"/>
      <c r="B26" s="591">
        <v>110</v>
      </c>
      <c r="C26" s="591">
        <f t="shared" si="1"/>
        <v>7.2977043104090002E-5</v>
      </c>
      <c r="D26" s="591">
        <f t="shared" si="2"/>
        <v>72.977043104090001</v>
      </c>
      <c r="E26" s="591">
        <f t="shared" si="0"/>
        <v>0.23956951606864876</v>
      </c>
      <c r="F26" s="272">
        <f t="shared" si="3"/>
        <v>-6.2056844440222871</v>
      </c>
      <c r="G26" s="268" t="s">
        <v>78</v>
      </c>
      <c r="H26" s="268"/>
      <c r="I26" s="271">
        <f>(S7*B26)/79.76</f>
        <v>7.6015447918558827</v>
      </c>
      <c r="J26" s="93"/>
      <c r="K26" s="94"/>
      <c r="L26" s="3"/>
      <c r="M26" s="3"/>
      <c r="N26" s="3"/>
      <c r="O26" s="3"/>
      <c r="P26" s="3"/>
      <c r="Q26" s="598"/>
      <c r="R26" s="144"/>
      <c r="S26" s="144"/>
      <c r="T26" s="144"/>
      <c r="U26" s="149"/>
    </row>
    <row r="27" spans="1:21" x14ac:dyDescent="0.2">
      <c r="A27" s="571"/>
      <c r="B27" s="591">
        <v>120</v>
      </c>
      <c r="C27" s="591">
        <f t="shared" si="1"/>
        <v>5.2083333333333343E-5</v>
      </c>
      <c r="D27" s="591">
        <f t="shared" si="2"/>
        <v>52.083333333333343</v>
      </c>
      <c r="E27" s="591">
        <f t="shared" si="0"/>
        <v>0.17097950850257848</v>
      </c>
      <c r="F27" s="272">
        <f t="shared" si="3"/>
        <v>-7.6705593567520101</v>
      </c>
      <c r="G27" s="268" t="s">
        <v>78</v>
      </c>
      <c r="H27" s="268"/>
      <c r="I27" s="271">
        <f>(S7*B27)/79.76</f>
        <v>8.292594318388236</v>
      </c>
      <c r="J27" s="93"/>
      <c r="K27" s="94"/>
      <c r="L27" s="3"/>
      <c r="M27" s="3"/>
      <c r="N27" s="3"/>
      <c r="O27" s="3"/>
      <c r="P27" s="3"/>
      <c r="Q27" s="598"/>
      <c r="R27" s="144"/>
      <c r="S27" s="144"/>
      <c r="T27" s="144"/>
      <c r="U27" s="149"/>
    </row>
    <row r="28" spans="1:21" x14ac:dyDescent="0.2">
      <c r="A28" s="571"/>
      <c r="B28" s="591">
        <v>130</v>
      </c>
      <c r="C28" s="591">
        <f t="shared" si="1"/>
        <v>3.4723318865885511E-5</v>
      </c>
      <c r="D28" s="591">
        <f t="shared" si="2"/>
        <v>34.72331886588551</v>
      </c>
      <c r="E28" s="591">
        <f t="shared" si="0"/>
        <v>0.11398993907073435</v>
      </c>
      <c r="F28" s="272">
        <f t="shared" si="3"/>
        <v>-9.4313347847828624</v>
      </c>
      <c r="G28" s="268" t="s">
        <v>78</v>
      </c>
      <c r="H28" s="268"/>
      <c r="I28" s="271">
        <f>(S7*B28)/79.76</f>
        <v>8.9836438449205875</v>
      </c>
      <c r="J28" s="93"/>
      <c r="K28" s="94"/>
      <c r="L28" s="3"/>
      <c r="M28" s="3"/>
      <c r="N28" s="3"/>
      <c r="O28" s="3"/>
      <c r="P28" s="3"/>
      <c r="Q28" s="598"/>
      <c r="R28" s="144"/>
      <c r="S28" s="144"/>
      <c r="T28" s="144"/>
      <c r="U28" s="149"/>
    </row>
    <row r="29" spans="1:21" x14ac:dyDescent="0.2">
      <c r="A29" s="571"/>
      <c r="B29" s="591">
        <v>140</v>
      </c>
      <c r="C29" s="591">
        <f t="shared" si="1"/>
        <v>2.1080403630945664E-5</v>
      </c>
      <c r="D29" s="591">
        <f t="shared" si="2"/>
        <v>21.080403630945664</v>
      </c>
      <c r="E29" s="591">
        <f t="shared" si="0"/>
        <v>6.9202887395617141E-2</v>
      </c>
      <c r="F29" s="272">
        <f t="shared" si="3"/>
        <v>-11.598757848232577</v>
      </c>
      <c r="G29" s="268" t="s">
        <v>78</v>
      </c>
      <c r="H29" s="268"/>
      <c r="I29" s="271">
        <f>(S7*B29)/79.76</f>
        <v>9.6746933714529408</v>
      </c>
      <c r="J29" s="93"/>
      <c r="K29" s="94"/>
      <c r="L29" s="3"/>
      <c r="M29" s="3"/>
      <c r="N29" s="3"/>
      <c r="O29" s="3"/>
      <c r="P29" s="3"/>
      <c r="Q29" s="598"/>
      <c r="R29" s="144"/>
      <c r="S29" s="144"/>
      <c r="T29" s="144"/>
      <c r="U29" s="149"/>
    </row>
    <row r="30" spans="1:21" x14ac:dyDescent="0.2">
      <c r="A30" s="571"/>
      <c r="B30" s="591">
        <v>150</v>
      </c>
      <c r="C30" s="591">
        <f t="shared" si="1"/>
        <v>1.1111111111111108E-5</v>
      </c>
      <c r="D30" s="591">
        <f t="shared" si="2"/>
        <v>11.111111111111109</v>
      </c>
      <c r="E30" s="591">
        <f t="shared" si="0"/>
        <v>3.6475628480550061E-2</v>
      </c>
      <c r="F30" s="272">
        <f t="shared" si="3"/>
        <v>-14.379972164109764</v>
      </c>
      <c r="G30" s="268" t="s">
        <v>78</v>
      </c>
      <c r="H30" s="268"/>
      <c r="I30" s="271">
        <f>(S7*B30)/79.76</f>
        <v>10.365742897985294</v>
      </c>
      <c r="J30" s="93"/>
      <c r="K30" s="94"/>
      <c r="L30" s="3"/>
      <c r="M30" s="3"/>
      <c r="N30" s="3"/>
      <c r="O30" s="3"/>
      <c r="P30" s="3"/>
      <c r="Q30" s="598"/>
      <c r="R30" s="144"/>
      <c r="S30" s="144"/>
      <c r="T30" s="144"/>
      <c r="U30" s="149"/>
    </row>
    <row r="31" spans="1:21" x14ac:dyDescent="0.2">
      <c r="A31" s="571"/>
      <c r="B31" s="591">
        <v>160</v>
      </c>
      <c r="C31" s="591">
        <f t="shared" si="1"/>
        <v>4.5694444703324642E-6</v>
      </c>
      <c r="D31" s="591">
        <f t="shared" si="2"/>
        <v>4.5694444703324644</v>
      </c>
      <c r="E31" s="591">
        <f t="shared" si="0"/>
        <v>1.5000602297611576E-2</v>
      </c>
      <c r="F31" s="272">
        <f t="shared" si="3"/>
        <v>-18.23891302992466</v>
      </c>
      <c r="G31" s="268" t="s">
        <v>78</v>
      </c>
      <c r="H31" s="268"/>
      <c r="I31" s="271">
        <f>(S7*B31)/79.76</f>
        <v>11.056792424517647</v>
      </c>
      <c r="J31" s="93"/>
      <c r="K31" s="94"/>
      <c r="L31" s="3"/>
      <c r="M31" s="3"/>
      <c r="N31" s="3"/>
      <c r="O31" s="3"/>
      <c r="P31" s="3"/>
      <c r="Q31" s="598"/>
      <c r="R31" s="144"/>
      <c r="S31" s="144"/>
      <c r="T31" s="144"/>
      <c r="U31" s="149"/>
    </row>
    <row r="32" spans="1:21" x14ac:dyDescent="0.2">
      <c r="A32" s="571"/>
      <c r="B32" s="591">
        <v>170</v>
      </c>
      <c r="C32" s="591">
        <f t="shared" si="1"/>
        <v>1.0433802632195773E-6</v>
      </c>
      <c r="D32" s="591">
        <f t="shared" si="2"/>
        <v>1.0433802632195772</v>
      </c>
      <c r="E32" s="591">
        <f t="shared" si="0"/>
        <v>3.4252155760622254E-3</v>
      </c>
      <c r="F32" s="272">
        <f t="shared" si="3"/>
        <v>-24.653120897049984</v>
      </c>
      <c r="G32" s="268" t="s">
        <v>78</v>
      </c>
      <c r="H32" s="268"/>
      <c r="I32" s="271">
        <f>(S7*B32)/79.76</f>
        <v>11.747841951049999</v>
      </c>
      <c r="J32" s="93"/>
      <c r="K32" s="94"/>
      <c r="L32" s="3"/>
      <c r="M32" s="3"/>
      <c r="N32" s="3"/>
      <c r="O32" s="3"/>
      <c r="P32" s="3"/>
      <c r="Q32" s="598"/>
      <c r="R32" s="144"/>
      <c r="S32" s="144"/>
      <c r="T32" s="144"/>
      <c r="U32" s="149"/>
    </row>
    <row r="33" spans="1:21" x14ac:dyDescent="0.2">
      <c r="A33" s="571"/>
      <c r="B33" s="591">
        <v>180</v>
      </c>
      <c r="C33" s="591">
        <f t="shared" si="1"/>
        <v>4.6326812856943794E-37</v>
      </c>
      <c r="D33" s="591">
        <f t="shared" si="2"/>
        <v>4.6326812856943792E-31</v>
      </c>
      <c r="E33" s="591">
        <f t="shared" si="0"/>
        <v>1.5208196530120668E-33</v>
      </c>
      <c r="F33" s="278">
        <f t="shared" si="3"/>
        <v>-328.17922283873054</v>
      </c>
      <c r="G33" s="268" t="s">
        <v>78</v>
      </c>
      <c r="H33" s="268"/>
      <c r="I33" s="279">
        <f>(S7*B33)/79.76</f>
        <v>12.438891477582352</v>
      </c>
      <c r="J33" s="206" t="s">
        <v>274</v>
      </c>
      <c r="K33" s="94"/>
      <c r="L33" s="3"/>
      <c r="M33" s="3"/>
      <c r="N33" s="3"/>
      <c r="O33" s="3"/>
      <c r="P33" s="3"/>
      <c r="Q33" s="598"/>
      <c r="R33" s="144"/>
      <c r="S33" s="144"/>
      <c r="T33" s="144"/>
      <c r="U33" s="149"/>
    </row>
    <row r="34" spans="1:21" x14ac:dyDescent="0.2">
      <c r="A34" s="571"/>
      <c r="B34" s="591">
        <v>190</v>
      </c>
      <c r="C34" s="591">
        <f t="shared" si="1"/>
        <v>8.3528226058298746E-7</v>
      </c>
      <c r="D34" s="591">
        <f t="shared" si="2"/>
        <v>0.83528226058298749</v>
      </c>
      <c r="E34" s="591">
        <f t="shared" si="0"/>
        <v>2.7420700872077155E-3</v>
      </c>
      <c r="F34" s="272">
        <f t="shared" si="3"/>
        <v>-25.619214488541079</v>
      </c>
      <c r="G34" s="268" t="s">
        <v>78</v>
      </c>
      <c r="H34" s="268"/>
      <c r="I34" s="271">
        <f>(S7*B34)/79.76</f>
        <v>13.129941004114706</v>
      </c>
      <c r="J34" s="93"/>
      <c r="K34" s="94"/>
      <c r="L34" s="3"/>
      <c r="M34" s="3"/>
      <c r="N34" s="3"/>
      <c r="O34" s="3"/>
      <c r="P34" s="3"/>
      <c r="Q34" s="598"/>
      <c r="R34" s="144"/>
      <c r="S34" s="144"/>
      <c r="T34" s="144"/>
      <c r="U34" s="149"/>
    </row>
    <row r="35" spans="1:21" x14ac:dyDescent="0.2">
      <c r="A35" s="571"/>
      <c r="B35" s="591">
        <v>200</v>
      </c>
      <c r="C35" s="591">
        <f t="shared" si="1"/>
        <v>2.924444461012773E-6</v>
      </c>
      <c r="D35" s="591">
        <f t="shared" si="2"/>
        <v>2.9244444610127731</v>
      </c>
      <c r="E35" s="591">
        <f t="shared" si="0"/>
        <v>9.6003854704713957E-3</v>
      </c>
      <c r="F35" s="272">
        <f t="shared" si="3"/>
        <v>-20.177113290085799</v>
      </c>
      <c r="G35" s="268" t="s">
        <v>78</v>
      </c>
      <c r="H35" s="268"/>
      <c r="I35" s="271">
        <f>(S7*B35)/79.76</f>
        <v>13.820990530647057</v>
      </c>
      <c r="J35" s="93"/>
      <c r="K35" s="94"/>
      <c r="L35" s="3"/>
      <c r="M35" s="3"/>
      <c r="N35" s="3"/>
      <c r="O35" s="3"/>
      <c r="P35" s="3"/>
      <c r="Q35" s="598"/>
      <c r="R35" s="144"/>
      <c r="S35" s="144"/>
      <c r="T35" s="144"/>
      <c r="U35" s="149"/>
    </row>
    <row r="36" spans="1:21" x14ac:dyDescent="0.2">
      <c r="A36" s="571"/>
      <c r="B36" s="591">
        <v>210</v>
      </c>
      <c r="C36" s="591">
        <f t="shared" si="1"/>
        <v>5.6689342403628144E-6</v>
      </c>
      <c r="D36" s="591">
        <f t="shared" si="2"/>
        <v>5.6689342403628142</v>
      </c>
      <c r="E36" s="591">
        <f t="shared" si="0"/>
        <v>1.86100145308929E-2</v>
      </c>
      <c r="F36" s="272">
        <f t="shared" si="3"/>
        <v>-17.302532877674523</v>
      </c>
      <c r="G36" s="268" t="s">
        <v>78</v>
      </c>
      <c r="H36" s="268"/>
      <c r="I36" s="271">
        <f>(S7*B36)/79.76</f>
        <v>14.51204005717941</v>
      </c>
      <c r="J36" s="93"/>
      <c r="K36" s="94"/>
      <c r="L36" s="3"/>
      <c r="M36" s="3"/>
      <c r="N36" s="3"/>
      <c r="O36" s="3"/>
      <c r="P36" s="3"/>
      <c r="Q36" s="598"/>
      <c r="R36" s="144"/>
      <c r="S36" s="144"/>
      <c r="T36" s="144"/>
      <c r="U36" s="149"/>
    </row>
    <row r="37" spans="1:21" x14ac:dyDescent="0.2">
      <c r="A37" s="571"/>
      <c r="B37" s="591">
        <v>220</v>
      </c>
      <c r="C37" s="591">
        <f t="shared" si="1"/>
        <v>8.5366923794738577E-6</v>
      </c>
      <c r="D37" s="591">
        <f t="shared" si="2"/>
        <v>8.5366923794738572</v>
      </c>
      <c r="E37" s="591">
        <f t="shared" si="0"/>
        <v>2.8024309771778822E-2</v>
      </c>
      <c r="F37" s="272">
        <f t="shared" si="3"/>
        <v>-15.524650751111944</v>
      </c>
      <c r="G37" s="268" t="s">
        <v>78</v>
      </c>
      <c r="H37" s="268"/>
      <c r="I37" s="271">
        <f>(S7*B37)/79.76</f>
        <v>15.203089583711765</v>
      </c>
      <c r="J37" s="93"/>
      <c r="K37" s="94"/>
      <c r="L37" s="3"/>
      <c r="M37" s="3"/>
      <c r="N37" s="3"/>
      <c r="O37" s="3"/>
      <c r="P37" s="3"/>
      <c r="Q37" s="598"/>
      <c r="R37" s="144"/>
      <c r="S37" s="144"/>
      <c r="T37" s="144"/>
      <c r="U37" s="149"/>
    </row>
    <row r="38" spans="1:21" x14ac:dyDescent="0.2">
      <c r="A38" s="571"/>
      <c r="B38" s="591">
        <v>230</v>
      </c>
      <c r="C38" s="591">
        <f t="shared" si="1"/>
        <v>1.1093082964715783E-5</v>
      </c>
      <c r="D38" s="591">
        <f t="shared" si="2"/>
        <v>11.093082964715784</v>
      </c>
      <c r="E38" s="591">
        <f t="shared" si="0"/>
        <v>3.6416445563240266E-2</v>
      </c>
      <c r="F38" s="272">
        <f t="shared" si="3"/>
        <v>-14.387024458997985</v>
      </c>
      <c r="G38" s="268" t="s">
        <v>78</v>
      </c>
      <c r="H38" s="268"/>
      <c r="I38" s="271">
        <f>(S7*B38)/79.76</f>
        <v>15.894139110244119</v>
      </c>
      <c r="J38" s="93"/>
      <c r="K38" s="94"/>
      <c r="L38" s="3"/>
      <c r="M38" s="3"/>
      <c r="N38" s="3"/>
      <c r="O38" s="3"/>
      <c r="P38" s="3"/>
      <c r="Q38" s="598"/>
      <c r="R38" s="144"/>
      <c r="S38" s="144"/>
      <c r="T38" s="144"/>
      <c r="U38" s="149"/>
    </row>
    <row r="39" spans="1:21" x14ac:dyDescent="0.2">
      <c r="A39" s="571"/>
      <c r="B39" s="591">
        <v>240</v>
      </c>
      <c r="C39" s="591">
        <f t="shared" si="1"/>
        <v>1.3020833333333326E-5</v>
      </c>
      <c r="D39" s="591">
        <f t="shared" si="2"/>
        <v>13.020833333333325</v>
      </c>
      <c r="E39" s="591">
        <f t="shared" si="0"/>
        <v>4.2744877125644586E-2</v>
      </c>
      <c r="F39" s="272">
        <f t="shared" si="3"/>
        <v>-13.691159270031637</v>
      </c>
      <c r="G39" s="268" t="s">
        <v>78</v>
      </c>
      <c r="H39" s="268"/>
      <c r="I39" s="271">
        <f>(S7*B39)/79.76</f>
        <v>16.585188636776472</v>
      </c>
      <c r="J39" s="93"/>
      <c r="K39" s="94"/>
      <c r="L39" s="3"/>
      <c r="M39" s="3"/>
      <c r="N39" s="3"/>
      <c r="O39" s="3"/>
      <c r="P39" s="3"/>
      <c r="Q39" s="598"/>
      <c r="R39" s="144"/>
      <c r="S39" s="145"/>
      <c r="T39" s="144"/>
      <c r="U39" s="149"/>
    </row>
    <row r="40" spans="1:21" x14ac:dyDescent="0.2">
      <c r="A40" s="571"/>
      <c r="B40" s="591">
        <v>250</v>
      </c>
      <c r="C40" s="591">
        <f t="shared" si="1"/>
        <v>1.4128355544951825E-5</v>
      </c>
      <c r="D40" s="591">
        <f t="shared" si="2"/>
        <v>14.128355544951825</v>
      </c>
      <c r="E40" s="591">
        <f t="shared" si="0"/>
        <v>4.6380658310890402E-2</v>
      </c>
      <c r="F40" s="280">
        <f t="shared" si="3"/>
        <v>-13.336630914298537</v>
      </c>
      <c r="G40" s="268" t="s">
        <v>78</v>
      </c>
      <c r="H40" s="268"/>
      <c r="I40" s="281">
        <f>(S7*B40)/79.76</f>
        <v>17.276238163308822</v>
      </c>
      <c r="J40" s="282" t="s">
        <v>275</v>
      </c>
      <c r="K40" s="283"/>
      <c r="L40" s="3"/>
      <c r="M40" s="3"/>
      <c r="N40" s="3"/>
      <c r="O40" s="3"/>
      <c r="P40" s="3"/>
      <c r="Q40" s="598"/>
      <c r="R40" s="144"/>
      <c r="S40" s="144"/>
      <c r="T40" s="144"/>
      <c r="U40" s="149"/>
    </row>
    <row r="41" spans="1:21" x14ac:dyDescent="0.2">
      <c r="A41" s="571"/>
      <c r="B41" s="591">
        <v>260</v>
      </c>
      <c r="C41" s="591">
        <f t="shared" si="1"/>
        <v>1.4346838911138375E-5</v>
      </c>
      <c r="D41" s="591">
        <f t="shared" si="2"/>
        <v>14.346838911138374</v>
      </c>
      <c r="E41" s="591">
        <f t="shared" si="0"/>
        <v>4.7097896939368451E-2</v>
      </c>
      <c r="F41" s="272">
        <f t="shared" si="3"/>
        <v>-13.269984849734165</v>
      </c>
      <c r="G41" s="268" t="s">
        <v>78</v>
      </c>
      <c r="H41" s="268"/>
      <c r="I41" s="271">
        <f>(S7*B41)/79.76</f>
        <v>17.967287689841175</v>
      </c>
      <c r="J41" s="93"/>
      <c r="K41" s="94"/>
      <c r="L41" s="3"/>
      <c r="M41" s="3"/>
      <c r="N41" s="3"/>
      <c r="O41" s="3"/>
      <c r="P41" s="3"/>
      <c r="Q41" s="598"/>
      <c r="R41" s="144"/>
      <c r="S41" s="144"/>
      <c r="T41" s="144"/>
      <c r="U41" s="149"/>
    </row>
    <row r="42" spans="1:21" x14ac:dyDescent="0.2">
      <c r="A42" s="571"/>
      <c r="B42" s="591">
        <v>270</v>
      </c>
      <c r="C42" s="591">
        <f t="shared" si="1"/>
        <v>1.3717421124828532E-5</v>
      </c>
      <c r="D42" s="591">
        <f t="shared" si="2"/>
        <v>13.717421124828531</v>
      </c>
      <c r="E42" s="591">
        <f t="shared" si="0"/>
        <v>4.5031640099444527E-2</v>
      </c>
      <c r="F42" s="272">
        <f t="shared" si="3"/>
        <v>-13.464822352896261</v>
      </c>
      <c r="G42" s="268" t="s">
        <v>78</v>
      </c>
      <c r="H42" s="268"/>
      <c r="I42" s="271">
        <f>(S7*B42)/79.76</f>
        <v>18.658337216373528</v>
      </c>
      <c r="J42" s="93"/>
      <c r="K42" s="94"/>
      <c r="L42" s="3"/>
      <c r="M42" s="3"/>
      <c r="N42" s="3"/>
      <c r="O42" s="3"/>
      <c r="P42" s="3"/>
      <c r="Q42" s="598"/>
      <c r="R42" s="144"/>
      <c r="S42" s="144"/>
      <c r="T42" s="144"/>
      <c r="U42" s="149"/>
    </row>
    <row r="43" spans="1:21" x14ac:dyDescent="0.2">
      <c r="A43" s="571"/>
      <c r="B43" s="591">
        <v>280</v>
      </c>
      <c r="C43" s="591">
        <f t="shared" si="1"/>
        <v>1.2370488652971357E-5</v>
      </c>
      <c r="D43" s="591">
        <f t="shared" si="2"/>
        <v>12.370488652971357</v>
      </c>
      <c r="E43" s="591">
        <f t="shared" si="0"/>
        <v>4.0609921340577913E-2</v>
      </c>
      <c r="F43" s="272">
        <f t="shared" si="3"/>
        <v>-13.91367851716219</v>
      </c>
      <c r="G43" s="268" t="s">
        <v>78</v>
      </c>
      <c r="H43" s="268"/>
      <c r="I43" s="271">
        <f>(S7*B43)/79.76</f>
        <v>19.349386742905882</v>
      </c>
      <c r="J43" s="93"/>
      <c r="K43" s="94"/>
      <c r="L43" s="3"/>
      <c r="M43" s="3"/>
      <c r="N43" s="3"/>
      <c r="O43" s="3"/>
      <c r="P43" s="3"/>
      <c r="Q43" s="598"/>
      <c r="R43" s="144"/>
      <c r="S43" s="144"/>
      <c r="T43" s="144"/>
      <c r="U43" s="149"/>
    </row>
    <row r="44" spans="1:21" x14ac:dyDescent="0.2">
      <c r="A44" s="571"/>
      <c r="B44" s="591">
        <v>290</v>
      </c>
      <c r="C44" s="591">
        <f t="shared" si="1"/>
        <v>1.0499669697496894E-5</v>
      </c>
      <c r="D44" s="591">
        <f t="shared" si="2"/>
        <v>10.499669697496895</v>
      </c>
      <c r="E44" s="591">
        <f t="shared" si="0"/>
        <v>3.4468384594894763E-2</v>
      </c>
      <c r="F44" s="272">
        <f t="shared" si="3"/>
        <v>-14.625790698836909</v>
      </c>
      <c r="G44" s="268" t="s">
        <v>78</v>
      </c>
      <c r="H44" s="268"/>
      <c r="I44" s="271">
        <f>(S7*B44)/79.76</f>
        <v>20.040436269438235</v>
      </c>
      <c r="J44" s="93"/>
      <c r="K44" s="94"/>
      <c r="L44" s="3"/>
      <c r="M44" s="3"/>
      <c r="N44" s="3"/>
      <c r="O44" s="3"/>
      <c r="P44" s="3"/>
      <c r="Q44" s="598"/>
      <c r="R44" s="144"/>
      <c r="S44" s="144"/>
      <c r="T44" s="144"/>
      <c r="U44" s="149"/>
    </row>
    <row r="45" spans="1:21" x14ac:dyDescent="0.2">
      <c r="A45" s="571"/>
      <c r="B45" s="591">
        <v>300</v>
      </c>
      <c r="C45" s="591">
        <f t="shared" si="1"/>
        <v>8.333333333333332E-6</v>
      </c>
      <c r="D45" s="591">
        <f t="shared" si="2"/>
        <v>8.3333333333333321</v>
      </c>
      <c r="E45" s="591">
        <f t="shared" si="0"/>
        <v>2.7356721360412548E-2</v>
      </c>
      <c r="F45" s="272">
        <f t="shared" si="3"/>
        <v>-15.629359530192763</v>
      </c>
      <c r="G45" s="268" t="s">
        <v>78</v>
      </c>
      <c r="H45" s="268"/>
      <c r="I45" s="271">
        <f>(S7*B45)/79.76</f>
        <v>20.731485795970588</v>
      </c>
      <c r="J45" s="93"/>
      <c r="K45" s="94"/>
      <c r="L45" s="3"/>
      <c r="M45" s="3"/>
      <c r="N45" s="3"/>
      <c r="O45" s="3"/>
      <c r="P45" s="3"/>
      <c r="Q45" s="598"/>
      <c r="R45" s="144"/>
      <c r="S45" s="144"/>
      <c r="T45" s="144"/>
      <c r="U45" s="149"/>
    </row>
    <row r="46" spans="1:21" x14ac:dyDescent="0.2">
      <c r="A46" s="571"/>
      <c r="B46" s="591">
        <v>310</v>
      </c>
      <c r="C46" s="591">
        <f t="shared" si="1"/>
        <v>6.1063901023253407E-6</v>
      </c>
      <c r="D46" s="591">
        <f t="shared" si="2"/>
        <v>6.1063901023253404</v>
      </c>
      <c r="E46" s="591">
        <f t="shared" si="0"/>
        <v>2.0046097505675452E-2</v>
      </c>
      <c r="F46" s="272">
        <f t="shared" si="3"/>
        <v>-16.979701615331578</v>
      </c>
      <c r="G46" s="268" t="s">
        <v>78</v>
      </c>
      <c r="H46" s="268"/>
      <c r="I46" s="271">
        <f>(S7*B46)/79.76</f>
        <v>21.422535322502942</v>
      </c>
      <c r="J46" s="93"/>
      <c r="K46" s="94"/>
      <c r="L46" s="3"/>
      <c r="M46" s="3"/>
      <c r="N46" s="3"/>
      <c r="O46" s="3"/>
      <c r="P46" s="3"/>
      <c r="Q46" s="598"/>
      <c r="R46" s="144"/>
      <c r="S46" s="144"/>
      <c r="T46" s="144"/>
      <c r="U46" s="149"/>
    </row>
    <row r="47" spans="1:21" x14ac:dyDescent="0.2">
      <c r="A47" s="571"/>
      <c r="B47" s="591">
        <v>320</v>
      </c>
      <c r="C47" s="591">
        <f t="shared" si="1"/>
        <v>4.0349210074856952E-6</v>
      </c>
      <c r="D47" s="591">
        <f t="shared" si="2"/>
        <v>4.0349210074856954</v>
      </c>
      <c r="E47" s="591">
        <f t="shared" si="0"/>
        <v>1.3245865165567351E-2</v>
      </c>
      <c r="F47" s="272">
        <f t="shared" si="3"/>
        <v>-18.779196701065931</v>
      </c>
      <c r="G47" s="268" t="s">
        <v>78</v>
      </c>
      <c r="H47" s="268"/>
      <c r="I47" s="271">
        <f>(S7*B47)/79.76</f>
        <v>22.113584849035295</v>
      </c>
      <c r="J47" s="93"/>
      <c r="K47" s="94"/>
      <c r="L47" s="3"/>
      <c r="M47" s="3"/>
      <c r="N47" s="3"/>
      <c r="O47" s="3"/>
      <c r="P47" s="3"/>
      <c r="Q47" s="598"/>
      <c r="R47" s="144"/>
      <c r="S47" s="144"/>
      <c r="T47" s="144"/>
      <c r="U47" s="149"/>
    </row>
    <row r="48" spans="1:21" x14ac:dyDescent="0.2">
      <c r="A48" s="571"/>
      <c r="B48" s="591">
        <v>330</v>
      </c>
      <c r="C48" s="591">
        <f t="shared" si="1"/>
        <v>2.2956841138659359E-6</v>
      </c>
      <c r="D48" s="591">
        <f t="shared" si="2"/>
        <v>2.2956841138659358</v>
      </c>
      <c r="E48" s="591">
        <f t="shared" si="0"/>
        <v>7.5362868761467208E-3</v>
      </c>
      <c r="F48" s="272">
        <f t="shared" si="3"/>
        <v>-21.228425780553884</v>
      </c>
      <c r="G48" s="268" t="s">
        <v>78</v>
      </c>
      <c r="H48" s="268" t="s">
        <v>37</v>
      </c>
      <c r="I48" s="271">
        <f>(S7*B48)/79.76</f>
        <v>22.804634375567648</v>
      </c>
      <c r="J48" s="93"/>
      <c r="K48" s="94"/>
      <c r="L48" s="3"/>
      <c r="M48" s="3"/>
      <c r="N48" s="3"/>
      <c r="O48" s="3"/>
      <c r="P48" s="3"/>
      <c r="Q48" s="598"/>
      <c r="R48" s="144"/>
      <c r="S48" s="144"/>
      <c r="T48" s="144"/>
      <c r="U48" s="149"/>
    </row>
    <row r="49" spans="1:21" x14ac:dyDescent="0.2">
      <c r="A49" s="571"/>
      <c r="B49" s="591">
        <v>340</v>
      </c>
      <c r="C49" s="591">
        <f t="shared" si="1"/>
        <v>1.0119184986203364E-6</v>
      </c>
      <c r="D49" s="591">
        <f t="shared" si="2"/>
        <v>1.0119184986203364</v>
      </c>
      <c r="E49" s="591">
        <f t="shared" si="0"/>
        <v>3.3219326887444266E-3</v>
      </c>
      <c r="F49" s="272">
        <f t="shared" si="3"/>
        <v>-24.786091717651274</v>
      </c>
      <c r="G49" s="268" t="s">
        <v>78</v>
      </c>
      <c r="H49" s="268"/>
      <c r="I49" s="271">
        <f>(S7*B49)/79.76</f>
        <v>23.495683902099998</v>
      </c>
      <c r="J49" s="93"/>
      <c r="K49" s="94"/>
      <c r="L49" s="3"/>
      <c r="M49" s="3"/>
      <c r="N49" s="3"/>
      <c r="O49" s="3"/>
      <c r="P49" s="3"/>
      <c r="Q49" s="598"/>
      <c r="R49" s="144"/>
      <c r="S49" s="144"/>
      <c r="T49" s="144"/>
      <c r="U49" s="149"/>
    </row>
    <row r="50" spans="1:21" x14ac:dyDescent="0.2">
      <c r="A50" s="571"/>
      <c r="B50" s="591">
        <v>350</v>
      </c>
      <c r="C50" s="591">
        <f t="shared" si="1"/>
        <v>2.4615256822078222E-7</v>
      </c>
      <c r="D50" s="591">
        <f t="shared" si="2"/>
        <v>0.24615256822078221</v>
      </c>
      <c r="E50" s="591">
        <f t="shared" si="0"/>
        <v>8.0807126651590564E-4</v>
      </c>
      <c r="F50" s="272">
        <f t="shared" si="3"/>
        <v>-30.925503356490015</v>
      </c>
      <c r="G50" s="268" t="s">
        <v>78</v>
      </c>
      <c r="H50" s="268"/>
      <c r="I50" s="271">
        <f>(S7*B50)/79.76</f>
        <v>24.186733428632351</v>
      </c>
      <c r="J50" s="93"/>
      <c r="K50" s="94"/>
      <c r="L50" s="3"/>
      <c r="M50" s="3"/>
      <c r="N50" s="3"/>
      <c r="O50" s="3"/>
      <c r="P50" s="3"/>
      <c r="Q50" s="598"/>
      <c r="R50" s="144"/>
      <c r="S50" s="145"/>
      <c r="T50" s="144"/>
      <c r="U50" s="149"/>
    </row>
    <row r="51" spans="1:21" x14ac:dyDescent="0.2">
      <c r="A51" s="571"/>
      <c r="B51" s="591">
        <v>360</v>
      </c>
      <c r="C51" s="591">
        <f t="shared" si="1"/>
        <v>4.6326812856943794E-37</v>
      </c>
      <c r="D51" s="591">
        <f t="shared" si="2"/>
        <v>4.6326812856943792E-31</v>
      </c>
      <c r="E51" s="591">
        <f t="shared" si="0"/>
        <v>1.5208196530120668E-33</v>
      </c>
      <c r="F51" s="278">
        <f t="shared" si="3"/>
        <v>-328.17922283873054</v>
      </c>
      <c r="G51" s="268" t="s">
        <v>78</v>
      </c>
      <c r="H51" s="268"/>
      <c r="I51" s="279">
        <f>(S7*B51)/79.76</f>
        <v>24.877782955164705</v>
      </c>
      <c r="J51" s="282" t="s">
        <v>276</v>
      </c>
      <c r="K51" s="94"/>
      <c r="L51" s="3"/>
      <c r="M51" s="3"/>
      <c r="N51" s="3"/>
      <c r="O51" s="3"/>
      <c r="P51" s="3"/>
      <c r="Q51" s="598"/>
      <c r="R51" s="144"/>
      <c r="S51" s="144"/>
      <c r="T51" s="144"/>
      <c r="U51" s="149"/>
    </row>
    <row r="52" spans="1:21" x14ac:dyDescent="0.2">
      <c r="A52" s="571"/>
      <c r="B52" s="591">
        <v>370</v>
      </c>
      <c r="C52" s="591">
        <f t="shared" si="1"/>
        <v>2.2026069837140728E-7</v>
      </c>
      <c r="D52" s="591">
        <f t="shared" si="2"/>
        <v>0.22026069837140727</v>
      </c>
      <c r="E52" s="591">
        <f t="shared" si="0"/>
        <v>7.230732662395756E-4</v>
      </c>
      <c r="F52" s="272">
        <f t="shared" si="3"/>
        <v>-31.408176950824426</v>
      </c>
      <c r="G52" s="268" t="s">
        <v>78</v>
      </c>
      <c r="H52" s="268"/>
      <c r="I52" s="271">
        <f>(S7*B52)/79.76</f>
        <v>25.568832481697058</v>
      </c>
      <c r="J52" s="93"/>
      <c r="K52" s="94"/>
      <c r="L52" s="3"/>
      <c r="M52" s="3"/>
      <c r="N52" s="3"/>
      <c r="O52" s="3"/>
      <c r="P52" s="3"/>
      <c r="Q52" s="598"/>
      <c r="R52" s="144"/>
      <c r="S52" s="144"/>
      <c r="T52" s="144"/>
      <c r="U52" s="149"/>
    </row>
    <row r="53" spans="1:21" x14ac:dyDescent="0.2">
      <c r="A53" s="571"/>
      <c r="B53" s="591">
        <v>380</v>
      </c>
      <c r="C53" s="591">
        <f t="shared" si="1"/>
        <v>8.1009541856309637E-7</v>
      </c>
      <c r="D53" s="591">
        <f t="shared" si="2"/>
        <v>0.81009541856309641</v>
      </c>
      <c r="E53" s="591">
        <f t="shared" si="0"/>
        <v>2.6593865569172885E-3</v>
      </c>
      <c r="F53" s="272">
        <f t="shared" si="3"/>
        <v>-25.752185309142369</v>
      </c>
      <c r="G53" s="268" t="s">
        <v>78</v>
      </c>
      <c r="H53" s="268"/>
      <c r="I53" s="271">
        <f>(S7*B53)/79.76</f>
        <v>26.259882008229411</v>
      </c>
      <c r="J53" s="93"/>
      <c r="K53" s="94"/>
      <c r="L53" s="3"/>
      <c r="M53" s="3"/>
      <c r="N53" s="3"/>
      <c r="O53" s="3"/>
      <c r="P53" s="3"/>
      <c r="Q53" s="598"/>
      <c r="R53" s="144"/>
      <c r="S53" s="144"/>
      <c r="T53" s="144"/>
      <c r="U53" s="149"/>
    </row>
    <row r="54" spans="1:21" x14ac:dyDescent="0.2">
      <c r="A54" s="571"/>
      <c r="B54" s="591">
        <v>390</v>
      </c>
      <c r="C54" s="591">
        <f t="shared" si="1"/>
        <v>1.643655489809336E-6</v>
      </c>
      <c r="D54" s="591">
        <f t="shared" si="2"/>
        <v>1.6436554898093361</v>
      </c>
      <c r="E54" s="591">
        <f t="shared" si="0"/>
        <v>5.39580302966717E-3</v>
      </c>
      <c r="F54" s="272">
        <f t="shared" si="3"/>
        <v>-22.679439123526123</v>
      </c>
      <c r="G54" s="268" t="s">
        <v>78</v>
      </c>
      <c r="H54" s="268"/>
      <c r="I54" s="271">
        <f>(S7*B54)/79.76</f>
        <v>26.950931534761764</v>
      </c>
      <c r="J54" s="93"/>
      <c r="K54" s="94"/>
      <c r="L54" s="3"/>
      <c r="M54" s="3"/>
      <c r="N54" s="3"/>
      <c r="O54" s="3"/>
      <c r="P54" s="3"/>
      <c r="Q54" s="598"/>
      <c r="R54" s="144"/>
      <c r="S54" s="144"/>
      <c r="T54" s="144"/>
      <c r="U54" s="149"/>
    </row>
    <row r="55" spans="1:21" x14ac:dyDescent="0.2">
      <c r="A55" s="571"/>
      <c r="B55" s="591">
        <v>400</v>
      </c>
      <c r="C55" s="591">
        <f t="shared" si="1"/>
        <v>2.5823494447908412E-6</v>
      </c>
      <c r="D55" s="591">
        <f t="shared" si="2"/>
        <v>2.5823494447908413</v>
      </c>
      <c r="E55" s="591">
        <f t="shared" si="0"/>
        <v>8.4773537059630918E-3</v>
      </c>
      <c r="F55" s="272">
        <f t="shared" si="3"/>
        <v>-20.717396961227067</v>
      </c>
      <c r="G55" s="268" t="s">
        <v>78</v>
      </c>
      <c r="H55" s="268"/>
      <c r="I55" s="271">
        <f>(S7*B55)/79.76</f>
        <v>27.641981061294114</v>
      </c>
      <c r="J55" s="93"/>
      <c r="K55" s="94"/>
      <c r="L55" s="3"/>
      <c r="M55" s="3"/>
      <c r="N55" s="3"/>
      <c r="O55" s="3"/>
      <c r="P55" s="3"/>
      <c r="Q55" s="598"/>
      <c r="R55" s="144"/>
      <c r="S55" s="144"/>
      <c r="T55" s="144"/>
      <c r="U55" s="149"/>
    </row>
    <row r="56" spans="1:21" x14ac:dyDescent="0.2">
      <c r="A56" s="571"/>
      <c r="B56" s="591">
        <v>410</v>
      </c>
      <c r="C56" s="591">
        <f t="shared" si="1"/>
        <v>3.4909225986523783E-6</v>
      </c>
      <c r="D56" s="591">
        <f t="shared" si="2"/>
        <v>3.4909225986523782</v>
      </c>
      <c r="E56" s="591">
        <f t="shared" si="0"/>
        <v>1.1460023618652048E-2</v>
      </c>
      <c r="F56" s="272">
        <f t="shared" si="3"/>
        <v>-19.40814487304084</v>
      </c>
      <c r="G56" s="268" t="s">
        <v>78</v>
      </c>
      <c r="H56" s="268"/>
      <c r="I56" s="271">
        <f>(S7*B56)/79.76</f>
        <v>28.333030587826471</v>
      </c>
      <c r="J56" s="93"/>
      <c r="K56" s="94"/>
      <c r="L56" s="3"/>
      <c r="M56" s="3"/>
      <c r="N56" s="3"/>
      <c r="O56" s="3"/>
      <c r="P56" s="3"/>
      <c r="Q56" s="598"/>
      <c r="R56" s="144"/>
      <c r="S56" s="144"/>
      <c r="T56" s="144"/>
      <c r="U56" s="149"/>
    </row>
    <row r="57" spans="1:21" x14ac:dyDescent="0.2">
      <c r="A57" s="571"/>
      <c r="B57" s="591">
        <v>420</v>
      </c>
      <c r="C57" s="591">
        <f t="shared" si="1"/>
        <v>4.2517006802721104E-6</v>
      </c>
      <c r="D57" s="591">
        <f t="shared" si="2"/>
        <v>4.2517006802721102</v>
      </c>
      <c r="E57" s="591">
        <f t="shared" si="0"/>
        <v>1.3957510898169673E-2</v>
      </c>
      <c r="F57" s="272">
        <f t="shared" si="3"/>
        <v>-18.551920243757522</v>
      </c>
      <c r="G57" s="268" t="s">
        <v>78</v>
      </c>
      <c r="H57" s="268"/>
      <c r="I57" s="271">
        <f>(S7*B57)/79.76</f>
        <v>29.024080114358821</v>
      </c>
      <c r="J57" s="93"/>
      <c r="K57" s="94"/>
      <c r="L57" s="3"/>
      <c r="M57" s="3"/>
      <c r="N57" s="3"/>
      <c r="O57" s="3"/>
      <c r="P57" s="3"/>
      <c r="Q57" s="598"/>
      <c r="R57" s="144"/>
      <c r="S57" s="144"/>
      <c r="T57" s="144"/>
      <c r="U57" s="149"/>
    </row>
    <row r="58" spans="1:21" x14ac:dyDescent="0.2">
      <c r="A58" s="571"/>
      <c r="B58" s="591">
        <v>430</v>
      </c>
      <c r="C58" s="591">
        <f t="shared" si="1"/>
        <v>4.7756745352054575E-6</v>
      </c>
      <c r="D58" s="591">
        <f t="shared" si="2"/>
        <v>4.7756745352054573</v>
      </c>
      <c r="E58" s="591">
        <f t="shared" si="0"/>
        <v>1.5677615708116009E-2</v>
      </c>
      <c r="F58" s="272">
        <f t="shared" si="3"/>
        <v>-18.047199852449516</v>
      </c>
      <c r="G58" s="268" t="s">
        <v>78</v>
      </c>
      <c r="H58" s="268"/>
      <c r="I58" s="271">
        <f>(S7*B58)/79.76</f>
        <v>29.715129640891174</v>
      </c>
      <c r="J58" s="93"/>
      <c r="K58" s="94"/>
      <c r="L58" s="3"/>
      <c r="M58" s="3"/>
      <c r="N58" s="3"/>
      <c r="O58" s="3"/>
      <c r="P58" s="3"/>
      <c r="Q58" s="598"/>
      <c r="R58" s="144"/>
      <c r="S58" s="145"/>
      <c r="T58" s="144"/>
      <c r="U58" s="149"/>
    </row>
    <row r="59" spans="1:21" x14ac:dyDescent="0.2">
      <c r="A59" s="571"/>
      <c r="B59" s="591">
        <v>440</v>
      </c>
      <c r="C59" s="591">
        <f t="shared" si="1"/>
        <v>5.0095367272363332E-6</v>
      </c>
      <c r="D59" s="591">
        <f t="shared" si="2"/>
        <v>5.0095367272363331</v>
      </c>
      <c r="E59" s="591">
        <f t="shared" si="0"/>
        <v>1.6445340047010884E-2</v>
      </c>
      <c r="F59" s="280">
        <f t="shared" si="3"/>
        <v>-17.839571420041555</v>
      </c>
      <c r="G59" s="268" t="s">
        <v>78</v>
      </c>
      <c r="H59" s="268"/>
      <c r="I59" s="281">
        <f>(S7*B59)/79.76</f>
        <v>30.406179167423531</v>
      </c>
      <c r="J59" s="282" t="s">
        <v>277</v>
      </c>
      <c r="K59" s="283"/>
      <c r="L59" s="3"/>
      <c r="M59" s="3"/>
      <c r="N59" s="3"/>
      <c r="O59" s="3"/>
      <c r="P59" s="3"/>
      <c r="Q59" s="598"/>
      <c r="R59" s="144"/>
      <c r="S59" s="144"/>
      <c r="T59" s="144"/>
      <c r="U59" s="149"/>
    </row>
    <row r="60" spans="1:21" x14ac:dyDescent="0.2">
      <c r="A60" s="571"/>
      <c r="B60" s="591">
        <v>450</v>
      </c>
      <c r="C60" s="591">
        <f t="shared" si="1"/>
        <v>4.9382716049382717E-6</v>
      </c>
      <c r="D60" s="591">
        <f t="shared" si="2"/>
        <v>4.9382716049382713</v>
      </c>
      <c r="E60" s="591">
        <f t="shared" si="0"/>
        <v>1.6211390435800031E-2</v>
      </c>
      <c r="F60" s="272">
        <f t="shared" si="3"/>
        <v>-17.90179734522339</v>
      </c>
      <c r="G60" s="268" t="s">
        <v>78</v>
      </c>
      <c r="H60" s="268"/>
      <c r="I60" s="271">
        <f>(S7*B60)/79.76</f>
        <v>31.097228693955881</v>
      </c>
      <c r="J60" s="93"/>
      <c r="K60" s="94"/>
      <c r="L60" s="3"/>
      <c r="M60" s="3"/>
      <c r="N60" s="3"/>
      <c r="O60" s="3"/>
      <c r="P60" s="3"/>
      <c r="Q60" s="598"/>
      <c r="R60" s="144"/>
      <c r="S60" s="144"/>
      <c r="T60" s="144"/>
      <c r="U60" s="149"/>
    </row>
    <row r="61" spans="1:21" x14ac:dyDescent="0.2">
      <c r="A61" s="571"/>
      <c r="B61" s="591">
        <v>460</v>
      </c>
      <c r="C61" s="591">
        <f t="shared" si="1"/>
        <v>4.5833946615924115E-6</v>
      </c>
      <c r="D61" s="591">
        <f t="shared" si="2"/>
        <v>4.5833946615924113</v>
      </c>
      <c r="E61" s="591">
        <f t="shared" si="0"/>
        <v>1.5046398077038316E-2</v>
      </c>
      <c r="F61" s="272">
        <f t="shared" si="3"/>
        <v>-18.225674523949287</v>
      </c>
      <c r="G61" s="268" t="s">
        <v>78</v>
      </c>
      <c r="H61" s="268"/>
      <c r="I61" s="271">
        <f>(S7*B61)/79.76</f>
        <v>31.788278220488237</v>
      </c>
      <c r="J61" s="93"/>
      <c r="K61" s="94"/>
      <c r="L61" s="3"/>
      <c r="M61" s="3"/>
      <c r="N61" s="3"/>
      <c r="O61" s="3"/>
      <c r="P61" s="3"/>
      <c r="Q61" s="598"/>
      <c r="R61" s="144"/>
      <c r="S61" s="144"/>
      <c r="T61" s="144"/>
      <c r="U61" s="149"/>
    </row>
    <row r="62" spans="1:21" x14ac:dyDescent="0.2">
      <c r="A62" s="571"/>
      <c r="B62" s="591">
        <v>470</v>
      </c>
      <c r="C62" s="591">
        <f t="shared" si="1"/>
        <v>3.9973844344023967E-6</v>
      </c>
      <c r="D62" s="591">
        <f t="shared" si="2"/>
        <v>3.9973844344023965</v>
      </c>
      <c r="E62" s="591">
        <f t="shared" si="0"/>
        <v>1.3122639857087602E-2</v>
      </c>
      <c r="F62" s="272">
        <f t="shared" si="3"/>
        <v>-18.819787899572134</v>
      </c>
      <c r="G62" s="268" t="s">
        <v>78</v>
      </c>
      <c r="H62" s="268"/>
      <c r="I62" s="271">
        <f>(S7*B62)/79.76</f>
        <v>32.479327747020584</v>
      </c>
      <c r="J62" s="93"/>
      <c r="K62" s="94"/>
      <c r="L62" s="3"/>
      <c r="M62" s="3"/>
      <c r="N62" s="3"/>
      <c r="O62" s="3"/>
      <c r="P62" s="3"/>
      <c r="Q62" s="598"/>
      <c r="R62" s="144"/>
      <c r="S62" s="144"/>
      <c r="T62" s="144"/>
      <c r="U62" s="149"/>
    </row>
    <row r="63" spans="1:21" x14ac:dyDescent="0.2">
      <c r="A63" s="571"/>
      <c r="B63" s="591">
        <v>480</v>
      </c>
      <c r="C63" s="591">
        <f t="shared" si="1"/>
        <v>3.2552083333333374E-6</v>
      </c>
      <c r="D63" s="591">
        <f t="shared" si="2"/>
        <v>3.2552083333333375</v>
      </c>
      <c r="E63" s="591">
        <f t="shared" si="0"/>
        <v>1.0686219281411165E-2</v>
      </c>
      <c r="F63" s="272">
        <f t="shared" si="3"/>
        <v>-19.711759183311251</v>
      </c>
      <c r="G63" s="268" t="s">
        <v>78</v>
      </c>
      <c r="H63" s="268"/>
      <c r="I63" s="271">
        <f>(S7*B63)/79.76</f>
        <v>33.170377273552944</v>
      </c>
      <c r="J63" s="93"/>
      <c r="K63" s="94"/>
      <c r="L63" s="3"/>
      <c r="M63" s="3"/>
      <c r="N63" s="3"/>
      <c r="O63" s="3"/>
      <c r="P63" s="3"/>
      <c r="Q63" s="598"/>
      <c r="R63" s="144"/>
      <c r="S63" s="144"/>
      <c r="T63" s="144"/>
      <c r="U63" s="149"/>
    </row>
    <row r="64" spans="1:21" x14ac:dyDescent="0.2">
      <c r="A64" s="571"/>
      <c r="B64" s="591">
        <v>490</v>
      </c>
      <c r="C64" s="591">
        <f t="shared" si="1"/>
        <v>2.4440820026383361E-6</v>
      </c>
      <c r="D64" s="591">
        <f t="shared" si="2"/>
        <v>2.4440820026383361</v>
      </c>
      <c r="E64" s="591">
        <f t="shared" si="0"/>
        <v>8.023448439381126E-3</v>
      </c>
      <c r="F64" s="272">
        <f t="shared" si="3"/>
        <v>-20.956389339216408</v>
      </c>
      <c r="G64" s="268" t="s">
        <v>78</v>
      </c>
      <c r="H64" s="268"/>
      <c r="I64" s="271">
        <f>(S7*B64)/79.76</f>
        <v>33.86142680008529</v>
      </c>
      <c r="J64" s="93"/>
      <c r="K64" s="94"/>
      <c r="L64" s="3"/>
      <c r="M64" s="3"/>
      <c r="N64" s="3"/>
      <c r="O64" s="3"/>
      <c r="P64" s="3"/>
      <c r="Q64" s="598"/>
      <c r="R64" s="144"/>
      <c r="S64" s="144"/>
      <c r="T64" s="144"/>
      <c r="U64" s="149"/>
    </row>
    <row r="65" spans="1:21" x14ac:dyDescent="0.2">
      <c r="A65" s="571"/>
      <c r="B65" s="591">
        <v>500</v>
      </c>
      <c r="C65" s="591">
        <f t="shared" si="1"/>
        <v>1.6527036446661378E-6</v>
      </c>
      <c r="D65" s="591">
        <f t="shared" si="2"/>
        <v>1.6527036446661378</v>
      </c>
      <c r="E65" s="591">
        <f t="shared" si="0"/>
        <v>5.4255063718163764E-3</v>
      </c>
      <c r="F65" s="272">
        <f t="shared" si="3"/>
        <v>-22.655597221388199</v>
      </c>
      <c r="G65" s="268" t="s">
        <v>78</v>
      </c>
      <c r="H65" s="268"/>
      <c r="I65" s="271">
        <f>(S7*B65)/79.76</f>
        <v>34.552476326617644</v>
      </c>
      <c r="J65" s="93"/>
      <c r="K65" s="94"/>
      <c r="L65" s="3"/>
      <c r="M65" s="3"/>
      <c r="N65" s="3"/>
      <c r="O65" s="3"/>
      <c r="P65" s="3"/>
      <c r="Q65" s="598"/>
      <c r="R65" s="144"/>
      <c r="S65" s="144"/>
      <c r="T65" s="144"/>
      <c r="U65" s="149"/>
    </row>
    <row r="66" spans="1:21" x14ac:dyDescent="0.2">
      <c r="A66" s="571"/>
      <c r="B66" s="591">
        <v>510</v>
      </c>
      <c r="C66" s="591">
        <f t="shared" si="1"/>
        <v>9.6116878123798444E-7</v>
      </c>
      <c r="D66" s="591">
        <f t="shared" si="2"/>
        <v>0.96116878123798444</v>
      </c>
      <c r="E66" s="591">
        <f t="shared" si="0"/>
        <v>3.1553311834385841E-3</v>
      </c>
      <c r="F66" s="272">
        <f t="shared" si="3"/>
        <v>-25.009550504954873</v>
      </c>
      <c r="G66" s="268" t="s">
        <v>78</v>
      </c>
      <c r="H66" s="268"/>
      <c r="I66" s="271">
        <f>(S7*B66)/79.76</f>
        <v>35.243525853149997</v>
      </c>
      <c r="J66" s="93"/>
      <c r="K66" s="94"/>
      <c r="L66" s="3"/>
      <c r="M66" s="3"/>
      <c r="N66" s="3"/>
      <c r="O66" s="3"/>
      <c r="P66" s="3"/>
      <c r="Q66" s="598"/>
      <c r="R66" s="144"/>
      <c r="S66" s="144"/>
      <c r="T66" s="144"/>
      <c r="U66" s="149"/>
    </row>
    <row r="67" spans="1:21" x14ac:dyDescent="0.2">
      <c r="A67" s="571"/>
      <c r="B67" s="591">
        <v>520</v>
      </c>
      <c r="C67" s="591">
        <f t="shared" si="1"/>
        <v>4.3261012736875356E-7</v>
      </c>
      <c r="D67" s="591">
        <f t="shared" si="2"/>
        <v>0.43261012736875354</v>
      </c>
      <c r="E67" s="591">
        <f t="shared" si="0"/>
        <v>1.4201753654543489E-3</v>
      </c>
      <c r="F67" s="272">
        <f t="shared" si="3"/>
        <v>-28.476580249502152</v>
      </c>
      <c r="G67" s="268" t="s">
        <v>78</v>
      </c>
      <c r="H67" s="268"/>
      <c r="I67" s="271">
        <f>(S7*B67)/79.76</f>
        <v>35.93457537968235</v>
      </c>
      <c r="J67" s="93"/>
      <c r="K67" s="94"/>
      <c r="L67" s="3"/>
      <c r="M67" s="3"/>
      <c r="N67" s="3"/>
      <c r="O67" s="3"/>
      <c r="P67" s="3"/>
      <c r="Q67" s="598"/>
      <c r="R67" s="144"/>
      <c r="S67" s="144"/>
      <c r="T67" s="144"/>
      <c r="U67" s="149"/>
    </row>
    <row r="68" spans="1:21" x14ac:dyDescent="0.2">
      <c r="A68" s="571"/>
      <c r="B68" s="591">
        <v>530</v>
      </c>
      <c r="C68" s="591">
        <f t="shared" si="1"/>
        <v>1.0734670561426081E-7</v>
      </c>
      <c r="D68" s="591">
        <f t="shared" si="2"/>
        <v>0.10734670561426081</v>
      </c>
      <c r="E68" s="591">
        <f t="shared" si="0"/>
        <v>3.5239846973370801E-4</v>
      </c>
      <c r="F68" s="272">
        <f t="shared" si="3"/>
        <v>-34.529659861500278</v>
      </c>
      <c r="G68" s="268" t="s">
        <v>78</v>
      </c>
      <c r="H68" s="268"/>
      <c r="I68" s="271">
        <f>(S7*B68)/79.76</f>
        <v>36.625624906214703</v>
      </c>
      <c r="J68" s="93"/>
      <c r="K68" s="94"/>
      <c r="L68" s="3"/>
      <c r="M68" s="3"/>
      <c r="N68" s="3"/>
      <c r="O68" s="3"/>
      <c r="P68" s="3"/>
      <c r="Q68" s="598"/>
      <c r="R68" s="144"/>
      <c r="S68" s="145"/>
      <c r="T68" s="144"/>
      <c r="U68" s="149"/>
    </row>
    <row r="69" spans="1:21" x14ac:dyDescent="0.2">
      <c r="A69" s="571"/>
      <c r="B69" s="591">
        <v>540</v>
      </c>
      <c r="C69" s="591">
        <f t="shared" si="1"/>
        <v>4.6326812856943794E-37</v>
      </c>
      <c r="D69" s="591">
        <f t="shared" si="2"/>
        <v>4.6326812856943792E-31</v>
      </c>
      <c r="E69" s="591">
        <f t="shared" si="0"/>
        <v>1.5208196530120668E-33</v>
      </c>
      <c r="F69" s="278">
        <f t="shared" si="3"/>
        <v>-328.17922283873054</v>
      </c>
      <c r="G69" s="268" t="s">
        <v>78</v>
      </c>
      <c r="H69" s="268"/>
      <c r="I69" s="279">
        <f>(S7*B69)/79.76</f>
        <v>37.316674432747057</v>
      </c>
      <c r="J69" s="282" t="s">
        <v>278</v>
      </c>
      <c r="K69" s="94"/>
      <c r="L69" s="3"/>
      <c r="M69" s="3"/>
      <c r="N69" s="3"/>
      <c r="O69" s="3"/>
      <c r="P69" s="3"/>
      <c r="Q69" s="598"/>
      <c r="R69" s="144"/>
      <c r="S69" s="144"/>
      <c r="T69" s="144"/>
      <c r="U69" s="149"/>
    </row>
    <row r="70" spans="1:21" x14ac:dyDescent="0.2">
      <c r="A70" s="571"/>
      <c r="B70" s="591">
        <v>550</v>
      </c>
      <c r="C70" s="591">
        <f t="shared" si="1"/>
        <v>9.9681618535687958E-8</v>
      </c>
      <c r="D70" s="591">
        <f t="shared" si="2"/>
        <v>9.9681618535687952E-2</v>
      </c>
      <c r="E70" s="591">
        <f t="shared" si="0"/>
        <v>3.2723547156429005E-4</v>
      </c>
      <c r="F70" s="272">
        <f t="shared" si="3"/>
        <v>-34.851396259369409</v>
      </c>
      <c r="G70" s="268" t="s">
        <v>78</v>
      </c>
      <c r="H70" s="268"/>
      <c r="I70" s="271">
        <f>(S7*B70)/79.76</f>
        <v>38.00772395927941</v>
      </c>
      <c r="J70" s="93"/>
      <c r="K70" s="94"/>
      <c r="L70" s="3"/>
      <c r="M70" s="3"/>
      <c r="N70" s="3"/>
      <c r="O70" s="3"/>
      <c r="P70" s="3"/>
      <c r="Q70" s="598"/>
      <c r="R70" s="144"/>
      <c r="S70" s="144"/>
      <c r="T70" s="144"/>
      <c r="U70" s="149"/>
    </row>
    <row r="71" spans="1:21" x14ac:dyDescent="0.2">
      <c r="A71" s="571"/>
      <c r="B71" s="591">
        <v>560</v>
      </c>
      <c r="C71" s="591">
        <f t="shared" si="1"/>
        <v>3.7301587512917883E-7</v>
      </c>
      <c r="D71" s="591">
        <f t="shared" si="2"/>
        <v>0.37301587512917883</v>
      </c>
      <c r="E71" s="591">
        <f t="shared" si="0"/>
        <v>1.2245389630703265E-3</v>
      </c>
      <c r="F71" s="272">
        <f t="shared" si="3"/>
        <v>-29.120273916930199</v>
      </c>
      <c r="G71" s="268" t="s">
        <v>78</v>
      </c>
      <c r="H71" s="268"/>
      <c r="I71" s="271">
        <f>(S7*B71)/79.76</f>
        <v>38.698773485811763</v>
      </c>
      <c r="J71" s="93"/>
      <c r="K71" s="94"/>
      <c r="L71" s="3"/>
      <c r="M71" s="3"/>
      <c r="N71" s="3"/>
      <c r="O71" s="3"/>
      <c r="P71" s="3"/>
      <c r="Q71" s="598"/>
      <c r="R71" s="144"/>
      <c r="S71" s="144"/>
      <c r="T71" s="144"/>
      <c r="U71" s="149"/>
    </row>
    <row r="72" spans="1:21" x14ac:dyDescent="0.2">
      <c r="A72" s="571"/>
      <c r="B72" s="591">
        <v>570</v>
      </c>
      <c r="C72" s="591">
        <f t="shared" si="1"/>
        <v>7.6946752847029604E-7</v>
      </c>
      <c r="D72" s="591">
        <f t="shared" si="2"/>
        <v>0.76946752847029609</v>
      </c>
      <c r="E72" s="591">
        <f t="shared" si="0"/>
        <v>2.5260130526696643E-3</v>
      </c>
      <c r="F72" s="272">
        <f t="shared" si="3"/>
        <v>-25.975644096445979</v>
      </c>
      <c r="G72" s="268" t="s">
        <v>78</v>
      </c>
      <c r="H72" s="268"/>
      <c r="I72" s="271">
        <f>(S7*B72)/79.76</f>
        <v>39.389823012344117</v>
      </c>
      <c r="J72" s="93"/>
      <c r="K72" s="94"/>
      <c r="L72" s="3"/>
      <c r="M72" s="3"/>
      <c r="N72" s="3"/>
      <c r="O72" s="3"/>
      <c r="P72" s="3"/>
      <c r="Q72" s="598"/>
      <c r="R72" s="144"/>
      <c r="S72" s="144"/>
      <c r="T72" s="144"/>
      <c r="U72" s="149"/>
    </row>
    <row r="73" spans="1:21" x14ac:dyDescent="0.2">
      <c r="A73" s="571"/>
      <c r="B73" s="591">
        <v>580</v>
      </c>
      <c r="C73" s="591">
        <f t="shared" si="1"/>
        <v>1.2282280355723409E-6</v>
      </c>
      <c r="D73" s="591">
        <f t="shared" si="2"/>
        <v>1.2282280355723409</v>
      </c>
      <c r="E73" s="591">
        <f t="shared" si="0"/>
        <v>4.0320350563439284E-3</v>
      </c>
      <c r="F73" s="272">
        <f t="shared" si="3"/>
        <v>-23.944757005926558</v>
      </c>
      <c r="G73" s="268" t="s">
        <v>78</v>
      </c>
      <c r="H73" s="268"/>
      <c r="I73" s="271">
        <f>(S7*B73)/79.76</f>
        <v>40.08087253887647</v>
      </c>
      <c r="J73" s="93"/>
      <c r="K73" s="94"/>
      <c r="L73" s="3"/>
      <c r="M73" s="3"/>
      <c r="N73" s="3"/>
      <c r="O73" s="3"/>
      <c r="P73" s="3"/>
      <c r="Q73" s="598"/>
      <c r="R73" s="144"/>
      <c r="S73" s="144"/>
      <c r="T73" s="144"/>
      <c r="U73" s="149"/>
    </row>
    <row r="74" spans="1:21" x14ac:dyDescent="0.2">
      <c r="A74" s="571"/>
      <c r="B74" s="591">
        <v>590</v>
      </c>
      <c r="C74" s="591">
        <f t="shared" si="1"/>
        <v>1.6857916944368443E-6</v>
      </c>
      <c r="D74" s="591">
        <f t="shared" si="2"/>
        <v>1.6857916944368443</v>
      </c>
      <c r="E74" s="591">
        <f t="shared" si="0"/>
        <v>5.5341280387687783E-3</v>
      </c>
      <c r="F74" s="272">
        <f t="shared" si="3"/>
        <v>-22.56950797148901</v>
      </c>
      <c r="G74" s="268" t="s">
        <v>78</v>
      </c>
      <c r="H74" s="268"/>
      <c r="I74" s="271">
        <f>(S7*B74)/79.76</f>
        <v>40.771922065408823</v>
      </c>
      <c r="J74" s="93"/>
      <c r="K74" s="94"/>
      <c r="L74" s="3"/>
      <c r="M74" s="3"/>
      <c r="N74" s="3"/>
      <c r="O74" s="3"/>
      <c r="P74" s="3"/>
      <c r="Q74" s="598"/>
      <c r="R74" s="144"/>
      <c r="S74" s="144"/>
      <c r="T74" s="144"/>
      <c r="U74" s="149"/>
    </row>
    <row r="75" spans="1:21" x14ac:dyDescent="0.2">
      <c r="A75" s="571"/>
      <c r="B75" s="591">
        <v>600</v>
      </c>
      <c r="C75" s="591">
        <f t="shared" si="1"/>
        <v>2.0833333333333334E-6</v>
      </c>
      <c r="D75" s="591">
        <f t="shared" si="2"/>
        <v>2.0833333333333335</v>
      </c>
      <c r="E75" s="591">
        <f t="shared" si="0"/>
        <v>6.8391803401031378E-3</v>
      </c>
      <c r="F75" s="272">
        <f t="shared" si="3"/>
        <v>-21.64995944347239</v>
      </c>
      <c r="G75" s="268" t="s">
        <v>78</v>
      </c>
      <c r="H75" s="268"/>
      <c r="I75" s="271">
        <f>(S7*B75)/79.76</f>
        <v>41.462971591941177</v>
      </c>
      <c r="J75" s="93"/>
      <c r="K75" s="94"/>
      <c r="L75" s="3"/>
      <c r="M75" s="3"/>
      <c r="N75" s="3"/>
      <c r="O75" s="3"/>
      <c r="P75" s="3"/>
      <c r="Q75" s="598"/>
      <c r="R75" s="144"/>
      <c r="S75" s="144"/>
      <c r="T75" s="144"/>
      <c r="U75" s="149"/>
    </row>
    <row r="76" spans="1:21" x14ac:dyDescent="0.2">
      <c r="A76" s="571"/>
      <c r="B76" s="591">
        <v>610</v>
      </c>
      <c r="C76" s="591">
        <f t="shared" si="1"/>
        <v>2.3730777252337787E-6</v>
      </c>
      <c r="D76" s="591">
        <f t="shared" si="2"/>
        <v>2.3730777252337787</v>
      </c>
      <c r="E76" s="591">
        <f t="shared" ref="E76:E98" si="4">D76/304.6174</f>
        <v>7.7903551314986563E-3</v>
      </c>
      <c r="F76" s="272">
        <f t="shared" si="3"/>
        <v>-21.084427441073128</v>
      </c>
      <c r="G76" s="268" t="s">
        <v>78</v>
      </c>
      <c r="H76" s="268"/>
      <c r="I76" s="271">
        <f>(S7*B76)/79.76</f>
        <v>42.15402111847353</v>
      </c>
      <c r="J76" s="93"/>
      <c r="K76" s="94"/>
      <c r="L76" s="3"/>
      <c r="M76" s="3"/>
      <c r="N76" s="3"/>
      <c r="O76" s="3"/>
      <c r="P76" s="3"/>
      <c r="Q76" s="598"/>
      <c r="R76" s="144"/>
      <c r="S76" s="145"/>
      <c r="T76" s="144"/>
      <c r="U76" s="149"/>
    </row>
    <row r="77" spans="1:21" x14ac:dyDescent="0.2">
      <c r="A77" s="571"/>
      <c r="B77" s="591">
        <v>620</v>
      </c>
      <c r="C77" s="591">
        <f t="shared" si="1"/>
        <v>2.5230132944665821E-6</v>
      </c>
      <c r="D77" s="591">
        <f t="shared" si="2"/>
        <v>2.523013294466582</v>
      </c>
      <c r="E77" s="591">
        <f t="shared" si="4"/>
        <v>8.2825646022406541E-3</v>
      </c>
      <c r="F77" s="280">
        <f t="shared" si="3"/>
        <v>-20.818351680282881</v>
      </c>
      <c r="G77" s="268" t="s">
        <v>78</v>
      </c>
      <c r="H77" s="268"/>
      <c r="I77" s="281">
        <f>(S7*B77)/79.76</f>
        <v>42.845070645005883</v>
      </c>
      <c r="J77" s="282" t="s">
        <v>279</v>
      </c>
      <c r="K77" s="283"/>
      <c r="L77" s="3"/>
      <c r="M77" s="3"/>
      <c r="N77" s="3"/>
      <c r="O77" s="3"/>
      <c r="P77" s="3"/>
      <c r="Q77" s="598"/>
      <c r="R77" s="144"/>
      <c r="S77" s="144"/>
      <c r="T77" s="144"/>
      <c r="U77" s="149"/>
    </row>
    <row r="78" spans="1:21" x14ac:dyDescent="0.2">
      <c r="A78" s="571"/>
      <c r="B78" s="591">
        <v>630</v>
      </c>
      <c r="C78" s="591">
        <f t="shared" ref="C78:C98" si="5">((SIN(RADIANS(B78)))^2)/B78^2</f>
        <v>2.5195263290501387E-6</v>
      </c>
      <c r="D78" s="591">
        <f t="shared" ref="D78:D98" si="6">C78*1000000</f>
        <v>2.5195263290501386</v>
      </c>
      <c r="E78" s="591">
        <f t="shared" si="4"/>
        <v>8.2711175692857294E-3</v>
      </c>
      <c r="F78" s="272">
        <f t="shared" si="3"/>
        <v>-20.82435805878815</v>
      </c>
      <c r="G78" s="268" t="s">
        <v>78</v>
      </c>
      <c r="H78" s="268"/>
      <c r="I78" s="271">
        <f>(S7*B78)/79.76</f>
        <v>43.536120171538229</v>
      </c>
      <c r="J78" s="93"/>
      <c r="K78" s="94"/>
      <c r="L78" s="3"/>
      <c r="M78" s="3"/>
      <c r="N78" s="3"/>
      <c r="O78" s="3"/>
      <c r="P78" s="3"/>
      <c r="Q78" s="598"/>
      <c r="R78" s="144"/>
      <c r="S78" s="144"/>
      <c r="T78" s="144"/>
      <c r="U78" s="149"/>
    </row>
    <row r="79" spans="1:21" x14ac:dyDescent="0.2">
      <c r="A79" s="571"/>
      <c r="B79" s="591">
        <v>640</v>
      </c>
      <c r="C79" s="591">
        <f t="shared" si="5"/>
        <v>2.3677888437327986E-6</v>
      </c>
      <c r="D79" s="591">
        <f t="shared" si="6"/>
        <v>2.3677888437327987</v>
      </c>
      <c r="E79" s="591">
        <f t="shared" si="4"/>
        <v>7.7729927565949909E-3</v>
      </c>
      <c r="F79" s="272">
        <f t="shared" ref="F79:F98" si="7">10*LOG10(E79)</f>
        <v>-21.094117369995548</v>
      </c>
      <c r="G79" s="268" t="s">
        <v>78</v>
      </c>
      <c r="H79" s="268"/>
      <c r="I79" s="271">
        <f>(S7*B79)/79.76</f>
        <v>44.22716969807059</v>
      </c>
      <c r="J79" s="93"/>
      <c r="K79" s="94"/>
      <c r="L79" s="3"/>
      <c r="M79" s="3"/>
      <c r="N79" s="3"/>
      <c r="O79" s="3"/>
      <c r="P79" s="3"/>
      <c r="Q79" s="598"/>
      <c r="R79" s="144"/>
      <c r="S79" s="144"/>
      <c r="T79" s="144"/>
      <c r="U79" s="149"/>
    </row>
    <row r="80" spans="1:21" x14ac:dyDescent="0.2">
      <c r="A80" s="571"/>
      <c r="B80" s="591">
        <v>650</v>
      </c>
      <c r="C80" s="591">
        <f t="shared" si="5"/>
        <v>2.0899934238094428E-6</v>
      </c>
      <c r="D80" s="591">
        <f t="shared" si="6"/>
        <v>2.0899934238094429</v>
      </c>
      <c r="E80" s="591">
        <f t="shared" si="4"/>
        <v>6.8610441288299451E-3</v>
      </c>
      <c r="F80" s="272">
        <f t="shared" si="7"/>
        <v>-21.636097873714895</v>
      </c>
      <c r="G80" s="268" t="s">
        <v>78</v>
      </c>
      <c r="H80" s="268"/>
      <c r="I80" s="271">
        <f>(S7*B80)/79.76</f>
        <v>44.918219224602936</v>
      </c>
      <c r="J80" s="93"/>
      <c r="K80" s="94"/>
      <c r="L80" s="3"/>
      <c r="M80" s="3"/>
      <c r="N80" s="3"/>
      <c r="O80" s="3"/>
      <c r="P80" s="3"/>
      <c r="Q80" s="598"/>
      <c r="R80" s="144"/>
      <c r="S80" s="144"/>
      <c r="T80" s="144"/>
      <c r="U80" s="149"/>
    </row>
    <row r="81" spans="1:21" x14ac:dyDescent="0.2">
      <c r="A81" s="571"/>
      <c r="B81" s="591">
        <v>670</v>
      </c>
      <c r="C81" s="591">
        <f t="shared" si="5"/>
        <v>1.3072490283659268E-6</v>
      </c>
      <c r="D81" s="591">
        <f t="shared" si="6"/>
        <v>1.3072490283659268</v>
      </c>
      <c r="E81" s="591">
        <f t="shared" si="4"/>
        <v>4.2914456901212046E-3</v>
      </c>
      <c r="F81" s="272">
        <f t="shared" si="7"/>
        <v>-23.673963792662658</v>
      </c>
      <c r="G81" s="268" t="s">
        <v>78</v>
      </c>
      <c r="H81" s="268"/>
      <c r="I81" s="271">
        <f>(S7*B81)/79.76</f>
        <v>46.300318277667643</v>
      </c>
      <c r="J81" s="93"/>
      <c r="K81" s="94"/>
      <c r="L81" s="3"/>
      <c r="M81" s="3"/>
      <c r="N81" s="3"/>
      <c r="O81" s="3"/>
      <c r="P81" s="3"/>
      <c r="Q81" s="598"/>
      <c r="R81" s="144"/>
      <c r="S81" s="144"/>
      <c r="T81" s="144"/>
      <c r="U81" s="149"/>
    </row>
    <row r="82" spans="1:21" x14ac:dyDescent="0.2">
      <c r="A82" s="571"/>
      <c r="B82" s="591">
        <v>680</v>
      </c>
      <c r="C82" s="591">
        <f t="shared" si="5"/>
        <v>8.9354652068887208E-7</v>
      </c>
      <c r="D82" s="591">
        <f t="shared" si="6"/>
        <v>0.89354652068887208</v>
      </c>
      <c r="E82" s="591">
        <f t="shared" si="4"/>
        <v>2.93334038268619E-3</v>
      </c>
      <c r="F82" s="272">
        <f t="shared" si="7"/>
        <v>-25.326375388792549</v>
      </c>
      <c r="G82" s="268" t="s">
        <v>78</v>
      </c>
      <c r="H82" s="268"/>
      <c r="I82" s="271">
        <f>(S7*B82)/79.76</f>
        <v>46.991367804199996</v>
      </c>
      <c r="J82" s="93"/>
      <c r="K82" s="94"/>
      <c r="L82" s="3"/>
      <c r="M82" s="3"/>
      <c r="N82" s="3"/>
      <c r="O82" s="3"/>
      <c r="P82" s="3"/>
      <c r="Q82" s="598"/>
      <c r="R82" s="144"/>
      <c r="S82" s="144"/>
      <c r="T82" s="144"/>
      <c r="U82" s="149"/>
    </row>
    <row r="83" spans="1:21" x14ac:dyDescent="0.2">
      <c r="A83" s="571"/>
      <c r="B83" s="591">
        <v>690</v>
      </c>
      <c r="C83" s="591">
        <f t="shared" si="5"/>
        <v>5.2509976895610143E-7</v>
      </c>
      <c r="D83" s="591">
        <f t="shared" si="6"/>
        <v>0.52509976895610144</v>
      </c>
      <c r="E83" s="591">
        <f t="shared" si="4"/>
        <v>1.7238009678898891E-3</v>
      </c>
      <c r="F83" s="272">
        <f t="shared" si="7"/>
        <v>-27.635128797741245</v>
      </c>
      <c r="G83" s="268" t="s">
        <v>78</v>
      </c>
      <c r="H83" s="268"/>
      <c r="I83" s="271">
        <f>(S7*B83)/79.76</f>
        <v>47.682417330732356</v>
      </c>
      <c r="J83" s="93"/>
      <c r="K83" s="94"/>
      <c r="L83" s="3"/>
      <c r="M83" s="3"/>
      <c r="N83" s="3"/>
      <c r="O83" s="3"/>
      <c r="P83" s="3"/>
      <c r="Q83" s="598"/>
      <c r="R83" s="144"/>
      <c r="S83" s="144"/>
      <c r="T83" s="144"/>
      <c r="U83" s="149"/>
    </row>
    <row r="84" spans="1:21" x14ac:dyDescent="0.2">
      <c r="A84" s="571"/>
      <c r="B84" s="591">
        <v>700</v>
      </c>
      <c r="C84" s="591">
        <f t="shared" si="5"/>
        <v>2.3873016008267562E-7</v>
      </c>
      <c r="D84" s="591">
        <f t="shared" si="6"/>
        <v>0.23873016008267561</v>
      </c>
      <c r="E84" s="591">
        <f t="shared" si="4"/>
        <v>7.8370493636501274E-4</v>
      </c>
      <c r="F84" s="272">
        <f t="shared" si="7"/>
        <v>-31.058474177091306</v>
      </c>
      <c r="G84" s="268" t="s">
        <v>78</v>
      </c>
      <c r="H84" s="268"/>
      <c r="I84" s="271">
        <f>(S7*B84)/79.76</f>
        <v>48.373466857264702</v>
      </c>
      <c r="J84" s="93"/>
      <c r="K84" s="94"/>
      <c r="L84" s="3"/>
      <c r="M84" s="3"/>
      <c r="N84" s="3"/>
      <c r="O84" s="3"/>
      <c r="P84" s="3"/>
      <c r="Q84" s="598"/>
      <c r="R84" s="144"/>
      <c r="S84" s="144"/>
      <c r="T84" s="144"/>
      <c r="U84" s="149"/>
    </row>
    <row r="85" spans="1:21" x14ac:dyDescent="0.2">
      <c r="A85" s="571"/>
      <c r="B85" s="591">
        <v>710</v>
      </c>
      <c r="C85" s="591">
        <f t="shared" si="5"/>
        <v>5.981688079160069E-8</v>
      </c>
      <c r="D85" s="591">
        <f t="shared" si="6"/>
        <v>5.9816880791600691E-2</v>
      </c>
      <c r="E85" s="591">
        <f t="shared" si="4"/>
        <v>1.9636724885578006E-4</v>
      </c>
      <c r="F85" s="272">
        <f t="shared" si="7"/>
        <v>-37.069309443865997</v>
      </c>
      <c r="G85" s="268" t="s">
        <v>78</v>
      </c>
      <c r="H85" s="268"/>
      <c r="I85" s="271">
        <f>(S7*B85)/79.76</f>
        <v>49.064516383797056</v>
      </c>
      <c r="J85" s="93"/>
      <c r="K85" s="94"/>
      <c r="L85" s="3"/>
      <c r="M85" s="3"/>
      <c r="N85" s="3"/>
      <c r="O85" s="3"/>
      <c r="P85" s="3"/>
      <c r="Q85" s="598"/>
      <c r="R85" s="144"/>
      <c r="S85" s="145"/>
      <c r="T85" s="144"/>
      <c r="U85" s="149"/>
    </row>
    <row r="86" spans="1:21" x14ac:dyDescent="0.2">
      <c r="A86" s="571"/>
      <c r="B86" s="591">
        <v>720</v>
      </c>
      <c r="C86" s="591">
        <f t="shared" si="5"/>
        <v>4.6326812856943794E-37</v>
      </c>
      <c r="D86" s="591">
        <f t="shared" si="6"/>
        <v>4.6326812856943792E-31</v>
      </c>
      <c r="E86" s="591">
        <f t="shared" si="4"/>
        <v>1.5208196530120668E-33</v>
      </c>
      <c r="F86" s="278">
        <f t="shared" si="7"/>
        <v>-328.17922283873054</v>
      </c>
      <c r="G86" s="268" t="s">
        <v>78</v>
      </c>
      <c r="H86" s="268"/>
      <c r="I86" s="279">
        <f>(S7*B86)/79.76</f>
        <v>49.755565910329409</v>
      </c>
      <c r="J86" s="282" t="s">
        <v>280</v>
      </c>
      <c r="K86" s="94"/>
      <c r="L86" s="3"/>
      <c r="M86" s="3"/>
      <c r="N86" s="3"/>
      <c r="O86" s="3"/>
      <c r="P86" s="3"/>
      <c r="Q86" s="598"/>
      <c r="R86" s="144"/>
      <c r="S86" s="144"/>
      <c r="T86" s="144"/>
      <c r="U86" s="149"/>
    </row>
    <row r="87" spans="1:21" x14ac:dyDescent="0.2">
      <c r="A87" s="571"/>
      <c r="B87" s="591">
        <v>730</v>
      </c>
      <c r="C87" s="591">
        <f t="shared" si="5"/>
        <v>5.6584142629096589E-8</v>
      </c>
      <c r="D87" s="591">
        <f t="shared" si="6"/>
        <v>5.6584142629096591E-2</v>
      </c>
      <c r="E87" s="591">
        <f t="shared" si="4"/>
        <v>1.8575479479864446E-4</v>
      </c>
      <c r="F87" s="272">
        <f t="shared" si="7"/>
        <v>-37.310599671893655</v>
      </c>
      <c r="G87" s="268" t="s">
        <v>78</v>
      </c>
      <c r="H87" s="268"/>
      <c r="I87" s="271">
        <f>(S7*B87)/79.76</f>
        <v>50.446615436861762</v>
      </c>
      <c r="J87" s="93"/>
      <c r="K87" s="94"/>
      <c r="L87" s="3"/>
      <c r="M87" s="3"/>
      <c r="N87" s="3"/>
      <c r="O87" s="3"/>
      <c r="P87" s="3"/>
      <c r="Q87" s="598"/>
      <c r="R87" s="144"/>
      <c r="S87" s="144"/>
      <c r="T87" s="144"/>
      <c r="U87" s="149"/>
    </row>
    <row r="88" spans="1:21" x14ac:dyDescent="0.2">
      <c r="A88" s="571"/>
      <c r="B88" s="591">
        <v>740</v>
      </c>
      <c r="C88" s="591">
        <f t="shared" si="5"/>
        <v>2.1361902564008473E-7</v>
      </c>
      <c r="D88" s="591">
        <f t="shared" si="6"/>
        <v>0.21361902564008473</v>
      </c>
      <c r="E88" s="591">
        <f t="shared" si="4"/>
        <v>7.0126993940623468E-4</v>
      </c>
      <c r="F88" s="272">
        <f t="shared" si="7"/>
        <v>-31.541147771425713</v>
      </c>
      <c r="G88" s="268" t="s">
        <v>78</v>
      </c>
      <c r="H88" s="268"/>
      <c r="I88" s="271">
        <f>(S7*B88)/79.76</f>
        <v>51.137664963394116</v>
      </c>
      <c r="J88" s="93"/>
      <c r="K88" s="94"/>
      <c r="L88" s="3"/>
      <c r="M88" s="3"/>
      <c r="N88" s="3"/>
      <c r="O88" s="3"/>
      <c r="P88" s="3"/>
      <c r="Q88" s="598"/>
      <c r="R88" s="144"/>
      <c r="S88" s="144"/>
      <c r="T88" s="144"/>
      <c r="U88" s="149"/>
    </row>
    <row r="89" spans="1:21" x14ac:dyDescent="0.2">
      <c r="A89" s="571"/>
      <c r="B89" s="591">
        <v>750</v>
      </c>
      <c r="C89" s="591">
        <f t="shared" si="5"/>
        <v>4.4444444444444274E-7</v>
      </c>
      <c r="D89" s="591">
        <f t="shared" si="6"/>
        <v>0.44444444444444275</v>
      </c>
      <c r="E89" s="591">
        <f t="shared" si="4"/>
        <v>1.4590251392219971E-3</v>
      </c>
      <c r="F89" s="272">
        <f t="shared" si="7"/>
        <v>-28.359372250830155</v>
      </c>
      <c r="G89" s="268" t="s">
        <v>78</v>
      </c>
      <c r="H89" s="268"/>
      <c r="I89" s="271">
        <f>(S7*B89)/79.76</f>
        <v>51.828714489926462</v>
      </c>
      <c r="J89" s="93"/>
      <c r="K89" s="94"/>
      <c r="L89" s="3"/>
      <c r="M89" s="3"/>
      <c r="N89" s="3"/>
      <c r="O89" s="3"/>
      <c r="P89" s="3"/>
      <c r="Q89" s="598"/>
      <c r="R89" s="144"/>
      <c r="S89" s="144"/>
      <c r="T89" s="144"/>
      <c r="U89" s="149"/>
    </row>
    <row r="90" spans="1:21" x14ac:dyDescent="0.2">
      <c r="A90" s="571"/>
      <c r="B90" s="591">
        <v>760</v>
      </c>
      <c r="C90" s="591">
        <f t="shared" si="5"/>
        <v>7.1533225617474943E-7</v>
      </c>
      <c r="D90" s="591">
        <f t="shared" si="6"/>
        <v>0.71533225617474938</v>
      </c>
      <c r="E90" s="591">
        <f t="shared" si="4"/>
        <v>2.3482974254745441E-3</v>
      </c>
      <c r="F90" s="272">
        <f t="shared" si="7"/>
        <v>-26.292468980283637</v>
      </c>
      <c r="G90" s="268" t="s">
        <v>78</v>
      </c>
      <c r="H90" s="268"/>
      <c r="I90" s="271">
        <f>(S7*B90)/79.76</f>
        <v>52.519764016458822</v>
      </c>
      <c r="J90" s="93"/>
      <c r="K90" s="94"/>
      <c r="L90" s="3"/>
      <c r="M90" s="3"/>
      <c r="N90" s="3"/>
      <c r="O90" s="3"/>
      <c r="P90" s="3"/>
      <c r="Q90" s="598"/>
      <c r="R90" s="144"/>
      <c r="S90" s="144"/>
      <c r="T90" s="144"/>
      <c r="U90" s="149"/>
    </row>
    <row r="91" spans="1:21" x14ac:dyDescent="0.2">
      <c r="A91" s="571"/>
      <c r="B91" s="591">
        <v>770</v>
      </c>
      <c r="C91" s="591">
        <f t="shared" si="5"/>
        <v>9.8975221594445192E-7</v>
      </c>
      <c r="D91" s="591">
        <f t="shared" si="6"/>
        <v>0.98975221594445195</v>
      </c>
      <c r="E91" s="591">
        <f t="shared" si="4"/>
        <v>3.2491650704931894E-3</v>
      </c>
      <c r="F91" s="272">
        <f t="shared" si="7"/>
        <v>-24.882282242095762</v>
      </c>
      <c r="G91" s="268" t="s">
        <v>78</v>
      </c>
      <c r="H91" s="268"/>
      <c r="I91" s="271">
        <f>(S7*B91)/79.76</f>
        <v>53.210813542991175</v>
      </c>
      <c r="J91" s="93"/>
      <c r="K91" s="94"/>
      <c r="L91" s="3"/>
      <c r="M91" s="3"/>
      <c r="N91" s="3"/>
      <c r="O91" s="3"/>
      <c r="P91" s="3"/>
      <c r="Q91" s="598"/>
      <c r="R91" s="144"/>
      <c r="S91" s="144"/>
      <c r="T91" s="144"/>
      <c r="U91" s="149"/>
    </row>
    <row r="92" spans="1:21" x14ac:dyDescent="0.2">
      <c r="A92" s="571"/>
      <c r="B92" s="591">
        <v>780</v>
      </c>
      <c r="C92" s="591">
        <f t="shared" si="5"/>
        <v>1.2327416173570021E-6</v>
      </c>
      <c r="D92" s="591">
        <f t="shared" si="6"/>
        <v>1.2327416173570021</v>
      </c>
      <c r="E92" s="591">
        <f t="shared" si="4"/>
        <v>4.0468522722503777E-3</v>
      </c>
      <c r="F92" s="272">
        <f t="shared" si="7"/>
        <v>-23.928826489609122</v>
      </c>
      <c r="G92" s="268" t="s">
        <v>78</v>
      </c>
      <c r="H92" s="268"/>
      <c r="I92" s="271">
        <f>(S7*B92)/79.76</f>
        <v>53.901863069523529</v>
      </c>
      <c r="J92" s="93"/>
      <c r="K92" s="94"/>
      <c r="L92" s="3"/>
      <c r="M92" s="3"/>
      <c r="N92" s="3"/>
      <c r="O92" s="3"/>
      <c r="P92" s="3"/>
      <c r="Q92" s="598"/>
      <c r="R92" s="144"/>
      <c r="S92" s="144"/>
      <c r="T92" s="144"/>
      <c r="U92" s="149"/>
    </row>
    <row r="93" spans="1:21" x14ac:dyDescent="0.2">
      <c r="A93" s="571"/>
      <c r="B93" s="591">
        <v>790</v>
      </c>
      <c r="C93" s="591">
        <f t="shared" si="5"/>
        <v>1.4148729715742491E-6</v>
      </c>
      <c r="D93" s="591">
        <f t="shared" si="6"/>
        <v>1.414872971574249</v>
      </c>
      <c r="E93" s="591">
        <f t="shared" si="4"/>
        <v>4.6447542772482765E-3</v>
      </c>
      <c r="F93" s="272">
        <f t="shared" si="7"/>
        <v>-23.330372566666618</v>
      </c>
      <c r="G93" s="268" t="s">
        <v>78</v>
      </c>
      <c r="H93" s="268"/>
      <c r="I93" s="271">
        <f>(S7*B93)/79.76</f>
        <v>54.592912596055882</v>
      </c>
      <c r="J93" s="93"/>
      <c r="K93" s="94"/>
      <c r="L93" s="3"/>
      <c r="M93" s="3"/>
      <c r="N93" s="3"/>
      <c r="O93" s="3"/>
      <c r="P93" s="3"/>
      <c r="Q93" s="598"/>
      <c r="R93" s="144"/>
      <c r="S93" s="144"/>
      <c r="T93" s="144"/>
      <c r="U93" s="149"/>
    </row>
    <row r="94" spans="1:21" x14ac:dyDescent="0.2">
      <c r="A94" s="571"/>
      <c r="B94" s="591">
        <v>800</v>
      </c>
      <c r="C94" s="591">
        <f t="shared" si="5"/>
        <v>1.5153848599889908E-6</v>
      </c>
      <c r="D94" s="591">
        <f t="shared" si="6"/>
        <v>1.5153848599889908</v>
      </c>
      <c r="E94" s="591">
        <f t="shared" si="4"/>
        <v>4.9747153642207926E-3</v>
      </c>
      <c r="F94" s="272">
        <f t="shared" si="7"/>
        <v>-23.032317630156676</v>
      </c>
      <c r="G94" s="268" t="s">
        <v>78</v>
      </c>
      <c r="H94" s="268"/>
      <c r="I94" s="271">
        <f>(S7*B94)/79.76</f>
        <v>55.283962122588228</v>
      </c>
      <c r="J94" s="93"/>
      <c r="K94" s="94"/>
      <c r="L94" s="3"/>
      <c r="M94" s="3"/>
      <c r="N94" s="3"/>
      <c r="O94" s="3"/>
      <c r="P94" s="3"/>
      <c r="Q94" s="598"/>
      <c r="R94" s="144"/>
      <c r="S94" s="145"/>
      <c r="T94" s="144"/>
      <c r="U94" s="149"/>
    </row>
    <row r="95" spans="1:21" x14ac:dyDescent="0.2">
      <c r="A95" s="571"/>
      <c r="B95" s="591">
        <v>810</v>
      </c>
      <c r="C95" s="591">
        <f t="shared" si="5"/>
        <v>1.5241579027587259E-6</v>
      </c>
      <c r="D95" s="591">
        <f t="shared" si="6"/>
        <v>1.5241579027587258</v>
      </c>
      <c r="E95" s="591">
        <f t="shared" si="4"/>
        <v>5.003515566604947E-3</v>
      </c>
      <c r="F95" s="280">
        <f t="shared" si="7"/>
        <v>-23.007247447289512</v>
      </c>
      <c r="G95" s="268" t="s">
        <v>78</v>
      </c>
      <c r="H95" s="268"/>
      <c r="I95" s="281">
        <f>(S7*B95)/79.76</f>
        <v>55.975011649120582</v>
      </c>
      <c r="J95" s="282" t="s">
        <v>281</v>
      </c>
      <c r="K95" s="283"/>
      <c r="L95" s="3"/>
      <c r="M95" s="3"/>
      <c r="N95" s="3"/>
      <c r="O95" s="3"/>
      <c r="P95" s="3"/>
      <c r="Q95" s="598"/>
      <c r="R95" s="144"/>
      <c r="S95" s="144"/>
      <c r="T95" s="144"/>
      <c r="U95" s="149"/>
    </row>
    <row r="96" spans="1:21" x14ac:dyDescent="0.2">
      <c r="A96" s="571"/>
      <c r="B96" s="591">
        <v>820</v>
      </c>
      <c r="C96" s="591">
        <f t="shared" si="5"/>
        <v>1.4423651255100455E-6</v>
      </c>
      <c r="D96" s="591">
        <f t="shared" si="6"/>
        <v>1.4423651255100456</v>
      </c>
      <c r="E96" s="591">
        <f t="shared" si="4"/>
        <v>4.7350057006265754E-3</v>
      </c>
      <c r="F96" s="272">
        <f t="shared" si="7"/>
        <v>-23.246794937992135</v>
      </c>
      <c r="G96" s="268" t="s">
        <v>78</v>
      </c>
      <c r="H96" s="268"/>
      <c r="I96" s="271">
        <f>(S7*B96)/79.76</f>
        <v>56.666061175652942</v>
      </c>
      <c r="J96" s="93"/>
      <c r="K96" s="94"/>
      <c r="L96" s="3"/>
      <c r="M96" s="3"/>
      <c r="N96" s="3"/>
      <c r="O96" s="3"/>
      <c r="P96" s="3"/>
      <c r="Q96" s="598"/>
      <c r="R96" s="144"/>
      <c r="S96" s="144"/>
      <c r="T96" s="144"/>
      <c r="U96" s="149"/>
    </row>
    <row r="97" spans="1:21" x14ac:dyDescent="0.2">
      <c r="A97" s="571"/>
      <c r="B97" s="591">
        <v>830</v>
      </c>
      <c r="C97" s="591">
        <f t="shared" si="5"/>
        <v>1.281785776686732E-6</v>
      </c>
      <c r="D97" s="591">
        <f t="shared" si="6"/>
        <v>1.281785776686732</v>
      </c>
      <c r="E97" s="591">
        <f t="shared" si="4"/>
        <v>4.2078547603870697E-3</v>
      </c>
      <c r="F97" s="272">
        <f t="shared" si="7"/>
        <v>-23.75939258837926</v>
      </c>
      <c r="G97" s="268" t="s">
        <v>78</v>
      </c>
      <c r="H97" s="268"/>
      <c r="I97" s="271">
        <f>(S7*B97)/79.76</f>
        <v>57.357110702185295</v>
      </c>
      <c r="J97" s="93"/>
      <c r="K97" s="94"/>
      <c r="L97" s="3"/>
      <c r="M97" s="3"/>
      <c r="N97" s="3"/>
      <c r="O97" s="3"/>
      <c r="P97" s="3"/>
      <c r="Q97" s="598"/>
      <c r="R97" s="144"/>
      <c r="S97" s="144"/>
      <c r="T97" s="144"/>
      <c r="U97" s="149"/>
    </row>
    <row r="98" spans="1:21" x14ac:dyDescent="0.2">
      <c r="A98" s="571"/>
      <c r="B98" s="591">
        <v>840</v>
      </c>
      <c r="C98" s="591">
        <f t="shared" si="5"/>
        <v>1.0629251700680265E-6</v>
      </c>
      <c r="D98" s="591">
        <f t="shared" si="6"/>
        <v>1.0629251700680264</v>
      </c>
      <c r="E98" s="591">
        <f t="shared" si="4"/>
        <v>3.4893777245424145E-3</v>
      </c>
      <c r="F98" s="272">
        <f t="shared" si="7"/>
        <v>-24.572520157037154</v>
      </c>
      <c r="G98" s="268" t="s">
        <v>78</v>
      </c>
      <c r="H98" s="268"/>
      <c r="I98" s="271">
        <f>(S7*B98)/79.76</f>
        <v>58.048160228717641</v>
      </c>
      <c r="J98" s="93"/>
      <c r="K98" s="94"/>
      <c r="L98" s="3"/>
      <c r="M98" s="3"/>
      <c r="N98" s="3"/>
      <c r="O98" s="3"/>
      <c r="P98" s="3"/>
      <c r="Q98" s="598"/>
      <c r="R98" s="144"/>
      <c r="S98" s="144"/>
      <c r="T98" s="144"/>
      <c r="U98" s="149"/>
    </row>
    <row r="99" spans="1:21" x14ac:dyDescent="0.2">
      <c r="A99" s="571"/>
      <c r="B99" s="571"/>
      <c r="C99" s="571"/>
      <c r="D99" s="571"/>
      <c r="E99" s="571"/>
      <c r="F99" s="92"/>
      <c r="G99" s="93"/>
      <c r="H99" s="93"/>
      <c r="I99" s="93"/>
      <c r="J99" s="93"/>
      <c r="K99" s="94"/>
      <c r="L99" s="3"/>
      <c r="M99" s="3"/>
      <c r="N99" s="3"/>
      <c r="O99" s="3"/>
      <c r="P99" s="3"/>
      <c r="Q99" s="3"/>
    </row>
    <row r="100" spans="1:21" x14ac:dyDescent="0.2">
      <c r="A100" s="571"/>
      <c r="B100" s="571"/>
      <c r="C100" s="571"/>
      <c r="D100" s="571"/>
      <c r="E100" s="571"/>
      <c r="F100" s="95"/>
      <c r="G100" s="96"/>
      <c r="H100" s="96"/>
      <c r="I100" s="96"/>
      <c r="J100" s="96"/>
      <c r="K100" s="97"/>
      <c r="L100" s="3"/>
      <c r="M100" s="3"/>
      <c r="N100" s="3"/>
      <c r="O100" s="3"/>
      <c r="P100" s="3"/>
      <c r="Q100" s="3"/>
    </row>
    <row r="101" spans="1:21" x14ac:dyDescent="0.2">
      <c r="A101" s="571"/>
      <c r="B101" s="571"/>
      <c r="C101" s="571"/>
      <c r="D101" s="571"/>
      <c r="E101" s="571"/>
      <c r="F101" s="3"/>
      <c r="G101" s="3"/>
      <c r="H101" s="3"/>
      <c r="I101" s="3"/>
      <c r="J101" s="3"/>
      <c r="K101" s="3"/>
      <c r="L101" s="3"/>
      <c r="M101" s="3"/>
      <c r="N101" s="3"/>
      <c r="O101" s="3"/>
      <c r="P101" s="3"/>
      <c r="Q101" s="3"/>
    </row>
    <row r="102" spans="1:21" x14ac:dyDescent="0.2">
      <c r="A102" s="571"/>
      <c r="B102" s="571"/>
      <c r="C102" s="571"/>
      <c r="D102" s="571"/>
      <c r="E102" s="571"/>
      <c r="F102" s="3"/>
      <c r="G102" s="3"/>
      <c r="H102" s="3"/>
      <c r="I102" s="3"/>
      <c r="J102" s="3"/>
      <c r="K102" s="3"/>
      <c r="L102" s="3"/>
      <c r="M102" s="3"/>
      <c r="N102" s="3"/>
      <c r="O102" s="3"/>
      <c r="P102" s="3"/>
      <c r="Q102" s="3"/>
    </row>
    <row r="103" spans="1:21" x14ac:dyDescent="0.2">
      <c r="A103" s="571"/>
      <c r="B103" s="571"/>
      <c r="C103" s="571"/>
      <c r="D103" s="571"/>
      <c r="E103" s="571"/>
      <c r="F103" s="3"/>
      <c r="G103" s="3"/>
      <c r="H103" s="3"/>
      <c r="I103" s="3"/>
      <c r="J103" s="3"/>
      <c r="K103" s="3"/>
      <c r="L103" s="3"/>
      <c r="M103" s="3"/>
      <c r="N103" s="3"/>
      <c r="O103" s="3"/>
      <c r="P103" s="3"/>
      <c r="Q103" s="3"/>
    </row>
    <row r="104" spans="1:21" x14ac:dyDescent="0.2">
      <c r="A104" s="571"/>
      <c r="B104" s="571"/>
      <c r="C104" s="571"/>
      <c r="D104" s="571"/>
      <c r="E104" s="571"/>
      <c r="F104" s="3"/>
      <c r="G104" s="3"/>
      <c r="H104" s="3"/>
      <c r="I104" s="3"/>
      <c r="J104" s="3"/>
      <c r="K104" s="3"/>
      <c r="L104" s="3"/>
      <c r="M104" s="3"/>
      <c r="N104" s="3"/>
      <c r="O104" s="3"/>
      <c r="P104" s="3"/>
      <c r="Q104" s="3"/>
    </row>
    <row r="105" spans="1:21" x14ac:dyDescent="0.2">
      <c r="A105" s="571"/>
      <c r="B105" s="571"/>
      <c r="C105" s="571"/>
      <c r="D105" s="571"/>
      <c r="E105" s="571"/>
      <c r="F105" s="3"/>
      <c r="G105" s="3"/>
      <c r="H105" s="3"/>
      <c r="I105" s="3"/>
      <c r="J105" s="3"/>
      <c r="K105" s="3"/>
      <c r="L105" s="3"/>
      <c r="M105" s="3"/>
      <c r="N105" s="3"/>
      <c r="O105" s="3"/>
      <c r="P105" s="3"/>
      <c r="Q105" s="3"/>
    </row>
    <row r="106" spans="1:21" x14ac:dyDescent="0.2">
      <c r="A106" s="3"/>
      <c r="B106" s="3"/>
      <c r="C106" s="3"/>
      <c r="D106" s="3"/>
      <c r="E106" s="3"/>
      <c r="F106" s="3"/>
      <c r="G106" s="3"/>
      <c r="H106" s="3"/>
      <c r="I106" s="3"/>
      <c r="J106" s="3"/>
      <c r="K106" s="3"/>
      <c r="L106" s="3"/>
      <c r="M106" s="3"/>
      <c r="N106" s="3"/>
      <c r="O106" s="3"/>
      <c r="P106" s="3"/>
      <c r="Q106" s="3"/>
    </row>
    <row r="107" spans="1:21" x14ac:dyDescent="0.2">
      <c r="A107" s="3"/>
      <c r="B107" s="3"/>
      <c r="C107" s="3"/>
      <c r="D107" s="3"/>
      <c r="E107" s="3"/>
      <c r="F107" s="3"/>
      <c r="G107" s="3"/>
      <c r="H107" s="3"/>
      <c r="I107" s="3"/>
      <c r="J107" s="3"/>
      <c r="K107" s="3"/>
      <c r="L107" s="3"/>
      <c r="M107" s="3"/>
      <c r="N107" s="3"/>
      <c r="O107" s="3"/>
      <c r="P107" s="3"/>
      <c r="Q107" s="3"/>
    </row>
    <row r="108" spans="1:21" x14ac:dyDescent="0.2">
      <c r="A108" s="3"/>
      <c r="B108" s="3"/>
      <c r="C108" s="3"/>
      <c r="D108" s="3"/>
      <c r="E108" s="3"/>
      <c r="F108" s="3"/>
      <c r="G108" s="3"/>
      <c r="H108" s="3"/>
      <c r="I108" s="3"/>
      <c r="J108" s="3"/>
      <c r="K108" s="3"/>
      <c r="L108" s="3"/>
      <c r="M108" s="3"/>
      <c r="N108" s="3"/>
      <c r="O108" s="3"/>
      <c r="P108" s="3"/>
      <c r="Q108" s="3"/>
    </row>
    <row r="109" spans="1:21" x14ac:dyDescent="0.2">
      <c r="A109" s="3"/>
      <c r="B109" s="3"/>
      <c r="C109" s="3"/>
      <c r="D109" s="3"/>
      <c r="E109" s="3"/>
      <c r="F109" s="3"/>
      <c r="G109" s="3"/>
      <c r="H109" s="3"/>
      <c r="I109" s="3"/>
      <c r="J109" s="3"/>
      <c r="K109" s="3"/>
      <c r="L109" s="3"/>
      <c r="M109" s="3"/>
      <c r="N109" s="3"/>
      <c r="O109" s="3"/>
      <c r="P109" s="3"/>
      <c r="Q109" s="3"/>
    </row>
    <row r="110" spans="1:21" x14ac:dyDescent="0.2">
      <c r="A110" s="3"/>
      <c r="B110" s="3"/>
      <c r="C110" s="3"/>
      <c r="D110" s="3"/>
      <c r="E110" s="3"/>
      <c r="F110" s="3"/>
      <c r="G110" s="3"/>
      <c r="H110" s="3"/>
      <c r="I110" s="3"/>
      <c r="J110" s="3"/>
      <c r="K110" s="3"/>
      <c r="L110" s="3"/>
      <c r="M110" s="3"/>
      <c r="N110" s="3"/>
      <c r="O110" s="3"/>
      <c r="P110" s="3"/>
      <c r="Q110" s="3"/>
    </row>
    <row r="111" spans="1:21" x14ac:dyDescent="0.2">
      <c r="A111" s="3"/>
      <c r="B111" s="3"/>
      <c r="C111" s="3"/>
      <c r="D111" s="3"/>
      <c r="E111" s="3"/>
      <c r="F111" s="3"/>
      <c r="G111" s="3"/>
      <c r="H111" s="3"/>
      <c r="I111" s="3"/>
      <c r="J111" s="3"/>
      <c r="K111" s="3"/>
      <c r="L111" s="3"/>
      <c r="M111" s="3"/>
      <c r="N111" s="3"/>
      <c r="O111" s="3"/>
      <c r="P111" s="3"/>
      <c r="Q111" s="3"/>
    </row>
    <row r="112" spans="1:21" x14ac:dyDescent="0.2">
      <c r="A112" s="3"/>
      <c r="B112" s="3"/>
      <c r="C112" s="3"/>
      <c r="D112" s="3"/>
      <c r="E112" s="3"/>
      <c r="F112" s="3"/>
      <c r="G112" s="3"/>
      <c r="H112" s="3"/>
      <c r="I112" s="3"/>
      <c r="J112" s="3"/>
      <c r="K112" s="3"/>
      <c r="L112" s="3"/>
      <c r="M112" s="3"/>
      <c r="N112" s="3"/>
      <c r="O112" s="3"/>
      <c r="P112" s="3"/>
      <c r="Q112" s="3"/>
    </row>
    <row r="113" spans="1:17" x14ac:dyDescent="0.2">
      <c r="A113" s="3"/>
      <c r="B113" s="3"/>
      <c r="C113" s="3"/>
      <c r="D113" s="3"/>
      <c r="E113" s="3"/>
      <c r="F113" s="3"/>
      <c r="G113" s="3"/>
      <c r="H113" s="3"/>
      <c r="I113" s="3"/>
      <c r="J113" s="3"/>
      <c r="K113" s="3"/>
      <c r="L113" s="3"/>
      <c r="M113" s="3"/>
      <c r="N113" s="3"/>
      <c r="O113" s="3"/>
      <c r="P113" s="3"/>
      <c r="Q113" s="3"/>
    </row>
    <row r="114" spans="1:17" x14ac:dyDescent="0.2">
      <c r="A114" s="3"/>
      <c r="B114" s="3"/>
      <c r="C114" s="3"/>
      <c r="D114" s="3"/>
      <c r="E114" s="3"/>
      <c r="F114" s="3"/>
      <c r="G114" s="3"/>
      <c r="H114" s="3"/>
      <c r="I114" s="3"/>
      <c r="J114" s="3"/>
      <c r="K114" s="3"/>
      <c r="L114" s="3"/>
      <c r="M114" s="3"/>
      <c r="N114" s="3"/>
      <c r="O114" s="3"/>
      <c r="P114" s="3"/>
      <c r="Q114" s="3"/>
    </row>
    <row r="115" spans="1:17" x14ac:dyDescent="0.2">
      <c r="A115" s="3"/>
      <c r="B115" s="3"/>
      <c r="C115" s="3"/>
      <c r="D115" s="3"/>
      <c r="E115" s="3"/>
      <c r="F115" s="3"/>
      <c r="G115" s="3"/>
      <c r="H115" s="3"/>
      <c r="I115" s="3"/>
      <c r="J115" s="3"/>
      <c r="K115" s="3"/>
      <c r="L115" s="3"/>
      <c r="M115" s="3"/>
      <c r="N115" s="3"/>
      <c r="O115" s="3"/>
      <c r="P115" s="3"/>
      <c r="Q115" s="3"/>
    </row>
    <row r="116" spans="1:17" x14ac:dyDescent="0.2">
      <c r="A116" s="3"/>
      <c r="B116" s="3"/>
      <c r="C116" s="3"/>
      <c r="D116" s="3"/>
      <c r="E116" s="3"/>
      <c r="F116" s="3"/>
      <c r="G116" s="3"/>
      <c r="H116" s="3"/>
      <c r="I116" s="3"/>
      <c r="J116" s="3"/>
      <c r="K116" s="3"/>
      <c r="L116" s="3"/>
      <c r="M116" s="3"/>
      <c r="N116" s="3"/>
      <c r="O116" s="3"/>
      <c r="P116" s="3"/>
      <c r="Q116" s="3"/>
    </row>
    <row r="117" spans="1:17" x14ac:dyDescent="0.2">
      <c r="A117" s="3"/>
      <c r="B117" s="3"/>
      <c r="C117" s="3"/>
      <c r="D117" s="3"/>
      <c r="E117" s="3"/>
      <c r="F117" s="3"/>
      <c r="G117" s="3"/>
      <c r="H117" s="3"/>
      <c r="I117" s="3"/>
      <c r="J117" s="3"/>
      <c r="K117" s="3"/>
      <c r="L117" s="3"/>
      <c r="M117" s="3"/>
      <c r="N117" s="3"/>
      <c r="O117" s="3"/>
      <c r="P117" s="3"/>
      <c r="Q117" s="3"/>
    </row>
    <row r="118" spans="1:17" x14ac:dyDescent="0.2">
      <c r="A118" s="3"/>
      <c r="B118" s="3"/>
      <c r="C118" s="3"/>
      <c r="D118" s="3"/>
      <c r="E118" s="3"/>
      <c r="F118" s="3"/>
      <c r="G118" s="3"/>
      <c r="H118" s="3"/>
      <c r="I118" s="3"/>
      <c r="J118" s="3"/>
      <c r="K118" s="3"/>
      <c r="L118" s="3"/>
      <c r="M118" s="3"/>
      <c r="N118" s="3"/>
      <c r="O118" s="3"/>
      <c r="P118" s="3"/>
      <c r="Q118" s="3"/>
    </row>
  </sheetData>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workbookViewId="0">
      <selection activeCell="B31" sqref="B31"/>
    </sheetView>
  </sheetViews>
  <sheetFormatPr defaultRowHeight="12.75" x14ac:dyDescent="0.2"/>
  <sheetData/>
  <phoneticPr fontId="26" type="noConversion"/>
  <pageMargins left="0.75" right="0.75" top="1" bottom="1" header="0.5" footer="0.5"/>
  <headerFooter alignWithMargins="0"/>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S150"/>
  <sheetViews>
    <sheetView topLeftCell="A19" workbookViewId="0">
      <selection activeCell="H43" sqref="H43"/>
    </sheetView>
  </sheetViews>
  <sheetFormatPr defaultRowHeight="12.75" x14ac:dyDescent="0.2"/>
  <cols>
    <col min="3" max="3" width="9.7109375" customWidth="1"/>
    <col min="11" max="11" width="12.85546875" customWidth="1"/>
    <col min="12" max="12" width="10.5703125" customWidth="1"/>
    <col min="13" max="13" width="13.42578125" customWidth="1"/>
  </cols>
  <sheetData>
    <row r="1" spans="1:19" ht="18.75" thickBot="1" x14ac:dyDescent="0.3">
      <c r="A1" s="133" t="s">
        <v>837</v>
      </c>
      <c r="B1" s="135"/>
      <c r="C1" s="135"/>
      <c r="D1" s="135"/>
      <c r="E1" s="135"/>
      <c r="F1" s="135"/>
      <c r="G1" s="135"/>
      <c r="H1" s="135"/>
      <c r="I1" s="135"/>
      <c r="J1" s="135"/>
      <c r="K1" s="135"/>
      <c r="L1" s="135"/>
      <c r="M1" s="135"/>
      <c r="N1" s="135"/>
      <c r="O1" s="135"/>
      <c r="P1" s="135"/>
      <c r="Q1" s="135"/>
      <c r="R1" s="135"/>
    </row>
    <row r="2" spans="1:19" x14ac:dyDescent="0.2">
      <c r="A2" s="3"/>
      <c r="B2" s="108"/>
      <c r="C2" s="108"/>
      <c r="D2" s="108"/>
      <c r="E2" s="3"/>
      <c r="F2" s="3"/>
      <c r="G2" s="3"/>
      <c r="H2" s="3"/>
      <c r="I2" s="3"/>
      <c r="J2" s="3"/>
      <c r="K2" s="3"/>
      <c r="L2" s="3"/>
      <c r="M2" s="3"/>
      <c r="N2" s="3"/>
      <c r="O2" s="3"/>
      <c r="P2" s="3"/>
      <c r="Q2" s="3"/>
      <c r="R2" s="3"/>
      <c r="S2" s="3"/>
    </row>
    <row r="3" spans="1:19" x14ac:dyDescent="0.2">
      <c r="A3" s="3"/>
      <c r="B3" s="3"/>
      <c r="C3" s="3"/>
      <c r="D3" s="3"/>
      <c r="E3" s="3"/>
      <c r="F3" s="3"/>
      <c r="G3" s="3"/>
      <c r="H3" s="3"/>
      <c r="I3" s="3"/>
      <c r="J3" s="3"/>
      <c r="K3" s="3"/>
      <c r="L3" s="3"/>
      <c r="M3" s="3"/>
      <c r="N3" s="3"/>
      <c r="O3" s="3"/>
      <c r="P3" s="3"/>
      <c r="Q3" s="3"/>
      <c r="R3" s="3"/>
      <c r="S3" s="3"/>
    </row>
    <row r="4" spans="1:19" x14ac:dyDescent="0.2">
      <c r="A4" s="3"/>
      <c r="B4" s="376" t="s">
        <v>529</v>
      </c>
      <c r="C4" s="3"/>
      <c r="D4" s="3"/>
      <c r="E4" s="3"/>
      <c r="F4" s="3"/>
      <c r="G4" s="3"/>
      <c r="H4" s="3"/>
      <c r="I4" s="3"/>
      <c r="J4" s="3"/>
      <c r="K4" s="3"/>
      <c r="L4" s="3"/>
      <c r="M4" s="3"/>
      <c r="N4" s="3"/>
      <c r="O4" s="3"/>
      <c r="P4" s="3"/>
      <c r="Q4" s="3"/>
      <c r="R4" s="3"/>
      <c r="S4" s="3"/>
    </row>
    <row r="5" spans="1:19" x14ac:dyDescent="0.2">
      <c r="A5" s="3"/>
      <c r="B5" s="3"/>
      <c r="C5" s="3"/>
      <c r="D5" s="3"/>
      <c r="E5" s="3"/>
      <c r="F5" s="3"/>
      <c r="G5" s="3"/>
      <c r="H5" s="3"/>
      <c r="I5" s="3"/>
      <c r="J5" s="3"/>
      <c r="K5" s="3"/>
      <c r="L5" s="3"/>
      <c r="M5" s="3"/>
      <c r="N5" s="3"/>
      <c r="O5" s="3"/>
      <c r="P5" s="3"/>
      <c r="Q5" s="3"/>
      <c r="R5" s="3"/>
      <c r="S5" s="3"/>
    </row>
    <row r="6" spans="1:19" x14ac:dyDescent="0.2">
      <c r="A6" s="3"/>
      <c r="B6" s="3"/>
      <c r="C6" s="3"/>
      <c r="D6" s="3"/>
      <c r="E6" s="3"/>
      <c r="F6" s="3"/>
      <c r="G6" s="3"/>
      <c r="H6" s="3"/>
      <c r="I6" s="3"/>
      <c r="J6" s="3"/>
      <c r="K6" s="3"/>
      <c r="L6" s="3"/>
      <c r="M6" s="3"/>
      <c r="N6" s="3"/>
      <c r="O6" s="3"/>
      <c r="P6" s="3"/>
      <c r="Q6" s="3"/>
      <c r="R6" s="3"/>
      <c r="S6" s="3"/>
    </row>
    <row r="7" spans="1:19" x14ac:dyDescent="0.2">
      <c r="A7" s="3"/>
      <c r="B7" s="264" t="s">
        <v>766</v>
      </c>
      <c r="C7" s="204"/>
      <c r="D7" s="205"/>
      <c r="E7" s="3"/>
      <c r="F7" s="3"/>
      <c r="G7" s="3"/>
      <c r="H7" s="3"/>
      <c r="I7" s="3"/>
      <c r="J7" s="3"/>
      <c r="K7" s="3"/>
      <c r="L7" s="3"/>
      <c r="M7" s="3"/>
      <c r="N7" s="3"/>
      <c r="O7" s="3"/>
      <c r="P7" s="3"/>
      <c r="Q7" s="3"/>
      <c r="R7" s="3"/>
      <c r="S7" s="3"/>
    </row>
    <row r="8" spans="1:19" x14ac:dyDescent="0.2">
      <c r="A8" s="3"/>
      <c r="B8" s="3"/>
      <c r="C8" s="3"/>
      <c r="D8" s="3"/>
      <c r="E8" s="3"/>
      <c r="F8" s="3"/>
      <c r="G8" s="3"/>
      <c r="H8" s="3"/>
      <c r="I8" s="3"/>
      <c r="J8" s="3"/>
      <c r="K8" s="3"/>
      <c r="L8" s="3"/>
      <c r="M8" s="3"/>
      <c r="N8" s="3"/>
      <c r="O8" s="3"/>
      <c r="P8" s="3"/>
      <c r="Q8" s="3"/>
      <c r="R8" s="3"/>
      <c r="S8" s="3"/>
    </row>
    <row r="9" spans="1:19" x14ac:dyDescent="0.2">
      <c r="A9" s="3"/>
      <c r="B9" s="3"/>
      <c r="C9" s="3"/>
      <c r="D9" s="3"/>
      <c r="E9" s="3"/>
      <c r="F9" s="3"/>
      <c r="G9" s="3"/>
      <c r="H9" s="3"/>
      <c r="I9" s="3"/>
      <c r="J9" s="3"/>
      <c r="K9" s="3"/>
      <c r="L9" s="3"/>
      <c r="M9" s="3"/>
      <c r="N9" s="3"/>
      <c r="O9" s="3"/>
      <c r="P9" s="3"/>
      <c r="Q9" s="3"/>
      <c r="R9" s="3"/>
      <c r="S9" s="3"/>
    </row>
    <row r="10" spans="1:19" x14ac:dyDescent="0.2">
      <c r="A10" s="3"/>
      <c r="B10" s="3"/>
      <c r="C10" s="4" t="s">
        <v>767</v>
      </c>
      <c r="D10" s="3"/>
      <c r="E10" s="3"/>
      <c r="F10" s="3"/>
      <c r="G10" s="632" t="s">
        <v>770</v>
      </c>
      <c r="H10" s="3"/>
      <c r="I10" s="3"/>
      <c r="J10" s="3"/>
      <c r="K10" s="3"/>
      <c r="L10" s="3"/>
      <c r="M10" s="3"/>
      <c r="N10" s="3"/>
      <c r="O10" s="3"/>
      <c r="P10" s="3"/>
      <c r="Q10" s="3"/>
      <c r="R10" s="3"/>
      <c r="S10" s="3"/>
    </row>
    <row r="11" spans="1:19" x14ac:dyDescent="0.2">
      <c r="A11" s="3"/>
      <c r="B11" s="3"/>
      <c r="C11" s="3"/>
      <c r="D11" s="3"/>
      <c r="E11" s="3"/>
      <c r="F11" s="3"/>
      <c r="G11" s="3"/>
      <c r="H11" s="3"/>
      <c r="I11" s="3"/>
      <c r="J11" s="3"/>
      <c r="K11" s="3"/>
      <c r="L11" s="3"/>
      <c r="M11" s="3"/>
      <c r="N11" s="3"/>
      <c r="O11" s="3"/>
      <c r="P11" s="3"/>
      <c r="Q11" s="3"/>
      <c r="R11" s="3"/>
      <c r="S11" s="3"/>
    </row>
    <row r="12" spans="1:19" x14ac:dyDescent="0.2">
      <c r="A12" s="3"/>
      <c r="B12" s="3"/>
      <c r="C12" s="3"/>
      <c r="D12" s="3"/>
      <c r="E12" s="3"/>
      <c r="F12" s="3"/>
      <c r="G12" s="3"/>
      <c r="H12" s="3"/>
      <c r="I12" s="3"/>
      <c r="J12" s="3"/>
      <c r="K12" s="3"/>
      <c r="L12" s="3"/>
      <c r="M12" s="3"/>
      <c r="N12" s="3"/>
      <c r="O12" s="3"/>
      <c r="P12" s="3"/>
      <c r="Q12" s="3"/>
      <c r="R12" s="3"/>
      <c r="S12" s="3"/>
    </row>
    <row r="13" spans="1:19" x14ac:dyDescent="0.2">
      <c r="A13" s="3"/>
      <c r="B13" s="3"/>
      <c r="C13" s="4" t="s">
        <v>769</v>
      </c>
      <c r="D13" s="3"/>
      <c r="E13" s="3"/>
      <c r="F13" s="3"/>
      <c r="G13" s="632" t="s">
        <v>768</v>
      </c>
      <c r="H13" s="3"/>
      <c r="I13" s="3"/>
      <c r="J13" s="3"/>
      <c r="K13" s="3"/>
      <c r="L13" s="3"/>
      <c r="M13" s="3"/>
      <c r="N13" s="3"/>
      <c r="O13" s="3"/>
      <c r="P13" s="3"/>
      <c r="Q13" s="3"/>
      <c r="R13" s="3"/>
      <c r="S13" s="3"/>
    </row>
    <row r="14" spans="1:19" x14ac:dyDescent="0.2">
      <c r="A14" s="3"/>
      <c r="B14" s="3"/>
      <c r="C14" s="3"/>
      <c r="D14" s="3"/>
      <c r="E14" s="3"/>
      <c r="F14" s="3"/>
      <c r="G14" s="3"/>
      <c r="H14" s="3"/>
      <c r="I14" s="3"/>
      <c r="J14" s="3"/>
      <c r="K14" s="3"/>
      <c r="L14" s="3"/>
      <c r="M14" s="3"/>
      <c r="N14" s="3"/>
      <c r="O14" s="3"/>
      <c r="P14" s="3"/>
      <c r="Q14" s="3"/>
      <c r="R14" s="3"/>
      <c r="S14" s="3"/>
    </row>
    <row r="15" spans="1:19" x14ac:dyDescent="0.2">
      <c r="A15" s="3"/>
      <c r="B15" s="3"/>
      <c r="C15" s="3"/>
      <c r="D15" s="3"/>
      <c r="E15" s="3"/>
      <c r="F15" s="3"/>
      <c r="G15" s="3"/>
      <c r="H15" s="3"/>
      <c r="I15" s="3"/>
      <c r="J15" s="3"/>
      <c r="K15" s="3"/>
      <c r="L15" s="3"/>
      <c r="M15" s="3"/>
      <c r="N15" s="3"/>
      <c r="O15" s="3"/>
      <c r="P15" s="3"/>
      <c r="Q15" s="3"/>
      <c r="R15" s="3"/>
      <c r="S15" s="3"/>
    </row>
    <row r="16" spans="1:19" x14ac:dyDescent="0.2">
      <c r="A16" s="3"/>
      <c r="B16" s="3"/>
      <c r="C16" s="4" t="s">
        <v>771</v>
      </c>
      <c r="D16" s="3"/>
      <c r="E16" s="3"/>
      <c r="F16" s="3"/>
      <c r="G16" s="3"/>
      <c r="H16" s="3"/>
      <c r="I16" s="3"/>
      <c r="J16" s="3"/>
      <c r="K16" s="3"/>
      <c r="L16" s="3"/>
      <c r="M16" s="3"/>
      <c r="N16" s="3"/>
      <c r="O16" s="3"/>
      <c r="P16" s="3"/>
      <c r="Q16" s="3"/>
      <c r="R16" s="3"/>
      <c r="S16" s="3"/>
    </row>
    <row r="17" spans="1:19" x14ac:dyDescent="0.2">
      <c r="A17" s="3"/>
      <c r="B17" s="3"/>
      <c r="C17" s="3"/>
      <c r="D17" s="3"/>
      <c r="E17" s="3"/>
      <c r="F17" s="3"/>
      <c r="G17" s="632" t="s">
        <v>772</v>
      </c>
      <c r="H17" s="3"/>
      <c r="I17" s="3"/>
      <c r="J17" s="3"/>
      <c r="K17" s="3"/>
      <c r="L17" s="3"/>
      <c r="M17" s="3"/>
      <c r="N17" s="3"/>
      <c r="O17" s="3"/>
      <c r="P17" s="3"/>
      <c r="Q17" s="3"/>
      <c r="R17" s="3"/>
      <c r="S17" s="3"/>
    </row>
    <row r="18" spans="1:19" x14ac:dyDescent="0.2">
      <c r="A18" s="3"/>
      <c r="B18" s="3"/>
      <c r="C18" s="3"/>
      <c r="D18" s="3"/>
      <c r="E18" s="3"/>
      <c r="F18" s="3"/>
      <c r="G18" s="3"/>
      <c r="H18" s="3"/>
      <c r="I18" s="3"/>
      <c r="J18" s="3"/>
      <c r="K18" s="3"/>
      <c r="L18" s="3"/>
      <c r="M18" s="3"/>
      <c r="N18" s="3"/>
      <c r="O18" s="3"/>
      <c r="P18" s="3"/>
      <c r="Q18" s="3"/>
      <c r="R18" s="3"/>
      <c r="S18" s="3"/>
    </row>
    <row r="19" spans="1:19" x14ac:dyDescent="0.2">
      <c r="A19" s="3"/>
      <c r="B19" s="3"/>
      <c r="C19" s="3"/>
      <c r="D19" s="3"/>
      <c r="E19" s="3"/>
      <c r="F19" s="3"/>
      <c r="G19" s="632" t="s">
        <v>773</v>
      </c>
      <c r="H19" s="3"/>
      <c r="I19" s="3"/>
      <c r="J19" s="3"/>
      <c r="K19" s="3"/>
      <c r="L19" s="3"/>
      <c r="M19" s="3"/>
      <c r="N19" s="3"/>
      <c r="O19" s="3"/>
      <c r="P19" s="3"/>
      <c r="Q19" s="3"/>
      <c r="R19" s="3"/>
      <c r="S19" s="3"/>
    </row>
    <row r="20" spans="1:19" x14ac:dyDescent="0.2">
      <c r="A20" s="3"/>
      <c r="B20" s="3"/>
      <c r="C20" s="3"/>
      <c r="D20" s="3"/>
      <c r="E20" s="3"/>
      <c r="F20" s="3"/>
      <c r="G20" s="632"/>
      <c r="H20" s="3"/>
      <c r="I20" s="3"/>
      <c r="J20" s="3"/>
      <c r="K20" s="3"/>
      <c r="L20" s="3"/>
      <c r="M20" s="3"/>
      <c r="N20" s="3"/>
      <c r="O20" s="3"/>
      <c r="P20" s="3"/>
      <c r="Q20" s="3"/>
      <c r="R20" s="3"/>
      <c r="S20" s="3"/>
    </row>
    <row r="21" spans="1:19" x14ac:dyDescent="0.2">
      <c r="A21" s="3"/>
      <c r="B21" s="3"/>
      <c r="C21" s="3"/>
      <c r="D21" s="3"/>
      <c r="E21" s="3"/>
      <c r="F21" s="3"/>
      <c r="G21" s="3"/>
      <c r="H21" s="3"/>
      <c r="I21" s="3"/>
      <c r="J21" s="3"/>
      <c r="K21" s="3"/>
      <c r="L21" s="3"/>
      <c r="M21" s="3"/>
      <c r="N21" s="3"/>
      <c r="O21" s="3"/>
      <c r="P21" s="3"/>
      <c r="Q21" s="3"/>
      <c r="R21" s="3"/>
      <c r="S21" s="3"/>
    </row>
    <row r="22" spans="1:19" x14ac:dyDescent="0.2">
      <c r="A22" s="3"/>
      <c r="B22" s="3"/>
      <c r="C22" s="4" t="s">
        <v>774</v>
      </c>
      <c r="D22" s="3"/>
      <c r="E22" s="3"/>
      <c r="F22" s="3"/>
      <c r="G22" s="632" t="s">
        <v>836</v>
      </c>
      <c r="H22" s="3"/>
      <c r="I22" s="3"/>
      <c r="J22" s="3"/>
      <c r="K22" s="3"/>
      <c r="L22" s="3"/>
      <c r="M22" s="3"/>
      <c r="N22" s="3"/>
      <c r="O22" s="3"/>
      <c r="P22" s="3"/>
      <c r="Q22" s="3"/>
      <c r="R22" s="3"/>
      <c r="S22" s="3"/>
    </row>
    <row r="23" spans="1:19" x14ac:dyDescent="0.2">
      <c r="A23" s="3"/>
      <c r="B23" s="3"/>
      <c r="C23" s="3"/>
      <c r="D23" s="3"/>
      <c r="E23" s="3"/>
      <c r="F23" s="3"/>
      <c r="G23" s="3"/>
      <c r="H23" s="3"/>
      <c r="I23" s="3"/>
      <c r="J23" s="3"/>
      <c r="K23" s="3"/>
      <c r="L23" s="3"/>
      <c r="M23" s="3"/>
      <c r="N23" s="3"/>
      <c r="O23" s="3"/>
      <c r="P23" s="3"/>
      <c r="Q23" s="3"/>
      <c r="R23" s="3"/>
      <c r="S23" s="3"/>
    </row>
    <row r="24" spans="1:19" x14ac:dyDescent="0.2">
      <c r="A24" s="3"/>
      <c r="B24" s="3"/>
      <c r="C24" s="4" t="s">
        <v>834</v>
      </c>
      <c r="D24" s="3"/>
      <c r="E24" s="3"/>
      <c r="F24" s="3"/>
      <c r="G24" s="632" t="s">
        <v>835</v>
      </c>
      <c r="H24" s="3"/>
      <c r="I24" s="3"/>
      <c r="J24" s="3"/>
      <c r="K24" s="3"/>
      <c r="L24" s="3"/>
      <c r="M24" s="3"/>
      <c r="N24" s="3"/>
      <c r="O24" s="3"/>
      <c r="P24" s="3"/>
      <c r="Q24" s="3"/>
      <c r="R24" s="3"/>
      <c r="S24" s="3"/>
    </row>
    <row r="25" spans="1:19" x14ac:dyDescent="0.2">
      <c r="A25" s="3"/>
      <c r="B25" s="3"/>
      <c r="C25" s="3"/>
      <c r="D25" s="3"/>
      <c r="E25" s="3"/>
      <c r="F25" s="3"/>
      <c r="G25" s="3"/>
      <c r="H25" s="3"/>
      <c r="I25" s="3"/>
      <c r="J25" s="3"/>
      <c r="K25" s="3"/>
      <c r="L25" s="3"/>
      <c r="M25" s="3"/>
      <c r="N25" s="3"/>
      <c r="O25" s="3"/>
      <c r="P25" s="3"/>
      <c r="Q25" s="3"/>
      <c r="R25" s="3"/>
      <c r="S25" s="3"/>
    </row>
    <row r="26" spans="1:19" x14ac:dyDescent="0.2">
      <c r="A26" s="3"/>
      <c r="B26" s="3"/>
      <c r="C26" s="3"/>
      <c r="D26" s="3"/>
      <c r="E26" s="3"/>
      <c r="F26" s="3"/>
      <c r="G26" s="3"/>
      <c r="H26" s="3"/>
      <c r="I26" s="3"/>
      <c r="J26" s="3"/>
      <c r="K26" s="3"/>
      <c r="L26" s="3"/>
      <c r="M26" s="3"/>
      <c r="N26" s="3"/>
      <c r="O26" s="3"/>
      <c r="P26" s="3"/>
      <c r="Q26" s="3"/>
      <c r="R26" s="3"/>
      <c r="S26" s="3"/>
    </row>
    <row r="27" spans="1:19" x14ac:dyDescent="0.2">
      <c r="A27" s="3"/>
      <c r="B27" s="3"/>
      <c r="C27" s="3"/>
      <c r="D27" s="3"/>
      <c r="E27" s="3"/>
      <c r="F27" s="3"/>
      <c r="G27" s="3"/>
      <c r="H27" s="3"/>
      <c r="I27" s="3"/>
      <c r="J27" s="3"/>
      <c r="K27" s="3"/>
      <c r="L27" s="3"/>
      <c r="M27" s="3"/>
      <c r="N27" s="3"/>
      <c r="O27" s="3"/>
      <c r="P27" s="3"/>
      <c r="Q27" s="3"/>
      <c r="R27" s="3"/>
      <c r="S27" s="3"/>
    </row>
    <row r="28" spans="1:19" x14ac:dyDescent="0.2">
      <c r="A28" s="3"/>
      <c r="B28" s="264" t="s">
        <v>775</v>
      </c>
      <c r="C28" s="265"/>
      <c r="D28" s="3"/>
      <c r="E28" s="3"/>
      <c r="F28" s="3"/>
      <c r="G28" s="3"/>
      <c r="H28" s="3"/>
      <c r="I28" s="3"/>
      <c r="J28" s="3"/>
      <c r="K28" s="3"/>
      <c r="L28" s="3"/>
      <c r="M28" s="3"/>
      <c r="N28" s="3"/>
      <c r="O28" s="3"/>
      <c r="P28" s="3"/>
      <c r="Q28" s="3"/>
      <c r="R28" s="3"/>
      <c r="S28" s="3"/>
    </row>
    <row r="29" spans="1:19" x14ac:dyDescent="0.2">
      <c r="A29" s="3"/>
      <c r="B29" s="3"/>
      <c r="C29" s="3"/>
      <c r="D29" s="3"/>
      <c r="E29" s="3"/>
      <c r="F29" s="3"/>
      <c r="G29" s="3"/>
      <c r="H29" s="3"/>
      <c r="I29" s="3"/>
      <c r="J29" s="3"/>
      <c r="K29" s="3"/>
      <c r="L29" s="3"/>
      <c r="M29" s="3"/>
      <c r="N29" s="3"/>
      <c r="O29" s="3"/>
      <c r="P29" s="3"/>
      <c r="Q29" s="3"/>
      <c r="R29" s="3"/>
      <c r="S29" s="3"/>
    </row>
    <row r="30" spans="1:19" ht="13.5" thickBot="1" x14ac:dyDescent="0.25">
      <c r="A30" s="3"/>
      <c r="B30" s="3"/>
      <c r="C30" s="3"/>
      <c r="D30" s="3"/>
      <c r="E30" s="3"/>
      <c r="F30" s="3"/>
      <c r="G30" s="3"/>
      <c r="H30" s="3"/>
      <c r="I30" s="3"/>
      <c r="J30" s="3"/>
      <c r="K30" s="3"/>
      <c r="L30" s="3"/>
      <c r="M30" s="3"/>
      <c r="N30" s="3"/>
      <c r="O30" s="3"/>
      <c r="P30" s="3"/>
      <c r="Q30" s="3"/>
      <c r="R30" s="3"/>
      <c r="S30" s="3"/>
    </row>
    <row r="31" spans="1:19" x14ac:dyDescent="0.2">
      <c r="A31" s="3"/>
      <c r="B31" s="631" t="s">
        <v>799</v>
      </c>
      <c r="C31" s="608"/>
      <c r="D31" s="608"/>
      <c r="E31" s="608"/>
      <c r="F31" s="608"/>
      <c r="G31" s="608"/>
      <c r="H31" s="608"/>
      <c r="I31" s="608"/>
      <c r="J31" s="608"/>
      <c r="K31" s="608"/>
      <c r="L31" s="608"/>
      <c r="M31" s="609"/>
      <c r="N31" s="3"/>
      <c r="O31" s="3"/>
      <c r="P31" s="3"/>
      <c r="Q31" s="3"/>
      <c r="R31" s="3"/>
      <c r="S31" s="3"/>
    </row>
    <row r="32" spans="1:19" x14ac:dyDescent="0.2">
      <c r="A32" s="3"/>
      <c r="B32" s="610"/>
      <c r="C32" s="155" t="s">
        <v>462</v>
      </c>
      <c r="D32" s="155"/>
      <c r="E32" s="155"/>
      <c r="F32" s="155"/>
      <c r="G32" s="155"/>
      <c r="H32" s="155"/>
      <c r="I32" s="155"/>
      <c r="J32" s="155"/>
      <c r="K32" s="155"/>
      <c r="L32" s="155"/>
      <c r="M32" s="157"/>
      <c r="N32" s="3"/>
      <c r="O32" s="3"/>
      <c r="P32" s="3"/>
      <c r="Q32" s="3"/>
      <c r="R32" s="3"/>
      <c r="S32" s="3"/>
    </row>
    <row r="33" spans="1:19" x14ac:dyDescent="0.2">
      <c r="A33" s="3"/>
      <c r="B33" s="610"/>
      <c r="C33" s="155" t="s">
        <v>785</v>
      </c>
      <c r="D33" s="155"/>
      <c r="E33" s="155"/>
      <c r="F33" s="155"/>
      <c r="G33" s="155"/>
      <c r="H33" s="155"/>
      <c r="I33" s="155"/>
      <c r="J33" s="155"/>
      <c r="K33" s="155"/>
      <c r="L33" s="155"/>
      <c r="M33" s="157"/>
      <c r="N33" s="3"/>
      <c r="O33" s="3"/>
      <c r="P33" s="3"/>
      <c r="Q33" s="3"/>
      <c r="R33" s="3"/>
      <c r="S33" s="3"/>
    </row>
    <row r="34" spans="1:19" ht="13.5" thickBot="1" x14ac:dyDescent="0.25">
      <c r="A34" s="3"/>
      <c r="B34" s="611"/>
      <c r="C34" s="160" t="s">
        <v>805</v>
      </c>
      <c r="D34" s="160"/>
      <c r="E34" s="160"/>
      <c r="F34" s="160"/>
      <c r="G34" s="160"/>
      <c r="H34" s="160"/>
      <c r="I34" s="160"/>
      <c r="J34" s="160"/>
      <c r="K34" s="160"/>
      <c r="L34" s="160"/>
      <c r="M34" s="165"/>
      <c r="N34" s="3"/>
      <c r="O34" s="3"/>
      <c r="P34" s="3"/>
      <c r="Q34" s="3"/>
      <c r="R34" s="3"/>
      <c r="S34" s="3"/>
    </row>
    <row r="35" spans="1:19" x14ac:dyDescent="0.2">
      <c r="A35" s="3"/>
      <c r="B35" s="626" t="s">
        <v>782</v>
      </c>
      <c r="C35" s="627" t="s">
        <v>781</v>
      </c>
      <c r="D35" s="628"/>
      <c r="E35" s="629" t="s">
        <v>776</v>
      </c>
      <c r="F35" s="628"/>
      <c r="G35" s="628"/>
      <c r="H35" s="627" t="s">
        <v>777</v>
      </c>
      <c r="I35" s="630"/>
      <c r="J35" s="332"/>
      <c r="K35" s="319"/>
      <c r="L35" s="319"/>
      <c r="M35" s="334"/>
      <c r="N35" s="3"/>
      <c r="O35" s="3"/>
      <c r="P35" s="3"/>
      <c r="Q35" s="3"/>
      <c r="R35" s="3"/>
      <c r="S35" s="3"/>
    </row>
    <row r="36" spans="1:19" x14ac:dyDescent="0.2">
      <c r="A36" s="3"/>
      <c r="B36" s="620">
        <v>1</v>
      </c>
      <c r="C36" s="612">
        <v>10</v>
      </c>
      <c r="D36" s="612" t="s">
        <v>75</v>
      </c>
      <c r="E36" s="614">
        <v>12</v>
      </c>
      <c r="F36" s="612" t="s">
        <v>778</v>
      </c>
      <c r="G36" s="612"/>
      <c r="H36" s="615">
        <f>E36/100</f>
        <v>0.12</v>
      </c>
      <c r="I36" s="613" t="s">
        <v>780</v>
      </c>
      <c r="J36" s="332"/>
      <c r="K36" s="319" t="s">
        <v>37</v>
      </c>
      <c r="L36" s="319"/>
      <c r="M36" s="334"/>
      <c r="N36" s="3"/>
      <c r="O36" s="3"/>
      <c r="P36" s="3"/>
      <c r="Q36" s="3"/>
      <c r="R36" s="3"/>
      <c r="S36" s="3"/>
    </row>
    <row r="37" spans="1:19" x14ac:dyDescent="0.2">
      <c r="A37" s="3"/>
      <c r="B37" s="620">
        <v>2</v>
      </c>
      <c r="C37" s="622">
        <v>30</v>
      </c>
      <c r="D37" s="622" t="s">
        <v>75</v>
      </c>
      <c r="E37" s="614">
        <v>17</v>
      </c>
      <c r="F37" s="612" t="s">
        <v>778</v>
      </c>
      <c r="G37" s="612" t="s">
        <v>37</v>
      </c>
      <c r="H37" s="615">
        <f t="shared" ref="H37:H47" si="0">E37/100</f>
        <v>0.17</v>
      </c>
      <c r="I37" s="613" t="s">
        <v>780</v>
      </c>
      <c r="J37" s="332"/>
      <c r="K37" s="319" t="s">
        <v>782</v>
      </c>
      <c r="L37" s="286">
        <v>8</v>
      </c>
      <c r="M37" s="334"/>
      <c r="N37" s="3"/>
      <c r="O37" s="3"/>
      <c r="P37" s="3"/>
      <c r="Q37" s="3"/>
      <c r="R37" s="3"/>
      <c r="S37" s="3"/>
    </row>
    <row r="38" spans="1:19" x14ac:dyDescent="0.2">
      <c r="A38" s="3"/>
      <c r="B38" s="620">
        <v>3</v>
      </c>
      <c r="C38" s="612">
        <v>50</v>
      </c>
      <c r="D38" s="612" t="s">
        <v>75</v>
      </c>
      <c r="E38" s="614" t="s">
        <v>779</v>
      </c>
      <c r="F38" s="612" t="s">
        <v>778</v>
      </c>
      <c r="G38" s="612"/>
      <c r="H38" s="615" t="s">
        <v>779</v>
      </c>
      <c r="I38" s="613" t="s">
        <v>780</v>
      </c>
      <c r="J38" s="332"/>
      <c r="K38" s="319"/>
      <c r="L38" s="319"/>
      <c r="M38" s="334"/>
      <c r="N38" s="3"/>
      <c r="O38" s="3"/>
      <c r="P38" s="3"/>
      <c r="Q38" s="3"/>
      <c r="R38" s="3"/>
      <c r="S38" s="3"/>
    </row>
    <row r="39" spans="1:19" x14ac:dyDescent="0.2">
      <c r="A39" s="3"/>
      <c r="B39" s="620">
        <v>4</v>
      </c>
      <c r="C39" s="612">
        <v>100</v>
      </c>
      <c r="D39" s="612" t="s">
        <v>75</v>
      </c>
      <c r="E39" s="614">
        <v>28</v>
      </c>
      <c r="F39" s="612" t="s">
        <v>778</v>
      </c>
      <c r="G39" s="612"/>
      <c r="H39" s="615">
        <f t="shared" si="0"/>
        <v>0.28000000000000003</v>
      </c>
      <c r="I39" s="613" t="s">
        <v>780</v>
      </c>
      <c r="J39" s="332"/>
      <c r="K39" s="319" t="s">
        <v>74</v>
      </c>
      <c r="L39" s="623">
        <f>INDEX(C36:C48,L37,1)</f>
        <v>435</v>
      </c>
      <c r="M39" s="334"/>
      <c r="N39" s="3"/>
      <c r="O39" s="3"/>
      <c r="P39" s="3"/>
      <c r="Q39" s="3"/>
      <c r="R39" s="3"/>
      <c r="S39" s="3"/>
    </row>
    <row r="40" spans="1:19" x14ac:dyDescent="0.2">
      <c r="A40" s="3"/>
      <c r="B40" s="620">
        <v>5</v>
      </c>
      <c r="C40" s="622">
        <v>145</v>
      </c>
      <c r="D40" s="622" t="s">
        <v>75</v>
      </c>
      <c r="E40" s="614">
        <v>32</v>
      </c>
      <c r="F40" s="612" t="s">
        <v>778</v>
      </c>
      <c r="G40" s="612"/>
      <c r="H40" s="615">
        <f t="shared" si="0"/>
        <v>0.32</v>
      </c>
      <c r="I40" s="613" t="s">
        <v>780</v>
      </c>
      <c r="J40" s="332"/>
      <c r="K40" s="319"/>
      <c r="L40" s="319"/>
      <c r="M40" s="334"/>
      <c r="N40" s="3"/>
      <c r="O40" s="3"/>
      <c r="P40" s="3"/>
      <c r="Q40" s="3"/>
      <c r="R40" s="3"/>
      <c r="S40" s="3"/>
    </row>
    <row r="41" spans="1:19" x14ac:dyDescent="0.2">
      <c r="A41" s="3"/>
      <c r="B41" s="620">
        <v>6</v>
      </c>
      <c r="C41" s="612">
        <v>200</v>
      </c>
      <c r="D41" s="612" t="s">
        <v>75</v>
      </c>
      <c r="E41" s="614">
        <v>40</v>
      </c>
      <c r="F41" s="612" t="s">
        <v>778</v>
      </c>
      <c r="G41" s="612" t="s">
        <v>37</v>
      </c>
      <c r="H41" s="615">
        <f t="shared" si="0"/>
        <v>0.4</v>
      </c>
      <c r="I41" s="613" t="s">
        <v>780</v>
      </c>
      <c r="J41" s="332"/>
      <c r="K41" s="319" t="s">
        <v>783</v>
      </c>
      <c r="L41" s="624">
        <v>0.1</v>
      </c>
      <c r="M41" s="334"/>
      <c r="N41" s="3"/>
      <c r="O41" s="3"/>
      <c r="P41" s="3"/>
      <c r="Q41" s="3"/>
      <c r="R41" s="3"/>
      <c r="S41" s="3"/>
    </row>
    <row r="42" spans="1:19" x14ac:dyDescent="0.2">
      <c r="A42" s="3"/>
      <c r="B42" s="620">
        <v>7</v>
      </c>
      <c r="C42" s="612">
        <v>400</v>
      </c>
      <c r="D42" s="612" t="s">
        <v>75</v>
      </c>
      <c r="E42" s="614" t="s">
        <v>779</v>
      </c>
      <c r="F42" s="612" t="s">
        <v>778</v>
      </c>
      <c r="G42" s="612"/>
      <c r="H42" s="615" t="s">
        <v>779</v>
      </c>
      <c r="I42" s="613" t="s">
        <v>780</v>
      </c>
      <c r="J42" s="332"/>
      <c r="K42" s="319"/>
      <c r="L42" s="319"/>
      <c r="M42" s="334"/>
      <c r="N42" s="3"/>
      <c r="O42" s="3"/>
      <c r="P42" s="3"/>
      <c r="Q42" s="3"/>
      <c r="R42" s="3"/>
      <c r="S42" s="3"/>
    </row>
    <row r="43" spans="1:19" x14ac:dyDescent="0.2">
      <c r="A43" s="3"/>
      <c r="B43" s="620">
        <v>8</v>
      </c>
      <c r="C43" s="622">
        <v>435</v>
      </c>
      <c r="D43" s="622" t="s">
        <v>75</v>
      </c>
      <c r="E43" s="614">
        <v>58</v>
      </c>
      <c r="F43" s="612" t="s">
        <v>778</v>
      </c>
      <c r="G43" s="612"/>
      <c r="H43" s="615">
        <f t="shared" si="0"/>
        <v>0.57999999999999996</v>
      </c>
      <c r="I43" s="613" t="s">
        <v>780</v>
      </c>
      <c r="J43" s="332"/>
      <c r="K43" s="319" t="s">
        <v>784</v>
      </c>
      <c r="L43" s="625">
        <f>(INDEX(H36:H48,L37,1))*L41</f>
        <v>5.7999999999999996E-2</v>
      </c>
      <c r="M43" s="334"/>
      <c r="N43" s="3"/>
      <c r="O43" s="3"/>
      <c r="P43" s="3"/>
      <c r="Q43" s="3"/>
      <c r="R43" s="3"/>
      <c r="S43" s="3"/>
    </row>
    <row r="44" spans="1:19" x14ac:dyDescent="0.2">
      <c r="A44" s="3"/>
      <c r="B44" s="620">
        <v>9</v>
      </c>
      <c r="C44" s="612">
        <v>500</v>
      </c>
      <c r="D44" s="612" t="s">
        <v>75</v>
      </c>
      <c r="E44" s="614">
        <v>68</v>
      </c>
      <c r="F44" s="612" t="s">
        <v>778</v>
      </c>
      <c r="G44" s="612"/>
      <c r="H44" s="615">
        <f t="shared" si="0"/>
        <v>0.68</v>
      </c>
      <c r="I44" s="613" t="s">
        <v>780</v>
      </c>
      <c r="J44" s="332"/>
      <c r="K44" s="319"/>
      <c r="L44" s="319"/>
      <c r="M44" s="334"/>
      <c r="N44" s="3"/>
      <c r="O44" s="3"/>
      <c r="P44" s="3"/>
      <c r="Q44" s="3"/>
      <c r="R44" s="3"/>
      <c r="S44" s="3"/>
    </row>
    <row r="45" spans="1:19" x14ac:dyDescent="0.2">
      <c r="A45" s="3"/>
      <c r="B45" s="620">
        <v>10</v>
      </c>
      <c r="C45" s="622">
        <v>1270</v>
      </c>
      <c r="D45" s="622" t="s">
        <v>75</v>
      </c>
      <c r="E45" s="614">
        <v>113</v>
      </c>
      <c r="F45" s="612" t="s">
        <v>778</v>
      </c>
      <c r="G45" s="612"/>
      <c r="H45" s="615">
        <f t="shared" si="0"/>
        <v>1.1299999999999999</v>
      </c>
      <c r="I45" s="613" t="s">
        <v>780</v>
      </c>
      <c r="J45" s="332"/>
      <c r="K45" s="319"/>
      <c r="L45" s="319"/>
      <c r="M45" s="334"/>
      <c r="N45" s="3"/>
      <c r="O45" s="3"/>
      <c r="P45" s="3"/>
      <c r="Q45" s="3"/>
      <c r="R45" s="3"/>
      <c r="S45" s="3"/>
    </row>
    <row r="46" spans="1:19" x14ac:dyDescent="0.2">
      <c r="A46" s="3"/>
      <c r="B46" s="620">
        <v>11</v>
      </c>
      <c r="C46" s="622">
        <v>2400</v>
      </c>
      <c r="D46" s="622" t="s">
        <v>75</v>
      </c>
      <c r="E46" s="614">
        <v>165</v>
      </c>
      <c r="F46" s="612" t="s">
        <v>778</v>
      </c>
      <c r="G46" s="612"/>
      <c r="H46" s="615">
        <f t="shared" si="0"/>
        <v>1.65</v>
      </c>
      <c r="I46" s="613" t="s">
        <v>780</v>
      </c>
      <c r="J46" s="332"/>
      <c r="K46" s="319"/>
      <c r="L46" s="376" t="s">
        <v>370</v>
      </c>
      <c r="M46" s="334"/>
      <c r="N46" s="3"/>
      <c r="O46" s="3"/>
      <c r="P46" s="3"/>
      <c r="Q46" s="3"/>
      <c r="R46" s="3"/>
      <c r="S46" s="3"/>
    </row>
    <row r="47" spans="1:19" x14ac:dyDescent="0.2">
      <c r="A47" s="3"/>
      <c r="B47" s="620">
        <v>12</v>
      </c>
      <c r="C47" s="612">
        <v>3300</v>
      </c>
      <c r="D47" s="612" t="s">
        <v>75</v>
      </c>
      <c r="E47" s="614">
        <v>268</v>
      </c>
      <c r="F47" s="612" t="s">
        <v>778</v>
      </c>
      <c r="G47" s="612"/>
      <c r="H47" s="615">
        <f t="shared" si="0"/>
        <v>2.68</v>
      </c>
      <c r="I47" s="613" t="s">
        <v>780</v>
      </c>
      <c r="J47" s="332"/>
      <c r="K47" s="319"/>
      <c r="L47" s="319"/>
      <c r="M47" s="334"/>
      <c r="N47" s="3"/>
      <c r="O47" s="3"/>
      <c r="P47" s="3"/>
      <c r="Q47" s="3"/>
      <c r="R47" s="3"/>
      <c r="S47" s="3"/>
    </row>
    <row r="48" spans="1:19" ht="13.5" thickBot="1" x14ac:dyDescent="0.25">
      <c r="A48" s="3"/>
      <c r="B48" s="621">
        <v>13</v>
      </c>
      <c r="C48" s="616">
        <v>5000</v>
      </c>
      <c r="D48" s="616" t="s">
        <v>75</v>
      </c>
      <c r="E48" s="617" t="s">
        <v>779</v>
      </c>
      <c r="F48" s="616" t="s">
        <v>778</v>
      </c>
      <c r="G48" s="616"/>
      <c r="H48" s="618" t="s">
        <v>779</v>
      </c>
      <c r="I48" s="619" t="s">
        <v>780</v>
      </c>
      <c r="J48" s="335" t="s">
        <v>808</v>
      </c>
      <c r="K48" s="336"/>
      <c r="L48" s="336"/>
      <c r="M48" s="337"/>
      <c r="N48" s="3"/>
      <c r="O48" s="3"/>
      <c r="P48" s="3"/>
      <c r="Q48" s="3"/>
      <c r="R48" s="3"/>
      <c r="S48" s="3"/>
    </row>
    <row r="49" spans="1:19" x14ac:dyDescent="0.2">
      <c r="A49" s="3"/>
      <c r="B49" s="3"/>
      <c r="C49" s="3"/>
      <c r="D49" s="3"/>
      <c r="E49" s="3"/>
      <c r="F49" s="3"/>
      <c r="G49" s="3"/>
      <c r="H49" s="3"/>
      <c r="I49" s="3"/>
      <c r="J49" s="3"/>
      <c r="K49" s="3"/>
      <c r="L49" s="3"/>
      <c r="M49" s="3"/>
      <c r="N49" s="3"/>
      <c r="O49" s="3"/>
      <c r="P49" s="3"/>
      <c r="Q49" s="3"/>
      <c r="R49" s="3"/>
      <c r="S49" s="3"/>
    </row>
    <row r="50" spans="1:19" x14ac:dyDescent="0.2">
      <c r="A50" s="3"/>
      <c r="B50" s="3"/>
      <c r="C50" s="3"/>
      <c r="D50" s="3"/>
      <c r="E50" s="3"/>
      <c r="F50" s="3"/>
      <c r="G50" s="3"/>
      <c r="H50" s="3"/>
      <c r="I50" s="3"/>
      <c r="J50" s="3"/>
      <c r="K50" s="3"/>
      <c r="L50" s="3" t="s">
        <v>37</v>
      </c>
      <c r="M50" s="3"/>
      <c r="N50" s="3"/>
      <c r="O50" s="3"/>
      <c r="P50" s="3"/>
      <c r="Q50" s="3"/>
      <c r="R50" s="3"/>
      <c r="S50" s="3"/>
    </row>
    <row r="51" spans="1:19" ht="13.5" thickBot="1" x14ac:dyDescent="0.25">
      <c r="A51" s="3"/>
      <c r="B51" s="3"/>
      <c r="C51" s="3"/>
      <c r="D51" s="3"/>
      <c r="E51" s="3"/>
      <c r="F51" s="3"/>
      <c r="G51" s="3"/>
      <c r="H51" s="3"/>
      <c r="I51" s="3"/>
      <c r="J51" s="3"/>
      <c r="K51" s="3"/>
      <c r="L51" s="3"/>
      <c r="M51" s="3"/>
      <c r="N51" s="3"/>
      <c r="O51" s="3"/>
      <c r="P51" s="3"/>
      <c r="Q51" s="3"/>
      <c r="R51" s="3"/>
      <c r="S51" s="3"/>
    </row>
    <row r="52" spans="1:19" x14ac:dyDescent="0.2">
      <c r="A52" s="3"/>
      <c r="B52" s="631" t="s">
        <v>809</v>
      </c>
      <c r="C52" s="608"/>
      <c r="D52" s="608"/>
      <c r="E52" s="608"/>
      <c r="F52" s="608"/>
      <c r="G52" s="608"/>
      <c r="H52" s="608"/>
      <c r="I52" s="608"/>
      <c r="J52" s="608"/>
      <c r="K52" s="608"/>
      <c r="L52" s="608"/>
      <c r="M52" s="609"/>
      <c r="N52" s="3"/>
      <c r="O52" s="3"/>
      <c r="P52" s="3"/>
      <c r="Q52" s="3"/>
      <c r="R52" s="3"/>
      <c r="S52" s="3"/>
    </row>
    <row r="53" spans="1:19" x14ac:dyDescent="0.2">
      <c r="A53" s="3"/>
      <c r="B53" s="610"/>
      <c r="C53" s="155" t="s">
        <v>802</v>
      </c>
      <c r="D53" s="155"/>
      <c r="E53" s="155"/>
      <c r="F53" s="155"/>
      <c r="G53" s="155"/>
      <c r="H53" s="155"/>
      <c r="I53" s="155"/>
      <c r="J53" s="155"/>
      <c r="K53" s="155"/>
      <c r="L53" s="155"/>
      <c r="M53" s="157"/>
      <c r="N53" s="3"/>
      <c r="O53" s="3"/>
      <c r="P53" s="3"/>
      <c r="Q53" s="3"/>
      <c r="R53" s="3"/>
      <c r="S53" s="3"/>
    </row>
    <row r="54" spans="1:19" x14ac:dyDescent="0.2">
      <c r="A54" s="3"/>
      <c r="B54" s="610"/>
      <c r="C54" s="155" t="s">
        <v>803</v>
      </c>
      <c r="D54" s="155"/>
      <c r="E54" s="155"/>
      <c r="F54" s="155"/>
      <c r="G54" s="155"/>
      <c r="H54" s="155"/>
      <c r="I54" s="155"/>
      <c r="J54" s="155"/>
      <c r="K54" s="155"/>
      <c r="L54" s="155"/>
      <c r="M54" s="157"/>
      <c r="N54" s="3"/>
      <c r="O54" s="3"/>
      <c r="P54" s="3"/>
      <c r="Q54" s="3"/>
      <c r="R54" s="3"/>
      <c r="S54" s="3"/>
    </row>
    <row r="55" spans="1:19" ht="13.5" thickBot="1" x14ac:dyDescent="0.25">
      <c r="A55" s="3"/>
      <c r="B55" s="611"/>
      <c r="C55" s="160" t="s">
        <v>806</v>
      </c>
      <c r="D55" s="160"/>
      <c r="E55" s="160"/>
      <c r="F55" s="160"/>
      <c r="G55" s="160"/>
      <c r="H55" s="160"/>
      <c r="I55" s="160"/>
      <c r="J55" s="160"/>
      <c r="K55" s="160"/>
      <c r="L55" s="160"/>
      <c r="M55" s="165"/>
      <c r="N55" s="3"/>
      <c r="O55" s="3"/>
      <c r="P55" s="3"/>
      <c r="Q55" s="3"/>
      <c r="R55" s="3"/>
      <c r="S55" s="3"/>
    </row>
    <row r="56" spans="1:19" x14ac:dyDescent="0.2">
      <c r="A56" s="3"/>
      <c r="B56" s="626" t="s">
        <v>782</v>
      </c>
      <c r="C56" s="627" t="s">
        <v>781</v>
      </c>
      <c r="D56" s="628"/>
      <c r="E56" s="629" t="s">
        <v>776</v>
      </c>
      <c r="F56" s="628"/>
      <c r="G56" s="628"/>
      <c r="H56" s="627" t="s">
        <v>777</v>
      </c>
      <c r="I56" s="630"/>
      <c r="J56" s="332"/>
      <c r="K56" s="319"/>
      <c r="L56" s="319"/>
      <c r="M56" s="334"/>
      <c r="N56" s="3"/>
      <c r="O56" s="3"/>
      <c r="P56" s="3"/>
      <c r="Q56" s="3"/>
      <c r="R56" s="3"/>
      <c r="S56" s="3"/>
    </row>
    <row r="57" spans="1:19" x14ac:dyDescent="0.2">
      <c r="A57" s="3"/>
      <c r="B57" s="620">
        <v>1</v>
      </c>
      <c r="C57" s="612">
        <v>10</v>
      </c>
      <c r="D57" s="612" t="s">
        <v>75</v>
      </c>
      <c r="E57" s="614">
        <v>7</v>
      </c>
      <c r="F57" s="612" t="s">
        <v>778</v>
      </c>
      <c r="G57" s="612"/>
      <c r="H57" s="615">
        <f>E57/100</f>
        <v>7.0000000000000007E-2</v>
      </c>
      <c r="I57" s="613" t="s">
        <v>780</v>
      </c>
      <c r="J57" s="332"/>
      <c r="K57" s="319" t="s">
        <v>37</v>
      </c>
      <c r="L57" s="319"/>
      <c r="M57" s="334"/>
      <c r="N57" s="3"/>
      <c r="O57" s="3"/>
      <c r="P57" s="3"/>
      <c r="Q57" s="3"/>
      <c r="R57" s="3"/>
      <c r="S57" s="3"/>
    </row>
    <row r="58" spans="1:19" x14ac:dyDescent="0.2">
      <c r="A58" s="3"/>
      <c r="B58" s="620">
        <v>2</v>
      </c>
      <c r="C58" s="622">
        <v>30</v>
      </c>
      <c r="D58" s="622" t="s">
        <v>75</v>
      </c>
      <c r="E58" s="614">
        <v>9</v>
      </c>
      <c r="F58" s="612" t="s">
        <v>778</v>
      </c>
      <c r="G58" s="612" t="s">
        <v>37</v>
      </c>
      <c r="H58" s="615">
        <f>E58/100</f>
        <v>0.09</v>
      </c>
      <c r="I58" s="613" t="s">
        <v>780</v>
      </c>
      <c r="J58" s="332"/>
      <c r="K58" s="319" t="s">
        <v>782</v>
      </c>
      <c r="L58" s="286">
        <v>8</v>
      </c>
      <c r="M58" s="334"/>
      <c r="N58" s="3"/>
      <c r="O58" s="3"/>
      <c r="P58" s="3"/>
      <c r="Q58" s="3"/>
      <c r="R58" s="3"/>
      <c r="S58" s="3"/>
    </row>
    <row r="59" spans="1:19" x14ac:dyDescent="0.2">
      <c r="A59" s="3"/>
      <c r="B59" s="620">
        <v>3</v>
      </c>
      <c r="C59" s="612">
        <v>50</v>
      </c>
      <c r="D59" s="612" t="s">
        <v>75</v>
      </c>
      <c r="E59" s="614" t="s">
        <v>779</v>
      </c>
      <c r="F59" s="612" t="s">
        <v>778</v>
      </c>
      <c r="G59" s="612"/>
      <c r="H59" s="615" t="s">
        <v>779</v>
      </c>
      <c r="I59" s="613" t="s">
        <v>780</v>
      </c>
      <c r="J59" s="332"/>
      <c r="K59" s="319"/>
      <c r="L59" s="319"/>
      <c r="M59" s="334"/>
      <c r="N59" s="3"/>
      <c r="O59" s="3"/>
      <c r="P59" s="3"/>
      <c r="Q59" s="3"/>
      <c r="R59" s="3"/>
      <c r="S59" s="3"/>
    </row>
    <row r="60" spans="1:19" x14ac:dyDescent="0.2">
      <c r="A60" s="3"/>
      <c r="B60" s="620">
        <v>4</v>
      </c>
      <c r="C60" s="612">
        <v>100</v>
      </c>
      <c r="D60" s="612" t="s">
        <v>75</v>
      </c>
      <c r="E60" s="614">
        <v>14</v>
      </c>
      <c r="F60" s="612" t="s">
        <v>778</v>
      </c>
      <c r="G60" s="612"/>
      <c r="H60" s="615">
        <f t="shared" ref="H60:H69" si="1">E60/100</f>
        <v>0.14000000000000001</v>
      </c>
      <c r="I60" s="613" t="s">
        <v>780</v>
      </c>
      <c r="J60" s="332"/>
      <c r="K60" s="319" t="s">
        <v>74</v>
      </c>
      <c r="L60" s="623">
        <f>INDEX(C57:C69,L58,1)</f>
        <v>435</v>
      </c>
      <c r="M60" s="334"/>
      <c r="N60" s="3"/>
      <c r="O60" s="3"/>
      <c r="P60" s="3"/>
      <c r="Q60" s="3"/>
      <c r="R60" s="3"/>
      <c r="S60" s="3"/>
    </row>
    <row r="61" spans="1:19" x14ac:dyDescent="0.2">
      <c r="A61" s="3"/>
      <c r="B61" s="620">
        <v>5</v>
      </c>
      <c r="C61" s="622">
        <v>145</v>
      </c>
      <c r="D61" s="622" t="s">
        <v>75</v>
      </c>
      <c r="E61" s="614">
        <v>15</v>
      </c>
      <c r="F61" s="612" t="s">
        <v>778</v>
      </c>
      <c r="G61" s="612"/>
      <c r="H61" s="615">
        <f t="shared" si="1"/>
        <v>0.15</v>
      </c>
      <c r="I61" s="613" t="s">
        <v>780</v>
      </c>
      <c r="J61" s="332"/>
      <c r="K61" s="319"/>
      <c r="L61" s="319"/>
      <c r="M61" s="334"/>
      <c r="N61" s="3"/>
      <c r="O61" s="3"/>
      <c r="P61" s="3"/>
      <c r="Q61" s="3"/>
      <c r="R61" s="3"/>
      <c r="S61" s="3"/>
    </row>
    <row r="62" spans="1:19" x14ac:dyDescent="0.2">
      <c r="A62" s="3"/>
      <c r="B62" s="620">
        <v>6</v>
      </c>
      <c r="C62" s="612">
        <v>200</v>
      </c>
      <c r="D62" s="612" t="s">
        <v>75</v>
      </c>
      <c r="E62" s="614">
        <v>20</v>
      </c>
      <c r="F62" s="612" t="s">
        <v>778</v>
      </c>
      <c r="G62" s="612" t="s">
        <v>37</v>
      </c>
      <c r="H62" s="615">
        <f t="shared" si="1"/>
        <v>0.2</v>
      </c>
      <c r="I62" s="613" t="s">
        <v>780</v>
      </c>
      <c r="J62" s="332"/>
      <c r="K62" s="319" t="s">
        <v>783</v>
      </c>
      <c r="L62" s="624">
        <v>0.1</v>
      </c>
      <c r="M62" s="334"/>
      <c r="N62" s="3"/>
      <c r="O62" s="3"/>
      <c r="P62" s="3"/>
      <c r="Q62" s="3"/>
      <c r="R62" s="3"/>
      <c r="S62" s="3"/>
    </row>
    <row r="63" spans="1:19" x14ac:dyDescent="0.2">
      <c r="A63" s="3"/>
      <c r="B63" s="620">
        <v>7</v>
      </c>
      <c r="C63" s="612">
        <v>400</v>
      </c>
      <c r="D63" s="612" t="s">
        <v>75</v>
      </c>
      <c r="E63" s="614">
        <v>28</v>
      </c>
      <c r="F63" s="612" t="s">
        <v>778</v>
      </c>
      <c r="G63" s="612"/>
      <c r="H63" s="615">
        <f t="shared" si="1"/>
        <v>0.28000000000000003</v>
      </c>
      <c r="I63" s="613" t="s">
        <v>780</v>
      </c>
      <c r="J63" s="332"/>
      <c r="K63" s="319"/>
      <c r="L63" s="319"/>
      <c r="M63" s="334"/>
      <c r="N63" s="3"/>
      <c r="O63" s="3"/>
      <c r="P63" s="3"/>
      <c r="Q63" s="3"/>
      <c r="R63" s="3"/>
      <c r="S63" s="3"/>
    </row>
    <row r="64" spans="1:19" x14ac:dyDescent="0.2">
      <c r="A64" s="3"/>
      <c r="B64" s="620">
        <v>8</v>
      </c>
      <c r="C64" s="622">
        <v>435</v>
      </c>
      <c r="D64" s="622" t="s">
        <v>75</v>
      </c>
      <c r="E64" s="614">
        <v>30</v>
      </c>
      <c r="F64" s="612" t="s">
        <v>778</v>
      </c>
      <c r="G64" s="612"/>
      <c r="H64" s="615">
        <f t="shared" si="1"/>
        <v>0.3</v>
      </c>
      <c r="I64" s="613" t="s">
        <v>780</v>
      </c>
      <c r="J64" s="332"/>
      <c r="K64" s="319" t="s">
        <v>784</v>
      </c>
      <c r="L64" s="625">
        <f>(INDEX(H57:H69,L58,1))*L62</f>
        <v>0.03</v>
      </c>
      <c r="M64" s="334"/>
      <c r="N64" s="3"/>
      <c r="O64" s="3"/>
      <c r="P64" s="3"/>
      <c r="Q64" s="3"/>
      <c r="R64" s="3"/>
      <c r="S64" s="3"/>
    </row>
    <row r="65" spans="1:19" x14ac:dyDescent="0.2">
      <c r="A65" s="3"/>
      <c r="B65" s="620">
        <v>9</v>
      </c>
      <c r="C65" s="612">
        <v>500</v>
      </c>
      <c r="D65" s="612" t="s">
        <v>75</v>
      </c>
      <c r="E65" s="614">
        <v>35</v>
      </c>
      <c r="F65" s="612" t="s">
        <v>778</v>
      </c>
      <c r="G65" s="612"/>
      <c r="H65" s="615">
        <f t="shared" si="1"/>
        <v>0.35</v>
      </c>
      <c r="I65" s="613" t="s">
        <v>780</v>
      </c>
      <c r="J65" s="332"/>
      <c r="K65" s="319"/>
      <c r="L65" s="319"/>
      <c r="M65" s="334"/>
      <c r="N65" s="3"/>
      <c r="O65" s="3"/>
      <c r="P65" s="3"/>
      <c r="Q65" s="3"/>
      <c r="R65" s="3"/>
      <c r="S65" s="3"/>
    </row>
    <row r="66" spans="1:19" x14ac:dyDescent="0.2">
      <c r="A66" s="3"/>
      <c r="B66" s="620">
        <v>10</v>
      </c>
      <c r="C66" s="622">
        <v>1270</v>
      </c>
      <c r="D66" s="622" t="s">
        <v>75</v>
      </c>
      <c r="E66" s="614">
        <v>49</v>
      </c>
      <c r="F66" s="612" t="s">
        <v>778</v>
      </c>
      <c r="G66" s="612"/>
      <c r="H66" s="615">
        <f t="shared" si="1"/>
        <v>0.49</v>
      </c>
      <c r="I66" s="613" t="s">
        <v>780</v>
      </c>
      <c r="J66" s="332"/>
      <c r="K66" s="319"/>
      <c r="L66" s="319"/>
      <c r="M66" s="334"/>
      <c r="N66" s="3"/>
      <c r="O66" s="3"/>
      <c r="P66" s="3"/>
      <c r="Q66" s="3"/>
      <c r="R66" s="3"/>
      <c r="S66" s="3"/>
    </row>
    <row r="67" spans="1:19" x14ac:dyDescent="0.2">
      <c r="A67" s="3"/>
      <c r="B67" s="620">
        <v>11</v>
      </c>
      <c r="C67" s="622">
        <v>2400</v>
      </c>
      <c r="D67" s="622" t="s">
        <v>75</v>
      </c>
      <c r="E67" s="614">
        <v>72</v>
      </c>
      <c r="F67" s="612" t="s">
        <v>778</v>
      </c>
      <c r="G67" s="612"/>
      <c r="H67" s="615">
        <f t="shared" si="1"/>
        <v>0.72</v>
      </c>
      <c r="I67" s="613" t="s">
        <v>780</v>
      </c>
      <c r="J67" s="332"/>
      <c r="K67" s="319"/>
      <c r="L67" s="376" t="s">
        <v>370</v>
      </c>
      <c r="M67" s="334"/>
      <c r="N67" s="3"/>
      <c r="O67" s="3"/>
      <c r="P67" s="3"/>
      <c r="Q67" s="3"/>
      <c r="R67" s="3"/>
      <c r="S67" s="3"/>
    </row>
    <row r="68" spans="1:19" x14ac:dyDescent="0.2">
      <c r="A68" s="3"/>
      <c r="B68" s="620">
        <v>12</v>
      </c>
      <c r="C68" s="612">
        <v>3300</v>
      </c>
      <c r="D68" s="612" t="s">
        <v>75</v>
      </c>
      <c r="E68" s="614">
        <v>95</v>
      </c>
      <c r="F68" s="612" t="s">
        <v>778</v>
      </c>
      <c r="G68" s="612"/>
      <c r="H68" s="615">
        <f t="shared" si="1"/>
        <v>0.95</v>
      </c>
      <c r="I68" s="613" t="s">
        <v>780</v>
      </c>
      <c r="J68" s="332"/>
      <c r="K68" s="319"/>
      <c r="L68" s="319"/>
      <c r="M68" s="334"/>
      <c r="N68" s="3"/>
      <c r="O68" s="3"/>
      <c r="P68" s="3"/>
      <c r="Q68" s="3"/>
      <c r="R68" s="3"/>
      <c r="S68" s="3"/>
    </row>
    <row r="69" spans="1:19" ht="13.5" thickBot="1" x14ac:dyDescent="0.25">
      <c r="A69" s="3"/>
      <c r="B69" s="621">
        <v>13</v>
      </c>
      <c r="C69" s="616">
        <v>5000</v>
      </c>
      <c r="D69" s="616" t="s">
        <v>75</v>
      </c>
      <c r="E69" s="617">
        <v>128</v>
      </c>
      <c r="F69" s="616" t="s">
        <v>778</v>
      </c>
      <c r="G69" s="616"/>
      <c r="H69" s="618">
        <f t="shared" si="1"/>
        <v>1.28</v>
      </c>
      <c r="I69" s="619" t="s">
        <v>780</v>
      </c>
      <c r="J69" s="335" t="s">
        <v>807</v>
      </c>
      <c r="K69" s="336"/>
      <c r="L69" s="336"/>
      <c r="M69" s="337"/>
      <c r="N69" s="3"/>
      <c r="O69" s="3"/>
      <c r="P69" s="3"/>
      <c r="Q69" s="3"/>
      <c r="R69" s="3"/>
      <c r="S69" s="3"/>
    </row>
    <row r="70" spans="1:19" x14ac:dyDescent="0.2">
      <c r="A70" s="3"/>
      <c r="B70" s="3"/>
      <c r="C70" s="3"/>
      <c r="D70" s="3"/>
      <c r="E70" s="3"/>
      <c r="F70" s="3"/>
      <c r="G70" s="3"/>
      <c r="H70" s="3"/>
      <c r="I70" s="3"/>
      <c r="J70" s="3"/>
      <c r="K70" s="3"/>
      <c r="L70" s="3"/>
      <c r="M70" s="3"/>
      <c r="N70" s="3"/>
      <c r="O70" s="3"/>
      <c r="P70" s="3"/>
      <c r="Q70" s="3"/>
      <c r="R70" s="3"/>
      <c r="S70" s="3"/>
    </row>
    <row r="71" spans="1:19" x14ac:dyDescent="0.2">
      <c r="A71" s="3" t="s">
        <v>37</v>
      </c>
      <c r="B71" s="3"/>
      <c r="C71" s="3"/>
      <c r="D71" s="3"/>
      <c r="E71" s="3"/>
      <c r="F71" s="3"/>
      <c r="G71" s="3"/>
      <c r="H71" s="3"/>
      <c r="I71" s="3"/>
      <c r="J71" s="3"/>
      <c r="K71" s="3"/>
      <c r="L71" s="3"/>
      <c r="M71" s="3"/>
      <c r="N71" s="3"/>
      <c r="O71" s="3"/>
      <c r="P71" s="3"/>
      <c r="Q71" s="3"/>
      <c r="R71" s="3"/>
      <c r="S71" s="3"/>
    </row>
    <row r="72" spans="1:19" ht="13.5" thickBot="1" x14ac:dyDescent="0.25">
      <c r="A72" s="3"/>
      <c r="B72" s="3"/>
      <c r="C72" s="3"/>
      <c r="D72" s="3"/>
      <c r="E72" s="3"/>
      <c r="F72" s="3"/>
      <c r="G72" s="3"/>
      <c r="H72" s="3"/>
      <c r="I72" s="3"/>
      <c r="J72" s="3"/>
      <c r="K72" s="3"/>
      <c r="L72" s="3"/>
      <c r="M72" s="3"/>
      <c r="N72" s="3"/>
      <c r="O72" s="3"/>
      <c r="P72" s="3"/>
      <c r="Q72" s="3"/>
      <c r="R72" s="3"/>
      <c r="S72" s="3"/>
    </row>
    <row r="73" spans="1:19" x14ac:dyDescent="0.2">
      <c r="A73" s="3"/>
      <c r="B73" s="631" t="s">
        <v>812</v>
      </c>
      <c r="C73" s="608"/>
      <c r="D73" s="608"/>
      <c r="E73" s="608"/>
      <c r="F73" s="608"/>
      <c r="G73" s="608"/>
      <c r="H73" s="608"/>
      <c r="I73" s="608"/>
      <c r="J73" s="608"/>
      <c r="K73" s="608"/>
      <c r="L73" s="608"/>
      <c r="M73" s="609"/>
      <c r="N73" s="3"/>
      <c r="O73" s="3"/>
      <c r="P73" s="3"/>
      <c r="Q73" s="3"/>
      <c r="R73" s="3"/>
      <c r="S73" s="3"/>
    </row>
    <row r="74" spans="1:19" x14ac:dyDescent="0.2">
      <c r="A74" s="3"/>
      <c r="B74" s="610"/>
      <c r="C74" s="155" t="s">
        <v>804</v>
      </c>
      <c r="D74" s="155"/>
      <c r="E74" s="155"/>
      <c r="F74" s="155"/>
      <c r="G74" s="155"/>
      <c r="H74" s="155"/>
      <c r="I74" s="155"/>
      <c r="J74" s="155"/>
      <c r="K74" s="155"/>
      <c r="L74" s="155"/>
      <c r="M74" s="157"/>
      <c r="N74" s="3"/>
      <c r="O74" s="3"/>
      <c r="P74" s="3"/>
      <c r="Q74" s="3"/>
      <c r="R74" s="3"/>
      <c r="S74" s="3"/>
    </row>
    <row r="75" spans="1:19" x14ac:dyDescent="0.2">
      <c r="A75" s="3"/>
      <c r="B75" s="610"/>
      <c r="C75" s="155" t="s">
        <v>461</v>
      </c>
      <c r="D75" s="155"/>
      <c r="E75" s="155"/>
      <c r="F75" s="155"/>
      <c r="G75" s="155"/>
      <c r="H75" s="155"/>
      <c r="I75" s="155"/>
      <c r="J75" s="155"/>
      <c r="K75" s="155"/>
      <c r="L75" s="155"/>
      <c r="M75" s="157"/>
      <c r="N75" s="3"/>
      <c r="O75" s="3"/>
      <c r="P75" s="3"/>
      <c r="Q75" s="3"/>
      <c r="R75" s="3"/>
      <c r="S75" s="3"/>
    </row>
    <row r="76" spans="1:19" ht="13.5" thickBot="1" x14ac:dyDescent="0.25">
      <c r="A76" s="3"/>
      <c r="B76" s="611"/>
      <c r="C76" s="160" t="s">
        <v>744</v>
      </c>
      <c r="D76" s="160"/>
      <c r="E76" s="160"/>
      <c r="F76" s="160"/>
      <c r="G76" s="160"/>
      <c r="H76" s="160"/>
      <c r="I76" s="160"/>
      <c r="J76" s="160"/>
      <c r="K76" s="160"/>
      <c r="L76" s="160"/>
      <c r="M76" s="165"/>
      <c r="N76" s="3"/>
      <c r="O76" s="3"/>
      <c r="P76" s="3"/>
      <c r="Q76" s="3"/>
      <c r="R76" s="3"/>
      <c r="S76" s="3"/>
    </row>
    <row r="77" spans="1:19" x14ac:dyDescent="0.2">
      <c r="A77" s="3"/>
      <c r="B77" s="626" t="s">
        <v>782</v>
      </c>
      <c r="C77" s="627" t="s">
        <v>781</v>
      </c>
      <c r="D77" s="628"/>
      <c r="E77" s="629" t="s">
        <v>776</v>
      </c>
      <c r="F77" s="628"/>
      <c r="G77" s="628"/>
      <c r="H77" s="627" t="s">
        <v>777</v>
      </c>
      <c r="I77" s="630"/>
      <c r="J77" s="332"/>
      <c r="K77" s="319"/>
      <c r="L77" s="319"/>
      <c r="M77" s="334"/>
      <c r="N77" s="3"/>
      <c r="O77" s="3"/>
      <c r="P77" s="3"/>
      <c r="Q77" s="3"/>
      <c r="R77" s="3"/>
      <c r="S77" s="3"/>
    </row>
    <row r="78" spans="1:19" x14ac:dyDescent="0.2">
      <c r="A78" s="3"/>
      <c r="B78" s="620">
        <v>1</v>
      </c>
      <c r="C78" s="612">
        <v>10</v>
      </c>
      <c r="D78" s="612" t="s">
        <v>75</v>
      </c>
      <c r="E78" s="614">
        <v>9.31</v>
      </c>
      <c r="F78" s="612" t="s">
        <v>778</v>
      </c>
      <c r="G78" s="612"/>
      <c r="H78" s="615">
        <f>E78/100</f>
        <v>9.3100000000000002E-2</v>
      </c>
      <c r="I78" s="613" t="s">
        <v>780</v>
      </c>
      <c r="J78" s="332"/>
      <c r="K78" s="319" t="s">
        <v>37</v>
      </c>
      <c r="L78" s="319"/>
      <c r="M78" s="334"/>
      <c r="N78" s="3"/>
      <c r="O78" s="3"/>
      <c r="P78" s="3"/>
      <c r="Q78" s="3"/>
      <c r="R78" s="3"/>
      <c r="S78" s="3"/>
    </row>
    <row r="79" spans="1:19" x14ac:dyDescent="0.2">
      <c r="A79" s="3"/>
      <c r="B79" s="620">
        <v>2</v>
      </c>
      <c r="C79" s="622">
        <v>30</v>
      </c>
      <c r="D79" s="622" t="s">
        <v>75</v>
      </c>
      <c r="E79" s="614">
        <v>12</v>
      </c>
      <c r="F79" s="612" t="s">
        <v>778</v>
      </c>
      <c r="G79" s="612" t="s">
        <v>37</v>
      </c>
      <c r="H79" s="615">
        <f>E79/100</f>
        <v>0.12</v>
      </c>
      <c r="I79" s="613" t="s">
        <v>780</v>
      </c>
      <c r="J79" s="332"/>
      <c r="K79" s="319" t="s">
        <v>782</v>
      </c>
      <c r="L79" s="286">
        <v>8</v>
      </c>
      <c r="M79" s="334"/>
      <c r="N79" s="3"/>
      <c r="O79" s="3"/>
      <c r="P79" s="3"/>
      <c r="Q79" s="3"/>
      <c r="R79" s="3"/>
      <c r="S79" s="3"/>
    </row>
    <row r="80" spans="1:19" x14ac:dyDescent="0.2">
      <c r="A80" s="3"/>
      <c r="B80" s="620">
        <v>3</v>
      </c>
      <c r="C80" s="612">
        <v>50</v>
      </c>
      <c r="D80" s="612" t="s">
        <v>75</v>
      </c>
      <c r="E80" s="614" t="s">
        <v>779</v>
      </c>
      <c r="F80" s="612" t="s">
        <v>778</v>
      </c>
      <c r="G80" s="612"/>
      <c r="H80" s="615" t="s">
        <v>779</v>
      </c>
      <c r="I80" s="613" t="s">
        <v>780</v>
      </c>
      <c r="J80" s="332"/>
      <c r="K80" s="319"/>
      <c r="L80" s="319"/>
      <c r="M80" s="334"/>
      <c r="N80" s="3"/>
      <c r="O80" s="3"/>
      <c r="P80" s="3"/>
      <c r="Q80" s="3"/>
      <c r="R80" s="3"/>
      <c r="S80" s="3"/>
    </row>
    <row r="81" spans="1:19" x14ac:dyDescent="0.2">
      <c r="A81" s="3"/>
      <c r="B81" s="620">
        <v>4</v>
      </c>
      <c r="C81" s="612">
        <v>100</v>
      </c>
      <c r="D81" s="612" t="s">
        <v>75</v>
      </c>
      <c r="E81" s="614">
        <v>18.600000000000001</v>
      </c>
      <c r="F81" s="612" t="s">
        <v>778</v>
      </c>
      <c r="G81" s="612"/>
      <c r="H81" s="615">
        <f t="shared" ref="H81:H90" si="2">E81/100</f>
        <v>0.18600000000000003</v>
      </c>
      <c r="I81" s="613" t="s">
        <v>780</v>
      </c>
      <c r="J81" s="332"/>
      <c r="K81" s="319" t="s">
        <v>74</v>
      </c>
      <c r="L81" s="623">
        <f>INDEX(C78:C90,L79,1)</f>
        <v>435</v>
      </c>
      <c r="M81" s="334"/>
      <c r="N81" s="3"/>
      <c r="O81" s="3"/>
      <c r="P81" s="3"/>
      <c r="Q81" s="3"/>
      <c r="R81" s="3"/>
      <c r="S81" s="3"/>
    </row>
    <row r="82" spans="1:19" x14ac:dyDescent="0.2">
      <c r="A82" s="3"/>
      <c r="B82" s="620">
        <v>5</v>
      </c>
      <c r="C82" s="622">
        <v>145</v>
      </c>
      <c r="D82" s="622" t="s">
        <v>75</v>
      </c>
      <c r="E82" s="614">
        <v>19.95</v>
      </c>
      <c r="F82" s="612" t="s">
        <v>778</v>
      </c>
      <c r="G82" s="612"/>
      <c r="H82" s="615">
        <f t="shared" si="2"/>
        <v>0.19949999999999998</v>
      </c>
      <c r="I82" s="613" t="s">
        <v>780</v>
      </c>
      <c r="J82" s="332"/>
      <c r="K82" s="319"/>
      <c r="L82" s="319"/>
      <c r="M82" s="334"/>
      <c r="N82" s="3"/>
      <c r="O82" s="3"/>
      <c r="P82" s="3"/>
      <c r="Q82" s="3"/>
      <c r="R82" s="3"/>
      <c r="S82" s="3"/>
    </row>
    <row r="83" spans="1:19" x14ac:dyDescent="0.2">
      <c r="A83" s="3"/>
      <c r="B83" s="620">
        <v>6</v>
      </c>
      <c r="C83" s="612">
        <v>200</v>
      </c>
      <c r="D83" s="612" t="s">
        <v>75</v>
      </c>
      <c r="E83" s="614">
        <v>26.6</v>
      </c>
      <c r="F83" s="612" t="s">
        <v>778</v>
      </c>
      <c r="G83" s="612" t="s">
        <v>37</v>
      </c>
      <c r="H83" s="615">
        <f t="shared" si="2"/>
        <v>0.26600000000000001</v>
      </c>
      <c r="I83" s="613" t="s">
        <v>780</v>
      </c>
      <c r="J83" s="332"/>
      <c r="K83" s="319" t="s">
        <v>783</v>
      </c>
      <c r="L83" s="624">
        <v>0.1</v>
      </c>
      <c r="M83" s="334"/>
      <c r="N83" s="3"/>
      <c r="O83" s="3"/>
      <c r="P83" s="3"/>
      <c r="Q83" s="3"/>
      <c r="R83" s="3"/>
      <c r="S83" s="3"/>
    </row>
    <row r="84" spans="1:19" x14ac:dyDescent="0.2">
      <c r="A84" s="3"/>
      <c r="B84" s="620">
        <v>7</v>
      </c>
      <c r="C84" s="612">
        <v>400</v>
      </c>
      <c r="D84" s="612" t="s">
        <v>75</v>
      </c>
      <c r="E84" s="614">
        <v>37.24</v>
      </c>
      <c r="F84" s="612" t="s">
        <v>778</v>
      </c>
      <c r="G84" s="612"/>
      <c r="H84" s="615">
        <f>E84/100</f>
        <v>0.37240000000000001</v>
      </c>
      <c r="I84" s="613" t="s">
        <v>780</v>
      </c>
      <c r="J84" s="332"/>
      <c r="K84" s="319"/>
      <c r="L84" s="319"/>
      <c r="M84" s="334"/>
      <c r="N84" s="3"/>
      <c r="O84" s="3"/>
      <c r="P84" s="3"/>
      <c r="Q84" s="3"/>
      <c r="R84" s="3"/>
      <c r="S84" s="3"/>
    </row>
    <row r="85" spans="1:19" x14ac:dyDescent="0.2">
      <c r="A85" s="3"/>
      <c r="B85" s="620">
        <v>8</v>
      </c>
      <c r="C85" s="622">
        <v>435</v>
      </c>
      <c r="D85" s="622" t="s">
        <v>75</v>
      </c>
      <c r="E85" s="614">
        <v>40</v>
      </c>
      <c r="F85" s="612" t="s">
        <v>778</v>
      </c>
      <c r="G85" s="612"/>
      <c r="H85" s="615">
        <f t="shared" si="2"/>
        <v>0.4</v>
      </c>
      <c r="I85" s="613" t="s">
        <v>780</v>
      </c>
      <c r="J85" s="332"/>
      <c r="K85" s="319" t="s">
        <v>784</v>
      </c>
      <c r="L85" s="625">
        <f>(INDEX(H78:H90,L79,1))*L83</f>
        <v>4.0000000000000008E-2</v>
      </c>
      <c r="M85" s="334"/>
      <c r="N85" s="3"/>
      <c r="O85" s="3"/>
      <c r="P85" s="3"/>
      <c r="Q85" s="3"/>
      <c r="R85" s="3"/>
      <c r="S85" s="3"/>
    </row>
    <row r="86" spans="1:19" x14ac:dyDescent="0.2">
      <c r="A86" s="3"/>
      <c r="B86" s="620">
        <v>9</v>
      </c>
      <c r="C86" s="612">
        <v>500</v>
      </c>
      <c r="D86" s="612" t="s">
        <v>75</v>
      </c>
      <c r="E86" s="614">
        <v>46.55</v>
      </c>
      <c r="F86" s="612" t="s">
        <v>778</v>
      </c>
      <c r="G86" s="612"/>
      <c r="H86" s="615">
        <f t="shared" si="2"/>
        <v>0.46549999999999997</v>
      </c>
      <c r="I86" s="613" t="s">
        <v>780</v>
      </c>
      <c r="J86" s="332"/>
      <c r="K86" s="319"/>
      <c r="L86" s="319"/>
      <c r="M86" s="334"/>
      <c r="N86" s="3"/>
      <c r="O86" s="3"/>
      <c r="P86" s="3"/>
      <c r="Q86" s="3"/>
      <c r="R86" s="3"/>
      <c r="S86" s="3"/>
    </row>
    <row r="87" spans="1:19" x14ac:dyDescent="0.2">
      <c r="A87" s="3"/>
      <c r="B87" s="620">
        <v>10</v>
      </c>
      <c r="C87" s="622">
        <v>1270</v>
      </c>
      <c r="D87" s="622" t="s">
        <v>75</v>
      </c>
      <c r="E87" s="614">
        <v>65.2</v>
      </c>
      <c r="F87" s="612" t="s">
        <v>778</v>
      </c>
      <c r="G87" s="612"/>
      <c r="H87" s="615">
        <f t="shared" si="2"/>
        <v>0.65200000000000002</v>
      </c>
      <c r="I87" s="613" t="s">
        <v>780</v>
      </c>
      <c r="J87" s="332"/>
      <c r="K87" s="319"/>
      <c r="L87" s="319"/>
      <c r="M87" s="334"/>
      <c r="N87" s="3"/>
      <c r="O87" s="3"/>
      <c r="P87" s="3"/>
      <c r="Q87" s="3"/>
      <c r="R87" s="3"/>
      <c r="S87" s="3"/>
    </row>
    <row r="88" spans="1:19" x14ac:dyDescent="0.2">
      <c r="A88" s="3"/>
      <c r="B88" s="620">
        <v>11</v>
      </c>
      <c r="C88" s="622">
        <v>2400</v>
      </c>
      <c r="D88" s="622" t="s">
        <v>75</v>
      </c>
      <c r="E88" s="614">
        <v>95.75</v>
      </c>
      <c r="F88" s="612" t="s">
        <v>778</v>
      </c>
      <c r="G88" s="612"/>
      <c r="H88" s="615">
        <f t="shared" si="2"/>
        <v>0.95750000000000002</v>
      </c>
      <c r="I88" s="613" t="s">
        <v>780</v>
      </c>
      <c r="J88" s="332"/>
      <c r="K88" s="319"/>
      <c r="L88" s="376" t="s">
        <v>370</v>
      </c>
      <c r="M88" s="334"/>
      <c r="N88" s="3"/>
      <c r="O88" s="3"/>
      <c r="P88" s="3"/>
      <c r="Q88" s="3"/>
      <c r="R88" s="3"/>
      <c r="S88" s="3"/>
    </row>
    <row r="89" spans="1:19" x14ac:dyDescent="0.2">
      <c r="A89" s="3"/>
      <c r="B89" s="620">
        <v>12</v>
      </c>
      <c r="C89" s="612">
        <v>3300</v>
      </c>
      <c r="D89" s="612" t="s">
        <v>75</v>
      </c>
      <c r="E89" s="614">
        <v>126.4</v>
      </c>
      <c r="F89" s="612" t="s">
        <v>778</v>
      </c>
      <c r="G89" s="612"/>
      <c r="H89" s="615">
        <f t="shared" si="2"/>
        <v>1.264</v>
      </c>
      <c r="I89" s="613" t="s">
        <v>780</v>
      </c>
      <c r="J89" s="332"/>
      <c r="K89" s="319"/>
      <c r="L89" s="319"/>
      <c r="M89" s="334"/>
      <c r="N89" s="3"/>
      <c r="O89" s="3"/>
      <c r="P89" s="3"/>
      <c r="Q89" s="3"/>
      <c r="R89" s="3"/>
      <c r="S89" s="3"/>
    </row>
    <row r="90" spans="1:19" ht="13.5" thickBot="1" x14ac:dyDescent="0.25">
      <c r="A90" s="3"/>
      <c r="B90" s="621">
        <v>13</v>
      </c>
      <c r="C90" s="616">
        <v>5000</v>
      </c>
      <c r="D90" s="616" t="s">
        <v>75</v>
      </c>
      <c r="E90" s="617">
        <v>170.2</v>
      </c>
      <c r="F90" s="616" t="s">
        <v>778</v>
      </c>
      <c r="G90" s="616"/>
      <c r="H90" s="618">
        <f t="shared" si="2"/>
        <v>1.702</v>
      </c>
      <c r="I90" s="619" t="s">
        <v>780</v>
      </c>
      <c r="J90" s="335" t="s">
        <v>810</v>
      </c>
      <c r="K90" s="336"/>
      <c r="L90" s="336"/>
      <c r="M90" s="337"/>
      <c r="N90" s="3"/>
      <c r="O90" s="3"/>
      <c r="P90" s="3"/>
      <c r="Q90" s="3"/>
      <c r="R90" s="3"/>
      <c r="S90" s="3"/>
    </row>
    <row r="91" spans="1:19" x14ac:dyDescent="0.2">
      <c r="A91" s="3"/>
      <c r="B91" s="3"/>
      <c r="C91" s="3"/>
      <c r="D91" s="3"/>
      <c r="E91" s="3"/>
      <c r="F91" s="3"/>
      <c r="G91" s="3"/>
      <c r="H91" s="3"/>
      <c r="I91" s="3"/>
      <c r="J91" s="3"/>
      <c r="K91" s="3"/>
      <c r="L91" s="3"/>
      <c r="M91" s="3"/>
      <c r="N91" s="3"/>
      <c r="O91" s="3"/>
      <c r="P91" s="3"/>
      <c r="Q91" s="3"/>
      <c r="R91" s="3"/>
      <c r="S91" s="3"/>
    </row>
    <row r="92" spans="1:19" x14ac:dyDescent="0.2">
      <c r="A92" s="3"/>
      <c r="B92" s="3"/>
      <c r="C92" s="3"/>
      <c r="D92" s="3"/>
      <c r="E92" s="3"/>
      <c r="F92" s="3"/>
      <c r="G92" s="3"/>
      <c r="H92" s="3"/>
      <c r="I92" s="3"/>
      <c r="J92" s="3"/>
      <c r="K92" s="3"/>
      <c r="L92" s="3"/>
      <c r="M92" s="3"/>
      <c r="N92" s="3"/>
      <c r="O92" s="3"/>
      <c r="P92" s="3"/>
      <c r="Q92" s="3"/>
      <c r="R92" s="3"/>
      <c r="S92" s="3"/>
    </row>
    <row r="93" spans="1:19" ht="13.5" thickBot="1" x14ac:dyDescent="0.25">
      <c r="A93" s="3"/>
      <c r="B93" s="3"/>
      <c r="C93" s="3"/>
      <c r="D93" s="3"/>
      <c r="E93" s="3"/>
      <c r="F93" s="3"/>
      <c r="G93" s="3"/>
      <c r="H93" s="3"/>
      <c r="I93" s="3"/>
      <c r="J93" s="3"/>
      <c r="K93" s="3"/>
      <c r="L93" s="3"/>
      <c r="M93" s="3"/>
      <c r="N93" s="3" t="s">
        <v>37</v>
      </c>
      <c r="O93" s="3"/>
      <c r="P93" s="3"/>
      <c r="Q93" s="3"/>
      <c r="R93" s="3"/>
      <c r="S93" s="3"/>
    </row>
    <row r="94" spans="1:19" x14ac:dyDescent="0.2">
      <c r="A94" s="3"/>
      <c r="B94" s="631" t="s">
        <v>813</v>
      </c>
      <c r="C94" s="608"/>
      <c r="D94" s="608"/>
      <c r="E94" s="608"/>
      <c r="F94" s="608"/>
      <c r="G94" s="608"/>
      <c r="H94" s="608"/>
      <c r="I94" s="608"/>
      <c r="J94" s="608"/>
      <c r="K94" s="608"/>
      <c r="L94" s="608"/>
      <c r="M94" s="609"/>
      <c r="N94" s="3"/>
      <c r="O94" s="3"/>
      <c r="P94" s="3"/>
      <c r="Q94" s="3"/>
      <c r="R94" s="3"/>
      <c r="S94" s="3"/>
    </row>
    <row r="95" spans="1:19" x14ac:dyDescent="0.2">
      <c r="A95" s="3"/>
      <c r="B95" s="610"/>
      <c r="C95" s="155" t="s">
        <v>817</v>
      </c>
      <c r="D95" s="155"/>
      <c r="E95" s="155"/>
      <c r="F95" s="155"/>
      <c r="G95" s="155"/>
      <c r="H95" s="155"/>
      <c r="I95" s="155"/>
      <c r="J95" s="155"/>
      <c r="K95" s="155"/>
      <c r="L95" s="155"/>
      <c r="M95" s="157"/>
      <c r="N95" s="3"/>
      <c r="O95" s="3"/>
      <c r="P95" s="3"/>
      <c r="Q95" s="3"/>
      <c r="R95" s="3"/>
      <c r="S95" s="3"/>
    </row>
    <row r="96" spans="1:19" x14ac:dyDescent="0.2">
      <c r="A96" s="3"/>
      <c r="B96" s="610"/>
      <c r="C96" s="155" t="s">
        <v>818</v>
      </c>
      <c r="D96" s="155"/>
      <c r="E96" s="155"/>
      <c r="F96" s="155"/>
      <c r="G96" s="155"/>
      <c r="H96" s="155"/>
      <c r="I96" s="155"/>
      <c r="J96" s="155"/>
      <c r="K96" s="155"/>
      <c r="L96" s="155"/>
      <c r="M96" s="157"/>
      <c r="N96" s="3"/>
      <c r="O96" s="3"/>
      <c r="P96" s="3"/>
      <c r="Q96" s="3"/>
      <c r="R96" s="3"/>
      <c r="S96" s="3"/>
    </row>
    <row r="97" spans="1:19" ht="13.5" thickBot="1" x14ac:dyDescent="0.25">
      <c r="A97" s="3"/>
      <c r="B97" s="611"/>
      <c r="C97" s="160" t="s">
        <v>819</v>
      </c>
      <c r="D97" s="160"/>
      <c r="E97" s="160"/>
      <c r="F97" s="160"/>
      <c r="G97" s="160"/>
      <c r="H97" s="160"/>
      <c r="I97" s="160"/>
      <c r="J97" s="160"/>
      <c r="K97" s="160"/>
      <c r="L97" s="160"/>
      <c r="M97" s="165"/>
      <c r="N97" s="3"/>
      <c r="O97" s="3"/>
      <c r="P97" s="3"/>
      <c r="Q97" s="3"/>
      <c r="R97" s="3"/>
      <c r="S97" s="3"/>
    </row>
    <row r="98" spans="1:19" x14ac:dyDescent="0.2">
      <c r="A98" s="3"/>
      <c r="B98" s="626" t="s">
        <v>782</v>
      </c>
      <c r="C98" s="627" t="s">
        <v>781</v>
      </c>
      <c r="D98" s="628"/>
      <c r="E98" s="629" t="s">
        <v>776</v>
      </c>
      <c r="F98" s="628"/>
      <c r="G98" s="628"/>
      <c r="H98" s="627" t="s">
        <v>777</v>
      </c>
      <c r="I98" s="628"/>
      <c r="J98" s="637"/>
      <c r="K98" s="330"/>
      <c r="L98" s="330"/>
      <c r="M98" s="331"/>
      <c r="N98" s="3"/>
      <c r="O98" s="3"/>
      <c r="P98" s="3"/>
      <c r="Q98" s="3"/>
      <c r="R98" s="3"/>
      <c r="S98" s="3"/>
    </row>
    <row r="99" spans="1:19" x14ac:dyDescent="0.2">
      <c r="A99" s="3"/>
      <c r="B99" s="620">
        <v>1</v>
      </c>
      <c r="C99" s="622">
        <v>30</v>
      </c>
      <c r="D99" s="622" t="s">
        <v>75</v>
      </c>
      <c r="E99" s="614">
        <v>13</v>
      </c>
      <c r="F99" s="612" t="s">
        <v>778</v>
      </c>
      <c r="G99" s="612" t="s">
        <v>37</v>
      </c>
      <c r="H99" s="615">
        <v>0.13</v>
      </c>
      <c r="I99" s="612" t="s">
        <v>780</v>
      </c>
      <c r="J99" s="332"/>
      <c r="K99" s="319" t="s">
        <v>37</v>
      </c>
      <c r="L99" s="319"/>
      <c r="M99" s="334"/>
      <c r="N99" s="3"/>
      <c r="O99" s="3"/>
      <c r="P99" s="3"/>
      <c r="Q99" s="3"/>
      <c r="R99" s="3"/>
      <c r="S99" s="3"/>
    </row>
    <row r="100" spans="1:19" x14ac:dyDescent="0.2">
      <c r="A100" s="3"/>
      <c r="B100" s="620">
        <v>2</v>
      </c>
      <c r="C100" s="622">
        <v>145</v>
      </c>
      <c r="D100" s="622" t="s">
        <v>75</v>
      </c>
      <c r="E100" s="614">
        <v>25</v>
      </c>
      <c r="F100" s="612" t="s">
        <v>778</v>
      </c>
      <c r="G100" s="612"/>
      <c r="H100" s="615">
        <v>0.25</v>
      </c>
      <c r="I100" s="612" t="s">
        <v>780</v>
      </c>
      <c r="J100" s="332"/>
      <c r="K100" s="319" t="s">
        <v>782</v>
      </c>
      <c r="L100" s="286">
        <v>3</v>
      </c>
      <c r="M100" s="334"/>
      <c r="N100" s="3"/>
      <c r="O100" s="3"/>
      <c r="P100" s="3"/>
      <c r="Q100" s="3"/>
      <c r="R100" s="3"/>
      <c r="S100" s="3"/>
    </row>
    <row r="101" spans="1:19" x14ac:dyDescent="0.2">
      <c r="A101" s="3"/>
      <c r="B101" s="620">
        <v>3</v>
      </c>
      <c r="C101" s="622">
        <v>435</v>
      </c>
      <c r="D101" s="622" t="s">
        <v>75</v>
      </c>
      <c r="E101" s="614">
        <v>33</v>
      </c>
      <c r="F101" s="612" t="s">
        <v>778</v>
      </c>
      <c r="G101" s="612"/>
      <c r="H101" s="615">
        <v>0.33</v>
      </c>
      <c r="I101" s="612" t="s">
        <v>780</v>
      </c>
      <c r="J101" s="332"/>
      <c r="K101" s="319"/>
      <c r="L101" s="319"/>
      <c r="M101" s="334"/>
      <c r="N101" s="3"/>
      <c r="O101" s="3"/>
      <c r="P101" s="3"/>
      <c r="Q101" s="3"/>
      <c r="R101" s="3"/>
      <c r="S101" s="3"/>
    </row>
    <row r="102" spans="1:19" x14ac:dyDescent="0.2">
      <c r="A102" s="3"/>
      <c r="B102" s="620">
        <v>4</v>
      </c>
      <c r="C102" s="622">
        <v>1270</v>
      </c>
      <c r="D102" s="622" t="s">
        <v>75</v>
      </c>
      <c r="E102" s="614">
        <v>53</v>
      </c>
      <c r="F102" s="612" t="s">
        <v>778</v>
      </c>
      <c r="G102" s="612"/>
      <c r="H102" s="615">
        <v>0.53</v>
      </c>
      <c r="I102" s="612" t="s">
        <v>780</v>
      </c>
      <c r="J102" s="332"/>
      <c r="K102" s="319" t="s">
        <v>74</v>
      </c>
      <c r="L102" s="645">
        <f>INDEX(C99:C112,L100,1)</f>
        <v>435</v>
      </c>
      <c r="M102" s="334"/>
      <c r="N102" s="3"/>
      <c r="O102" s="3"/>
      <c r="P102" s="3"/>
      <c r="Q102" s="3"/>
      <c r="R102" s="3"/>
      <c r="S102" s="3"/>
    </row>
    <row r="103" spans="1:19" x14ac:dyDescent="0.2">
      <c r="A103" s="3"/>
      <c r="B103" s="620">
        <v>5</v>
      </c>
      <c r="C103" s="612">
        <v>2000</v>
      </c>
      <c r="D103" s="612" t="s">
        <v>75</v>
      </c>
      <c r="E103" s="636">
        <v>88.6</v>
      </c>
      <c r="F103" s="612" t="s">
        <v>778</v>
      </c>
      <c r="G103" s="612"/>
      <c r="H103" s="635">
        <v>0.88600000000000001</v>
      </c>
      <c r="I103" s="612" t="s">
        <v>780</v>
      </c>
      <c r="J103" s="332"/>
      <c r="K103" s="319"/>
      <c r="L103" s="319"/>
      <c r="M103" s="334"/>
      <c r="N103" s="3"/>
      <c r="O103" s="3"/>
      <c r="P103" s="3"/>
      <c r="Q103" s="3"/>
      <c r="R103" s="3"/>
      <c r="S103" s="3"/>
    </row>
    <row r="104" spans="1:19" x14ac:dyDescent="0.2">
      <c r="A104" s="3"/>
      <c r="B104" s="620">
        <v>6</v>
      </c>
      <c r="C104" s="622">
        <v>2400</v>
      </c>
      <c r="D104" s="622" t="s">
        <v>75</v>
      </c>
      <c r="E104" s="614">
        <v>96</v>
      </c>
      <c r="F104" s="612" t="s">
        <v>778</v>
      </c>
      <c r="G104" s="612"/>
      <c r="H104" s="615">
        <v>0.96</v>
      </c>
      <c r="I104" s="612" t="s">
        <v>780</v>
      </c>
      <c r="J104" s="332"/>
      <c r="K104" s="319" t="s">
        <v>783</v>
      </c>
      <c r="L104" s="624">
        <v>0.1</v>
      </c>
      <c r="M104" s="334"/>
      <c r="N104" s="3"/>
      <c r="O104" s="3"/>
      <c r="P104" s="3"/>
      <c r="Q104" s="3"/>
      <c r="R104" s="3"/>
      <c r="S104" s="3"/>
    </row>
    <row r="105" spans="1:19" x14ac:dyDescent="0.2">
      <c r="A105" s="3"/>
      <c r="B105" s="620">
        <v>7</v>
      </c>
      <c r="C105" s="644">
        <v>10000</v>
      </c>
      <c r="D105" s="612" t="s">
        <v>75</v>
      </c>
      <c r="E105" s="636">
        <v>200.1</v>
      </c>
      <c r="F105" s="612" t="s">
        <v>778</v>
      </c>
      <c r="G105" s="612"/>
      <c r="H105" s="635">
        <v>2.0009999999999999</v>
      </c>
      <c r="I105" s="612" t="s">
        <v>780</v>
      </c>
      <c r="J105" s="332"/>
      <c r="K105" s="319"/>
      <c r="L105" s="319"/>
      <c r="M105" s="334"/>
      <c r="N105" s="3"/>
      <c r="O105" s="3"/>
      <c r="P105" s="3"/>
      <c r="Q105" s="3"/>
      <c r="R105" s="3"/>
      <c r="S105" s="3"/>
    </row>
    <row r="106" spans="1:19" x14ac:dyDescent="0.2">
      <c r="A106" s="3"/>
      <c r="B106" s="620">
        <v>8</v>
      </c>
      <c r="C106" s="644">
        <v>18000</v>
      </c>
      <c r="D106" s="612" t="s">
        <v>75</v>
      </c>
      <c r="E106" s="636">
        <v>275.5</v>
      </c>
      <c r="F106" s="612" t="s">
        <v>778</v>
      </c>
      <c r="G106" s="612"/>
      <c r="H106" s="635">
        <v>2.7549999999999999</v>
      </c>
      <c r="I106" s="612" t="s">
        <v>780</v>
      </c>
      <c r="J106" s="332"/>
      <c r="K106" s="319" t="s">
        <v>784</v>
      </c>
      <c r="L106" s="625">
        <f>(INDEX(H99:H112,L100,1))*L104</f>
        <v>3.3000000000000002E-2</v>
      </c>
      <c r="M106" s="334"/>
      <c r="N106" s="3"/>
      <c r="O106" s="3"/>
      <c r="P106" s="3"/>
      <c r="Q106" s="3"/>
      <c r="R106" s="3"/>
      <c r="S106" s="3"/>
    </row>
    <row r="107" spans="1:19" x14ac:dyDescent="0.2">
      <c r="A107" s="3"/>
      <c r="B107" s="620"/>
      <c r="C107" s="633"/>
      <c r="D107" s="612"/>
      <c r="E107" s="614"/>
      <c r="F107" s="612"/>
      <c r="G107" s="612"/>
      <c r="H107" s="615"/>
      <c r="I107" s="612"/>
      <c r="J107" s="332"/>
      <c r="K107" s="319"/>
      <c r="L107" s="319"/>
      <c r="M107" s="334"/>
      <c r="N107" s="3"/>
      <c r="O107" s="3"/>
      <c r="P107" s="3"/>
      <c r="Q107" s="3"/>
      <c r="R107" s="3"/>
      <c r="S107" s="3"/>
    </row>
    <row r="108" spans="1:19" x14ac:dyDescent="0.2">
      <c r="A108" s="3"/>
      <c r="B108" s="620"/>
      <c r="C108" s="633"/>
      <c r="D108" s="612"/>
      <c r="E108" s="614"/>
      <c r="F108" s="612" t="s">
        <v>37</v>
      </c>
      <c r="G108" s="612"/>
      <c r="H108" s="615"/>
      <c r="I108" s="612"/>
      <c r="J108" s="332"/>
      <c r="K108" s="319"/>
      <c r="L108" s="319"/>
      <c r="M108" s="334"/>
      <c r="N108" s="3" t="s">
        <v>37</v>
      </c>
      <c r="O108" s="3"/>
      <c r="P108" s="3"/>
      <c r="Q108" s="3"/>
      <c r="R108" s="3"/>
      <c r="S108" s="3"/>
    </row>
    <row r="109" spans="1:19" x14ac:dyDescent="0.2">
      <c r="A109" s="3"/>
      <c r="B109" s="620"/>
      <c r="C109" s="633"/>
      <c r="D109" s="612"/>
      <c r="E109" s="614"/>
      <c r="F109" s="612"/>
      <c r="G109" s="612"/>
      <c r="H109" s="615"/>
      <c r="I109" s="612"/>
      <c r="J109" s="332"/>
      <c r="K109" s="319"/>
      <c r="L109" s="319"/>
      <c r="M109" s="334"/>
      <c r="N109" s="3"/>
      <c r="O109" s="3"/>
      <c r="P109" s="3"/>
      <c r="Q109" s="3"/>
      <c r="R109" s="3"/>
      <c r="S109" s="3"/>
    </row>
    <row r="110" spans="1:19" x14ac:dyDescent="0.2">
      <c r="A110" s="3"/>
      <c r="B110" s="620"/>
      <c r="C110" s="633"/>
      <c r="D110" s="612"/>
      <c r="E110" s="614"/>
      <c r="F110" s="612"/>
      <c r="G110" s="612"/>
      <c r="H110" s="615"/>
      <c r="I110" s="612"/>
      <c r="J110" s="332"/>
      <c r="K110" s="319"/>
      <c r="L110" s="376" t="s">
        <v>370</v>
      </c>
      <c r="M110" s="334"/>
      <c r="N110" s="3"/>
      <c r="O110" s="3"/>
      <c r="P110" s="3"/>
      <c r="Q110" s="3"/>
      <c r="R110" s="3"/>
      <c r="S110" s="3"/>
    </row>
    <row r="111" spans="1:19" x14ac:dyDescent="0.2">
      <c r="A111" s="3"/>
      <c r="B111" s="620"/>
      <c r="C111" s="633"/>
      <c r="D111" s="612"/>
      <c r="E111" s="614"/>
      <c r="F111" s="612"/>
      <c r="G111" s="612"/>
      <c r="H111" s="615"/>
      <c r="I111" s="612"/>
      <c r="J111" s="332" t="s">
        <v>824</v>
      </c>
      <c r="K111" s="319"/>
      <c r="L111" s="319"/>
      <c r="M111" s="334"/>
      <c r="N111" s="3"/>
      <c r="O111" s="3"/>
      <c r="P111" s="3"/>
      <c r="Q111" s="3"/>
      <c r="R111" s="3"/>
      <c r="S111" s="3"/>
    </row>
    <row r="112" spans="1:19" ht="13.5" thickBot="1" x14ac:dyDescent="0.25">
      <c r="A112" s="3"/>
      <c r="B112" s="621" t="s">
        <v>37</v>
      </c>
      <c r="C112" s="616" t="s">
        <v>37</v>
      </c>
      <c r="D112" s="616" t="s">
        <v>37</v>
      </c>
      <c r="E112" s="617"/>
      <c r="F112" s="616"/>
      <c r="G112" s="616"/>
      <c r="H112" s="618"/>
      <c r="I112" s="616"/>
      <c r="J112" s="335" t="s">
        <v>820</v>
      </c>
      <c r="K112" s="336"/>
      <c r="L112" s="336"/>
      <c r="M112" s="337"/>
      <c r="N112" s="3"/>
      <c r="O112" s="3"/>
      <c r="P112" s="3"/>
      <c r="Q112" s="3"/>
      <c r="R112" s="3"/>
      <c r="S112" s="3"/>
    </row>
    <row r="113" spans="1:19" x14ac:dyDescent="0.2">
      <c r="A113" s="3"/>
      <c r="B113" s="3"/>
      <c r="C113" s="3"/>
      <c r="D113" s="3"/>
      <c r="E113" s="3"/>
      <c r="F113" s="3"/>
      <c r="G113" s="3"/>
      <c r="H113" s="3"/>
      <c r="I113" s="3"/>
      <c r="J113" s="3"/>
      <c r="K113" s="3"/>
      <c r="L113" s="3"/>
      <c r="M113" s="3"/>
      <c r="N113" s="3"/>
      <c r="O113" s="3"/>
      <c r="P113" s="3"/>
      <c r="Q113" s="3"/>
      <c r="R113" s="3"/>
      <c r="S113" s="3"/>
    </row>
    <row r="114" spans="1:19" x14ac:dyDescent="0.2">
      <c r="A114" s="3"/>
      <c r="B114" s="3" t="s">
        <v>37</v>
      </c>
      <c r="C114" s="3"/>
      <c r="D114" s="3"/>
      <c r="E114" s="3"/>
      <c r="F114" s="3"/>
      <c r="G114" s="3"/>
      <c r="H114" s="3"/>
      <c r="I114" s="3"/>
      <c r="J114" s="3"/>
      <c r="K114" s="3"/>
      <c r="L114" s="3"/>
      <c r="M114" s="3"/>
      <c r="N114" s="3"/>
      <c r="O114" s="3"/>
      <c r="P114" s="3"/>
      <c r="Q114" s="3"/>
      <c r="R114" s="3"/>
      <c r="S114" s="3"/>
    </row>
    <row r="115" spans="1:19" ht="13.5" thickBot="1" x14ac:dyDescent="0.25">
      <c r="A115" s="3"/>
      <c r="B115" s="3"/>
      <c r="C115" s="3"/>
      <c r="D115" s="3"/>
      <c r="E115" s="3"/>
      <c r="F115" s="3"/>
      <c r="G115" s="3"/>
      <c r="H115" s="3"/>
      <c r="I115" s="3"/>
      <c r="J115" s="3"/>
      <c r="K115" s="3"/>
      <c r="L115" s="3"/>
      <c r="M115" s="3"/>
      <c r="N115" s="3"/>
      <c r="O115" s="3"/>
      <c r="P115" s="3"/>
      <c r="Q115" s="3"/>
      <c r="R115" s="3"/>
      <c r="S115" s="3"/>
    </row>
    <row r="116" spans="1:19" x14ac:dyDescent="0.2">
      <c r="A116" s="3"/>
      <c r="B116" s="631" t="s">
        <v>821</v>
      </c>
      <c r="C116" s="608"/>
      <c r="D116" s="608"/>
      <c r="E116" s="608"/>
      <c r="F116" s="608"/>
      <c r="G116" s="608"/>
      <c r="H116" s="608"/>
      <c r="I116" s="608"/>
      <c r="J116" s="608"/>
      <c r="K116" s="608"/>
      <c r="L116" s="608"/>
      <c r="M116" s="609"/>
      <c r="N116" s="3"/>
      <c r="O116" s="3"/>
      <c r="P116" s="3"/>
      <c r="Q116" s="3"/>
      <c r="R116" s="3"/>
      <c r="S116" s="3"/>
    </row>
    <row r="117" spans="1:19" x14ac:dyDescent="0.2">
      <c r="A117" s="3"/>
      <c r="B117" s="610"/>
      <c r="C117" s="155" t="s">
        <v>822</v>
      </c>
      <c r="D117" s="155"/>
      <c r="E117" s="155"/>
      <c r="F117" s="155"/>
      <c r="G117" s="155"/>
      <c r="H117" s="155"/>
      <c r="I117" s="155"/>
      <c r="J117" s="155"/>
      <c r="K117" s="155"/>
      <c r="L117" s="155"/>
      <c r="M117" s="157"/>
      <c r="N117" s="3"/>
      <c r="O117" s="3"/>
      <c r="P117" s="3"/>
      <c r="Q117" s="3"/>
      <c r="R117" s="3"/>
      <c r="S117" s="3"/>
    </row>
    <row r="118" spans="1:19" x14ac:dyDescent="0.2">
      <c r="A118" s="3"/>
      <c r="B118" s="610"/>
      <c r="C118" s="155" t="s">
        <v>823</v>
      </c>
      <c r="D118" s="155"/>
      <c r="E118" s="155"/>
      <c r="F118" s="155"/>
      <c r="G118" s="155"/>
      <c r="H118" s="155"/>
      <c r="I118" s="155"/>
      <c r="J118" s="155"/>
      <c r="K118" s="155"/>
      <c r="L118" s="155"/>
      <c r="M118" s="157"/>
      <c r="N118" s="3"/>
      <c r="O118" s="3"/>
      <c r="P118" s="3"/>
      <c r="Q118" s="3"/>
      <c r="R118" s="3"/>
      <c r="S118" s="3"/>
    </row>
    <row r="119" spans="1:19" ht="13.5" thickBot="1" x14ac:dyDescent="0.25">
      <c r="A119" s="3"/>
      <c r="B119" s="611"/>
      <c r="C119" s="160" t="s">
        <v>819</v>
      </c>
      <c r="D119" s="160"/>
      <c r="E119" s="160"/>
      <c r="F119" s="160"/>
      <c r="G119" s="160"/>
      <c r="H119" s="160"/>
      <c r="I119" s="160"/>
      <c r="J119" s="160"/>
      <c r="K119" s="160"/>
      <c r="L119" s="160"/>
      <c r="M119" s="165"/>
      <c r="N119" s="3"/>
      <c r="O119" s="3"/>
      <c r="P119" s="3"/>
      <c r="Q119" s="3"/>
      <c r="R119" s="3"/>
      <c r="S119" s="3"/>
    </row>
    <row r="120" spans="1:19" x14ac:dyDescent="0.2">
      <c r="A120" s="3"/>
      <c r="B120" s="626" t="s">
        <v>782</v>
      </c>
      <c r="C120" s="627" t="s">
        <v>781</v>
      </c>
      <c r="D120" s="628"/>
      <c r="E120" s="629" t="s">
        <v>776</v>
      </c>
      <c r="F120" s="628"/>
      <c r="G120" s="628"/>
      <c r="H120" s="627" t="s">
        <v>777</v>
      </c>
      <c r="I120" s="628"/>
      <c r="J120" s="637"/>
      <c r="K120" s="330"/>
      <c r="L120" s="330"/>
      <c r="M120" s="331"/>
      <c r="N120" s="3"/>
      <c r="O120" s="3"/>
      <c r="P120" s="3"/>
      <c r="Q120" s="3"/>
      <c r="R120" s="3"/>
      <c r="S120" s="3"/>
    </row>
    <row r="121" spans="1:19" x14ac:dyDescent="0.2">
      <c r="A121" s="3"/>
      <c r="B121" s="620">
        <v>1</v>
      </c>
      <c r="C121" s="622">
        <v>30</v>
      </c>
      <c r="D121" s="622" t="s">
        <v>75</v>
      </c>
      <c r="E121" s="614">
        <v>8</v>
      </c>
      <c r="F121" s="612" t="s">
        <v>778</v>
      </c>
      <c r="G121" s="612" t="s">
        <v>37</v>
      </c>
      <c r="H121" s="615">
        <v>0.08</v>
      </c>
      <c r="I121" s="612" t="s">
        <v>780</v>
      </c>
      <c r="J121" s="332"/>
      <c r="K121" s="319" t="s">
        <v>37</v>
      </c>
      <c r="L121" s="319"/>
      <c r="M121" s="334"/>
      <c r="N121" s="3"/>
      <c r="O121" s="3"/>
      <c r="P121" s="3"/>
      <c r="Q121" s="3"/>
      <c r="R121" s="3"/>
      <c r="S121" s="3"/>
    </row>
    <row r="122" spans="1:19" x14ac:dyDescent="0.2">
      <c r="A122" s="3"/>
      <c r="B122" s="620">
        <v>2</v>
      </c>
      <c r="C122" s="622">
        <v>145</v>
      </c>
      <c r="D122" s="622" t="s">
        <v>75</v>
      </c>
      <c r="E122" s="614">
        <v>15</v>
      </c>
      <c r="F122" s="612" t="s">
        <v>778</v>
      </c>
      <c r="G122" s="612"/>
      <c r="H122" s="615">
        <v>0.15</v>
      </c>
      <c r="I122" s="612" t="s">
        <v>780</v>
      </c>
      <c r="J122" s="332"/>
      <c r="K122" s="319" t="s">
        <v>782</v>
      </c>
      <c r="L122" s="286">
        <v>3</v>
      </c>
      <c r="M122" s="334"/>
      <c r="N122" s="3"/>
      <c r="O122" s="3"/>
      <c r="P122" s="3"/>
      <c r="Q122" s="3"/>
      <c r="R122" s="3"/>
      <c r="S122" s="3"/>
    </row>
    <row r="123" spans="1:19" x14ac:dyDescent="0.2">
      <c r="A123" s="3"/>
      <c r="B123" s="620">
        <v>3</v>
      </c>
      <c r="C123" s="622">
        <v>435</v>
      </c>
      <c r="D123" s="622" t="s">
        <v>75</v>
      </c>
      <c r="E123" s="614">
        <v>24</v>
      </c>
      <c r="F123" s="612" t="s">
        <v>778</v>
      </c>
      <c r="G123" s="612"/>
      <c r="H123" s="615">
        <v>0.24</v>
      </c>
      <c r="I123" s="612" t="s">
        <v>780</v>
      </c>
      <c r="J123" s="332"/>
      <c r="K123" s="319"/>
      <c r="L123" s="319"/>
      <c r="M123" s="334"/>
      <c r="N123" s="3"/>
      <c r="O123" s="3"/>
      <c r="P123" s="3"/>
      <c r="Q123" s="3"/>
      <c r="R123" s="3"/>
      <c r="S123" s="3"/>
    </row>
    <row r="124" spans="1:19" x14ac:dyDescent="0.2">
      <c r="A124" s="3"/>
      <c r="B124" s="620">
        <v>4</v>
      </c>
      <c r="C124" s="622">
        <v>1270</v>
      </c>
      <c r="D124" s="622" t="s">
        <v>75</v>
      </c>
      <c r="E124" s="614">
        <v>57.5</v>
      </c>
      <c r="F124" s="612" t="s">
        <v>778</v>
      </c>
      <c r="G124" s="612"/>
      <c r="H124" s="634">
        <v>0.57499999999999996</v>
      </c>
      <c r="I124" s="612" t="s">
        <v>780</v>
      </c>
      <c r="J124" s="332"/>
      <c r="K124" s="319" t="s">
        <v>74</v>
      </c>
      <c r="L124" s="623">
        <f>INDEX(C121:C134,L122,1)</f>
        <v>435</v>
      </c>
      <c r="M124" s="334"/>
      <c r="N124" s="3"/>
      <c r="O124" s="3"/>
      <c r="P124" s="3"/>
      <c r="Q124" s="3"/>
      <c r="R124" s="3"/>
      <c r="S124" s="3"/>
    </row>
    <row r="125" spans="1:19" x14ac:dyDescent="0.2">
      <c r="A125" s="3"/>
      <c r="B125" s="620">
        <v>5</v>
      </c>
      <c r="C125" s="612">
        <v>2000</v>
      </c>
      <c r="D125" s="612" t="s">
        <v>75</v>
      </c>
      <c r="E125" s="636">
        <v>65.599999999999994</v>
      </c>
      <c r="F125" s="612" t="s">
        <v>778</v>
      </c>
      <c r="G125" s="612"/>
      <c r="H125" s="635">
        <v>0.65600000000000003</v>
      </c>
      <c r="I125" s="612" t="s">
        <v>780</v>
      </c>
      <c r="J125" s="332"/>
      <c r="K125" s="319"/>
      <c r="L125" s="319"/>
      <c r="M125" s="334"/>
      <c r="N125" s="3"/>
      <c r="O125" s="3"/>
      <c r="P125" s="3"/>
      <c r="Q125" s="3"/>
      <c r="R125" s="3"/>
      <c r="S125" s="3"/>
    </row>
    <row r="126" spans="1:19" x14ac:dyDescent="0.2">
      <c r="A126" s="3"/>
      <c r="B126" s="620">
        <v>6</v>
      </c>
      <c r="C126" s="622">
        <v>2400</v>
      </c>
      <c r="D126" s="622" t="s">
        <v>75</v>
      </c>
      <c r="E126" s="614">
        <v>68.5</v>
      </c>
      <c r="F126" s="612" t="s">
        <v>778</v>
      </c>
      <c r="G126" s="612"/>
      <c r="H126" s="634">
        <v>0.68500000000000005</v>
      </c>
      <c r="I126" s="612" t="s">
        <v>780</v>
      </c>
      <c r="J126" s="332"/>
      <c r="K126" s="319" t="s">
        <v>783</v>
      </c>
      <c r="L126" s="624">
        <v>0.1</v>
      </c>
      <c r="M126" s="334"/>
      <c r="N126" s="3"/>
      <c r="O126" s="3"/>
      <c r="P126" s="3"/>
      <c r="Q126" s="3"/>
      <c r="R126" s="3"/>
      <c r="S126" s="3"/>
    </row>
    <row r="127" spans="1:19" x14ac:dyDescent="0.2">
      <c r="A127" s="3"/>
      <c r="B127" s="620">
        <v>7</v>
      </c>
      <c r="C127" s="644">
        <v>10000</v>
      </c>
      <c r="D127" s="612" t="s">
        <v>75</v>
      </c>
      <c r="E127" s="636">
        <v>91.8</v>
      </c>
      <c r="F127" s="612" t="s">
        <v>778</v>
      </c>
      <c r="G127" s="612"/>
      <c r="H127" s="635">
        <v>0.91800000000000004</v>
      </c>
      <c r="I127" s="612" t="s">
        <v>780</v>
      </c>
      <c r="J127" s="332"/>
      <c r="K127" s="319"/>
      <c r="L127" s="319"/>
      <c r="M127" s="334"/>
      <c r="N127" s="3"/>
      <c r="O127" s="3"/>
      <c r="P127" s="3"/>
      <c r="Q127" s="3"/>
      <c r="R127" s="3"/>
      <c r="S127" s="3"/>
    </row>
    <row r="128" spans="1:19" x14ac:dyDescent="0.2">
      <c r="A128" s="3"/>
      <c r="B128" s="620">
        <v>8</v>
      </c>
      <c r="C128" s="644">
        <v>18000</v>
      </c>
      <c r="D128" s="612" t="s">
        <v>75</v>
      </c>
      <c r="E128" s="636">
        <v>124.6</v>
      </c>
      <c r="F128" s="612" t="s">
        <v>778</v>
      </c>
      <c r="G128" s="612"/>
      <c r="H128" s="635">
        <v>1.246</v>
      </c>
      <c r="I128" s="612" t="s">
        <v>780</v>
      </c>
      <c r="J128" s="332"/>
      <c r="K128" s="319" t="s">
        <v>784</v>
      </c>
      <c r="L128" s="625">
        <f>(INDEX(H121:H134,L122,1))*L126</f>
        <v>2.4E-2</v>
      </c>
      <c r="M128" s="334"/>
      <c r="N128" s="3"/>
      <c r="O128" s="3"/>
      <c r="P128" s="3"/>
      <c r="Q128" s="3"/>
      <c r="R128" s="3"/>
      <c r="S128" s="3"/>
    </row>
    <row r="129" spans="1:19" x14ac:dyDescent="0.2">
      <c r="A129" s="3"/>
      <c r="B129" s="620"/>
      <c r="C129" s="633"/>
      <c r="D129" s="612"/>
      <c r="E129" s="614"/>
      <c r="F129" s="612"/>
      <c r="G129" s="612"/>
      <c r="H129" s="615"/>
      <c r="I129" s="612"/>
      <c r="J129" s="332"/>
      <c r="K129" s="319"/>
      <c r="L129" s="319"/>
      <c r="M129" s="334"/>
      <c r="N129" s="3"/>
      <c r="O129" s="3"/>
      <c r="P129" s="3"/>
      <c r="Q129" s="3"/>
      <c r="R129" s="3"/>
      <c r="S129" s="3"/>
    </row>
    <row r="130" spans="1:19" x14ac:dyDescent="0.2">
      <c r="A130" s="3"/>
      <c r="B130" s="620"/>
      <c r="C130" s="633"/>
      <c r="D130" s="612"/>
      <c r="E130" s="614"/>
      <c r="F130" s="612" t="s">
        <v>37</v>
      </c>
      <c r="G130" s="612"/>
      <c r="H130" s="615"/>
      <c r="I130" s="612"/>
      <c r="J130" s="332"/>
      <c r="K130" s="319"/>
      <c r="L130" s="319"/>
      <c r="M130" s="334"/>
      <c r="N130" s="3"/>
      <c r="O130" s="3"/>
      <c r="P130" s="3"/>
      <c r="Q130" s="3"/>
      <c r="R130" s="3"/>
      <c r="S130" s="3"/>
    </row>
    <row r="131" spans="1:19" x14ac:dyDescent="0.2">
      <c r="A131" s="3"/>
      <c r="B131" s="620"/>
      <c r="C131" s="633"/>
      <c r="D131" s="612"/>
      <c r="E131" s="614"/>
      <c r="F131" s="612"/>
      <c r="G131" s="612"/>
      <c r="H131" s="615"/>
      <c r="I131" s="612"/>
      <c r="J131" s="332"/>
      <c r="K131" s="319"/>
      <c r="L131" s="319"/>
      <c r="M131" s="334"/>
      <c r="N131" s="3"/>
      <c r="O131" s="3"/>
      <c r="P131" s="3"/>
      <c r="Q131" s="3"/>
      <c r="R131" s="3"/>
      <c r="S131" s="3"/>
    </row>
    <row r="132" spans="1:19" x14ac:dyDescent="0.2">
      <c r="A132" s="3"/>
      <c r="B132" s="620"/>
      <c r="C132" s="633"/>
      <c r="D132" s="612"/>
      <c r="E132" s="614"/>
      <c r="F132" s="612"/>
      <c r="G132" s="612"/>
      <c r="H132" s="615"/>
      <c r="I132" s="612"/>
      <c r="J132" s="332"/>
      <c r="K132" s="319"/>
      <c r="L132" s="376" t="s">
        <v>370</v>
      </c>
      <c r="M132" s="334"/>
      <c r="N132" s="3"/>
      <c r="O132" s="3"/>
      <c r="P132" s="3"/>
      <c r="Q132" s="3"/>
      <c r="R132" s="3"/>
      <c r="S132" s="3"/>
    </row>
    <row r="133" spans="1:19" x14ac:dyDescent="0.2">
      <c r="A133" s="3"/>
      <c r="B133" s="620"/>
      <c r="C133" s="633"/>
      <c r="D133" s="612"/>
      <c r="E133" s="614"/>
      <c r="F133" s="612"/>
      <c r="G133" s="612"/>
      <c r="H133" s="615"/>
      <c r="I133" s="612"/>
      <c r="J133" s="332" t="s">
        <v>825</v>
      </c>
      <c r="K133" s="319"/>
      <c r="L133" s="319"/>
      <c r="M133" s="334"/>
      <c r="N133" s="3"/>
      <c r="O133" s="3"/>
      <c r="P133" s="3"/>
      <c r="Q133" s="3"/>
      <c r="R133" s="3"/>
      <c r="S133" s="3"/>
    </row>
    <row r="134" spans="1:19" ht="13.5" thickBot="1" x14ac:dyDescent="0.25">
      <c r="A134" s="3"/>
      <c r="B134" s="621" t="s">
        <v>37</v>
      </c>
      <c r="C134" s="616" t="s">
        <v>37</v>
      </c>
      <c r="D134" s="616" t="s">
        <v>37</v>
      </c>
      <c r="E134" s="617"/>
      <c r="F134" s="616"/>
      <c r="G134" s="616"/>
      <c r="H134" s="618"/>
      <c r="I134" s="616"/>
      <c r="J134" s="335" t="s">
        <v>820</v>
      </c>
      <c r="K134" s="336"/>
      <c r="L134" s="336"/>
      <c r="M134" s="337"/>
      <c r="N134" s="3"/>
      <c r="O134" s="3"/>
      <c r="P134" s="3"/>
      <c r="Q134" s="3"/>
      <c r="R134" s="3"/>
      <c r="S134" s="3"/>
    </row>
    <row r="135" spans="1:19" x14ac:dyDescent="0.2">
      <c r="A135" s="3"/>
      <c r="B135" s="3"/>
      <c r="C135" s="3"/>
      <c r="D135" s="3"/>
      <c r="E135" s="3"/>
      <c r="F135" s="3"/>
      <c r="G135" s="3"/>
      <c r="H135" s="3"/>
      <c r="I135" s="3"/>
      <c r="J135" s="3"/>
      <c r="K135" s="3"/>
      <c r="L135" s="3"/>
      <c r="M135" s="3"/>
      <c r="N135" s="3"/>
      <c r="O135" s="3"/>
      <c r="P135" s="3"/>
      <c r="Q135" s="3"/>
      <c r="R135" s="3"/>
      <c r="S135" s="3"/>
    </row>
    <row r="136" spans="1:19" x14ac:dyDescent="0.2">
      <c r="A136" s="3"/>
      <c r="B136" s="3"/>
      <c r="C136" s="3"/>
      <c r="D136" s="3"/>
      <c r="E136" s="3"/>
      <c r="F136" s="3"/>
      <c r="G136" s="3"/>
      <c r="H136" s="3"/>
      <c r="I136" s="3"/>
      <c r="J136" s="3"/>
      <c r="K136" s="3"/>
      <c r="L136" s="3"/>
      <c r="M136" s="3"/>
      <c r="N136" s="3"/>
      <c r="O136" s="3"/>
      <c r="P136" s="3"/>
      <c r="Q136" s="3"/>
      <c r="R136" s="3"/>
      <c r="S136" s="3"/>
    </row>
    <row r="137" spans="1:19" x14ac:dyDescent="0.2">
      <c r="A137" s="3"/>
      <c r="B137" s="3"/>
      <c r="C137" s="3"/>
      <c r="D137" s="3"/>
      <c r="E137" s="3"/>
      <c r="F137" s="3"/>
      <c r="G137" s="3"/>
      <c r="H137" s="3"/>
      <c r="I137" s="3"/>
      <c r="J137" s="3"/>
      <c r="K137" s="3"/>
      <c r="L137" s="3"/>
      <c r="M137" s="3"/>
      <c r="N137" s="3"/>
      <c r="O137" s="3"/>
      <c r="P137" s="3"/>
      <c r="Q137" s="3"/>
      <c r="R137" s="3"/>
      <c r="S137" s="3"/>
    </row>
    <row r="138" spans="1:19" x14ac:dyDescent="0.2">
      <c r="A138" s="3"/>
      <c r="B138" s="3"/>
      <c r="C138" s="3"/>
      <c r="D138" s="3"/>
      <c r="E138" s="3"/>
      <c r="F138" s="3"/>
      <c r="G138" s="3"/>
      <c r="H138" s="3"/>
      <c r="I138" s="3"/>
      <c r="J138" s="3"/>
      <c r="K138" s="3"/>
      <c r="L138" s="3"/>
      <c r="M138" s="3"/>
      <c r="N138" s="3"/>
      <c r="O138" s="3"/>
      <c r="P138" s="3"/>
      <c r="Q138" s="3"/>
      <c r="R138" s="3"/>
      <c r="S138" s="3"/>
    </row>
    <row r="139" spans="1:19" x14ac:dyDescent="0.2">
      <c r="A139" s="3"/>
      <c r="B139" s="3"/>
      <c r="C139" s="3"/>
      <c r="D139" s="3"/>
      <c r="E139" s="3"/>
      <c r="F139" s="3"/>
      <c r="G139" s="3"/>
      <c r="H139" s="3"/>
      <c r="I139" s="3"/>
      <c r="J139" s="3"/>
      <c r="K139" s="3"/>
      <c r="L139" s="3"/>
      <c r="M139" s="3"/>
      <c r="N139" s="3"/>
      <c r="O139" s="3"/>
      <c r="P139" s="3"/>
      <c r="Q139" s="3"/>
      <c r="R139" s="3"/>
      <c r="S139" s="3"/>
    </row>
    <row r="140" spans="1:19" x14ac:dyDescent="0.2">
      <c r="A140" s="3"/>
      <c r="B140" s="3"/>
      <c r="C140" s="3"/>
      <c r="D140" s="3"/>
      <c r="E140" s="3"/>
      <c r="F140" s="3"/>
      <c r="G140" s="3"/>
      <c r="H140" s="3"/>
      <c r="I140" s="3"/>
      <c r="J140" s="3"/>
      <c r="K140" s="3"/>
      <c r="L140" s="3"/>
      <c r="M140" s="3"/>
      <c r="N140" s="3"/>
      <c r="O140" s="3"/>
      <c r="P140" s="3"/>
      <c r="Q140" s="3"/>
      <c r="R140" s="3"/>
      <c r="S140" s="3"/>
    </row>
    <row r="141" spans="1:19" x14ac:dyDescent="0.2">
      <c r="A141" s="3"/>
      <c r="B141" s="3"/>
      <c r="C141" s="3"/>
      <c r="D141" s="3"/>
      <c r="E141" s="3"/>
      <c r="F141" s="3"/>
      <c r="G141" s="3"/>
      <c r="H141" s="3"/>
      <c r="I141" s="3"/>
      <c r="J141" s="3"/>
      <c r="K141" s="3"/>
      <c r="L141" s="3"/>
      <c r="M141" s="3"/>
      <c r="N141" s="3"/>
      <c r="O141" s="3"/>
      <c r="P141" s="3"/>
      <c r="Q141" s="3"/>
      <c r="R141" s="3"/>
      <c r="S141" s="3"/>
    </row>
    <row r="142" spans="1:19" x14ac:dyDescent="0.2">
      <c r="A142" s="3"/>
      <c r="B142" s="3"/>
      <c r="C142" s="3"/>
      <c r="D142" s="3"/>
      <c r="E142" s="3"/>
      <c r="F142" s="3"/>
      <c r="G142" s="3"/>
      <c r="H142" s="3"/>
      <c r="I142" s="3"/>
      <c r="J142" s="3"/>
      <c r="K142" s="3"/>
      <c r="L142" s="3"/>
      <c r="M142" s="3"/>
      <c r="N142" s="3"/>
      <c r="O142" s="3"/>
      <c r="P142" s="3"/>
      <c r="Q142" s="3"/>
      <c r="R142" s="3"/>
      <c r="S142" s="3"/>
    </row>
    <row r="143" spans="1:19" x14ac:dyDescent="0.2">
      <c r="A143" s="3"/>
      <c r="B143" s="3"/>
      <c r="C143" s="3"/>
      <c r="D143" s="3"/>
      <c r="E143" s="3"/>
      <c r="F143" s="3"/>
      <c r="G143" s="3"/>
      <c r="H143" s="3"/>
      <c r="I143" s="3"/>
      <c r="J143" s="3"/>
      <c r="K143" s="3"/>
      <c r="L143" s="3"/>
      <c r="M143" s="3"/>
      <c r="N143" s="3"/>
      <c r="O143" s="3"/>
      <c r="P143" s="3"/>
      <c r="Q143" s="3"/>
      <c r="R143" s="3"/>
      <c r="S143" s="3"/>
    </row>
    <row r="144" spans="1:19" x14ac:dyDescent="0.2">
      <c r="A144" s="3"/>
      <c r="B144" s="3"/>
      <c r="C144" s="3"/>
      <c r="D144" s="3"/>
      <c r="E144" s="3"/>
      <c r="F144" s="3"/>
      <c r="G144" s="3"/>
      <c r="H144" s="3"/>
      <c r="I144" s="3"/>
      <c r="J144" s="3"/>
      <c r="K144" s="3"/>
      <c r="L144" s="3"/>
      <c r="M144" s="3"/>
      <c r="N144" s="3"/>
      <c r="O144" s="3"/>
      <c r="P144" s="3"/>
      <c r="Q144" s="3"/>
      <c r="R144" s="3"/>
      <c r="S144" s="3"/>
    </row>
    <row r="145" spans="1:19" x14ac:dyDescent="0.2">
      <c r="A145" s="3"/>
      <c r="B145" s="3"/>
      <c r="C145" s="3"/>
      <c r="D145" s="3"/>
      <c r="E145" s="3"/>
      <c r="F145" s="3"/>
      <c r="G145" s="3"/>
      <c r="H145" s="3"/>
      <c r="I145" s="3"/>
      <c r="J145" s="3"/>
      <c r="K145" s="3"/>
      <c r="L145" s="3"/>
      <c r="M145" s="3"/>
      <c r="N145" s="3"/>
      <c r="O145" s="3"/>
      <c r="P145" s="3"/>
      <c r="Q145" s="3"/>
      <c r="R145" s="3"/>
      <c r="S145" s="3"/>
    </row>
    <row r="146" spans="1:19" x14ac:dyDescent="0.2">
      <c r="A146" s="3"/>
      <c r="B146" s="3"/>
      <c r="C146" s="3"/>
      <c r="D146" s="3"/>
      <c r="E146" s="3"/>
      <c r="F146" s="3"/>
      <c r="G146" s="3"/>
      <c r="H146" s="3"/>
      <c r="I146" s="3"/>
      <c r="J146" s="3"/>
      <c r="K146" s="3"/>
      <c r="L146" s="3"/>
      <c r="M146" s="3"/>
      <c r="N146" s="3"/>
      <c r="O146" s="3"/>
      <c r="P146" s="3"/>
      <c r="Q146" s="3"/>
      <c r="R146" s="3"/>
      <c r="S146" s="3"/>
    </row>
    <row r="147" spans="1:19" x14ac:dyDescent="0.2">
      <c r="A147" s="3"/>
      <c r="B147" s="3"/>
      <c r="C147" s="3"/>
      <c r="D147" s="3"/>
      <c r="E147" s="3"/>
      <c r="F147" s="3"/>
      <c r="G147" s="3"/>
      <c r="H147" s="3"/>
      <c r="I147" s="3"/>
      <c r="J147" s="3"/>
      <c r="K147" s="3"/>
      <c r="L147" s="3"/>
      <c r="M147" s="3"/>
      <c r="N147" s="3"/>
      <c r="O147" s="3"/>
      <c r="P147" s="3"/>
      <c r="Q147" s="3"/>
      <c r="R147" s="3"/>
      <c r="S147" s="3"/>
    </row>
    <row r="148" spans="1:19" x14ac:dyDescent="0.2">
      <c r="A148" s="3"/>
      <c r="B148" s="3"/>
      <c r="C148" s="3"/>
      <c r="D148" s="3"/>
      <c r="E148" s="3"/>
      <c r="F148" s="3"/>
      <c r="G148" s="3"/>
      <c r="H148" s="3"/>
      <c r="I148" s="3"/>
      <c r="J148" s="3"/>
      <c r="K148" s="3"/>
      <c r="L148" s="3"/>
      <c r="M148" s="3"/>
      <c r="N148" s="3"/>
      <c r="O148" s="3"/>
      <c r="P148" s="3"/>
      <c r="Q148" s="3"/>
      <c r="R148" s="3"/>
      <c r="S148" s="3"/>
    </row>
    <row r="149" spans="1:19" x14ac:dyDescent="0.2">
      <c r="A149" s="3"/>
      <c r="B149" s="3"/>
      <c r="C149" s="3"/>
      <c r="D149" s="3"/>
      <c r="E149" s="3"/>
      <c r="F149" s="3"/>
      <c r="G149" s="3"/>
      <c r="H149" s="3"/>
      <c r="I149" s="3"/>
      <c r="J149" s="3"/>
      <c r="K149" s="3"/>
      <c r="L149" s="3"/>
      <c r="M149" s="3"/>
      <c r="N149" s="3"/>
      <c r="O149" s="3"/>
      <c r="P149" s="3"/>
      <c r="Q149" s="3"/>
      <c r="R149" s="3"/>
      <c r="S149" s="3"/>
    </row>
    <row r="150" spans="1:19" x14ac:dyDescent="0.2">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000-000000000000}"/>
    <hyperlink ref="G10" r:id="rId2" xr:uid="{00000000-0004-0000-1000-000001000000}"/>
    <hyperlink ref="G17" r:id="rId3" xr:uid="{00000000-0004-0000-1000-000002000000}"/>
    <hyperlink ref="G19" r:id="rId4" xr:uid="{00000000-0004-0000-1000-000003000000}"/>
    <hyperlink ref="G24" r:id="rId5" location="frequency" xr:uid="{00000000-0004-0000-1000-000004000000}"/>
    <hyperlink ref="G22" r:id="rId6" xr:uid="{00000000-0004-0000-1000-000005000000}"/>
  </hyperlinks>
  <pageMargins left="0.75" right="0.75" top="1" bottom="1" header="0.5" footer="0.5"/>
  <pageSetup paperSize="9" orientation="portrait" horizontalDpi="4294967293" verticalDpi="0" r:id="rId7"/>
  <headerFooter alignWithMargins="0"/>
  <legacyDrawing r:id="rId8"/>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X54"/>
  <sheetViews>
    <sheetView workbookViewId="0">
      <selection activeCell="H7" sqref="H7"/>
    </sheetView>
  </sheetViews>
  <sheetFormatPr defaultRowHeight="12.75" x14ac:dyDescent="0.2"/>
  <cols>
    <col min="11" max="11" width="10.5703125" bestFit="1" customWidth="1"/>
    <col min="16" max="16" width="1.28515625" customWidth="1"/>
    <col min="17" max="17" width="10.85546875" customWidth="1"/>
  </cols>
  <sheetData>
    <row r="1" spans="1:24" ht="18.75" thickBot="1" x14ac:dyDescent="0.3">
      <c r="A1" s="133" t="s">
        <v>871</v>
      </c>
      <c r="B1" s="135"/>
      <c r="C1" s="135"/>
      <c r="D1" s="135"/>
      <c r="E1" s="135"/>
      <c r="F1" s="135"/>
      <c r="G1" s="135"/>
      <c r="H1" s="135"/>
      <c r="I1" s="135"/>
      <c r="J1" s="135"/>
      <c r="K1" s="135"/>
      <c r="L1" s="135"/>
      <c r="M1" s="135"/>
      <c r="N1" s="135"/>
      <c r="O1" s="135"/>
      <c r="P1" s="135"/>
      <c r="Q1" s="135"/>
      <c r="R1" s="135"/>
      <c r="S1" s="135"/>
      <c r="T1" s="135"/>
      <c r="U1" s="135"/>
      <c r="V1" s="135"/>
      <c r="W1" s="135"/>
      <c r="X1" s="135"/>
    </row>
    <row r="2" spans="1:24" x14ac:dyDescent="0.2">
      <c r="A2" s="3"/>
      <c r="B2" s="3"/>
      <c r="C2" s="3"/>
      <c r="D2" s="3"/>
      <c r="E2" s="3"/>
      <c r="F2" s="3"/>
      <c r="G2" s="3"/>
      <c r="H2" s="570"/>
      <c r="I2" s="570"/>
      <c r="J2" s="570"/>
      <c r="K2" s="570"/>
      <c r="L2" s="570"/>
      <c r="M2" s="570"/>
      <c r="N2" s="570"/>
      <c r="O2" s="570"/>
      <c r="P2" s="570"/>
      <c r="Q2" s="570"/>
      <c r="R2" s="570"/>
      <c r="S2" s="570"/>
      <c r="T2" s="3"/>
      <c r="U2" s="3"/>
      <c r="V2" s="3"/>
      <c r="W2" s="3"/>
      <c r="X2" s="3"/>
    </row>
    <row r="3" spans="1:24" x14ac:dyDescent="0.2">
      <c r="A3" s="3"/>
      <c r="B3" s="376" t="s">
        <v>370</v>
      </c>
      <c r="C3" s="3"/>
      <c r="D3" s="3"/>
      <c r="E3" s="3"/>
      <c r="F3" s="3"/>
      <c r="G3" s="3"/>
      <c r="H3" s="570"/>
      <c r="I3" s="570"/>
      <c r="J3" s="570"/>
      <c r="K3" s="570"/>
      <c r="L3" s="570"/>
      <c r="M3" s="570"/>
      <c r="N3" s="570"/>
      <c r="O3" s="570"/>
      <c r="P3" s="570"/>
      <c r="Q3" s="570"/>
      <c r="R3" s="570"/>
      <c r="S3" s="570"/>
      <c r="T3" s="3"/>
      <c r="U3" s="3"/>
      <c r="V3" s="3"/>
      <c r="W3" s="3"/>
      <c r="X3" s="3"/>
    </row>
    <row r="4" spans="1:24" x14ac:dyDescent="0.2">
      <c r="A4" s="3"/>
      <c r="B4" s="568"/>
      <c r="C4" s="3"/>
      <c r="D4" s="3"/>
      <c r="E4" s="3"/>
      <c r="F4" s="3"/>
      <c r="G4" s="3"/>
      <c r="H4" s="570"/>
      <c r="I4" s="570"/>
      <c r="J4" s="570"/>
      <c r="K4" s="570"/>
      <c r="L4" s="570"/>
      <c r="M4" s="570"/>
      <c r="N4" s="570"/>
      <c r="O4" s="570"/>
      <c r="P4" s="570"/>
      <c r="Q4" s="570"/>
      <c r="R4" s="570"/>
      <c r="S4" s="570"/>
      <c r="T4" s="3"/>
      <c r="U4" s="3"/>
      <c r="V4" s="3"/>
      <c r="W4" s="3"/>
      <c r="X4" s="3"/>
    </row>
    <row r="5" spans="1:24" x14ac:dyDescent="0.2">
      <c r="A5" s="3"/>
      <c r="B5" s="568"/>
      <c r="C5" s="3"/>
      <c r="D5" s="3"/>
      <c r="E5" s="3"/>
      <c r="F5" s="3"/>
      <c r="G5" s="3"/>
      <c r="H5" s="570"/>
      <c r="I5" s="570"/>
      <c r="J5" s="570"/>
      <c r="K5" s="570"/>
      <c r="L5" s="570"/>
      <c r="M5" s="570"/>
      <c r="N5" s="570"/>
      <c r="O5" s="570"/>
      <c r="P5" s="570"/>
      <c r="Q5" s="570"/>
      <c r="R5" s="570"/>
      <c r="S5" s="570"/>
      <c r="T5" s="3"/>
      <c r="U5" s="3"/>
      <c r="V5" s="3"/>
      <c r="W5" s="3"/>
      <c r="X5" s="3"/>
    </row>
    <row r="6" spans="1:24" x14ac:dyDescent="0.2">
      <c r="A6" s="3"/>
      <c r="B6" s="3"/>
      <c r="C6" s="3"/>
      <c r="D6" s="3" t="s">
        <v>756</v>
      </c>
      <c r="E6" s="3"/>
      <c r="F6" s="3"/>
      <c r="G6" s="3" t="s">
        <v>37</v>
      </c>
      <c r="H6" s="572">
        <v>30</v>
      </c>
      <c r="I6" s="309" t="s">
        <v>102</v>
      </c>
      <c r="J6" s="571"/>
      <c r="K6" s="571"/>
      <c r="L6" s="571"/>
      <c r="M6" s="571"/>
      <c r="N6" s="571"/>
      <c r="O6" s="571"/>
      <c r="P6" s="571"/>
      <c r="Q6" s="571"/>
      <c r="R6" s="571"/>
      <c r="S6" s="571"/>
      <c r="T6" s="3"/>
      <c r="U6" s="3"/>
      <c r="V6" s="3"/>
      <c r="W6" s="3"/>
      <c r="X6" s="3"/>
    </row>
    <row r="7" spans="1:24" x14ac:dyDescent="0.2">
      <c r="A7" s="3"/>
      <c r="B7" s="3"/>
      <c r="C7" s="3"/>
      <c r="D7" s="3"/>
      <c r="E7" s="3"/>
      <c r="F7" s="3"/>
      <c r="G7" s="3"/>
      <c r="H7" s="3"/>
      <c r="I7" s="3"/>
      <c r="J7" s="3"/>
      <c r="K7" s="3" t="s">
        <v>831</v>
      </c>
      <c r="L7" s="3"/>
      <c r="M7" s="3"/>
      <c r="N7" s="3"/>
      <c r="O7" s="3"/>
      <c r="P7" s="3"/>
      <c r="Q7" s="3"/>
      <c r="R7" s="3"/>
      <c r="S7" s="3"/>
      <c r="T7" s="3"/>
      <c r="U7" s="3"/>
      <c r="V7" s="3"/>
      <c r="W7" s="3"/>
      <c r="X7" s="3"/>
    </row>
    <row r="8" spans="1:24" x14ac:dyDescent="0.2">
      <c r="A8" s="3"/>
      <c r="B8" s="3"/>
      <c r="C8" s="3"/>
      <c r="D8" s="3" t="s">
        <v>755</v>
      </c>
      <c r="E8" s="3"/>
      <c r="F8" s="3"/>
      <c r="G8" s="569" t="s">
        <v>37</v>
      </c>
      <c r="H8" s="573">
        <v>1.5</v>
      </c>
      <c r="I8" s="563" t="s">
        <v>759</v>
      </c>
      <c r="J8" s="3"/>
      <c r="K8" s="35"/>
      <c r="L8" s="3"/>
      <c r="M8" s="3"/>
      <c r="N8" s="3"/>
      <c r="O8" s="3"/>
      <c r="P8" s="3"/>
      <c r="Q8" s="3"/>
      <c r="R8" s="3"/>
      <c r="S8" s="3"/>
      <c r="T8" s="3"/>
      <c r="U8" s="3"/>
      <c r="V8" s="3"/>
      <c r="W8" s="3"/>
      <c r="X8" s="3"/>
    </row>
    <row r="9" spans="1:24" x14ac:dyDescent="0.2">
      <c r="A9" s="3"/>
      <c r="B9" s="3"/>
      <c r="C9" s="3"/>
      <c r="D9" s="3"/>
      <c r="E9" s="3"/>
      <c r="F9" s="3"/>
      <c r="G9" s="3"/>
      <c r="H9" s="3"/>
      <c r="I9" s="3"/>
      <c r="J9" s="3"/>
      <c r="K9" s="3"/>
      <c r="L9" s="3"/>
      <c r="M9" s="3"/>
      <c r="N9" s="3"/>
      <c r="O9" s="3"/>
      <c r="P9" s="3"/>
      <c r="Q9" s="3"/>
      <c r="R9" s="3"/>
      <c r="S9" s="3"/>
      <c r="T9" s="3"/>
      <c r="U9" s="3"/>
      <c r="V9" s="3"/>
      <c r="W9" s="3"/>
      <c r="X9" s="3"/>
    </row>
    <row r="10" spans="1:24" x14ac:dyDescent="0.2">
      <c r="A10" s="3"/>
      <c r="B10" s="3"/>
      <c r="C10" s="3"/>
      <c r="D10" s="3" t="s">
        <v>757</v>
      </c>
      <c r="E10" s="3"/>
      <c r="F10" s="3"/>
      <c r="G10" s="3"/>
      <c r="H10" s="564">
        <f>(H6*((H8-1)^2))/((H8+1)^2)</f>
        <v>1.2</v>
      </c>
      <c r="I10" s="200" t="s">
        <v>102</v>
      </c>
      <c r="J10" s="3"/>
      <c r="K10" s="566">
        <f>H10/H6</f>
        <v>0.04</v>
      </c>
      <c r="L10" s="3" t="s">
        <v>830</v>
      </c>
      <c r="M10" s="3"/>
      <c r="N10" s="3"/>
      <c r="O10" s="3"/>
      <c r="P10" s="3"/>
      <c r="Q10" s="3"/>
      <c r="R10" s="3"/>
      <c r="S10" s="3"/>
      <c r="T10" s="3"/>
      <c r="U10" s="3"/>
      <c r="V10" s="3"/>
      <c r="W10" s="3"/>
      <c r="X10" s="3"/>
    </row>
    <row r="11" spans="1:24" x14ac:dyDescent="0.2">
      <c r="A11" s="3"/>
      <c r="B11" s="3"/>
      <c r="C11" s="3"/>
      <c r="D11" s="3"/>
      <c r="E11" s="3"/>
      <c r="F11" s="3"/>
      <c r="G11" s="3"/>
      <c r="H11" s="3"/>
      <c r="I11" s="3"/>
      <c r="J11" s="3"/>
      <c r="K11" s="3"/>
      <c r="L11" s="3"/>
      <c r="M11" s="3"/>
      <c r="N11" s="3"/>
      <c r="O11" s="3"/>
      <c r="P11" s="3"/>
      <c r="Q11" s="3"/>
      <c r="R11" s="3"/>
      <c r="S11" s="3"/>
      <c r="T11" s="3"/>
      <c r="U11" s="3"/>
      <c r="V11" s="3"/>
      <c r="W11" s="3"/>
      <c r="X11" s="3"/>
    </row>
    <row r="12" spans="1:24" x14ac:dyDescent="0.2">
      <c r="A12" s="3"/>
      <c r="B12" s="3"/>
      <c r="C12" s="3"/>
      <c r="D12" s="3" t="s">
        <v>758</v>
      </c>
      <c r="E12" s="3"/>
      <c r="F12" s="3"/>
      <c r="G12" s="3"/>
      <c r="H12" s="564">
        <f>H6-H10</f>
        <v>28.8</v>
      </c>
      <c r="I12" s="200" t="s">
        <v>102</v>
      </c>
      <c r="J12" s="3"/>
      <c r="K12" s="565">
        <f>1-K10</f>
        <v>0.96</v>
      </c>
      <c r="L12" s="3" t="s">
        <v>830</v>
      </c>
      <c r="M12" s="3"/>
      <c r="N12" s="3"/>
      <c r="O12" s="3"/>
      <c r="P12" s="3"/>
      <c r="Q12" s="3"/>
      <c r="R12" s="3"/>
      <c r="S12" s="3"/>
      <c r="T12" s="3"/>
      <c r="U12" s="3"/>
      <c r="V12" s="3"/>
      <c r="W12" s="3"/>
      <c r="X12" s="3"/>
    </row>
    <row r="13" spans="1:24" x14ac:dyDescent="0.2">
      <c r="A13" s="3"/>
      <c r="B13" s="3"/>
      <c r="C13" s="3"/>
      <c r="D13" s="3"/>
      <c r="E13" s="3"/>
      <c r="F13" s="3"/>
      <c r="G13" s="3"/>
      <c r="H13" s="3"/>
      <c r="I13" s="3"/>
      <c r="J13" s="3"/>
      <c r="K13" s="3"/>
      <c r="L13" s="3"/>
      <c r="M13" s="3"/>
      <c r="N13" s="3"/>
      <c r="O13" s="3"/>
      <c r="P13" s="3"/>
      <c r="Q13" s="3"/>
      <c r="R13" s="3"/>
      <c r="S13" s="3"/>
      <c r="T13" s="3"/>
      <c r="U13" s="3"/>
      <c r="V13" s="3"/>
      <c r="W13" s="3"/>
      <c r="X13" s="3"/>
    </row>
    <row r="14" spans="1:24" x14ac:dyDescent="0.2">
      <c r="A14" s="3"/>
      <c r="B14" s="3"/>
      <c r="C14" s="3"/>
      <c r="D14" s="3" t="s">
        <v>762</v>
      </c>
      <c r="E14" s="3"/>
      <c r="F14" s="3"/>
      <c r="G14" s="3"/>
      <c r="H14" s="567">
        <f>-10*LOG10(H12/H6)</f>
        <v>0.17728766960431552</v>
      </c>
      <c r="I14" s="200" t="s">
        <v>78</v>
      </c>
      <c r="J14" s="3"/>
      <c r="K14" s="3" t="s">
        <v>760</v>
      </c>
      <c r="L14" s="3"/>
      <c r="M14" s="3"/>
      <c r="N14" s="3"/>
      <c r="O14" s="3"/>
      <c r="P14" s="3"/>
      <c r="Q14" s="3"/>
      <c r="R14" s="3"/>
      <c r="S14" s="3"/>
      <c r="T14" s="3"/>
      <c r="U14" s="3"/>
      <c r="V14" s="3"/>
      <c r="W14" s="3"/>
      <c r="X14" s="3"/>
    </row>
    <row r="15" spans="1:24" x14ac:dyDescent="0.2">
      <c r="A15" s="3"/>
      <c r="B15" s="3"/>
      <c r="C15" s="3"/>
      <c r="D15" s="3"/>
      <c r="E15" s="3"/>
      <c r="F15" s="3"/>
      <c r="G15" s="3"/>
      <c r="H15" s="571"/>
      <c r="I15" s="571"/>
      <c r="J15" s="571"/>
      <c r="K15" s="570" t="s">
        <v>761</v>
      </c>
      <c r="L15" s="571"/>
      <c r="M15" s="571"/>
      <c r="N15" s="571"/>
      <c r="O15" s="571"/>
      <c r="P15" s="571"/>
      <c r="Q15" s="571"/>
      <c r="R15" s="571"/>
      <c r="S15" s="571"/>
      <c r="T15" s="3"/>
      <c r="U15" s="3"/>
      <c r="V15" s="3"/>
      <c r="W15" s="3"/>
      <c r="X15" s="3"/>
    </row>
    <row r="16" spans="1:24" x14ac:dyDescent="0.2">
      <c r="A16" s="3"/>
      <c r="B16" s="3"/>
      <c r="C16" s="3"/>
      <c r="D16" s="3"/>
      <c r="E16" s="3"/>
      <c r="F16" s="3"/>
      <c r="G16" s="3"/>
      <c r="H16" s="571"/>
      <c r="I16" s="571"/>
      <c r="J16" s="571"/>
      <c r="K16" s="571"/>
      <c r="L16" s="571"/>
      <c r="M16" s="571"/>
      <c r="N16" s="571"/>
      <c r="O16" s="571"/>
      <c r="P16" s="571"/>
      <c r="Q16" s="571"/>
      <c r="R16" s="571"/>
      <c r="S16" s="571"/>
      <c r="T16" s="3"/>
      <c r="U16" s="3"/>
      <c r="V16" s="3"/>
      <c r="W16" s="3"/>
      <c r="X16" s="3"/>
    </row>
    <row r="17" spans="1:24" x14ac:dyDescent="0.2">
      <c r="A17" s="3"/>
      <c r="B17" s="3"/>
      <c r="C17" s="3"/>
      <c r="D17" s="3"/>
      <c r="E17" s="3"/>
      <c r="F17" s="3"/>
      <c r="G17" s="3"/>
      <c r="H17" s="571"/>
      <c r="I17" s="571"/>
      <c r="J17" s="571"/>
      <c r="K17" s="571"/>
      <c r="L17" s="571"/>
      <c r="M17" s="571"/>
      <c r="N17" s="571"/>
      <c r="O17" s="571"/>
      <c r="P17" s="571"/>
      <c r="Q17" s="571"/>
      <c r="R17" s="571"/>
      <c r="S17" s="571"/>
      <c r="T17" s="3"/>
      <c r="U17" s="42" t="s">
        <v>826</v>
      </c>
      <c r="V17" s="42"/>
      <c r="W17" s="42"/>
      <c r="X17" s="3"/>
    </row>
    <row r="18" spans="1:24" x14ac:dyDescent="0.2">
      <c r="A18" s="3"/>
      <c r="B18" s="3"/>
      <c r="C18" s="3"/>
      <c r="D18" s="3"/>
      <c r="E18" s="3"/>
      <c r="F18" s="3"/>
      <c r="G18" s="3"/>
      <c r="H18" s="571"/>
      <c r="I18" s="571"/>
      <c r="J18" s="571"/>
      <c r="K18" s="571"/>
      <c r="L18" s="571"/>
      <c r="M18" s="571"/>
      <c r="N18" s="571"/>
      <c r="O18" s="571"/>
      <c r="P18" s="571"/>
      <c r="Q18" s="571"/>
      <c r="R18" s="571"/>
      <c r="S18" s="571"/>
      <c r="T18" s="3"/>
      <c r="U18" s="3" t="s">
        <v>832</v>
      </c>
      <c r="V18" s="36">
        <f>SQRT(O19^2+Q19^2)</f>
        <v>50</v>
      </c>
      <c r="W18" s="643" t="s">
        <v>827</v>
      </c>
      <c r="X18" s="3"/>
    </row>
    <row r="19" spans="1:24" x14ac:dyDescent="0.2">
      <c r="A19" s="3"/>
      <c r="B19" s="3"/>
      <c r="C19" s="3"/>
      <c r="D19" s="3"/>
      <c r="E19" s="3"/>
      <c r="F19" s="3"/>
      <c r="G19" s="3"/>
      <c r="H19" s="571"/>
      <c r="I19" s="571"/>
      <c r="J19" s="571"/>
      <c r="K19" s="571"/>
      <c r="L19" s="571"/>
      <c r="M19" s="101" t="s">
        <v>800</v>
      </c>
      <c r="N19" s="571"/>
      <c r="O19" s="286">
        <v>50</v>
      </c>
      <c r="P19" s="640"/>
      <c r="Q19" s="641">
        <v>0</v>
      </c>
      <c r="R19" s="571"/>
      <c r="S19" s="571"/>
      <c r="T19" s="3"/>
      <c r="U19" s="3"/>
      <c r="V19" s="36"/>
      <c r="W19" s="3"/>
      <c r="X19" s="3"/>
    </row>
    <row r="20" spans="1:24" x14ac:dyDescent="0.2">
      <c r="A20" s="3"/>
      <c r="B20" s="3"/>
      <c r="C20" s="3"/>
      <c r="D20" s="3"/>
      <c r="E20" s="3"/>
      <c r="F20" s="3"/>
      <c r="G20" s="3"/>
      <c r="H20" s="571"/>
      <c r="I20" s="571"/>
      <c r="J20" s="571"/>
      <c r="K20" s="571"/>
      <c r="L20" s="571"/>
      <c r="M20" s="571"/>
      <c r="N20" s="571"/>
      <c r="O20" s="571"/>
      <c r="P20" s="571"/>
      <c r="Q20" s="570"/>
      <c r="R20" s="571"/>
      <c r="S20" s="571"/>
      <c r="T20" s="3"/>
      <c r="U20" s="3" t="s">
        <v>833</v>
      </c>
      <c r="V20" s="36">
        <f>SQRT(O21^2+Q21^2)</f>
        <v>79.05694150420949</v>
      </c>
      <c r="W20" s="643" t="s">
        <v>827</v>
      </c>
      <c r="X20" s="3"/>
    </row>
    <row r="21" spans="1:24" x14ac:dyDescent="0.2">
      <c r="A21" s="3"/>
      <c r="B21" s="3"/>
      <c r="C21" s="3"/>
      <c r="D21" s="3"/>
      <c r="E21" s="3"/>
      <c r="F21" s="3"/>
      <c r="G21" s="3"/>
      <c r="H21" s="571"/>
      <c r="I21" s="571"/>
      <c r="J21" s="571"/>
      <c r="K21" s="571"/>
      <c r="L21" s="571"/>
      <c r="M21" s="101" t="s">
        <v>801</v>
      </c>
      <c r="N21" s="571"/>
      <c r="O21" s="286">
        <v>75</v>
      </c>
      <c r="P21" s="535"/>
      <c r="Q21" s="641">
        <v>-25</v>
      </c>
      <c r="R21" s="571"/>
      <c r="S21" s="571"/>
      <c r="T21" s="3"/>
      <c r="U21" s="3"/>
      <c r="V21" s="3"/>
      <c r="W21" s="3"/>
      <c r="X21" s="3"/>
    </row>
    <row r="22" spans="1:24" x14ac:dyDescent="0.2">
      <c r="A22" s="3"/>
      <c r="B22" s="3"/>
      <c r="C22" s="3"/>
      <c r="D22" s="3"/>
      <c r="E22" s="3"/>
      <c r="F22" s="3"/>
      <c r="G22" s="3"/>
      <c r="H22" s="571"/>
      <c r="I22" s="571"/>
      <c r="J22" s="571"/>
      <c r="K22" s="571"/>
      <c r="L22" s="571"/>
      <c r="M22" s="571"/>
      <c r="N22" s="571"/>
      <c r="O22" s="571"/>
      <c r="P22" s="571"/>
      <c r="Q22" s="571"/>
      <c r="R22" s="571"/>
      <c r="S22" s="571"/>
      <c r="T22" s="3"/>
      <c r="U22" s="3"/>
      <c r="V22" s="376" t="s">
        <v>370</v>
      </c>
      <c r="W22" s="3"/>
      <c r="X22" s="3"/>
    </row>
    <row r="23" spans="1:24" x14ac:dyDescent="0.2">
      <c r="A23" s="3"/>
      <c r="B23" s="3"/>
      <c r="C23" s="3"/>
      <c r="D23" s="3"/>
      <c r="E23" s="3"/>
      <c r="F23" s="3"/>
      <c r="G23" s="3"/>
      <c r="H23" s="571"/>
      <c r="I23" s="571"/>
      <c r="J23" s="571"/>
      <c r="K23" s="571"/>
      <c r="L23" s="571"/>
      <c r="M23" s="101" t="s">
        <v>765</v>
      </c>
      <c r="N23" s="571"/>
      <c r="O23" s="758">
        <f>IF(V18&gt;V20, V18/V20, V20/V18)</f>
        <v>1.5811388300841898</v>
      </c>
      <c r="P23" s="540"/>
      <c r="Q23" s="571"/>
      <c r="R23" s="571"/>
      <c r="S23" s="571"/>
      <c r="T23" s="3"/>
      <c r="U23" s="3"/>
      <c r="V23" s="3"/>
      <c r="W23" s="3"/>
      <c r="X23" s="3"/>
    </row>
    <row r="24" spans="1:24" x14ac:dyDescent="0.2">
      <c r="A24" s="3"/>
      <c r="B24" s="3"/>
      <c r="C24" s="3"/>
      <c r="D24" s="3"/>
      <c r="E24" s="3"/>
      <c r="F24" s="3"/>
      <c r="G24" s="3"/>
      <c r="H24" s="571"/>
      <c r="I24" s="571"/>
      <c r="J24" s="571"/>
      <c r="K24" s="571"/>
      <c r="L24" s="571"/>
      <c r="M24" s="571"/>
      <c r="N24" s="571"/>
      <c r="O24" s="571"/>
      <c r="P24" s="571"/>
      <c r="Q24" s="101" t="s">
        <v>828</v>
      </c>
      <c r="R24" s="571"/>
      <c r="S24" s="571"/>
      <c r="T24" s="3"/>
      <c r="U24" s="3"/>
      <c r="V24" s="3"/>
      <c r="W24" s="3"/>
      <c r="X24" s="3"/>
    </row>
    <row r="25" spans="1:24" x14ac:dyDescent="0.2">
      <c r="A25" s="3"/>
      <c r="B25" s="3"/>
      <c r="C25" s="3"/>
      <c r="D25" s="3"/>
      <c r="E25" s="3"/>
      <c r="F25" s="3"/>
      <c r="G25" s="3"/>
      <c r="H25" s="571"/>
      <c r="I25" s="571"/>
      <c r="J25" s="571"/>
      <c r="K25" s="571"/>
      <c r="L25" s="571"/>
      <c r="M25" s="571"/>
      <c r="N25" s="571"/>
      <c r="O25" s="571"/>
      <c r="P25" s="571"/>
      <c r="Q25" s="571"/>
      <c r="R25" s="571"/>
      <c r="S25" s="571"/>
      <c r="T25" s="3"/>
      <c r="U25" s="3"/>
      <c r="V25" s="3"/>
      <c r="W25" s="3"/>
      <c r="X25" s="3"/>
    </row>
    <row r="26" spans="1:24" x14ac:dyDescent="0.2">
      <c r="A26" s="3"/>
      <c r="B26" s="3"/>
      <c r="C26" s="3"/>
      <c r="D26" s="3"/>
      <c r="E26" s="3"/>
      <c r="F26" s="3"/>
      <c r="G26" s="3"/>
      <c r="H26" s="571"/>
      <c r="I26" s="571"/>
      <c r="J26" s="571"/>
      <c r="K26" s="571"/>
      <c r="L26" s="571"/>
      <c r="M26" s="571"/>
      <c r="N26" s="571"/>
      <c r="O26" s="571"/>
      <c r="P26" s="571"/>
      <c r="Q26" s="571"/>
      <c r="R26" s="571"/>
      <c r="S26" s="571"/>
      <c r="T26" s="3"/>
      <c r="U26" s="3"/>
      <c r="V26" s="3"/>
      <c r="W26" s="3"/>
      <c r="X26" s="3"/>
    </row>
    <row r="27" spans="1:24" x14ac:dyDescent="0.2">
      <c r="A27" s="3"/>
      <c r="B27" s="3"/>
      <c r="C27" s="3"/>
      <c r="D27" s="3"/>
      <c r="E27" s="3"/>
      <c r="F27" s="3"/>
      <c r="G27" s="3"/>
      <c r="H27" s="571"/>
      <c r="I27" s="571"/>
      <c r="J27" s="571"/>
      <c r="K27" s="571"/>
      <c r="L27" s="571"/>
      <c r="M27" s="571"/>
      <c r="N27" s="571"/>
      <c r="O27" s="571"/>
      <c r="P27" s="571"/>
      <c r="Q27" s="571"/>
      <c r="R27" s="570" t="s">
        <v>502</v>
      </c>
      <c r="S27" s="571"/>
      <c r="T27" s="3"/>
      <c r="U27" s="3"/>
      <c r="V27" s="3"/>
      <c r="W27" s="3"/>
      <c r="X27" s="3"/>
    </row>
    <row r="28" spans="1:24" x14ac:dyDescent="0.2">
      <c r="A28" s="3"/>
      <c r="B28" s="3"/>
      <c r="C28" s="3"/>
      <c r="D28" s="3"/>
      <c r="E28" s="3"/>
      <c r="F28" s="3"/>
      <c r="G28" s="3"/>
      <c r="H28" s="571"/>
      <c r="I28" s="571"/>
      <c r="J28" s="571"/>
      <c r="K28" s="571"/>
      <c r="L28" s="571"/>
      <c r="M28" s="571"/>
      <c r="N28" s="571"/>
      <c r="O28" s="571"/>
      <c r="P28" s="571"/>
      <c r="Q28" s="571"/>
      <c r="R28" s="570" t="s">
        <v>37</v>
      </c>
      <c r="S28" s="571"/>
      <c r="T28" s="3"/>
      <c r="U28" s="3"/>
      <c r="V28" s="3"/>
      <c r="W28" s="3"/>
      <c r="X28" s="3"/>
    </row>
    <row r="29" spans="1:24" x14ac:dyDescent="0.2">
      <c r="A29" s="3"/>
      <c r="B29" s="3"/>
      <c r="C29" s="3"/>
      <c r="D29" s="3"/>
      <c r="E29" s="3"/>
      <c r="F29" s="3"/>
      <c r="G29" s="3"/>
      <c r="H29" s="571"/>
      <c r="I29" s="571"/>
      <c r="J29" s="571"/>
      <c r="K29" s="571"/>
      <c r="L29" s="571"/>
      <c r="M29" s="571"/>
      <c r="N29" s="571"/>
      <c r="O29" s="571"/>
      <c r="P29" s="571"/>
      <c r="Q29" s="571"/>
      <c r="R29" s="571"/>
      <c r="S29" s="571"/>
      <c r="T29" s="3"/>
      <c r="U29" s="3"/>
      <c r="V29" s="3"/>
      <c r="W29" s="3"/>
      <c r="X29" s="3"/>
    </row>
    <row r="30" spans="1:24" x14ac:dyDescent="0.2">
      <c r="A30" s="3"/>
      <c r="B30" s="3"/>
      <c r="C30" s="3"/>
      <c r="D30" s="3"/>
      <c r="E30" s="3"/>
      <c r="F30" s="3"/>
      <c r="G30" s="3"/>
      <c r="H30" s="571"/>
      <c r="I30" s="571"/>
      <c r="J30" s="571"/>
      <c r="K30" s="571"/>
      <c r="L30" s="571"/>
      <c r="M30" s="571"/>
      <c r="N30" s="571"/>
      <c r="O30" s="571"/>
      <c r="P30" s="571"/>
      <c r="Q30" s="570" t="s">
        <v>829</v>
      </c>
      <c r="R30" s="571"/>
      <c r="S30" s="571"/>
      <c r="T30" s="3"/>
      <c r="U30" s="3"/>
      <c r="V30" s="3"/>
      <c r="W30" s="3"/>
      <c r="X30" s="3"/>
    </row>
    <row r="31" spans="1:24" x14ac:dyDescent="0.2">
      <c r="A31" s="3"/>
      <c r="B31" s="3"/>
      <c r="C31" s="3"/>
      <c r="D31" s="3"/>
      <c r="E31" s="3"/>
      <c r="F31" s="3"/>
      <c r="G31" s="3"/>
      <c r="H31" s="571"/>
      <c r="I31" s="571"/>
      <c r="J31" s="571"/>
      <c r="K31" s="571"/>
      <c r="L31" s="571"/>
      <c r="M31" s="571"/>
      <c r="N31" s="571"/>
      <c r="O31" s="571"/>
      <c r="P31" s="571"/>
      <c r="Q31" s="571"/>
      <c r="R31" s="571"/>
      <c r="S31" s="571"/>
      <c r="T31" s="3"/>
      <c r="U31" s="3"/>
      <c r="V31" s="3"/>
      <c r="W31" s="3"/>
      <c r="X31" s="3"/>
    </row>
    <row r="32" spans="1:24" x14ac:dyDescent="0.2">
      <c r="A32" s="3"/>
      <c r="B32" s="3"/>
      <c r="C32" s="3"/>
      <c r="D32" s="3"/>
      <c r="E32" s="3"/>
      <c r="F32" s="3"/>
      <c r="G32" s="3"/>
      <c r="H32" s="571"/>
      <c r="I32" s="571"/>
      <c r="J32" s="571"/>
      <c r="K32" s="571"/>
      <c r="L32" s="571"/>
      <c r="M32" s="535" t="s">
        <v>763</v>
      </c>
      <c r="N32" s="570"/>
      <c r="O32" s="570"/>
      <c r="P32" s="570"/>
      <c r="Q32" s="574">
        <v>5</v>
      </c>
      <c r="R32" s="570"/>
      <c r="S32" s="571"/>
      <c r="T32" s="3"/>
      <c r="U32" s="3"/>
      <c r="V32" s="3"/>
      <c r="W32" s="3"/>
      <c r="X32" s="3"/>
    </row>
    <row r="33" spans="1:24" x14ac:dyDescent="0.2">
      <c r="A33" s="3"/>
      <c r="B33" s="3"/>
      <c r="C33" s="3"/>
      <c r="D33" s="3"/>
      <c r="E33" s="3"/>
      <c r="F33" s="3"/>
      <c r="G33" s="3"/>
      <c r="H33" s="571"/>
      <c r="I33" s="571"/>
      <c r="J33" s="571"/>
      <c r="K33" s="571"/>
      <c r="L33" s="571"/>
      <c r="M33" s="570"/>
      <c r="N33" s="570"/>
      <c r="O33" s="570"/>
      <c r="P33" s="570"/>
      <c r="Q33" s="570"/>
      <c r="R33" s="570"/>
      <c r="S33" s="571"/>
      <c r="T33" s="3"/>
      <c r="U33" s="3"/>
      <c r="V33" s="3"/>
      <c r="W33" s="3"/>
      <c r="X33" s="3"/>
    </row>
    <row r="34" spans="1:24" x14ac:dyDescent="0.2">
      <c r="A34" s="3"/>
      <c r="B34" s="3"/>
      <c r="C34" s="3"/>
      <c r="D34" s="3"/>
      <c r="E34" s="3"/>
      <c r="F34" s="3"/>
      <c r="G34" s="3"/>
      <c r="H34" s="571"/>
      <c r="I34" s="571"/>
      <c r="J34" s="571"/>
      <c r="K34" s="571"/>
      <c r="L34" s="571"/>
      <c r="M34" s="570" t="s">
        <v>764</v>
      </c>
      <c r="N34" s="570"/>
      <c r="O34" s="570"/>
      <c r="P34" s="570"/>
      <c r="Q34" s="574">
        <v>0.25</v>
      </c>
      <c r="R34" s="570"/>
      <c r="S34" s="571"/>
      <c r="T34" s="3"/>
      <c r="U34" s="3"/>
      <c r="V34" s="3"/>
      <c r="W34" s="3"/>
      <c r="X34" s="3"/>
    </row>
    <row r="35" spans="1:24" x14ac:dyDescent="0.2">
      <c r="A35" s="3"/>
      <c r="B35" s="3"/>
      <c r="C35" s="3"/>
      <c r="D35" s="3"/>
      <c r="E35" s="3"/>
      <c r="F35" s="3"/>
      <c r="G35" s="3"/>
      <c r="H35" s="571"/>
      <c r="I35" s="571"/>
      <c r="J35" s="571"/>
      <c r="K35" s="571"/>
      <c r="L35" s="571"/>
      <c r="M35" s="570"/>
      <c r="N35" s="570"/>
      <c r="O35" s="570"/>
      <c r="P35" s="570"/>
      <c r="Q35" s="570"/>
      <c r="R35" s="570"/>
      <c r="S35" s="571"/>
      <c r="T35" s="3"/>
      <c r="U35" s="3"/>
      <c r="V35" s="3"/>
      <c r="W35" s="3"/>
      <c r="X35" s="3"/>
    </row>
    <row r="36" spans="1:24" x14ac:dyDescent="0.2">
      <c r="A36" s="3"/>
      <c r="B36" s="3"/>
      <c r="C36" s="3"/>
      <c r="D36" s="3"/>
      <c r="E36" s="3"/>
      <c r="F36" s="3"/>
      <c r="G36" s="3"/>
      <c r="H36" s="571"/>
      <c r="I36" s="571"/>
      <c r="J36" s="571"/>
      <c r="K36" s="571"/>
      <c r="L36" s="571"/>
      <c r="M36" s="570" t="s">
        <v>765</v>
      </c>
      <c r="N36" s="570"/>
      <c r="O36" s="570"/>
      <c r="P36" s="570"/>
      <c r="Q36" s="758">
        <f>(SQRT(Q32)+SQRT(Q34))/(SQRT(Q32)-SQRT(Q34))</f>
        <v>1.5760143110525873</v>
      </c>
      <c r="R36" s="570"/>
      <c r="S36" s="571"/>
      <c r="T36" s="3"/>
      <c r="U36" s="3"/>
      <c r="V36" s="3"/>
      <c r="W36" s="3"/>
      <c r="X36" s="3"/>
    </row>
    <row r="37" spans="1:24" x14ac:dyDescent="0.2">
      <c r="A37" s="3"/>
      <c r="B37" s="3"/>
      <c r="C37" s="3"/>
      <c r="D37" s="3"/>
      <c r="E37" s="3"/>
      <c r="F37" s="3"/>
      <c r="G37" s="3"/>
      <c r="H37" s="571"/>
      <c r="I37" s="571"/>
      <c r="J37" s="571"/>
      <c r="K37" s="571"/>
      <c r="L37" s="571"/>
      <c r="M37" s="570"/>
      <c r="N37" s="570"/>
      <c r="O37" s="570"/>
      <c r="P37" s="570"/>
      <c r="Q37" s="570"/>
      <c r="R37" s="570"/>
      <c r="S37" s="571"/>
      <c r="T37" s="3"/>
      <c r="U37" s="3"/>
      <c r="V37" s="3"/>
      <c r="W37" s="3"/>
      <c r="X37" s="3"/>
    </row>
    <row r="38" spans="1:24" x14ac:dyDescent="0.2">
      <c r="A38" s="3"/>
      <c r="B38" s="3"/>
      <c r="C38" s="3"/>
      <c r="D38" s="3"/>
      <c r="E38" s="3"/>
      <c r="F38" s="3"/>
      <c r="G38" s="3"/>
      <c r="H38" s="571"/>
      <c r="I38" s="571"/>
      <c r="J38" s="571"/>
      <c r="K38" s="571"/>
      <c r="L38" s="571"/>
      <c r="M38" s="570"/>
      <c r="N38" s="570"/>
      <c r="O38" s="570"/>
      <c r="P38" s="570"/>
      <c r="Q38" s="570"/>
      <c r="R38" s="570"/>
      <c r="S38" s="571"/>
      <c r="T38" s="3"/>
      <c r="U38" s="3"/>
      <c r="V38" s="3"/>
      <c r="W38" s="3"/>
      <c r="X38" s="3"/>
    </row>
    <row r="39" spans="1:24" x14ac:dyDescent="0.2">
      <c r="A39" s="3"/>
      <c r="B39" s="3"/>
      <c r="C39" s="3"/>
      <c r="D39" s="3"/>
      <c r="E39" s="3"/>
      <c r="F39" s="3"/>
      <c r="G39" s="3"/>
      <c r="H39" s="571"/>
      <c r="I39" s="571"/>
      <c r="J39" s="571"/>
      <c r="K39" s="571"/>
      <c r="L39" s="571"/>
      <c r="M39" s="570"/>
      <c r="N39" s="570"/>
      <c r="O39" s="570"/>
      <c r="P39" s="570"/>
      <c r="Q39" s="571"/>
      <c r="R39" s="571"/>
      <c r="S39" s="571"/>
      <c r="T39" s="3"/>
      <c r="U39" s="3"/>
      <c r="V39" s="3"/>
      <c r="W39" s="3"/>
      <c r="X39" s="3"/>
    </row>
    <row r="40" spans="1:24" x14ac:dyDescent="0.2">
      <c r="A40" s="3"/>
      <c r="B40" s="3"/>
      <c r="C40" s="3"/>
      <c r="D40" s="3"/>
      <c r="E40" s="3"/>
      <c r="F40" s="3"/>
      <c r="G40" s="3"/>
      <c r="H40" s="571"/>
      <c r="I40" s="571"/>
      <c r="J40" s="571"/>
      <c r="K40" s="571"/>
      <c r="L40" s="571"/>
      <c r="M40" s="570"/>
      <c r="N40" s="570"/>
      <c r="O40" s="570"/>
      <c r="P40" s="570"/>
      <c r="Q40" s="571"/>
      <c r="R40" s="571"/>
      <c r="S40" s="571"/>
      <c r="T40" s="3"/>
      <c r="U40" s="3"/>
      <c r="V40" s="3"/>
      <c r="W40" s="3"/>
      <c r="X40" s="3"/>
    </row>
    <row r="41" spans="1:24" x14ac:dyDescent="0.2">
      <c r="A41" s="3"/>
      <c r="B41" s="3"/>
      <c r="C41" s="3"/>
      <c r="D41" s="3"/>
      <c r="E41" s="3"/>
      <c r="F41" s="3"/>
      <c r="G41" s="3"/>
      <c r="H41" s="571"/>
      <c r="I41" s="571"/>
      <c r="J41" s="571"/>
      <c r="K41" s="571"/>
      <c r="L41" s="571"/>
      <c r="M41" s="571"/>
      <c r="N41" s="571"/>
      <c r="O41" s="571"/>
      <c r="P41" s="571"/>
      <c r="Q41" s="571"/>
      <c r="R41" s="571"/>
      <c r="S41" s="571"/>
      <c r="T41" s="3"/>
      <c r="U41" s="3"/>
      <c r="V41" s="3"/>
      <c r="W41" s="3"/>
      <c r="X41" s="3"/>
    </row>
    <row r="42" spans="1:24" x14ac:dyDescent="0.2">
      <c r="A42" s="3"/>
      <c r="B42" s="3"/>
      <c r="C42" s="3"/>
      <c r="D42" s="3"/>
      <c r="E42" s="3"/>
      <c r="F42" s="3"/>
      <c r="G42" s="376" t="s">
        <v>370</v>
      </c>
      <c r="H42" s="571"/>
      <c r="I42" s="571"/>
      <c r="J42" s="571"/>
      <c r="K42" s="571"/>
      <c r="L42" s="571"/>
      <c r="M42" s="571"/>
      <c r="N42" s="571"/>
      <c r="O42" s="571"/>
      <c r="P42" s="571"/>
      <c r="Q42" s="571"/>
      <c r="R42" s="571"/>
      <c r="S42" s="571"/>
      <c r="T42" s="3"/>
      <c r="U42" s="3"/>
      <c r="V42" s="3"/>
      <c r="W42" s="3"/>
      <c r="X42" s="3"/>
    </row>
    <row r="43" spans="1:24" x14ac:dyDescent="0.2">
      <c r="A43" s="3"/>
      <c r="B43" s="3"/>
      <c r="C43" s="3"/>
      <c r="D43" s="3"/>
      <c r="E43" s="3"/>
      <c r="F43" s="3"/>
      <c r="G43" s="3"/>
      <c r="H43" s="571"/>
      <c r="I43" s="571"/>
      <c r="J43" s="571"/>
      <c r="K43" s="571"/>
      <c r="L43" s="571"/>
      <c r="M43" s="571"/>
      <c r="N43" s="571"/>
      <c r="O43" s="571"/>
      <c r="P43" s="571"/>
      <c r="Q43" s="571"/>
      <c r="R43" s="571"/>
      <c r="S43" s="571"/>
      <c r="T43" s="3"/>
      <c r="U43" s="3"/>
      <c r="V43" s="3"/>
      <c r="W43" s="3"/>
      <c r="X43" s="3"/>
    </row>
    <row r="44" spans="1:24" x14ac:dyDescent="0.2">
      <c r="A44" s="3"/>
      <c r="B44" s="3"/>
      <c r="C44" s="3"/>
      <c r="D44" s="3"/>
      <c r="E44" s="3"/>
      <c r="F44" s="3"/>
      <c r="G44" s="3"/>
      <c r="H44" s="571"/>
      <c r="I44" s="571"/>
      <c r="J44" s="571"/>
      <c r="K44" s="571"/>
      <c r="L44" s="571"/>
      <c r="M44" s="571"/>
      <c r="N44" s="571"/>
      <c r="O44" s="571"/>
      <c r="P44" s="571"/>
      <c r="Q44" s="571"/>
      <c r="R44" s="571"/>
      <c r="S44" s="571"/>
      <c r="T44" s="3"/>
      <c r="U44" s="3"/>
      <c r="V44" s="3"/>
      <c r="W44" s="3"/>
      <c r="X44" s="3"/>
    </row>
    <row r="45" spans="1:24" x14ac:dyDescent="0.2">
      <c r="A45" s="3"/>
      <c r="B45" s="3"/>
      <c r="C45" s="3"/>
      <c r="D45" s="3"/>
      <c r="E45" s="3"/>
      <c r="F45" s="3"/>
      <c r="G45" s="3"/>
      <c r="H45" s="571"/>
      <c r="I45" s="571"/>
      <c r="J45" s="571"/>
      <c r="K45" s="571"/>
      <c r="L45" s="571"/>
      <c r="M45" s="571"/>
      <c r="N45" s="571"/>
      <c r="O45" s="571"/>
      <c r="P45" s="571"/>
      <c r="Q45" s="571"/>
      <c r="R45" s="571"/>
      <c r="S45" s="571"/>
      <c r="T45" s="3"/>
      <c r="U45" s="3"/>
      <c r="V45" s="3"/>
      <c r="W45" s="3"/>
      <c r="X45" s="3"/>
    </row>
    <row r="46" spans="1:24" x14ac:dyDescent="0.2">
      <c r="A46" s="3"/>
      <c r="B46" s="3"/>
      <c r="C46" s="3"/>
      <c r="D46" s="3"/>
      <c r="E46" s="3"/>
      <c r="F46" s="3"/>
      <c r="G46" s="3"/>
      <c r="H46" s="571"/>
      <c r="I46" s="571"/>
      <c r="J46" s="571"/>
      <c r="K46" s="571"/>
      <c r="L46" s="571"/>
      <c r="M46" s="571"/>
      <c r="N46" s="571"/>
      <c r="O46" s="571"/>
      <c r="P46" s="571"/>
      <c r="Q46" s="571"/>
      <c r="R46" s="571"/>
      <c r="S46" s="571"/>
      <c r="T46" s="3"/>
      <c r="U46" s="3"/>
      <c r="V46" s="3"/>
      <c r="W46" s="3"/>
      <c r="X46" s="3"/>
    </row>
    <row r="47" spans="1:24" x14ac:dyDescent="0.2">
      <c r="A47" s="3"/>
      <c r="B47" s="3"/>
      <c r="C47" s="3"/>
      <c r="D47" s="3"/>
      <c r="E47" s="3"/>
      <c r="F47" s="3"/>
      <c r="G47" s="3"/>
      <c r="H47" s="571"/>
      <c r="I47" s="571"/>
      <c r="J47" s="571"/>
      <c r="K47" s="571"/>
      <c r="L47" s="571"/>
      <c r="M47" s="571"/>
      <c r="N47" s="571"/>
      <c r="O47" s="571"/>
      <c r="P47" s="571"/>
      <c r="Q47" s="571"/>
      <c r="R47" s="571"/>
      <c r="S47" s="571"/>
      <c r="T47" s="3"/>
      <c r="U47" s="3"/>
      <c r="V47" s="3"/>
      <c r="W47" s="3"/>
      <c r="X47" s="3"/>
    </row>
    <row r="48" spans="1:24" x14ac:dyDescent="0.2">
      <c r="A48" s="3"/>
      <c r="B48" s="3"/>
      <c r="C48" s="3"/>
      <c r="D48" s="3"/>
      <c r="E48" s="3"/>
      <c r="F48" s="3"/>
      <c r="G48" s="3"/>
      <c r="H48" s="571"/>
      <c r="I48" s="571"/>
      <c r="J48" s="571"/>
      <c r="K48" s="571"/>
      <c r="L48" s="571"/>
      <c r="M48" s="571"/>
      <c r="N48" s="571"/>
      <c r="O48" s="571"/>
      <c r="P48" s="571"/>
      <c r="Q48" s="571"/>
      <c r="R48" s="571"/>
      <c r="S48" s="571"/>
      <c r="T48" s="3"/>
      <c r="U48" s="3"/>
      <c r="V48" s="3"/>
      <c r="W48" s="3"/>
      <c r="X48" s="3"/>
    </row>
    <row r="49" spans="1:24" x14ac:dyDescent="0.2">
      <c r="A49" s="3"/>
      <c r="B49" s="3"/>
      <c r="C49" s="3"/>
      <c r="D49" s="3"/>
      <c r="E49" s="3"/>
      <c r="F49" s="3"/>
      <c r="G49" s="3"/>
      <c r="H49" s="571"/>
      <c r="I49" s="571"/>
      <c r="J49" s="571"/>
      <c r="K49" s="571"/>
      <c r="L49" s="571"/>
      <c r="M49" s="571"/>
      <c r="N49" s="571"/>
      <c r="O49" s="571"/>
      <c r="P49" s="571"/>
      <c r="Q49" s="571"/>
      <c r="R49" s="571"/>
      <c r="S49" s="571"/>
      <c r="T49" s="3"/>
      <c r="U49" s="3"/>
      <c r="V49" s="3"/>
      <c r="W49" s="3"/>
      <c r="X49" s="3"/>
    </row>
    <row r="50" spans="1:24" x14ac:dyDescent="0.2">
      <c r="A50" s="3"/>
      <c r="B50" s="3"/>
      <c r="C50" s="3"/>
      <c r="D50" s="3"/>
      <c r="E50" s="3"/>
      <c r="F50" s="3"/>
      <c r="G50" s="3"/>
      <c r="H50" s="571"/>
      <c r="I50" s="571"/>
      <c r="J50" s="571"/>
      <c r="K50" s="571"/>
      <c r="L50" s="571"/>
      <c r="M50" s="571"/>
      <c r="N50" s="571"/>
      <c r="O50" s="571"/>
      <c r="P50" s="571"/>
      <c r="Q50" s="571"/>
      <c r="R50" s="571"/>
      <c r="S50" s="571"/>
      <c r="T50" s="3"/>
      <c r="U50" s="3"/>
      <c r="V50" s="3"/>
      <c r="W50" s="3"/>
      <c r="X50" s="3"/>
    </row>
    <row r="51" spans="1:24" x14ac:dyDescent="0.2">
      <c r="A51" s="3"/>
      <c r="B51" s="3"/>
      <c r="C51" s="3"/>
      <c r="D51" s="3"/>
      <c r="E51" s="3"/>
      <c r="F51" s="3"/>
      <c r="G51" s="3"/>
      <c r="H51" s="571"/>
      <c r="I51" s="571"/>
      <c r="J51" s="571"/>
      <c r="K51" s="571"/>
      <c r="L51" s="571"/>
      <c r="M51" s="571"/>
      <c r="N51" s="571"/>
      <c r="O51" s="571"/>
      <c r="P51" s="571"/>
      <c r="Q51" s="571"/>
      <c r="R51" s="571"/>
      <c r="S51" s="571"/>
      <c r="T51" s="3"/>
      <c r="U51" s="3"/>
      <c r="V51" s="3"/>
      <c r="W51" s="3"/>
      <c r="X51" s="3"/>
    </row>
    <row r="52" spans="1:24" x14ac:dyDescent="0.2">
      <c r="A52" s="3"/>
      <c r="B52" s="3"/>
      <c r="C52" s="3"/>
      <c r="D52" s="3"/>
      <c r="E52" s="3"/>
      <c r="F52" s="3"/>
      <c r="G52" s="3"/>
      <c r="H52" s="571"/>
      <c r="I52" s="571"/>
      <c r="J52" s="571"/>
      <c r="K52" s="571"/>
      <c r="L52" s="571"/>
      <c r="M52" s="571"/>
      <c r="N52" s="571"/>
      <c r="O52" s="571"/>
      <c r="P52" s="571"/>
      <c r="Q52" s="571"/>
      <c r="R52" s="571"/>
      <c r="S52" s="571"/>
      <c r="T52" s="3"/>
      <c r="U52" s="3"/>
      <c r="V52" s="3"/>
      <c r="W52" s="3"/>
      <c r="X52" s="3"/>
    </row>
    <row r="53" spans="1:24" x14ac:dyDescent="0.2">
      <c r="A53" s="3"/>
      <c r="B53" s="3"/>
      <c r="C53" s="3"/>
      <c r="D53" s="3"/>
      <c r="E53" s="3"/>
      <c r="F53" s="3"/>
      <c r="G53" s="3"/>
      <c r="H53" s="571"/>
      <c r="I53" s="571"/>
      <c r="J53" s="571"/>
      <c r="K53" s="571"/>
      <c r="L53" s="571"/>
      <c r="M53" s="571"/>
      <c r="N53" s="571"/>
      <c r="O53" s="571"/>
      <c r="P53" s="571"/>
      <c r="Q53" s="571"/>
      <c r="R53" s="571"/>
      <c r="S53" s="571"/>
      <c r="T53" s="3"/>
      <c r="U53" s="3"/>
      <c r="V53" s="3"/>
      <c r="W53" s="3"/>
      <c r="X53" s="3"/>
    </row>
    <row r="54" spans="1:24" x14ac:dyDescent="0.2">
      <c r="A54" s="3"/>
      <c r="B54" s="3"/>
      <c r="C54" s="3"/>
      <c r="D54" s="3"/>
      <c r="E54" s="3"/>
      <c r="F54" s="3"/>
      <c r="G54" s="3"/>
      <c r="H54" s="571"/>
      <c r="I54" s="571"/>
      <c r="J54" s="571"/>
      <c r="K54" s="571"/>
      <c r="L54" s="571"/>
      <c r="M54" s="571"/>
      <c r="N54" s="571"/>
      <c r="O54" s="571"/>
      <c r="P54" s="571"/>
      <c r="Q54" s="571"/>
      <c r="R54" s="571"/>
      <c r="S54" s="571"/>
      <c r="T54" s="3"/>
      <c r="U54" s="3"/>
      <c r="V54" s="3"/>
      <c r="W54" s="3"/>
      <c r="X54" s="3"/>
    </row>
  </sheetData>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I81"/>
  <sheetViews>
    <sheetView workbookViewId="0">
      <selection activeCell="H44" sqref="H44"/>
    </sheetView>
  </sheetViews>
  <sheetFormatPr defaultRowHeight="12.75" x14ac:dyDescent="0.2"/>
  <sheetData>
    <row r="1" spans="1:9" x14ac:dyDescent="0.2">
      <c r="A1" t="s">
        <v>555</v>
      </c>
      <c r="B1" s="21"/>
      <c r="C1" s="21"/>
      <c r="D1" s="21"/>
    </row>
    <row r="2" spans="1:9" x14ac:dyDescent="0.2">
      <c r="A2" s="376" t="s">
        <v>370</v>
      </c>
      <c r="B2" s="21" t="s">
        <v>56</v>
      </c>
      <c r="C2" s="21" t="s">
        <v>55</v>
      </c>
      <c r="D2" s="21" t="s">
        <v>57</v>
      </c>
      <c r="E2" s="21" t="s">
        <v>59</v>
      </c>
      <c r="F2" s="21" t="s">
        <v>58</v>
      </c>
      <c r="G2" s="21" t="s">
        <v>60</v>
      </c>
      <c r="I2" t="s">
        <v>37</v>
      </c>
    </row>
    <row r="3" spans="1:9" x14ac:dyDescent="0.2">
      <c r="B3" s="21">
        <f>SQRT(D3-(C3)^2)</f>
        <v>3.5199431813596083</v>
      </c>
      <c r="C3" s="22">
        <v>-1.9</v>
      </c>
      <c r="D3" s="22">
        <v>16</v>
      </c>
      <c r="E3" s="21">
        <f>SQRT(G3-(F4)^2)</f>
        <v>3.5745629103430252</v>
      </c>
      <c r="F3" s="21">
        <v>-1.9</v>
      </c>
      <c r="G3" s="22">
        <v>16.2</v>
      </c>
      <c r="I3" t="s">
        <v>37</v>
      </c>
    </row>
    <row r="4" spans="1:9" x14ac:dyDescent="0.2">
      <c r="B4" s="21">
        <f t="shared" ref="B4:B40" si="0">SQRT(D4-(C4)^2)</f>
        <v>3.5464771252610667</v>
      </c>
      <c r="C4" s="22">
        <f>C3+0.05</f>
        <v>-1.8499999999999999</v>
      </c>
      <c r="D4" s="22">
        <v>16</v>
      </c>
      <c r="E4" s="21">
        <f t="shared" ref="E4:E40" si="1">SQRT(G4-(F5)^2)</f>
        <v>3.6</v>
      </c>
      <c r="F4" s="21">
        <f>F3+0.05</f>
        <v>-1.8499999999999999</v>
      </c>
      <c r="G4" s="22">
        <v>16.2</v>
      </c>
    </row>
    <row r="5" spans="1:9" x14ac:dyDescent="0.2">
      <c r="B5" s="21">
        <f t="shared" si="0"/>
        <v>3.5721142198983507</v>
      </c>
      <c r="C5" s="22">
        <f t="shared" ref="C5:C40" si="2">C4+0.05</f>
        <v>-1.7999999999999998</v>
      </c>
      <c r="D5" s="22">
        <v>16</v>
      </c>
      <c r="E5" s="21">
        <f t="shared" si="1"/>
        <v>3.6245689398878866</v>
      </c>
      <c r="F5" s="22">
        <f t="shared" ref="F5:F40" si="3">F4+0.05</f>
        <v>-1.7999999999999998</v>
      </c>
      <c r="G5" s="22">
        <v>16.2</v>
      </c>
    </row>
    <row r="6" spans="1:9" x14ac:dyDescent="0.2">
      <c r="B6" s="21">
        <f t="shared" si="0"/>
        <v>3.5968736424845398</v>
      </c>
      <c r="C6" s="22">
        <f t="shared" si="2"/>
        <v>-1.7499999999999998</v>
      </c>
      <c r="D6" s="22">
        <v>16</v>
      </c>
      <c r="E6" s="21">
        <f t="shared" si="1"/>
        <v>3.6482872693909401</v>
      </c>
      <c r="F6" s="22">
        <f t="shared" si="3"/>
        <v>-1.7499999999999998</v>
      </c>
      <c r="G6" s="22">
        <v>16.2</v>
      </c>
    </row>
    <row r="7" spans="1:9" x14ac:dyDescent="0.2">
      <c r="B7" s="21">
        <f t="shared" si="0"/>
        <v>3.6207733980463348</v>
      </c>
      <c r="C7" s="22">
        <f t="shared" si="2"/>
        <v>-1.6999999999999997</v>
      </c>
      <c r="D7" s="22">
        <v>16</v>
      </c>
      <c r="E7" s="21">
        <f t="shared" si="1"/>
        <v>3.6711714751561253</v>
      </c>
      <c r="F7" s="22">
        <f t="shared" si="3"/>
        <v>-1.6999999999999997</v>
      </c>
      <c r="G7" s="22">
        <v>16.2</v>
      </c>
    </row>
    <row r="8" spans="1:9" x14ac:dyDescent="0.2">
      <c r="B8" s="21">
        <f t="shared" si="0"/>
        <v>3.6438304022004102</v>
      </c>
      <c r="C8" s="22">
        <f t="shared" si="2"/>
        <v>-1.6499999999999997</v>
      </c>
      <c r="D8" s="22">
        <v>16</v>
      </c>
      <c r="E8" s="21">
        <f t="shared" si="1"/>
        <v>3.6932370625238775</v>
      </c>
      <c r="F8" s="22">
        <f t="shared" si="3"/>
        <v>-1.6499999999999997</v>
      </c>
      <c r="G8" s="22">
        <v>16.2</v>
      </c>
    </row>
    <row r="9" spans="1:9" x14ac:dyDescent="0.2">
      <c r="B9" s="21">
        <f t="shared" si="0"/>
        <v>3.6660605559646724</v>
      </c>
      <c r="C9" s="22">
        <f t="shared" si="2"/>
        <v>-1.5999999999999996</v>
      </c>
      <c r="D9" s="22">
        <v>16</v>
      </c>
      <c r="E9" s="21">
        <f t="shared" si="1"/>
        <v>3.7144986202716512</v>
      </c>
      <c r="F9" s="22">
        <f t="shared" si="3"/>
        <v>-1.5999999999999996</v>
      </c>
      <c r="G9" s="22">
        <v>16.2</v>
      </c>
    </row>
    <row r="10" spans="1:9" x14ac:dyDescent="0.2">
      <c r="B10" s="21">
        <f t="shared" si="0"/>
        <v>3.6874788134984584</v>
      </c>
      <c r="C10" s="22">
        <f t="shared" si="2"/>
        <v>-1.5499999999999996</v>
      </c>
      <c r="D10" s="22">
        <v>16</v>
      </c>
      <c r="E10" s="21">
        <f t="shared" si="1"/>
        <v>3.73496987939662</v>
      </c>
      <c r="F10" s="22">
        <f t="shared" si="3"/>
        <v>-1.5499999999999996</v>
      </c>
      <c r="G10" s="22">
        <v>16.2</v>
      </c>
    </row>
    <row r="11" spans="1:9" x14ac:dyDescent="0.2">
      <c r="B11" s="21">
        <f t="shared" si="0"/>
        <v>3.7080992435478319</v>
      </c>
      <c r="C11" s="22">
        <f t="shared" si="2"/>
        <v>-1.4999999999999996</v>
      </c>
      <c r="D11" s="22">
        <v>16</v>
      </c>
      <c r="E11" s="21">
        <f t="shared" si="1"/>
        <v>3.7546637665708498</v>
      </c>
      <c r="F11" s="22">
        <f t="shared" si="3"/>
        <v>-1.4999999999999996</v>
      </c>
      <c r="G11" s="22">
        <v>16.2</v>
      </c>
    </row>
    <row r="12" spans="1:9" x14ac:dyDescent="0.2">
      <c r="B12" s="21">
        <f t="shared" si="0"/>
        <v>3.7279350852717381</v>
      </c>
      <c r="C12" s="22">
        <f t="shared" si="2"/>
        <v>-1.4499999999999995</v>
      </c>
      <c r="D12" s="22">
        <v>16</v>
      </c>
      <c r="E12" s="21">
        <f t="shared" si="1"/>
        <v>3.7735924528226414</v>
      </c>
      <c r="F12" s="22">
        <f t="shared" si="3"/>
        <v>-1.4499999999999995</v>
      </c>
      <c r="G12" s="22">
        <v>16.2</v>
      </c>
    </row>
    <row r="13" spans="1:9" x14ac:dyDescent="0.2">
      <c r="B13" s="21">
        <f t="shared" si="0"/>
        <v>3.746998799039039</v>
      </c>
      <c r="C13" s="22">
        <f t="shared" si="2"/>
        <v>-1.3999999999999995</v>
      </c>
      <c r="D13" s="22">
        <v>16</v>
      </c>
      <c r="E13" s="21">
        <f t="shared" si="1"/>
        <v>3.7917673979293616</v>
      </c>
      <c r="F13" s="22">
        <f t="shared" si="3"/>
        <v>-1.3999999999999995</v>
      </c>
      <c r="G13" s="22">
        <v>16.2</v>
      </c>
    </row>
    <row r="14" spans="1:9" x14ac:dyDescent="0.2">
      <c r="B14" s="21">
        <f t="shared" si="0"/>
        <v>3.7653021127128699</v>
      </c>
      <c r="C14" s="22">
        <f t="shared" si="2"/>
        <v>-1.3499999999999994</v>
      </c>
      <c r="D14" s="22">
        <v>16</v>
      </c>
      <c r="E14" s="21">
        <f t="shared" si="1"/>
        <v>3.8091993909481823</v>
      </c>
      <c r="F14" s="22">
        <f t="shared" si="3"/>
        <v>-1.3499999999999994</v>
      </c>
      <c r="G14" s="22">
        <v>16.2</v>
      </c>
    </row>
    <row r="15" spans="1:9" x14ac:dyDescent="0.2">
      <c r="B15" s="21">
        <f t="shared" si="0"/>
        <v>3.7828560638755477</v>
      </c>
      <c r="C15" s="22">
        <f t="shared" si="2"/>
        <v>-1.2999999999999994</v>
      </c>
      <c r="D15" s="22">
        <v>16</v>
      </c>
      <c r="E15" s="21">
        <f t="shared" si="1"/>
        <v>3.8258985872602533</v>
      </c>
      <c r="F15" s="22">
        <f t="shared" si="3"/>
        <v>-1.2999999999999994</v>
      </c>
      <c r="G15" s="22">
        <v>16.2</v>
      </c>
    </row>
    <row r="16" spans="1:9" x14ac:dyDescent="0.2">
      <c r="B16" s="21">
        <f t="shared" si="0"/>
        <v>3.799671038392666</v>
      </c>
      <c r="C16" s="22">
        <f t="shared" si="2"/>
        <v>-1.2499999999999993</v>
      </c>
      <c r="D16" s="22">
        <v>16</v>
      </c>
      <c r="E16" s="21">
        <f t="shared" si="1"/>
        <v>3.8418745424597094</v>
      </c>
      <c r="F16" s="22">
        <f t="shared" si="3"/>
        <v>-1.2499999999999993</v>
      </c>
      <c r="G16" s="22">
        <v>16.2</v>
      </c>
    </row>
    <row r="17" spans="2:7" x14ac:dyDescent="0.2">
      <c r="B17" s="21">
        <f t="shared" si="0"/>
        <v>3.8157568056677831</v>
      </c>
      <c r="C17" s="22">
        <f t="shared" si="2"/>
        <v>-1.1999999999999993</v>
      </c>
      <c r="D17" s="22">
        <v>16</v>
      </c>
      <c r="E17" s="21">
        <f t="shared" si="1"/>
        <v>3.8571362433805731</v>
      </c>
      <c r="F17" s="22">
        <f t="shared" si="3"/>
        <v>-1.1999999999999993</v>
      </c>
      <c r="G17" s="22">
        <v>16.2</v>
      </c>
    </row>
    <row r="18" spans="2:7" x14ac:dyDescent="0.2">
      <c r="B18" s="21">
        <f t="shared" si="0"/>
        <v>3.8311225508981051</v>
      </c>
      <c r="C18" s="22">
        <f t="shared" si="2"/>
        <v>-1.1499999999999992</v>
      </c>
      <c r="D18" s="22">
        <v>16</v>
      </c>
      <c r="E18" s="21">
        <f t="shared" si="1"/>
        <v>3.871692136521188</v>
      </c>
      <c r="F18" s="22">
        <f t="shared" si="3"/>
        <v>-1.1499999999999992</v>
      </c>
      <c r="G18" s="22">
        <v>16.2</v>
      </c>
    </row>
    <row r="19" spans="2:7" x14ac:dyDescent="0.2">
      <c r="B19" s="21">
        <f t="shared" si="0"/>
        <v>3.8457769046058825</v>
      </c>
      <c r="C19" s="22">
        <f t="shared" si="2"/>
        <v>-1.0999999999999992</v>
      </c>
      <c r="D19" s="22">
        <v>16</v>
      </c>
      <c r="E19" s="21">
        <f t="shared" si="1"/>
        <v>3.8855501540965856</v>
      </c>
      <c r="F19" s="22">
        <f t="shared" si="3"/>
        <v>-1.0999999999999992</v>
      </c>
      <c r="G19" s="22">
        <v>16.2</v>
      </c>
    </row>
    <row r="20" spans="2:7" x14ac:dyDescent="0.2">
      <c r="B20" s="21">
        <f t="shared" si="0"/>
        <v>3.8597279696890556</v>
      </c>
      <c r="C20" s="22">
        <f t="shared" si="2"/>
        <v>-1.0499999999999992</v>
      </c>
      <c r="D20" s="22">
        <v>16</v>
      </c>
      <c r="E20" s="21">
        <f t="shared" si="1"/>
        <v>3.8987177379235858</v>
      </c>
      <c r="F20" s="22">
        <f t="shared" si="3"/>
        <v>-1.0499999999999992</v>
      </c>
      <c r="G20" s="22">
        <v>16.2</v>
      </c>
    </row>
    <row r="21" spans="2:7" x14ac:dyDescent="0.2">
      <c r="B21" s="21">
        <f t="shared" si="0"/>
        <v>3.872983346207417</v>
      </c>
      <c r="C21" s="22">
        <f t="shared" si="2"/>
        <v>-0.99999999999999911</v>
      </c>
      <c r="D21" s="22">
        <v>16</v>
      </c>
      <c r="E21" s="21">
        <f t="shared" si="1"/>
        <v>3.9112018613208908</v>
      </c>
      <c r="F21" s="22">
        <f t="shared" si="3"/>
        <v>-0.99999999999999911</v>
      </c>
      <c r="G21" s="22">
        <v>16.2</v>
      </c>
    </row>
    <row r="22" spans="2:7" x14ac:dyDescent="0.2">
      <c r="B22" s="21">
        <f t="shared" si="0"/>
        <v>3.885550154096586</v>
      </c>
      <c r="C22" s="22">
        <f t="shared" si="2"/>
        <v>-0.94999999999999907</v>
      </c>
      <c r="D22" s="22">
        <v>16</v>
      </c>
      <c r="E22" s="21">
        <f t="shared" si="1"/>
        <v>3.9230090491866063</v>
      </c>
      <c r="F22" s="22">
        <f t="shared" si="3"/>
        <v>-0.94999999999999907</v>
      </c>
      <c r="G22" s="22">
        <v>16.2</v>
      </c>
    </row>
    <row r="23" spans="2:7" x14ac:dyDescent="0.2">
      <c r="B23" s="21">
        <f t="shared" si="0"/>
        <v>3.8974350539810154</v>
      </c>
      <c r="C23" s="22">
        <f t="shared" si="2"/>
        <v>-0.89999999999999902</v>
      </c>
      <c r="D23" s="22">
        <v>16</v>
      </c>
      <c r="E23" s="21">
        <f t="shared" si="1"/>
        <v>3.9341453963980539</v>
      </c>
      <c r="F23" s="22">
        <f t="shared" si="3"/>
        <v>-0.89999999999999902</v>
      </c>
      <c r="G23" s="22">
        <v>16.2</v>
      </c>
    </row>
    <row r="24" spans="2:7" x14ac:dyDescent="0.2">
      <c r="B24" s="21">
        <f t="shared" si="0"/>
        <v>3.9086442662386149</v>
      </c>
      <c r="C24" s="22">
        <f t="shared" si="2"/>
        <v>-0.84999999999999898</v>
      </c>
      <c r="D24" s="22">
        <v>16</v>
      </c>
      <c r="E24" s="21">
        <f t="shared" si="1"/>
        <v>3.944616584663204</v>
      </c>
      <c r="F24" s="22">
        <f t="shared" si="3"/>
        <v>-0.84999999999999898</v>
      </c>
      <c r="G24" s="22">
        <v>16.2</v>
      </c>
    </row>
    <row r="25" spans="2:7" x14ac:dyDescent="0.2">
      <c r="B25" s="21">
        <f t="shared" si="0"/>
        <v>3.9191835884530852</v>
      </c>
      <c r="C25" s="22">
        <f t="shared" si="2"/>
        <v>-0.79999999999999893</v>
      </c>
      <c r="D25" s="22">
        <v>16</v>
      </c>
      <c r="E25" s="21">
        <f t="shared" si="1"/>
        <v>3.9544278979392202</v>
      </c>
      <c r="F25" s="22">
        <f t="shared" si="3"/>
        <v>-0.79999999999999893</v>
      </c>
      <c r="G25" s="22">
        <v>16.2</v>
      </c>
    </row>
    <row r="26" spans="2:7" x14ac:dyDescent="0.2">
      <c r="B26" s="21">
        <f t="shared" si="0"/>
        <v>3.9290584113754279</v>
      </c>
      <c r="C26" s="22">
        <f t="shared" si="2"/>
        <v>-0.74999999999999889</v>
      </c>
      <c r="D26" s="22">
        <v>16</v>
      </c>
      <c r="E26" s="21">
        <f t="shared" si="1"/>
        <v>3.963584236521283</v>
      </c>
      <c r="F26" s="22">
        <f t="shared" si="3"/>
        <v>-0.74999999999999889</v>
      </c>
      <c r="G26" s="22">
        <v>16.2</v>
      </c>
    </row>
    <row r="27" spans="2:7" x14ac:dyDescent="0.2">
      <c r="B27" s="21">
        <f t="shared" si="0"/>
        <v>3.9382737335030433</v>
      </c>
      <c r="C27" s="22">
        <f t="shared" si="2"/>
        <v>-0.69999999999999885</v>
      </c>
      <c r="D27" s="22">
        <v>16</v>
      </c>
      <c r="E27" s="21">
        <f t="shared" si="1"/>
        <v>3.9720901298938323</v>
      </c>
      <c r="F27" s="22">
        <f t="shared" si="3"/>
        <v>-0.69999999999999885</v>
      </c>
      <c r="G27" s="22">
        <v>16.2</v>
      </c>
    </row>
    <row r="28" spans="2:7" x14ac:dyDescent="0.2">
      <c r="B28" s="21">
        <f t="shared" si="0"/>
        <v>3.9468341743731776</v>
      </c>
      <c r="C28" s="22">
        <f t="shared" si="2"/>
        <v>-0.6499999999999988</v>
      </c>
      <c r="D28" s="22">
        <v>16</v>
      </c>
      <c r="E28" s="23">
        <f t="shared" si="1"/>
        <v>3.9799497484264799</v>
      </c>
      <c r="F28" s="22">
        <f t="shared" si="3"/>
        <v>-0.6499999999999988</v>
      </c>
      <c r="G28" s="22">
        <v>16.2</v>
      </c>
    </row>
    <row r="29" spans="2:7" x14ac:dyDescent="0.2">
      <c r="B29" s="21">
        <f t="shared" si="0"/>
        <v>3.954743986657038</v>
      </c>
      <c r="C29" s="22">
        <f t="shared" si="2"/>
        <v>-0.59999999999999876</v>
      </c>
      <c r="D29" s="22">
        <v>16</v>
      </c>
      <c r="E29" s="21">
        <f t="shared" si="1"/>
        <v>3.987166913987926</v>
      </c>
      <c r="F29" s="22">
        <f t="shared" si="3"/>
        <v>-0.59999999999999876</v>
      </c>
      <c r="G29" s="22">
        <v>16.2</v>
      </c>
    </row>
    <row r="30" spans="2:7" x14ac:dyDescent="0.2">
      <c r="B30" s="21">
        <f t="shared" si="0"/>
        <v>3.9620070671315064</v>
      </c>
      <c r="C30" s="22">
        <f t="shared" si="2"/>
        <v>-0.54999999999999871</v>
      </c>
      <c r="D30" s="22">
        <v>16</v>
      </c>
      <c r="E30" s="21">
        <f t="shared" si="1"/>
        <v>3.993745109543172</v>
      </c>
      <c r="F30" s="22">
        <f t="shared" si="3"/>
        <v>-0.54999999999999871</v>
      </c>
      <c r="G30" s="22">
        <v>16.2</v>
      </c>
    </row>
    <row r="31" spans="2:7" x14ac:dyDescent="0.2">
      <c r="B31" s="21">
        <f t="shared" si="0"/>
        <v>3.9686269665968861</v>
      </c>
      <c r="C31" s="22">
        <f t="shared" si="2"/>
        <v>-0.49999999999999872</v>
      </c>
      <c r="D31" s="22">
        <v>16</v>
      </c>
      <c r="E31" s="21">
        <f t="shared" si="1"/>
        <v>3.999687487792015</v>
      </c>
      <c r="F31" s="22">
        <f t="shared" si="3"/>
        <v>-0.49999999999999872</v>
      </c>
      <c r="G31" s="22">
        <v>16.2</v>
      </c>
    </row>
    <row r="32" spans="2:7" x14ac:dyDescent="0.2">
      <c r="B32" s="21">
        <f t="shared" si="0"/>
        <v>3.97460689880144</v>
      </c>
      <c r="C32" s="22">
        <f t="shared" si="2"/>
        <v>-0.44999999999999873</v>
      </c>
      <c r="D32" s="22">
        <v>16</v>
      </c>
      <c r="E32" s="21">
        <f t="shared" si="1"/>
        <v>4.0049968789001573</v>
      </c>
      <c r="F32" s="22">
        <f t="shared" si="3"/>
        <v>-0.44999999999999873</v>
      </c>
      <c r="G32" s="22">
        <v>16.2</v>
      </c>
    </row>
    <row r="33" spans="2:9" x14ac:dyDescent="0.2">
      <c r="B33" s="21">
        <f t="shared" si="0"/>
        <v>3.9799497484264799</v>
      </c>
      <c r="C33" s="22">
        <f t="shared" si="2"/>
        <v>-0.39999999999999875</v>
      </c>
      <c r="D33" s="22">
        <v>16</v>
      </c>
      <c r="E33" s="21">
        <f t="shared" si="1"/>
        <v>4.0096757973681614</v>
      </c>
      <c r="F33" s="22">
        <f t="shared" si="3"/>
        <v>-0.39999999999999875</v>
      </c>
      <c r="G33" s="22">
        <v>16.2</v>
      </c>
    </row>
    <row r="34" spans="2:9" x14ac:dyDescent="0.2">
      <c r="B34" s="21">
        <f t="shared" si="0"/>
        <v>3.9846580781793564</v>
      </c>
      <c r="C34" s="22">
        <f t="shared" si="2"/>
        <v>-0.34999999999999876</v>
      </c>
      <c r="D34" s="22">
        <v>16</v>
      </c>
      <c r="E34" s="21">
        <f t="shared" si="1"/>
        <v>4.0137264480778958</v>
      </c>
      <c r="F34" s="22">
        <f t="shared" si="3"/>
        <v>-0.34999999999999876</v>
      </c>
      <c r="G34" s="22">
        <v>16.2</v>
      </c>
    </row>
    <row r="35" spans="2:9" x14ac:dyDescent="0.2">
      <c r="B35" s="21">
        <f t="shared" si="0"/>
        <v>3.9887341350358261</v>
      </c>
      <c r="C35" s="22">
        <f t="shared" si="2"/>
        <v>-0.29999999999999877</v>
      </c>
      <c r="D35" s="22">
        <v>16</v>
      </c>
      <c r="E35" s="21">
        <f t="shared" si="1"/>
        <v>4.0171507315509087</v>
      </c>
      <c r="F35" s="22">
        <f t="shared" si="3"/>
        <v>-0.29999999999999877</v>
      </c>
      <c r="G35" s="22">
        <v>16.2</v>
      </c>
    </row>
    <row r="36" spans="2:9" x14ac:dyDescent="0.2">
      <c r="B36" s="21">
        <f t="shared" si="0"/>
        <v>3.9921798556678278</v>
      </c>
      <c r="C36" s="22">
        <f t="shared" si="2"/>
        <v>-0.24999999999999878</v>
      </c>
      <c r="D36" s="22">
        <v>16</v>
      </c>
      <c r="E36" s="21">
        <f t="shared" si="1"/>
        <v>4.0199502484483558</v>
      </c>
      <c r="F36" s="22">
        <f t="shared" si="3"/>
        <v>-0.24999999999999878</v>
      </c>
      <c r="G36" s="22">
        <v>16.2</v>
      </c>
    </row>
    <row r="37" spans="2:9" x14ac:dyDescent="0.2">
      <c r="B37" s="21">
        <f t="shared" si="0"/>
        <v>3.9949968710876358</v>
      </c>
      <c r="C37" s="22">
        <f t="shared" si="2"/>
        <v>-0.19999999999999879</v>
      </c>
      <c r="D37" s="22">
        <v>16</v>
      </c>
      <c r="E37" s="21">
        <f t="shared" si="1"/>
        <v>4.0221263033375765</v>
      </c>
      <c r="F37" s="22">
        <f t="shared" si="3"/>
        <v>-0.19999999999999879</v>
      </c>
      <c r="G37" s="22">
        <v>16.2</v>
      </c>
    </row>
    <row r="38" spans="2:9" x14ac:dyDescent="0.2">
      <c r="B38" s="21">
        <f t="shared" si="0"/>
        <v>3.9971865105346285</v>
      </c>
      <c r="C38" s="22">
        <f t="shared" si="2"/>
        <v>-0.1499999999999988</v>
      </c>
      <c r="D38" s="22">
        <v>16</v>
      </c>
      <c r="E38" s="21">
        <f t="shared" si="1"/>
        <v>4.0236799077461418</v>
      </c>
      <c r="F38" s="22">
        <f t="shared" si="3"/>
        <v>-0.1499999999999988</v>
      </c>
      <c r="G38" s="22">
        <v>16.2</v>
      </c>
    </row>
    <row r="39" spans="2:9" x14ac:dyDescent="0.2">
      <c r="B39" s="21">
        <f t="shared" si="0"/>
        <v>3.9987498046264411</v>
      </c>
      <c r="C39" s="22">
        <f t="shared" si="2"/>
        <v>-9.9999999999998798E-2</v>
      </c>
      <c r="D39" s="22">
        <v>16</v>
      </c>
      <c r="E39" s="21">
        <f t="shared" si="1"/>
        <v>4.0246117825201475</v>
      </c>
      <c r="F39" s="22">
        <f t="shared" si="3"/>
        <v>-9.9999999999998798E-2</v>
      </c>
      <c r="G39" s="22">
        <v>16.2</v>
      </c>
    </row>
    <row r="40" spans="2:9" x14ac:dyDescent="0.2">
      <c r="B40" s="21">
        <f t="shared" si="0"/>
        <v>3.999687487792015</v>
      </c>
      <c r="C40" s="22">
        <f t="shared" si="2"/>
        <v>-4.9999999999998795E-2</v>
      </c>
      <c r="D40" s="22">
        <v>16</v>
      </c>
      <c r="E40" s="21">
        <f t="shared" si="1"/>
        <v>4.0249223594996213</v>
      </c>
      <c r="F40" s="22">
        <f t="shared" si="3"/>
        <v>-4.9999999999998795E-2</v>
      </c>
      <c r="G40" s="22">
        <v>16.2</v>
      </c>
    </row>
    <row r="41" spans="2:9" x14ac:dyDescent="0.2">
      <c r="B41" s="24">
        <v>4</v>
      </c>
      <c r="C41" s="25">
        <v>0</v>
      </c>
      <c r="D41" s="25">
        <v>16</v>
      </c>
      <c r="E41" s="26">
        <f>SQRT(G41-(F41)^2)</f>
        <v>4.0249223594996213</v>
      </c>
      <c r="F41" s="26">
        <v>0</v>
      </c>
      <c r="G41" s="22">
        <v>16.2</v>
      </c>
      <c r="I41" t="s">
        <v>37</v>
      </c>
    </row>
    <row r="42" spans="2:9" x14ac:dyDescent="0.2">
      <c r="B42">
        <f>SQRT(D42-(C42)^2)</f>
        <v>3.999687487792015</v>
      </c>
      <c r="C42">
        <v>0.05</v>
      </c>
      <c r="D42">
        <v>16</v>
      </c>
      <c r="E42">
        <f t="shared" ref="E42:E79" si="4">SQRT(G42-(F42)^2)</f>
        <v>4.0246117825201475</v>
      </c>
      <c r="F42">
        <v>0.05</v>
      </c>
      <c r="G42" s="22">
        <v>16.2</v>
      </c>
    </row>
    <row r="43" spans="2:9" x14ac:dyDescent="0.2">
      <c r="B43">
        <f t="shared" ref="B43:B79" si="5">SQRT(D43-(C43)^2)</f>
        <v>3.9987498046264411</v>
      </c>
      <c r="C43">
        <f>C42+0.05</f>
        <v>0.1</v>
      </c>
      <c r="D43">
        <v>16</v>
      </c>
      <c r="E43">
        <f t="shared" si="4"/>
        <v>4.0236799077461418</v>
      </c>
      <c r="F43">
        <f>F42+0.05</f>
        <v>0.1</v>
      </c>
      <c r="G43" s="22">
        <v>16.2</v>
      </c>
    </row>
    <row r="44" spans="2:9" x14ac:dyDescent="0.2">
      <c r="B44">
        <f t="shared" si="5"/>
        <v>3.9971865105346285</v>
      </c>
      <c r="C44">
        <f t="shared" ref="C44:C79" si="6">C43+0.05</f>
        <v>0.15000000000000002</v>
      </c>
      <c r="D44">
        <v>16</v>
      </c>
      <c r="E44">
        <f t="shared" si="4"/>
        <v>4.0221263033375765</v>
      </c>
      <c r="F44">
        <f t="shared" ref="F44:F79" si="7">F43+0.05</f>
        <v>0.15000000000000002</v>
      </c>
      <c r="G44" s="22">
        <v>16.2</v>
      </c>
    </row>
    <row r="45" spans="2:9" x14ac:dyDescent="0.2">
      <c r="B45">
        <f t="shared" si="5"/>
        <v>3.9949968710876358</v>
      </c>
      <c r="C45">
        <f t="shared" si="6"/>
        <v>0.2</v>
      </c>
      <c r="D45">
        <v>16</v>
      </c>
      <c r="E45">
        <f t="shared" si="4"/>
        <v>4.0199502484483558</v>
      </c>
      <c r="F45">
        <f t="shared" si="7"/>
        <v>0.2</v>
      </c>
      <c r="G45" s="22">
        <v>16.2</v>
      </c>
    </row>
    <row r="46" spans="2:9" x14ac:dyDescent="0.2">
      <c r="B46">
        <f t="shared" si="5"/>
        <v>3.9921798556678278</v>
      </c>
      <c r="C46">
        <f t="shared" si="6"/>
        <v>0.25</v>
      </c>
      <c r="D46">
        <v>16</v>
      </c>
      <c r="E46">
        <f t="shared" si="4"/>
        <v>4.0171507315509087</v>
      </c>
      <c r="F46">
        <f t="shared" si="7"/>
        <v>0.25</v>
      </c>
      <c r="G46" s="22">
        <v>16.2</v>
      </c>
    </row>
    <row r="47" spans="2:9" x14ac:dyDescent="0.2">
      <c r="B47">
        <f t="shared" si="5"/>
        <v>3.9887341350358261</v>
      </c>
      <c r="C47">
        <f t="shared" si="6"/>
        <v>0.3</v>
      </c>
      <c r="D47">
        <v>16</v>
      </c>
      <c r="E47">
        <f t="shared" si="4"/>
        <v>4.0137264480778958</v>
      </c>
      <c r="F47">
        <f t="shared" si="7"/>
        <v>0.3</v>
      </c>
      <c r="G47" s="22">
        <v>16.2</v>
      </c>
    </row>
    <row r="48" spans="2:9" x14ac:dyDescent="0.2">
      <c r="B48">
        <f t="shared" si="5"/>
        <v>3.9846580781793559</v>
      </c>
      <c r="C48">
        <f t="shared" si="6"/>
        <v>0.35</v>
      </c>
      <c r="D48">
        <v>16</v>
      </c>
      <c r="E48">
        <f t="shared" si="4"/>
        <v>4.0096757973681614</v>
      </c>
      <c r="F48">
        <f t="shared" si="7"/>
        <v>0.35</v>
      </c>
      <c r="G48" s="22">
        <v>16.2</v>
      </c>
    </row>
    <row r="49" spans="2:7" x14ac:dyDescent="0.2">
      <c r="B49">
        <f t="shared" si="5"/>
        <v>3.9799497484264799</v>
      </c>
      <c r="C49">
        <f t="shared" si="6"/>
        <v>0.39999999999999997</v>
      </c>
      <c r="D49">
        <v>16</v>
      </c>
      <c r="E49">
        <f t="shared" si="4"/>
        <v>4.0049968789001573</v>
      </c>
      <c r="F49">
        <f t="shared" si="7"/>
        <v>0.39999999999999997</v>
      </c>
      <c r="G49" s="22">
        <v>16.2</v>
      </c>
    </row>
    <row r="50" spans="2:7" x14ac:dyDescent="0.2">
      <c r="B50">
        <f t="shared" si="5"/>
        <v>3.97460689880144</v>
      </c>
      <c r="C50">
        <f t="shared" si="6"/>
        <v>0.44999999999999996</v>
      </c>
      <c r="D50">
        <v>16</v>
      </c>
      <c r="E50">
        <f t="shared" si="4"/>
        <v>3.999687487792015</v>
      </c>
      <c r="F50">
        <f t="shared" si="7"/>
        <v>0.44999999999999996</v>
      </c>
      <c r="G50" s="22">
        <v>16.2</v>
      </c>
    </row>
    <row r="51" spans="2:7" x14ac:dyDescent="0.2">
      <c r="B51">
        <f t="shared" si="5"/>
        <v>3.9686269665968861</v>
      </c>
      <c r="C51">
        <f t="shared" si="6"/>
        <v>0.49999999999999994</v>
      </c>
      <c r="D51">
        <v>16</v>
      </c>
      <c r="E51">
        <f t="shared" si="4"/>
        <v>3.9937451095431715</v>
      </c>
      <c r="F51">
        <f t="shared" si="7"/>
        <v>0.49999999999999994</v>
      </c>
      <c r="G51" s="22">
        <v>16.2</v>
      </c>
    </row>
    <row r="52" spans="2:7" x14ac:dyDescent="0.2">
      <c r="B52">
        <f t="shared" si="5"/>
        <v>3.9620070671315064</v>
      </c>
      <c r="C52">
        <f t="shared" si="6"/>
        <v>0.54999999999999993</v>
      </c>
      <c r="D52">
        <v>16</v>
      </c>
      <c r="E52">
        <f t="shared" si="4"/>
        <v>3.9871669139879256</v>
      </c>
      <c r="F52">
        <f t="shared" si="7"/>
        <v>0.54999999999999993</v>
      </c>
      <c r="G52" s="22">
        <v>16.2</v>
      </c>
    </row>
    <row r="53" spans="2:7" x14ac:dyDescent="0.2">
      <c r="B53">
        <f t="shared" si="5"/>
        <v>3.954743986657038</v>
      </c>
      <c r="C53">
        <f t="shared" si="6"/>
        <v>0.6</v>
      </c>
      <c r="D53">
        <v>16</v>
      </c>
      <c r="E53">
        <f t="shared" si="4"/>
        <v>3.9799497484264799</v>
      </c>
      <c r="F53">
        <f t="shared" si="7"/>
        <v>0.6</v>
      </c>
      <c r="G53" s="22">
        <v>16.2</v>
      </c>
    </row>
    <row r="54" spans="2:7" x14ac:dyDescent="0.2">
      <c r="B54">
        <f t="shared" si="5"/>
        <v>3.9468341743731772</v>
      </c>
      <c r="C54">
        <f t="shared" si="6"/>
        <v>0.65</v>
      </c>
      <c r="D54">
        <v>16</v>
      </c>
      <c r="E54">
        <f t="shared" si="4"/>
        <v>3.9720901298938323</v>
      </c>
      <c r="F54">
        <f t="shared" si="7"/>
        <v>0.65</v>
      </c>
      <c r="G54" s="22">
        <v>16.2</v>
      </c>
    </row>
    <row r="55" spans="2:7" x14ac:dyDescent="0.2">
      <c r="B55">
        <f t="shared" si="5"/>
        <v>3.9382737335030433</v>
      </c>
      <c r="C55">
        <f t="shared" si="6"/>
        <v>0.70000000000000007</v>
      </c>
      <c r="D55">
        <v>16</v>
      </c>
      <c r="E55">
        <f t="shared" si="4"/>
        <v>3.9635842365212826</v>
      </c>
      <c r="F55">
        <f t="shared" si="7"/>
        <v>0.70000000000000007</v>
      </c>
      <c r="G55" s="22">
        <v>16.2</v>
      </c>
    </row>
    <row r="56" spans="2:7" x14ac:dyDescent="0.2">
      <c r="B56">
        <f t="shared" si="5"/>
        <v>3.9290584113754279</v>
      </c>
      <c r="C56">
        <f t="shared" si="6"/>
        <v>0.75000000000000011</v>
      </c>
      <c r="D56">
        <v>16</v>
      </c>
      <c r="E56">
        <f t="shared" si="4"/>
        <v>3.9544278979392202</v>
      </c>
      <c r="F56">
        <f t="shared" si="7"/>
        <v>0.75000000000000011</v>
      </c>
      <c r="G56" s="22">
        <v>16.2</v>
      </c>
    </row>
    <row r="57" spans="2:7" x14ac:dyDescent="0.2">
      <c r="B57">
        <f t="shared" si="5"/>
        <v>3.9191835884530848</v>
      </c>
      <c r="C57">
        <f t="shared" si="6"/>
        <v>0.80000000000000016</v>
      </c>
      <c r="D57">
        <v>16</v>
      </c>
      <c r="E57">
        <f t="shared" si="4"/>
        <v>3.944616584663204</v>
      </c>
      <c r="F57">
        <f t="shared" si="7"/>
        <v>0.80000000000000016</v>
      </c>
      <c r="G57" s="22">
        <v>16.2</v>
      </c>
    </row>
    <row r="58" spans="2:7" x14ac:dyDescent="0.2">
      <c r="B58">
        <f t="shared" si="5"/>
        <v>3.9086442662386149</v>
      </c>
      <c r="C58">
        <f t="shared" si="6"/>
        <v>0.8500000000000002</v>
      </c>
      <c r="D58">
        <v>16</v>
      </c>
      <c r="E58">
        <f t="shared" si="4"/>
        <v>3.9341453963980535</v>
      </c>
      <c r="F58">
        <f t="shared" si="7"/>
        <v>0.8500000000000002</v>
      </c>
      <c r="G58" s="22">
        <v>16.2</v>
      </c>
    </row>
    <row r="59" spans="2:7" x14ac:dyDescent="0.2">
      <c r="B59">
        <f t="shared" si="5"/>
        <v>3.8974350539810154</v>
      </c>
      <c r="C59">
        <f t="shared" si="6"/>
        <v>0.90000000000000024</v>
      </c>
      <c r="D59">
        <v>16</v>
      </c>
      <c r="E59">
        <f t="shared" si="4"/>
        <v>3.9230090491866059</v>
      </c>
      <c r="F59">
        <f t="shared" si="7"/>
        <v>0.90000000000000024</v>
      </c>
      <c r="G59" s="22">
        <v>16.2</v>
      </c>
    </row>
    <row r="60" spans="2:7" x14ac:dyDescent="0.2">
      <c r="B60">
        <f t="shared" si="5"/>
        <v>3.8855501540965856</v>
      </c>
      <c r="C60">
        <f t="shared" si="6"/>
        <v>0.95000000000000029</v>
      </c>
      <c r="D60">
        <v>16</v>
      </c>
      <c r="E60">
        <f t="shared" si="4"/>
        <v>3.9112018613208908</v>
      </c>
      <c r="F60">
        <f t="shared" si="7"/>
        <v>0.95000000000000029</v>
      </c>
      <c r="G60" s="22">
        <v>16.2</v>
      </c>
    </row>
    <row r="61" spans="2:7" x14ac:dyDescent="0.2">
      <c r="B61">
        <f t="shared" si="5"/>
        <v>3.872983346207417</v>
      </c>
      <c r="C61">
        <f t="shared" si="6"/>
        <v>1.0000000000000002</v>
      </c>
      <c r="D61">
        <v>16</v>
      </c>
      <c r="E61">
        <f t="shared" si="4"/>
        <v>3.8987177379235853</v>
      </c>
      <c r="F61">
        <f t="shared" si="7"/>
        <v>1.0000000000000002</v>
      </c>
      <c r="G61" s="22">
        <v>16.2</v>
      </c>
    </row>
    <row r="62" spans="2:7" x14ac:dyDescent="0.2">
      <c r="B62">
        <f t="shared" si="5"/>
        <v>3.8597279696890556</v>
      </c>
      <c r="C62">
        <f t="shared" si="6"/>
        <v>1.0500000000000003</v>
      </c>
      <c r="D62">
        <v>16</v>
      </c>
      <c r="E62">
        <f t="shared" si="4"/>
        <v>3.8855501540965856</v>
      </c>
      <c r="F62">
        <f t="shared" si="7"/>
        <v>1.0500000000000003</v>
      </c>
      <c r="G62" s="22">
        <v>16.2</v>
      </c>
    </row>
    <row r="63" spans="2:7" x14ac:dyDescent="0.2">
      <c r="B63">
        <f t="shared" si="5"/>
        <v>3.8457769046058821</v>
      </c>
      <c r="C63">
        <f t="shared" si="6"/>
        <v>1.1000000000000003</v>
      </c>
      <c r="D63">
        <v>16</v>
      </c>
      <c r="E63">
        <f t="shared" si="4"/>
        <v>3.8716921365211876</v>
      </c>
      <c r="F63">
        <f t="shared" si="7"/>
        <v>1.1000000000000003</v>
      </c>
      <c r="G63" s="22">
        <v>16.2</v>
      </c>
    </row>
    <row r="64" spans="2:7" x14ac:dyDescent="0.2">
      <c r="B64">
        <f t="shared" si="5"/>
        <v>3.8311225508981046</v>
      </c>
      <c r="C64">
        <f t="shared" si="6"/>
        <v>1.1500000000000004</v>
      </c>
      <c r="D64">
        <v>16</v>
      </c>
      <c r="E64">
        <f t="shared" si="4"/>
        <v>3.8571362433805727</v>
      </c>
      <c r="F64">
        <f t="shared" si="7"/>
        <v>1.1500000000000004</v>
      </c>
      <c r="G64" s="22">
        <v>16.2</v>
      </c>
    </row>
    <row r="65" spans="2:7" x14ac:dyDescent="0.2">
      <c r="B65">
        <f t="shared" si="5"/>
        <v>3.8157568056677826</v>
      </c>
      <c r="C65">
        <f t="shared" si="6"/>
        <v>1.2000000000000004</v>
      </c>
      <c r="D65">
        <v>16</v>
      </c>
      <c r="E65">
        <f t="shared" si="4"/>
        <v>3.8418745424597089</v>
      </c>
      <c r="F65">
        <f t="shared" si="7"/>
        <v>1.2000000000000004</v>
      </c>
      <c r="G65" s="22">
        <v>16.2</v>
      </c>
    </row>
    <row r="66" spans="2:7" x14ac:dyDescent="0.2">
      <c r="B66">
        <f t="shared" si="5"/>
        <v>3.7996710383926655</v>
      </c>
      <c r="C66">
        <f t="shared" si="6"/>
        <v>1.2500000000000004</v>
      </c>
      <c r="D66">
        <v>16</v>
      </c>
      <c r="E66">
        <f t="shared" si="4"/>
        <v>3.8258985872602529</v>
      </c>
      <c r="F66">
        <f t="shared" si="7"/>
        <v>1.2500000000000004</v>
      </c>
      <c r="G66" s="22">
        <v>16.2</v>
      </c>
    </row>
    <row r="67" spans="2:7" x14ac:dyDescent="0.2">
      <c r="B67">
        <f t="shared" si="5"/>
        <v>3.7828560638755473</v>
      </c>
      <c r="C67">
        <f t="shared" si="6"/>
        <v>1.3000000000000005</v>
      </c>
      <c r="D67">
        <v>16</v>
      </c>
      <c r="E67">
        <f t="shared" si="4"/>
        <v>3.8091993909481818</v>
      </c>
      <c r="F67">
        <f t="shared" si="7"/>
        <v>1.3000000000000005</v>
      </c>
      <c r="G67" s="22">
        <v>16.2</v>
      </c>
    </row>
    <row r="68" spans="2:7" x14ac:dyDescent="0.2">
      <c r="B68">
        <f t="shared" si="5"/>
        <v>3.7653021127128694</v>
      </c>
      <c r="C68">
        <f t="shared" si="6"/>
        <v>1.3500000000000005</v>
      </c>
      <c r="D68">
        <v>16</v>
      </c>
      <c r="E68">
        <f t="shared" si="4"/>
        <v>3.7917673979293611</v>
      </c>
      <c r="F68">
        <f t="shared" si="7"/>
        <v>1.3500000000000005</v>
      </c>
      <c r="G68" s="22">
        <v>16.2</v>
      </c>
    </row>
    <row r="69" spans="2:7" x14ac:dyDescent="0.2">
      <c r="B69">
        <f t="shared" si="5"/>
        <v>3.746998799039039</v>
      </c>
      <c r="C69">
        <f t="shared" si="6"/>
        <v>1.4000000000000006</v>
      </c>
      <c r="D69">
        <v>16</v>
      </c>
      <c r="E69">
        <f t="shared" si="4"/>
        <v>3.7735924528226414</v>
      </c>
      <c r="F69">
        <f t="shared" si="7"/>
        <v>1.4000000000000006</v>
      </c>
      <c r="G69" s="22">
        <v>16.2</v>
      </c>
    </row>
    <row r="70" spans="2:7" x14ac:dyDescent="0.2">
      <c r="B70">
        <f t="shared" si="5"/>
        <v>3.7279350852717377</v>
      </c>
      <c r="C70">
        <f t="shared" si="6"/>
        <v>1.4500000000000006</v>
      </c>
      <c r="D70">
        <v>16</v>
      </c>
      <c r="E70">
        <f t="shared" si="4"/>
        <v>3.7546637665708493</v>
      </c>
      <c r="F70">
        <f t="shared" si="7"/>
        <v>1.4500000000000006</v>
      </c>
      <c r="G70" s="22">
        <v>16.2</v>
      </c>
    </row>
    <row r="71" spans="2:7" x14ac:dyDescent="0.2">
      <c r="B71">
        <f t="shared" si="5"/>
        <v>3.708099243547831</v>
      </c>
      <c r="C71">
        <f t="shared" si="6"/>
        <v>1.5000000000000007</v>
      </c>
      <c r="D71">
        <v>16</v>
      </c>
      <c r="E71">
        <f t="shared" si="4"/>
        <v>3.7349698793966195</v>
      </c>
      <c r="F71">
        <f t="shared" si="7"/>
        <v>1.5000000000000007</v>
      </c>
      <c r="G71" s="22">
        <v>16.2</v>
      </c>
    </row>
    <row r="72" spans="2:7" x14ac:dyDescent="0.2">
      <c r="B72">
        <f t="shared" si="5"/>
        <v>3.6874788134984584</v>
      </c>
      <c r="C72">
        <f t="shared" si="6"/>
        <v>1.5500000000000007</v>
      </c>
      <c r="D72">
        <v>16</v>
      </c>
      <c r="E72">
        <f t="shared" si="4"/>
        <v>3.7144986202716508</v>
      </c>
      <c r="F72">
        <f t="shared" si="7"/>
        <v>1.5500000000000007</v>
      </c>
      <c r="G72" s="22">
        <v>16.2</v>
      </c>
    </row>
    <row r="73" spans="2:7" x14ac:dyDescent="0.2">
      <c r="B73">
        <f t="shared" si="5"/>
        <v>3.6660605559646715</v>
      </c>
      <c r="C73">
        <f t="shared" si="6"/>
        <v>1.6000000000000008</v>
      </c>
      <c r="D73">
        <v>16</v>
      </c>
      <c r="E73">
        <f t="shared" si="4"/>
        <v>3.6932370625238771</v>
      </c>
      <c r="F73">
        <f t="shared" si="7"/>
        <v>1.6000000000000008</v>
      </c>
      <c r="G73" s="22">
        <v>16.2</v>
      </c>
    </row>
    <row r="74" spans="2:7" x14ac:dyDescent="0.2">
      <c r="B74">
        <f t="shared" si="5"/>
        <v>3.6438304022004093</v>
      </c>
      <c r="C74">
        <f t="shared" si="6"/>
        <v>1.6500000000000008</v>
      </c>
      <c r="D74">
        <v>16</v>
      </c>
      <c r="E74">
        <f t="shared" si="4"/>
        <v>3.6711714751561244</v>
      </c>
      <c r="F74">
        <f t="shared" si="7"/>
        <v>1.6500000000000008</v>
      </c>
      <c r="G74" s="22">
        <v>16.2</v>
      </c>
    </row>
    <row r="75" spans="2:7" x14ac:dyDescent="0.2">
      <c r="B75">
        <f t="shared" si="5"/>
        <v>3.6207733980463344</v>
      </c>
      <c r="C75">
        <f t="shared" si="6"/>
        <v>1.7000000000000008</v>
      </c>
      <c r="D75">
        <v>16</v>
      </c>
      <c r="E75">
        <f t="shared" si="4"/>
        <v>3.6482872693909396</v>
      </c>
      <c r="F75">
        <f t="shared" si="7"/>
        <v>1.7000000000000008</v>
      </c>
      <c r="G75" s="22">
        <v>16.2</v>
      </c>
    </row>
    <row r="76" spans="2:7" x14ac:dyDescent="0.2">
      <c r="B76">
        <f t="shared" si="5"/>
        <v>3.5968736424845393</v>
      </c>
      <c r="C76">
        <f t="shared" si="6"/>
        <v>1.7500000000000009</v>
      </c>
      <c r="D76">
        <v>16</v>
      </c>
      <c r="E76">
        <f t="shared" si="4"/>
        <v>3.6245689398878862</v>
      </c>
      <c r="F76">
        <f t="shared" si="7"/>
        <v>1.7500000000000009</v>
      </c>
      <c r="G76" s="22">
        <v>16.2</v>
      </c>
    </row>
    <row r="77" spans="2:7" x14ac:dyDescent="0.2">
      <c r="B77">
        <f t="shared" si="5"/>
        <v>3.5721142198983498</v>
      </c>
      <c r="C77">
        <f t="shared" si="6"/>
        <v>1.8000000000000009</v>
      </c>
      <c r="D77">
        <v>16</v>
      </c>
      <c r="E77">
        <f t="shared" si="4"/>
        <v>3.5999999999999992</v>
      </c>
      <c r="F77">
        <f t="shared" si="7"/>
        <v>1.8000000000000009</v>
      </c>
      <c r="G77" s="22">
        <v>16.2</v>
      </c>
    </row>
    <row r="78" spans="2:7" x14ac:dyDescent="0.2">
      <c r="B78">
        <f t="shared" si="5"/>
        <v>3.5464771252610663</v>
      </c>
      <c r="C78">
        <f t="shared" si="6"/>
        <v>1.850000000000001</v>
      </c>
      <c r="D78">
        <v>16</v>
      </c>
      <c r="E78">
        <f t="shared" si="4"/>
        <v>3.5745629103430248</v>
      </c>
      <c r="F78">
        <f t="shared" si="7"/>
        <v>1.850000000000001</v>
      </c>
      <c r="G78" s="22">
        <v>16.2</v>
      </c>
    </row>
    <row r="79" spans="2:7" x14ac:dyDescent="0.2">
      <c r="B79">
        <f t="shared" si="5"/>
        <v>3.5199431813596078</v>
      </c>
      <c r="C79">
        <f t="shared" si="6"/>
        <v>1.900000000000001</v>
      </c>
      <c r="D79">
        <v>16</v>
      </c>
      <c r="E79">
        <f t="shared" si="4"/>
        <v>3.5482389998420336</v>
      </c>
      <c r="F79">
        <f t="shared" si="7"/>
        <v>1.900000000000001</v>
      </c>
      <c r="G79" s="22">
        <v>16.2</v>
      </c>
    </row>
    <row r="81" spans="3:3" x14ac:dyDescent="0.2">
      <c r="C81" t="s">
        <v>37</v>
      </c>
    </row>
  </sheetData>
  <phoneticPr fontId="0" type="noConversion"/>
  <pageMargins left="0.75" right="0.75" top="1" bottom="1" header="0.5" footer="0.5"/>
  <headerFooter alignWithMargins="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69"/>
  <sheetViews>
    <sheetView topLeftCell="A107" workbookViewId="0">
      <selection activeCell="G128" sqref="G128"/>
    </sheetView>
  </sheetViews>
  <sheetFormatPr defaultRowHeight="12.75" x14ac:dyDescent="0.2"/>
  <cols>
    <col min="2" max="3" width="10.140625" bestFit="1" customWidth="1"/>
    <col min="11" max="11" width="9.7109375" customWidth="1"/>
  </cols>
  <sheetData>
    <row r="1" spans="1:19" ht="18.75" thickBot="1" x14ac:dyDescent="0.3">
      <c r="A1" s="133" t="s">
        <v>873</v>
      </c>
      <c r="B1" s="135"/>
      <c r="C1" s="135"/>
      <c r="D1" s="135"/>
      <c r="E1" s="135"/>
      <c r="F1" s="135"/>
      <c r="G1" s="135"/>
      <c r="H1" s="135"/>
      <c r="I1" s="135"/>
      <c r="J1" s="726" t="str">
        <f>'Title Page'!F3</f>
        <v>CougSat-1</v>
      </c>
      <c r="K1" s="135"/>
      <c r="L1" s="135"/>
      <c r="M1" s="725" t="str">
        <f>'Title Page'!F25</f>
        <v>2020 January 17</v>
      </c>
      <c r="N1" s="135"/>
      <c r="O1" s="135"/>
      <c r="P1" s="135"/>
      <c r="Q1" s="135"/>
      <c r="R1" s="135"/>
      <c r="S1" s="135"/>
    </row>
    <row r="2" spans="1:19" x14ac:dyDescent="0.2">
      <c r="A2" s="250"/>
      <c r="B2" s="710"/>
      <c r="C2" s="710"/>
      <c r="D2" s="710"/>
      <c r="E2" s="710"/>
      <c r="F2" s="710"/>
      <c r="G2" s="710"/>
      <c r="H2" s="710"/>
      <c r="I2" s="710"/>
      <c r="J2" s="710"/>
      <c r="K2" s="710"/>
      <c r="L2" s="710"/>
      <c r="M2" s="710"/>
      <c r="N2" s="710"/>
      <c r="O2" s="710"/>
      <c r="P2" s="710"/>
      <c r="Q2" s="710"/>
      <c r="R2" s="710"/>
      <c r="S2" s="250"/>
    </row>
    <row r="3" spans="1:19" x14ac:dyDescent="0.2">
      <c r="A3" s="250"/>
      <c r="B3" s="739"/>
      <c r="C3" s="710"/>
      <c r="D3" s="710"/>
      <c r="E3" s="710"/>
      <c r="F3" s="710"/>
      <c r="G3" s="710"/>
      <c r="H3" s="710"/>
      <c r="I3" s="710"/>
      <c r="J3" s="710"/>
      <c r="K3" s="710"/>
      <c r="L3" s="710"/>
      <c r="M3" s="710"/>
      <c r="N3" s="710"/>
      <c r="O3" s="710"/>
      <c r="P3" s="710"/>
      <c r="Q3" s="710"/>
      <c r="R3" s="710"/>
      <c r="S3" s="250"/>
    </row>
    <row r="4" spans="1:19" x14ac:dyDescent="0.2">
      <c r="A4" s="250"/>
      <c r="B4" s="710"/>
      <c r="C4" s="710"/>
      <c r="D4" s="710"/>
      <c r="E4" s="710"/>
      <c r="F4" s="710"/>
      <c r="G4" s="710"/>
      <c r="H4" s="710"/>
      <c r="I4" s="710"/>
      <c r="J4" s="710"/>
      <c r="K4" s="710"/>
      <c r="L4" s="710"/>
      <c r="M4" s="710"/>
      <c r="N4" s="710"/>
      <c r="O4" s="710"/>
      <c r="P4" s="710"/>
      <c r="Q4" s="710"/>
      <c r="R4" s="710"/>
      <c r="S4" s="250"/>
    </row>
    <row r="5" spans="1:19" ht="15.75" x14ac:dyDescent="0.25">
      <c r="A5" s="250"/>
      <c r="B5" s="706" t="s">
        <v>874</v>
      </c>
      <c r="C5" s="707"/>
      <c r="D5" s="711"/>
      <c r="E5" s="711"/>
      <c r="F5" s="711"/>
      <c r="G5" s="711"/>
      <c r="H5" s="711"/>
      <c r="I5" s="711"/>
      <c r="J5" s="711"/>
      <c r="K5" s="711"/>
      <c r="L5" s="711"/>
      <c r="M5" s="711"/>
      <c r="N5" s="711"/>
      <c r="O5" s="711"/>
      <c r="P5" s="711"/>
      <c r="Q5" s="711"/>
      <c r="R5" s="711"/>
      <c r="S5" s="250"/>
    </row>
    <row r="6" spans="1:19" x14ac:dyDescent="0.2">
      <c r="A6" s="250"/>
      <c r="B6" s="711"/>
      <c r="C6" s="711"/>
      <c r="D6" s="711"/>
      <c r="E6" s="711"/>
      <c r="F6" s="711"/>
      <c r="G6" s="711"/>
      <c r="H6" s="711"/>
      <c r="I6" s="711"/>
      <c r="J6" s="711"/>
      <c r="K6" s="711"/>
      <c r="L6" s="711"/>
      <c r="M6" s="711"/>
      <c r="N6" s="711"/>
      <c r="O6" s="711"/>
      <c r="P6" s="711"/>
      <c r="Q6" s="711"/>
      <c r="R6" s="711"/>
      <c r="S6" s="250"/>
    </row>
    <row r="7" spans="1:19" x14ac:dyDescent="0.2">
      <c r="A7" s="250"/>
      <c r="B7" s="711" t="s">
        <v>875</v>
      </c>
      <c r="C7" s="711"/>
      <c r="D7" s="711"/>
      <c r="E7" s="711"/>
      <c r="F7" s="711"/>
      <c r="G7" s="711"/>
      <c r="H7" s="711"/>
      <c r="I7" s="711"/>
      <c r="J7" s="711"/>
      <c r="K7" s="711"/>
      <c r="L7" s="711"/>
      <c r="M7" s="711"/>
      <c r="N7" s="711"/>
      <c r="O7" s="711"/>
      <c r="P7" s="711"/>
      <c r="Q7" s="711"/>
      <c r="R7" s="711"/>
      <c r="S7" s="250"/>
    </row>
    <row r="8" spans="1:19" x14ac:dyDescent="0.2">
      <c r="A8" s="250"/>
      <c r="B8" s="711" t="s">
        <v>939</v>
      </c>
      <c r="C8" s="711"/>
      <c r="D8" s="711"/>
      <c r="E8" s="711"/>
      <c r="F8" s="711"/>
      <c r="G8" s="711"/>
      <c r="H8" s="711"/>
      <c r="I8" s="711"/>
      <c r="J8" s="711"/>
      <c r="K8" s="711"/>
      <c r="L8" s="711"/>
      <c r="M8" s="711"/>
      <c r="N8" s="711"/>
      <c r="O8" s="711"/>
      <c r="P8" s="711"/>
      <c r="Q8" s="711"/>
      <c r="R8" s="711"/>
      <c r="S8" s="250"/>
    </row>
    <row r="9" spans="1:19" x14ac:dyDescent="0.2">
      <c r="A9" s="250"/>
      <c r="B9" s="711" t="s">
        <v>15</v>
      </c>
      <c r="C9" s="711"/>
      <c r="D9" s="711"/>
      <c r="E9" s="711"/>
      <c r="F9" s="711"/>
      <c r="G9" s="711"/>
      <c r="H9" s="711"/>
      <c r="I9" s="711"/>
      <c r="J9" s="711"/>
      <c r="K9" s="711"/>
      <c r="L9" s="711"/>
      <c r="M9" s="711"/>
      <c r="N9" s="711"/>
      <c r="O9" s="711"/>
      <c r="P9" s="711"/>
      <c r="Q9" s="711"/>
      <c r="R9" s="711"/>
      <c r="S9" s="250"/>
    </row>
    <row r="10" spans="1:19" x14ac:dyDescent="0.2">
      <c r="A10" s="250"/>
      <c r="B10" s="711" t="s">
        <v>16</v>
      </c>
      <c r="C10" s="711"/>
      <c r="D10" s="711"/>
      <c r="E10" s="711"/>
      <c r="F10" s="711"/>
      <c r="G10" s="711"/>
      <c r="H10" s="711"/>
      <c r="I10" s="711"/>
      <c r="J10" s="711"/>
      <c r="K10" s="711"/>
      <c r="L10" s="711"/>
      <c r="M10" s="711"/>
      <c r="N10" s="711"/>
      <c r="O10" s="711"/>
      <c r="P10" s="711"/>
      <c r="Q10" s="711"/>
      <c r="R10" s="711"/>
      <c r="S10" s="250"/>
    </row>
    <row r="11" spans="1:19" x14ac:dyDescent="0.2">
      <c r="A11" s="250"/>
      <c r="B11" s="711" t="s">
        <v>901</v>
      </c>
      <c r="C11" s="711"/>
      <c r="D11" s="711"/>
      <c r="E11" s="711"/>
      <c r="F11" s="711"/>
      <c r="G11" s="711"/>
      <c r="H11" s="711"/>
      <c r="I11" s="711"/>
      <c r="J11" s="711"/>
      <c r="K11" s="711"/>
      <c r="L11" s="711"/>
      <c r="M11" s="711"/>
      <c r="N11" s="711"/>
      <c r="O11" s="711"/>
      <c r="P11" s="711"/>
      <c r="Q11" s="711"/>
      <c r="R11" s="711"/>
      <c r="S11" s="250"/>
    </row>
    <row r="12" spans="1:19" x14ac:dyDescent="0.2">
      <c r="A12" s="250"/>
      <c r="B12" s="711"/>
      <c r="C12" s="711"/>
      <c r="D12" s="711"/>
      <c r="E12" s="711"/>
      <c r="F12" s="711"/>
      <c r="G12" s="711"/>
      <c r="H12" s="711"/>
      <c r="I12" s="711"/>
      <c r="J12" s="711"/>
      <c r="K12" s="711"/>
      <c r="L12" s="711"/>
      <c r="M12" s="711"/>
      <c r="N12" s="711"/>
      <c r="O12" s="711"/>
      <c r="P12" s="711"/>
      <c r="Q12" s="711"/>
      <c r="R12" s="711"/>
      <c r="S12" s="250"/>
    </row>
    <row r="13" spans="1:19" ht="15.75" x14ac:dyDescent="0.25">
      <c r="A13" s="250"/>
      <c r="B13" s="706" t="s">
        <v>876</v>
      </c>
      <c r="C13" s="708"/>
      <c r="D13" s="707"/>
      <c r="E13" s="711"/>
      <c r="F13" s="711"/>
      <c r="G13" s="711"/>
      <c r="H13" s="711"/>
      <c r="I13" s="711"/>
      <c r="J13" s="711"/>
      <c r="K13" s="711"/>
      <c r="L13" s="711"/>
      <c r="M13" s="711"/>
      <c r="N13" s="711"/>
      <c r="O13" s="711"/>
      <c r="P13" s="711"/>
      <c r="Q13" s="711"/>
      <c r="R13" s="711"/>
      <c r="S13" s="250"/>
    </row>
    <row r="14" spans="1:19" x14ac:dyDescent="0.2">
      <c r="A14" s="250"/>
      <c r="B14" s="711"/>
      <c r="C14" s="711"/>
      <c r="D14" s="711"/>
      <c r="E14" s="711"/>
      <c r="F14" s="711"/>
      <c r="G14" s="711"/>
      <c r="H14" s="711"/>
      <c r="I14" s="711"/>
      <c r="J14" s="711"/>
      <c r="K14" s="711"/>
      <c r="L14" s="711"/>
      <c r="M14" s="711"/>
      <c r="N14" s="711"/>
      <c r="O14" s="711"/>
      <c r="P14" s="711"/>
      <c r="Q14" s="711"/>
      <c r="R14" s="711"/>
      <c r="S14" s="250"/>
    </row>
    <row r="15" spans="1:19" x14ac:dyDescent="0.2">
      <c r="A15" s="250"/>
      <c r="B15" s="711"/>
      <c r="C15" s="709" t="s">
        <v>877</v>
      </c>
      <c r="D15" s="711" t="s">
        <v>927</v>
      </c>
      <c r="E15" s="711"/>
      <c r="F15" s="711"/>
      <c r="G15" s="711"/>
      <c r="H15" s="711"/>
      <c r="I15" s="711"/>
      <c r="J15" s="711"/>
      <c r="K15" s="711"/>
      <c r="L15" s="711"/>
      <c r="M15" s="711"/>
      <c r="N15" s="711"/>
      <c r="O15" s="711"/>
      <c r="P15" s="711"/>
      <c r="Q15" s="711"/>
      <c r="R15" s="711"/>
      <c r="S15" s="250"/>
    </row>
    <row r="16" spans="1:19" x14ac:dyDescent="0.2">
      <c r="A16" s="250"/>
      <c r="B16" s="250"/>
      <c r="C16" s="250" t="s">
        <v>893</v>
      </c>
      <c r="D16" s="250"/>
      <c r="E16" s="250"/>
      <c r="F16" s="250"/>
      <c r="G16" s="250"/>
      <c r="H16" s="250"/>
      <c r="I16" s="250"/>
      <c r="J16" s="250"/>
      <c r="K16" s="250"/>
      <c r="L16" s="250"/>
      <c r="M16" s="250"/>
      <c r="N16" s="250"/>
      <c r="O16" s="250"/>
      <c r="P16" s="250"/>
      <c r="Q16" s="250"/>
      <c r="R16" s="250"/>
      <c r="S16" s="250"/>
    </row>
    <row r="17" spans="1:19" x14ac:dyDescent="0.2">
      <c r="A17" s="250"/>
      <c r="B17" s="250"/>
      <c r="C17" s="250" t="s">
        <v>878</v>
      </c>
      <c r="D17" s="250"/>
      <c r="E17" s="250"/>
      <c r="F17" s="250"/>
      <c r="G17" s="250"/>
      <c r="H17" s="250"/>
      <c r="I17" s="250"/>
      <c r="J17" s="250"/>
      <c r="K17" s="250"/>
      <c r="L17" s="250"/>
      <c r="M17" s="250"/>
      <c r="N17" s="250"/>
      <c r="O17" s="250"/>
      <c r="P17" s="250"/>
      <c r="Q17" s="250"/>
      <c r="R17" s="250"/>
      <c r="S17" s="250"/>
    </row>
    <row r="18" spans="1:19" x14ac:dyDescent="0.2">
      <c r="A18" s="250"/>
      <c r="B18" s="250"/>
      <c r="C18" s="250" t="s">
        <v>892</v>
      </c>
      <c r="D18" s="250"/>
      <c r="E18" s="250"/>
      <c r="F18" s="250"/>
      <c r="G18" s="250"/>
      <c r="H18" s="250"/>
      <c r="I18" s="250"/>
      <c r="J18" s="250"/>
      <c r="K18" s="250"/>
      <c r="L18" s="250"/>
      <c r="M18" s="250"/>
      <c r="N18" s="250"/>
      <c r="O18" s="250"/>
      <c r="P18" s="250"/>
      <c r="Q18" s="250"/>
      <c r="R18" s="250"/>
      <c r="S18" s="250"/>
    </row>
    <row r="19" spans="1:19" x14ac:dyDescent="0.2">
      <c r="A19" s="250"/>
      <c r="B19" s="250"/>
      <c r="C19" s="250" t="s">
        <v>879</v>
      </c>
      <c r="D19" s="250"/>
      <c r="E19" s="250"/>
      <c r="F19" s="250"/>
      <c r="G19" s="250"/>
      <c r="H19" s="250"/>
      <c r="I19" s="250"/>
      <c r="J19" s="250"/>
      <c r="K19" s="250"/>
      <c r="L19" s="250"/>
      <c r="M19" s="250"/>
      <c r="N19" s="250"/>
      <c r="O19" s="250"/>
      <c r="P19" s="250"/>
      <c r="Q19" s="250"/>
      <c r="R19" s="250"/>
      <c r="S19" s="250"/>
    </row>
    <row r="20" spans="1:19" x14ac:dyDescent="0.2">
      <c r="A20" s="250"/>
      <c r="B20" s="250"/>
      <c r="C20" t="s">
        <v>880</v>
      </c>
      <c r="H20" s="3"/>
      <c r="I20" t="s">
        <v>881</v>
      </c>
      <c r="J20" s="685"/>
      <c r="K20" t="s">
        <v>882</v>
      </c>
      <c r="L20" s="462"/>
      <c r="M20" s="250" t="s">
        <v>883</v>
      </c>
      <c r="N20" s="250"/>
      <c r="O20" s="250"/>
      <c r="P20" s="250"/>
      <c r="Q20" s="250"/>
      <c r="R20" s="250"/>
      <c r="S20" s="250"/>
    </row>
    <row r="21" spans="1:19" x14ac:dyDescent="0.2">
      <c r="A21" s="250"/>
      <c r="B21" s="250"/>
      <c r="C21" s="250" t="s">
        <v>11</v>
      </c>
      <c r="D21" s="250"/>
      <c r="E21" s="250"/>
      <c r="F21" s="250"/>
      <c r="G21" s="250"/>
      <c r="H21" s="250"/>
      <c r="I21" s="250"/>
      <c r="J21" s="250"/>
      <c r="K21" s="250"/>
      <c r="L21" s="250"/>
      <c r="M21" s="250"/>
      <c r="N21" s="250"/>
      <c r="O21" s="250"/>
      <c r="P21" s="250"/>
      <c r="Q21" s="250"/>
      <c r="R21" s="250"/>
      <c r="S21" s="250"/>
    </row>
    <row r="22" spans="1:19" x14ac:dyDescent="0.2">
      <c r="A22" s="250"/>
      <c r="B22" s="250"/>
      <c r="C22" s="250"/>
      <c r="D22" s="250"/>
      <c r="E22" s="250"/>
      <c r="F22" s="250"/>
      <c r="G22" s="250"/>
      <c r="H22" s="250"/>
      <c r="I22" s="250"/>
      <c r="J22" s="250"/>
      <c r="K22" s="250"/>
      <c r="L22" s="250"/>
      <c r="M22" s="250"/>
      <c r="N22" s="250"/>
      <c r="O22" s="250"/>
      <c r="P22" s="250"/>
      <c r="Q22" s="250"/>
      <c r="R22" s="250"/>
      <c r="S22" s="250"/>
    </row>
    <row r="23" spans="1:19" x14ac:dyDescent="0.2">
      <c r="A23" s="250"/>
      <c r="B23" s="250"/>
      <c r="C23" s="250"/>
      <c r="D23" s="376" t="s">
        <v>370</v>
      </c>
      <c r="E23" s="250" t="s">
        <v>926</v>
      </c>
      <c r="F23" s="250"/>
      <c r="G23" s="250"/>
      <c r="H23" s="250"/>
      <c r="I23" s="250"/>
      <c r="J23" s="250"/>
      <c r="K23" s="250"/>
      <c r="L23" s="250"/>
      <c r="M23" s="250"/>
      <c r="N23" s="250"/>
      <c r="O23" s="250"/>
      <c r="P23" s="250"/>
      <c r="Q23" s="250"/>
      <c r="R23" s="250"/>
      <c r="S23" s="250"/>
    </row>
    <row r="24" spans="1:19" x14ac:dyDescent="0.2">
      <c r="A24" s="250"/>
      <c r="B24" s="250"/>
      <c r="C24" s="250"/>
      <c r="D24" s="250" t="s">
        <v>884</v>
      </c>
      <c r="E24" s="250"/>
      <c r="F24" s="250"/>
      <c r="G24" s="250"/>
      <c r="H24" s="250"/>
      <c r="I24" s="250"/>
      <c r="J24" s="250"/>
      <c r="K24" s="250"/>
      <c r="L24" s="250"/>
      <c r="M24" s="250"/>
      <c r="N24" s="250"/>
      <c r="O24" s="250"/>
      <c r="P24" s="250"/>
      <c r="Q24" s="250"/>
      <c r="R24" s="250"/>
      <c r="S24" s="250"/>
    </row>
    <row r="25" spans="1:19" x14ac:dyDescent="0.2">
      <c r="A25" s="250"/>
      <c r="B25" s="250"/>
      <c r="C25" s="250"/>
      <c r="D25" s="250" t="s">
        <v>885</v>
      </c>
      <c r="E25" s="250"/>
      <c r="F25" s="250"/>
      <c r="G25" s="250"/>
      <c r="H25" s="250"/>
      <c r="I25" s="250"/>
      <c r="J25" s="250"/>
      <c r="K25" s="250"/>
      <c r="L25" s="250"/>
      <c r="M25" s="250"/>
      <c r="N25" s="250"/>
      <c r="O25" s="250"/>
      <c r="P25" s="250"/>
      <c r="Q25" s="250"/>
      <c r="R25" s="250"/>
      <c r="S25" s="250"/>
    </row>
    <row r="26" spans="1:19" x14ac:dyDescent="0.2">
      <c r="A26" s="250"/>
      <c r="B26" s="250"/>
      <c r="C26" s="250"/>
      <c r="D26" s="250" t="s">
        <v>887</v>
      </c>
      <c r="E26" s="250"/>
      <c r="F26" s="250"/>
      <c r="G26" s="250"/>
      <c r="H26" s="250"/>
      <c r="I26" s="250"/>
      <c r="J26" s="250"/>
      <c r="K26" s="250"/>
      <c r="L26" s="250"/>
      <c r="M26" s="250"/>
      <c r="N26" s="250"/>
      <c r="O26" s="250"/>
      <c r="P26" s="250"/>
      <c r="Q26" s="250"/>
      <c r="R26" s="250"/>
      <c r="S26" s="250"/>
    </row>
    <row r="27" spans="1:19" x14ac:dyDescent="0.2">
      <c r="A27" s="250"/>
      <c r="B27" s="250"/>
      <c r="C27" s="250"/>
      <c r="D27" s="250" t="s">
        <v>886</v>
      </c>
      <c r="E27" s="250"/>
      <c r="F27" s="250"/>
      <c r="G27" s="250"/>
      <c r="H27" s="250"/>
      <c r="I27" s="250"/>
      <c r="J27" s="250"/>
      <c r="K27" s="250"/>
      <c r="L27" s="250"/>
      <c r="M27" s="250"/>
      <c r="N27" s="250"/>
      <c r="O27" s="250"/>
      <c r="P27" s="250"/>
      <c r="Q27" s="250"/>
      <c r="R27" s="250"/>
      <c r="S27" s="250"/>
    </row>
    <row r="28" spans="1:19" x14ac:dyDescent="0.2">
      <c r="A28" s="250"/>
      <c r="B28" s="250"/>
      <c r="C28" s="250"/>
      <c r="D28" s="250" t="s">
        <v>599</v>
      </c>
      <c r="E28" s="250"/>
      <c r="F28" s="250"/>
      <c r="G28" s="250"/>
      <c r="H28" s="250"/>
      <c r="I28" s="250"/>
      <c r="J28" s="250"/>
      <c r="K28" s="250"/>
      <c r="L28" s="250"/>
      <c r="M28" s="250"/>
      <c r="N28" s="250"/>
      <c r="O28" s="250"/>
      <c r="P28" s="250"/>
      <c r="Q28" s="250"/>
      <c r="R28" s="250"/>
      <c r="S28" s="250"/>
    </row>
    <row r="29" spans="1:19" x14ac:dyDescent="0.2">
      <c r="A29" s="250"/>
      <c r="B29" s="250"/>
      <c r="C29" s="250"/>
      <c r="D29" s="250" t="s">
        <v>786</v>
      </c>
      <c r="E29" s="250"/>
      <c r="F29" s="250"/>
      <c r="G29" s="250"/>
      <c r="H29" s="250"/>
      <c r="I29" s="250"/>
      <c r="J29" s="250"/>
      <c r="K29" s="250"/>
      <c r="L29" s="250"/>
      <c r="M29" s="250"/>
      <c r="N29" s="250"/>
      <c r="O29" s="250"/>
      <c r="P29" s="250"/>
      <c r="Q29" s="250"/>
      <c r="R29" s="250"/>
      <c r="S29" s="250"/>
    </row>
    <row r="30" spans="1:19" x14ac:dyDescent="0.2">
      <c r="A30" s="250"/>
      <c r="B30" s="250"/>
      <c r="C30" s="250"/>
      <c r="D30" s="250" t="s">
        <v>888</v>
      </c>
      <c r="E30" s="250"/>
      <c r="F30" s="250"/>
      <c r="G30" s="250"/>
      <c r="H30" s="250"/>
      <c r="I30" s="250"/>
      <c r="J30" s="250"/>
      <c r="K30" s="250"/>
      <c r="L30" s="250"/>
      <c r="M30" s="250"/>
      <c r="N30" s="250"/>
      <c r="O30" s="250"/>
      <c r="P30" s="250"/>
      <c r="Q30" s="250"/>
      <c r="R30" s="250"/>
      <c r="S30" s="250"/>
    </row>
    <row r="31" spans="1:19" x14ac:dyDescent="0.2">
      <c r="A31" s="250"/>
      <c r="B31" s="250"/>
      <c r="C31" s="250"/>
      <c r="D31" s="250" t="s">
        <v>587</v>
      </c>
      <c r="E31" s="250"/>
      <c r="F31" s="250"/>
      <c r="G31" s="250"/>
      <c r="H31" s="250"/>
      <c r="I31" s="250"/>
      <c r="J31" s="250"/>
      <c r="K31" s="250"/>
      <c r="L31" s="250"/>
      <c r="M31" s="250"/>
      <c r="N31" s="250"/>
      <c r="O31" s="250"/>
      <c r="P31" s="250"/>
      <c r="Q31" s="250"/>
      <c r="R31" s="250"/>
      <c r="S31" s="250"/>
    </row>
    <row r="32" spans="1:19" x14ac:dyDescent="0.2">
      <c r="A32" s="250"/>
      <c r="B32" s="250"/>
      <c r="C32" s="250"/>
      <c r="D32" s="250" t="s">
        <v>588</v>
      </c>
      <c r="E32" s="250"/>
      <c r="F32" s="250"/>
      <c r="G32" s="250"/>
      <c r="H32" s="250"/>
      <c r="I32" s="250"/>
      <c r="J32" s="250"/>
      <c r="K32" s="250"/>
      <c r="L32" s="250"/>
      <c r="M32" s="250"/>
      <c r="N32" s="250"/>
      <c r="O32" s="250"/>
      <c r="P32" s="250"/>
      <c r="Q32" s="250"/>
      <c r="R32" s="250"/>
      <c r="S32" s="250"/>
    </row>
    <row r="33" spans="1:19" x14ac:dyDescent="0.2">
      <c r="A33" s="250"/>
      <c r="B33" s="250"/>
      <c r="C33" s="250"/>
      <c r="D33" s="250" t="s">
        <v>589</v>
      </c>
      <c r="E33" s="250"/>
      <c r="F33" s="250"/>
      <c r="G33" s="250"/>
      <c r="H33" s="250"/>
      <c r="I33" s="250"/>
      <c r="J33" s="250"/>
      <c r="K33" s="250"/>
      <c r="L33" s="250"/>
      <c r="M33" s="250"/>
      <c r="N33" s="250"/>
      <c r="O33" s="250"/>
      <c r="P33" s="250"/>
      <c r="Q33" s="250"/>
      <c r="R33" s="250"/>
      <c r="S33" s="250"/>
    </row>
    <row r="34" spans="1:19" x14ac:dyDescent="0.2">
      <c r="A34" s="250"/>
      <c r="B34" s="250"/>
      <c r="C34" s="250"/>
      <c r="D34" s="250" t="s">
        <v>590</v>
      </c>
      <c r="E34" s="250"/>
      <c r="F34" s="250"/>
      <c r="G34" s="250"/>
      <c r="H34" s="250"/>
      <c r="I34" s="250"/>
      <c r="J34" s="250"/>
      <c r="K34" s="250"/>
      <c r="L34" s="250"/>
      <c r="M34" s="250"/>
      <c r="N34" s="250"/>
      <c r="O34" s="250"/>
      <c r="P34" s="250"/>
      <c r="Q34" s="250"/>
      <c r="R34" s="250"/>
      <c r="S34" s="250"/>
    </row>
    <row r="35" spans="1:19" x14ac:dyDescent="0.2">
      <c r="A35" s="250"/>
      <c r="B35" s="250"/>
      <c r="C35" s="250"/>
      <c r="D35" s="250" t="s">
        <v>591</v>
      </c>
      <c r="E35" s="250"/>
      <c r="F35" s="250"/>
      <c r="G35" s="250"/>
      <c r="H35" s="250"/>
      <c r="I35" s="250"/>
      <c r="J35" s="250"/>
      <c r="K35" s="250"/>
      <c r="L35" s="250"/>
      <c r="M35" s="250"/>
      <c r="N35" s="250"/>
      <c r="O35" s="250"/>
      <c r="P35" s="250"/>
      <c r="Q35" s="250"/>
      <c r="R35" s="250"/>
      <c r="S35" s="250"/>
    </row>
    <row r="36" spans="1:19" x14ac:dyDescent="0.2">
      <c r="A36" s="250"/>
      <c r="B36" s="250"/>
      <c r="C36" s="250"/>
      <c r="D36" s="250" t="s">
        <v>592</v>
      </c>
      <c r="E36" s="250"/>
      <c r="F36" s="250"/>
      <c r="G36" s="250"/>
      <c r="H36" s="250"/>
      <c r="I36" s="250"/>
      <c r="J36" s="250"/>
      <c r="K36" s="250"/>
      <c r="L36" s="250"/>
      <c r="M36" s="250"/>
      <c r="N36" s="250"/>
      <c r="O36" s="250"/>
      <c r="P36" s="250"/>
      <c r="Q36" s="250"/>
      <c r="R36" s="250"/>
      <c r="S36" s="250"/>
    </row>
    <row r="37" spans="1:19" x14ac:dyDescent="0.2">
      <c r="A37" s="250"/>
      <c r="B37" s="250"/>
      <c r="C37" s="250"/>
      <c r="D37" s="250"/>
      <c r="E37" s="250"/>
      <c r="F37" s="250"/>
      <c r="G37" s="250"/>
      <c r="H37" s="250"/>
      <c r="I37" s="250"/>
      <c r="J37" s="250"/>
      <c r="K37" s="250"/>
      <c r="L37" s="250"/>
      <c r="M37" s="250"/>
      <c r="N37" s="250"/>
      <c r="O37" s="250"/>
      <c r="P37" s="250"/>
      <c r="Q37" s="250"/>
      <c r="R37" s="250"/>
      <c r="S37" s="250"/>
    </row>
    <row r="38" spans="1:19" x14ac:dyDescent="0.2">
      <c r="A38" s="250"/>
      <c r="B38" s="250"/>
      <c r="D38" s="286" t="s">
        <v>890</v>
      </c>
      <c r="E38" s="250" t="s">
        <v>914</v>
      </c>
      <c r="F38" s="250"/>
      <c r="G38" s="250"/>
      <c r="H38" s="250"/>
      <c r="I38" s="250"/>
      <c r="J38" s="250"/>
      <c r="K38" s="250"/>
      <c r="L38" s="250"/>
      <c r="M38" s="250"/>
      <c r="N38" s="250"/>
      <c r="O38" s="250"/>
      <c r="P38" s="250"/>
      <c r="Q38" s="250"/>
      <c r="R38" s="250"/>
      <c r="S38" s="250"/>
    </row>
    <row r="39" spans="1:19" x14ac:dyDescent="0.2">
      <c r="A39" s="250"/>
      <c r="B39" s="250"/>
      <c r="C39" s="250"/>
      <c r="D39" s="250" t="s">
        <v>600</v>
      </c>
      <c r="E39" s="250"/>
      <c r="F39" s="250"/>
      <c r="G39" s="250"/>
      <c r="H39" s="250"/>
      <c r="I39" s="250"/>
      <c r="J39" s="250"/>
      <c r="K39" s="250"/>
      <c r="L39" s="250"/>
      <c r="M39" s="250"/>
      <c r="N39" s="250"/>
      <c r="O39" s="250"/>
      <c r="P39" s="250"/>
      <c r="Q39" s="250"/>
      <c r="R39" s="250"/>
      <c r="S39" s="250"/>
    </row>
    <row r="40" spans="1:19" x14ac:dyDescent="0.2">
      <c r="A40" s="250"/>
      <c r="B40" s="250"/>
      <c r="C40" s="250"/>
      <c r="D40" s="250" t="s">
        <v>891</v>
      </c>
      <c r="E40" s="250"/>
      <c r="F40" s="250"/>
      <c r="G40" s="250"/>
      <c r="H40" s="250"/>
      <c r="I40" s="250"/>
      <c r="J40" s="250"/>
      <c r="K40" s="250"/>
      <c r="L40" s="250"/>
      <c r="M40" s="250"/>
      <c r="N40" s="250"/>
      <c r="O40" s="250"/>
      <c r="P40" s="250"/>
      <c r="Q40" s="250"/>
      <c r="R40" s="250"/>
      <c r="S40" s="250"/>
    </row>
    <row r="41" spans="1:19" x14ac:dyDescent="0.2">
      <c r="A41" s="250"/>
      <c r="B41" s="250"/>
      <c r="C41" s="250"/>
      <c r="D41" s="250"/>
      <c r="E41" s="250"/>
      <c r="F41" s="250"/>
      <c r="G41" s="250"/>
      <c r="H41" s="250"/>
      <c r="I41" s="250"/>
      <c r="J41" s="250"/>
      <c r="K41" s="250"/>
      <c r="L41" s="250"/>
      <c r="M41" s="250"/>
      <c r="N41" s="250"/>
      <c r="O41" s="250"/>
      <c r="P41" s="250"/>
      <c r="Q41" s="250"/>
      <c r="R41" s="250"/>
      <c r="S41" s="250"/>
    </row>
    <row r="42" spans="1:19" x14ac:dyDescent="0.2">
      <c r="A42" s="250"/>
      <c r="B42" s="735"/>
      <c r="C42" s="250"/>
      <c r="D42" s="686" t="s">
        <v>890</v>
      </c>
      <c r="E42" s="250" t="s">
        <v>601</v>
      </c>
      <c r="F42" s="250"/>
      <c r="G42" s="250"/>
      <c r="H42" s="250"/>
      <c r="I42" s="250"/>
      <c r="J42" s="250"/>
      <c r="K42" s="250"/>
      <c r="L42" s="250"/>
      <c r="M42" s="250"/>
      <c r="N42" s="250"/>
      <c r="O42" s="250"/>
      <c r="P42" s="250"/>
      <c r="Q42" s="250"/>
      <c r="R42" s="250"/>
      <c r="S42" s="250"/>
    </row>
    <row r="43" spans="1:19" x14ac:dyDescent="0.2">
      <c r="A43" s="250"/>
      <c r="B43" s="250"/>
      <c r="C43" s="250"/>
      <c r="D43" s="736"/>
      <c r="E43" s="250" t="s">
        <v>602</v>
      </c>
      <c r="F43" s="250"/>
      <c r="G43" s="250"/>
      <c r="H43" s="250"/>
      <c r="I43" s="250"/>
      <c r="J43" s="250"/>
      <c r="K43" s="250"/>
      <c r="L43" s="250"/>
      <c r="M43" s="250"/>
      <c r="N43" s="250"/>
      <c r="O43" s="250"/>
      <c r="P43" s="250"/>
      <c r="Q43" s="250"/>
      <c r="R43" s="250"/>
      <c r="S43" s="250"/>
    </row>
    <row r="44" spans="1:19" x14ac:dyDescent="0.2">
      <c r="A44" s="250"/>
      <c r="B44" s="250"/>
      <c r="C44" s="250"/>
      <c r="D44" s="734"/>
      <c r="E44" s="250"/>
      <c r="F44" s="250"/>
      <c r="G44" s="250"/>
      <c r="H44" s="250"/>
      <c r="I44" s="250"/>
      <c r="J44" s="250"/>
      <c r="K44" s="250"/>
      <c r="L44" s="250"/>
      <c r="M44" s="250"/>
      <c r="N44" s="250"/>
      <c r="O44" s="250"/>
      <c r="P44" s="250"/>
      <c r="Q44" s="250"/>
      <c r="R44" s="250"/>
      <c r="S44" s="250"/>
    </row>
    <row r="45" spans="1:19" x14ac:dyDescent="0.2">
      <c r="A45" s="250"/>
      <c r="B45" s="250"/>
      <c r="C45" s="250"/>
      <c r="D45" s="737" t="s">
        <v>890</v>
      </c>
      <c r="E45" s="250" t="s">
        <v>913</v>
      </c>
      <c r="F45" s="250"/>
      <c r="G45" s="250"/>
      <c r="H45" s="250"/>
      <c r="I45" s="250"/>
      <c r="J45" s="250"/>
      <c r="K45" s="250"/>
      <c r="L45" s="250"/>
      <c r="M45" s="250"/>
      <c r="N45" s="250"/>
      <c r="O45" s="250"/>
      <c r="P45" s="250"/>
      <c r="Q45" s="250"/>
      <c r="R45" s="250"/>
      <c r="S45" s="250"/>
    </row>
    <row r="46" spans="1:19" x14ac:dyDescent="0.2">
      <c r="A46" s="250"/>
      <c r="B46" s="250"/>
      <c r="C46" s="250"/>
      <c r="D46" s="250" t="s">
        <v>894</v>
      </c>
      <c r="E46" s="250"/>
      <c r="F46" s="250"/>
      <c r="G46" s="250"/>
      <c r="H46" s="250"/>
      <c r="I46" s="250"/>
      <c r="J46" s="250"/>
      <c r="K46" s="250"/>
      <c r="L46" s="250"/>
      <c r="M46" s="250"/>
      <c r="N46" s="250"/>
      <c r="O46" s="250"/>
      <c r="P46" s="250"/>
      <c r="Q46" s="250"/>
      <c r="R46" s="250"/>
      <c r="S46" s="250"/>
    </row>
    <row r="47" spans="1:19" x14ac:dyDescent="0.2">
      <c r="A47" s="250"/>
      <c r="B47" s="250"/>
      <c r="C47" s="250"/>
      <c r="D47" s="250"/>
      <c r="E47" s="250"/>
      <c r="F47" s="250"/>
      <c r="G47" s="250"/>
      <c r="H47" s="250"/>
      <c r="I47" s="250"/>
      <c r="J47" s="250"/>
      <c r="K47" s="250"/>
      <c r="L47" s="250"/>
      <c r="M47" s="250"/>
      <c r="N47" s="250"/>
      <c r="O47" s="250"/>
      <c r="P47" s="250"/>
      <c r="Q47" s="250"/>
      <c r="R47" s="250"/>
      <c r="S47" s="250"/>
    </row>
    <row r="48" spans="1:19" x14ac:dyDescent="0.2">
      <c r="A48" s="250"/>
      <c r="B48" s="250"/>
      <c r="C48" s="250"/>
      <c r="D48" s="376" t="s">
        <v>890</v>
      </c>
      <c r="E48" s="262" t="s">
        <v>496</v>
      </c>
      <c r="F48" s="687" t="s">
        <v>890</v>
      </c>
      <c r="G48" s="250" t="s">
        <v>593</v>
      </c>
      <c r="H48" s="250"/>
      <c r="I48" s="250"/>
      <c r="J48" s="250"/>
      <c r="K48" s="250"/>
      <c r="L48" s="250"/>
      <c r="M48" s="250"/>
      <c r="N48" s="250"/>
      <c r="O48" s="250"/>
      <c r="P48" s="250"/>
      <c r="Q48" s="250"/>
      <c r="R48" s="250"/>
      <c r="S48" s="250"/>
    </row>
    <row r="49" spans="1:19" x14ac:dyDescent="0.2">
      <c r="A49" s="250"/>
      <c r="B49" s="250"/>
      <c r="C49" s="250"/>
      <c r="D49" s="250" t="s">
        <v>594</v>
      </c>
      <c r="E49" s="250"/>
      <c r="F49" s="250"/>
      <c r="G49" s="250"/>
      <c r="H49" s="250"/>
      <c r="I49" s="250"/>
      <c r="J49" s="250"/>
      <c r="K49" s="250"/>
      <c r="L49" s="250"/>
      <c r="M49" s="250"/>
      <c r="N49" s="250"/>
      <c r="O49" s="250"/>
      <c r="P49" s="250"/>
      <c r="Q49" s="250"/>
      <c r="R49" s="250"/>
      <c r="S49" s="250"/>
    </row>
    <row r="50" spans="1:19" ht="13.5" thickBot="1" x14ac:dyDescent="0.25">
      <c r="A50" s="250"/>
      <c r="B50" s="250"/>
      <c r="C50" s="250"/>
      <c r="D50" s="250"/>
      <c r="E50" s="250"/>
      <c r="F50" s="250"/>
      <c r="G50" s="250"/>
      <c r="H50" s="250"/>
      <c r="I50" s="250"/>
      <c r="J50" s="250"/>
      <c r="K50" s="250"/>
      <c r="L50" s="250"/>
      <c r="M50" s="250"/>
      <c r="N50" s="250"/>
      <c r="O50" s="250"/>
      <c r="P50" s="250"/>
      <c r="Q50" s="250"/>
      <c r="R50" s="250"/>
      <c r="S50" s="250"/>
    </row>
    <row r="51" spans="1:19" ht="13.5" thickBot="1" x14ac:dyDescent="0.25">
      <c r="A51" s="250"/>
      <c r="B51" s="250"/>
      <c r="C51" s="250"/>
      <c r="D51" s="53" t="s">
        <v>890</v>
      </c>
      <c r="E51" s="250" t="s">
        <v>908</v>
      </c>
      <c r="F51" s="250"/>
      <c r="G51" s="250"/>
      <c r="H51" s="250"/>
      <c r="I51" s="250"/>
      <c r="J51" s="250"/>
      <c r="K51" s="250"/>
      <c r="L51" s="250"/>
      <c r="M51" s="250"/>
      <c r="N51" s="250"/>
      <c r="O51" s="250"/>
      <c r="P51" s="250"/>
      <c r="Q51" s="250"/>
      <c r="R51" s="250"/>
      <c r="S51" s="250"/>
    </row>
    <row r="52" spans="1:19" x14ac:dyDescent="0.2">
      <c r="A52" s="250"/>
      <c r="B52" s="250"/>
      <c r="C52" s="250"/>
      <c r="E52" s="250"/>
      <c r="F52" s="250"/>
      <c r="G52" s="250"/>
      <c r="H52" s="250"/>
      <c r="I52" s="250"/>
      <c r="J52" s="250"/>
      <c r="K52" s="250"/>
      <c r="L52" s="250"/>
      <c r="M52" s="250"/>
      <c r="N52" s="250"/>
      <c r="O52" s="250"/>
      <c r="P52" s="250"/>
      <c r="Q52" s="250"/>
      <c r="R52" s="250"/>
      <c r="S52" s="250"/>
    </row>
    <row r="53" spans="1:19" x14ac:dyDescent="0.2">
      <c r="A53" s="250"/>
      <c r="B53" s="250"/>
      <c r="C53" s="250"/>
      <c r="D53" s="688" t="s">
        <v>55</v>
      </c>
      <c r="E53" s="262" t="s">
        <v>496</v>
      </c>
      <c r="F53" s="689" t="s">
        <v>55</v>
      </c>
      <c r="G53" s="21" t="s">
        <v>496</v>
      </c>
      <c r="H53" s="690" t="s">
        <v>55</v>
      </c>
      <c r="I53" t="s">
        <v>902</v>
      </c>
      <c r="Q53" s="93"/>
      <c r="R53" s="93"/>
      <c r="S53" s="250"/>
    </row>
    <row r="54" spans="1:19" x14ac:dyDescent="0.2">
      <c r="A54" s="250"/>
      <c r="B54" s="250"/>
      <c r="C54" s="250"/>
      <c r="D54" s="250" t="s">
        <v>895</v>
      </c>
      <c r="E54" s="250"/>
      <c r="F54" s="250"/>
      <c r="G54" s="250"/>
      <c r="H54" s="250"/>
      <c r="I54" s="250"/>
      <c r="J54" s="250"/>
      <c r="K54" s="250"/>
      <c r="L54" s="250"/>
      <c r="M54" s="250"/>
      <c r="N54" s="250"/>
      <c r="O54" s="250"/>
      <c r="P54" s="250"/>
      <c r="Q54" s="250"/>
      <c r="R54" s="250"/>
      <c r="S54" s="250"/>
    </row>
    <row r="55" spans="1:19" x14ac:dyDescent="0.2">
      <c r="A55" s="250"/>
      <c r="B55" s="250"/>
      <c r="C55" s="250"/>
      <c r="D55" s="250" t="s">
        <v>896</v>
      </c>
      <c r="E55" s="250"/>
      <c r="F55" s="250"/>
      <c r="G55" s="250"/>
      <c r="H55" s="250"/>
      <c r="I55" s="250"/>
      <c r="J55" s="250"/>
      <c r="K55" s="250"/>
      <c r="L55" s="250"/>
      <c r="M55" s="250"/>
      <c r="N55" s="250"/>
      <c r="O55" s="250"/>
      <c r="P55" s="250"/>
      <c r="Q55" s="250"/>
      <c r="R55" s="250"/>
      <c r="S55" s="250"/>
    </row>
    <row r="56" spans="1:19" x14ac:dyDescent="0.2">
      <c r="A56" s="250"/>
      <c r="B56" s="250"/>
      <c r="C56" s="250"/>
      <c r="D56" s="250" t="s">
        <v>787</v>
      </c>
      <c r="E56" s="250"/>
      <c r="F56" s="250"/>
      <c r="G56" s="250"/>
      <c r="H56" s="250"/>
      <c r="I56" s="250"/>
      <c r="J56" s="250"/>
      <c r="K56" s="250"/>
      <c r="L56" s="250"/>
      <c r="M56" s="250"/>
      <c r="N56" s="250"/>
      <c r="O56" s="250"/>
      <c r="P56" s="250"/>
      <c r="Q56" s="250"/>
      <c r="R56" s="250"/>
      <c r="S56" s="250"/>
    </row>
    <row r="57" spans="1:19" x14ac:dyDescent="0.2">
      <c r="A57" s="250"/>
      <c r="B57" s="250"/>
      <c r="C57" s="250"/>
      <c r="D57" s="250"/>
      <c r="E57" s="250"/>
      <c r="F57" s="250"/>
      <c r="G57" s="250"/>
      <c r="H57" s="250"/>
      <c r="I57" s="250"/>
      <c r="J57" s="250"/>
      <c r="K57" s="250"/>
      <c r="L57" s="250"/>
      <c r="M57" s="250"/>
      <c r="N57" s="250"/>
      <c r="O57" s="250"/>
      <c r="P57" s="250"/>
      <c r="Q57" s="250"/>
      <c r="R57" s="250"/>
      <c r="S57" s="250"/>
    </row>
    <row r="58" spans="1:19" x14ac:dyDescent="0.2">
      <c r="A58" s="250"/>
      <c r="B58" s="250"/>
      <c r="C58" s="250"/>
      <c r="D58" s="264" t="s">
        <v>897</v>
      </c>
      <c r="E58" s="265"/>
      <c r="F58" t="s">
        <v>905</v>
      </c>
      <c r="K58" s="93"/>
      <c r="L58" s="93"/>
      <c r="M58" s="93"/>
      <c r="N58" s="93"/>
      <c r="O58" s="93"/>
      <c r="P58" s="93"/>
      <c r="Q58" s="93"/>
      <c r="R58" s="93"/>
      <c r="S58" s="250"/>
    </row>
    <row r="59" spans="1:19" x14ac:dyDescent="0.2">
      <c r="A59" s="250"/>
      <c r="B59" s="250"/>
      <c r="C59" s="250"/>
      <c r="E59" s="250"/>
      <c r="F59" s="250"/>
      <c r="G59" s="250"/>
      <c r="H59" s="250"/>
      <c r="I59" s="250"/>
      <c r="J59" s="250"/>
      <c r="K59" s="250"/>
      <c r="L59" s="250"/>
      <c r="M59" s="250"/>
      <c r="N59" s="250"/>
      <c r="O59" s="250"/>
      <c r="P59" s="250"/>
      <c r="Q59" s="250"/>
      <c r="R59" s="250"/>
      <c r="S59" s="250"/>
    </row>
    <row r="60" spans="1:19" x14ac:dyDescent="0.2">
      <c r="A60" s="250"/>
      <c r="B60" s="250"/>
      <c r="C60" s="250"/>
      <c r="D60" s="738" t="s">
        <v>890</v>
      </c>
      <c r="E60" s="250" t="s">
        <v>904</v>
      </c>
      <c r="F60" s="250"/>
      <c r="G60" s="250"/>
      <c r="H60" s="250"/>
      <c r="I60" s="250"/>
      <c r="J60" s="250"/>
      <c r="K60" s="250"/>
      <c r="L60" s="250"/>
      <c r="M60" s="250"/>
      <c r="N60" s="250"/>
      <c r="O60" s="250"/>
      <c r="P60" s="250"/>
      <c r="Q60" s="250"/>
      <c r="R60" s="250"/>
      <c r="S60" s="250"/>
    </row>
    <row r="61" spans="1:19" x14ac:dyDescent="0.2">
      <c r="A61" s="250"/>
      <c r="B61" s="250"/>
      <c r="C61" s="250"/>
      <c r="D61" s="250" t="s">
        <v>898</v>
      </c>
      <c r="E61" s="250"/>
      <c r="F61" s="250"/>
      <c r="G61" s="250"/>
      <c r="H61" s="250"/>
      <c r="I61" s="250"/>
      <c r="J61" s="250"/>
      <c r="K61" s="250"/>
      <c r="L61" s="250"/>
      <c r="M61" s="250"/>
      <c r="N61" s="250"/>
      <c r="O61" s="250"/>
      <c r="P61" s="250"/>
      <c r="Q61" s="250"/>
      <c r="R61" s="250"/>
      <c r="S61" s="250"/>
    </row>
    <row r="62" spans="1:19" x14ac:dyDescent="0.2">
      <c r="A62" s="250"/>
      <c r="B62" s="250"/>
      <c r="C62" s="250"/>
      <c r="D62" s="250"/>
      <c r="E62" s="250"/>
      <c r="F62" s="250"/>
      <c r="G62" s="250"/>
      <c r="H62" s="250"/>
      <c r="I62" s="250"/>
      <c r="J62" s="250"/>
      <c r="K62" s="250"/>
      <c r="L62" s="250"/>
      <c r="M62" s="250"/>
      <c r="N62" s="250"/>
      <c r="O62" s="250"/>
      <c r="P62" s="250"/>
      <c r="Q62" s="250"/>
      <c r="R62" s="250"/>
      <c r="S62" s="250"/>
    </row>
    <row r="63" spans="1:19" x14ac:dyDescent="0.2">
      <c r="A63" s="250"/>
      <c r="B63" s="250"/>
      <c r="C63" s="250"/>
      <c r="D63" s="704" t="s">
        <v>899</v>
      </c>
      <c r="E63" s="250" t="s">
        <v>603</v>
      </c>
      <c r="F63" s="250"/>
      <c r="G63" s="250"/>
      <c r="H63" s="250"/>
      <c r="I63" s="250"/>
      <c r="J63" s="250"/>
      <c r="K63" s="250"/>
      <c r="L63" s="250"/>
      <c r="M63" s="250"/>
      <c r="N63" s="250"/>
      <c r="O63" s="250"/>
      <c r="P63" s="250"/>
      <c r="Q63" s="250"/>
      <c r="R63" s="250"/>
      <c r="S63" s="250"/>
    </row>
    <row r="64" spans="1:19" x14ac:dyDescent="0.2">
      <c r="A64" s="250"/>
      <c r="B64" s="250"/>
      <c r="C64" s="250"/>
      <c r="D64" s="250"/>
      <c r="E64" s="250"/>
      <c r="F64" s="250"/>
      <c r="G64" s="250"/>
      <c r="H64" s="250"/>
      <c r="I64" s="250"/>
      <c r="J64" s="250"/>
      <c r="K64" s="250"/>
      <c r="L64" s="250"/>
      <c r="M64" s="250"/>
      <c r="N64" s="250"/>
      <c r="O64" s="250"/>
      <c r="P64" s="250"/>
      <c r="Q64" s="250"/>
      <c r="R64" s="250"/>
      <c r="S64" s="250"/>
    </row>
    <row r="65" spans="1:19" x14ac:dyDescent="0.2">
      <c r="A65" s="250"/>
      <c r="B65" s="250"/>
      <c r="C65" s="250"/>
      <c r="D65" s="705" t="s">
        <v>900</v>
      </c>
      <c r="E65" s="515"/>
      <c r="F65" s="250" t="s">
        <v>889</v>
      </c>
      <c r="G65" s="250"/>
      <c r="H65" s="250"/>
      <c r="I65" s="250"/>
      <c r="J65" s="250"/>
      <c r="K65" s="250"/>
      <c r="L65" s="250"/>
      <c r="M65" s="250"/>
      <c r="N65" s="250"/>
      <c r="O65" s="250"/>
      <c r="P65" s="250"/>
      <c r="Q65" s="250"/>
      <c r="R65" s="250"/>
      <c r="S65" s="250"/>
    </row>
    <row r="66" spans="1:19" x14ac:dyDescent="0.2">
      <c r="A66" s="250"/>
      <c r="B66" s="250"/>
      <c r="C66" s="250"/>
      <c r="D66" s="250"/>
      <c r="E66" s="250"/>
      <c r="F66" s="250"/>
      <c r="G66" s="250"/>
      <c r="H66" s="250"/>
      <c r="I66" s="250"/>
      <c r="J66" s="250"/>
      <c r="K66" s="250"/>
      <c r="L66" s="250"/>
      <c r="M66" s="250"/>
      <c r="N66" s="250"/>
      <c r="O66" s="250"/>
      <c r="P66" s="250"/>
      <c r="Q66" s="250"/>
      <c r="R66" s="250"/>
      <c r="S66" s="250"/>
    </row>
    <row r="67" spans="1:19" x14ac:dyDescent="0.2">
      <c r="A67" s="250"/>
      <c r="B67" s="250"/>
      <c r="C67" s="250"/>
      <c r="D67" s="250"/>
      <c r="E67" s="250"/>
      <c r="F67" s="250"/>
      <c r="G67" s="250"/>
      <c r="H67" s="250"/>
      <c r="I67" s="250"/>
      <c r="J67" s="250"/>
      <c r="K67" s="250"/>
      <c r="L67" s="250"/>
      <c r="M67" s="250"/>
      <c r="N67" s="250"/>
      <c r="O67" s="250"/>
      <c r="P67" s="250"/>
      <c r="Q67" s="250"/>
      <c r="R67" s="250"/>
      <c r="S67" s="250"/>
    </row>
    <row r="68" spans="1:19" x14ac:dyDescent="0.2">
      <c r="A68" s="250"/>
      <c r="B68" s="250"/>
      <c r="C68" s="250"/>
      <c r="D68" s="250"/>
      <c r="E68" s="250"/>
      <c r="F68" s="250"/>
      <c r="G68" s="250"/>
      <c r="H68" s="250"/>
      <c r="I68" s="250"/>
      <c r="J68" s="250"/>
      <c r="K68" s="250"/>
      <c r="L68" s="250"/>
      <c r="M68" s="250"/>
      <c r="N68" s="250"/>
      <c r="O68" s="250"/>
      <c r="P68" s="250"/>
      <c r="Q68" s="250"/>
      <c r="R68" s="250"/>
      <c r="S68" s="250"/>
    </row>
    <row r="69" spans="1:19" x14ac:dyDescent="0.2">
      <c r="A69" s="250"/>
      <c r="B69" s="250"/>
      <c r="C69" s="250"/>
      <c r="D69" s="250"/>
      <c r="E69" s="250"/>
      <c r="F69" s="250"/>
      <c r="G69" s="250"/>
      <c r="H69" s="250"/>
      <c r="I69" s="250"/>
      <c r="J69" s="250"/>
      <c r="K69" s="250"/>
      <c r="L69" s="250"/>
      <c r="M69" s="250"/>
      <c r="N69" s="250"/>
      <c r="O69" s="250"/>
      <c r="P69" s="250"/>
      <c r="Q69" s="250"/>
      <c r="R69" s="250"/>
      <c r="S69" s="250"/>
    </row>
    <row r="70" spans="1:19" x14ac:dyDescent="0.2">
      <c r="A70" s="250"/>
      <c r="B70" s="250"/>
      <c r="C70" s="712" t="s">
        <v>4</v>
      </c>
      <c r="D70" s="714"/>
      <c r="E70" s="250" t="s">
        <v>394</v>
      </c>
      <c r="F70" s="250"/>
      <c r="G70" s="250"/>
      <c r="H70" s="250"/>
      <c r="I70" s="250"/>
      <c r="J70" s="250"/>
      <c r="K70" s="250"/>
      <c r="L70" s="250"/>
      <c r="M70" s="250"/>
      <c r="N70" s="250"/>
      <c r="O70" s="250"/>
      <c r="P70" s="250"/>
      <c r="Q70" s="250"/>
      <c r="R70" s="250"/>
    </row>
    <row r="71" spans="1:19" x14ac:dyDescent="0.2">
      <c r="A71" s="250"/>
      <c r="B71" s="250"/>
      <c r="C71" s="250" t="s">
        <v>788</v>
      </c>
      <c r="D71" s="250"/>
      <c r="E71" s="250"/>
      <c r="F71" s="250"/>
      <c r="G71" s="250"/>
      <c r="H71" s="250"/>
      <c r="I71" s="250"/>
      <c r="J71" s="250"/>
      <c r="K71" s="250"/>
      <c r="L71" s="250"/>
      <c r="M71" s="250"/>
      <c r="N71" s="250"/>
      <c r="O71" s="250"/>
      <c r="P71" s="250"/>
      <c r="Q71" s="250"/>
      <c r="R71" s="250"/>
    </row>
    <row r="72" spans="1:19" x14ac:dyDescent="0.2">
      <c r="A72" s="250"/>
      <c r="B72" s="250"/>
      <c r="C72" s="250" t="s">
        <v>903</v>
      </c>
      <c r="D72" s="250"/>
      <c r="E72" s="250"/>
      <c r="F72" s="250"/>
      <c r="G72" s="250"/>
      <c r="H72" s="250"/>
      <c r="I72" s="250"/>
      <c r="J72" s="250"/>
      <c r="K72" s="250"/>
      <c r="L72" s="250"/>
      <c r="M72" s="250"/>
      <c r="N72" s="250"/>
      <c r="O72" s="250"/>
      <c r="P72" s="250"/>
      <c r="Q72" s="250"/>
      <c r="R72" s="250"/>
    </row>
    <row r="73" spans="1:19" x14ac:dyDescent="0.2">
      <c r="A73" s="250"/>
      <c r="B73" s="250"/>
      <c r="C73" s="250"/>
      <c r="D73" s="250"/>
      <c r="E73" s="250"/>
      <c r="F73" s="250"/>
      <c r="G73" s="250"/>
      <c r="H73" s="250"/>
      <c r="I73" s="250"/>
      <c r="J73" s="250"/>
      <c r="K73" s="250"/>
      <c r="L73" s="250"/>
      <c r="M73" s="250"/>
      <c r="N73" s="250"/>
      <c r="O73" s="250"/>
      <c r="P73" s="250"/>
      <c r="Q73" s="250"/>
      <c r="R73" s="250"/>
    </row>
    <row r="74" spans="1:19" x14ac:dyDescent="0.2">
      <c r="A74" s="250"/>
      <c r="B74" s="250"/>
      <c r="C74" s="250" t="s">
        <v>2</v>
      </c>
      <c r="D74" s="250"/>
      <c r="E74" s="250"/>
      <c r="F74" s="250"/>
      <c r="G74" s="250"/>
      <c r="H74" s="250"/>
      <c r="I74" s="250"/>
      <c r="J74" s="250"/>
      <c r="K74" s="250"/>
      <c r="L74" s="250"/>
      <c r="M74" s="250"/>
      <c r="N74" s="250"/>
      <c r="O74" s="250"/>
      <c r="P74" s="250"/>
      <c r="Q74" s="250"/>
      <c r="R74" s="250"/>
    </row>
    <row r="75" spans="1:19" x14ac:dyDescent="0.2">
      <c r="A75" s="250"/>
      <c r="B75" s="250"/>
      <c r="C75" s="250" t="s">
        <v>605</v>
      </c>
      <c r="D75" s="250"/>
      <c r="E75" s="250"/>
      <c r="F75" s="250"/>
      <c r="G75" s="250"/>
      <c r="H75" s="250"/>
      <c r="I75" s="250"/>
      <c r="J75" s="250"/>
      <c r="K75" s="250"/>
      <c r="L75" s="250"/>
      <c r="M75" s="250"/>
      <c r="N75" s="250"/>
      <c r="O75" s="250"/>
      <c r="P75" s="250"/>
      <c r="Q75" s="250"/>
      <c r="R75" s="250"/>
    </row>
    <row r="76" spans="1:19" x14ac:dyDescent="0.2">
      <c r="A76" s="250"/>
      <c r="B76" s="250"/>
      <c r="C76" s="250" t="s">
        <v>791</v>
      </c>
      <c r="D76" s="250"/>
      <c r="E76" s="250"/>
      <c r="F76" s="250"/>
      <c r="G76" s="250"/>
      <c r="H76" s="250"/>
      <c r="I76" s="250"/>
      <c r="J76" s="250"/>
      <c r="K76" s="250"/>
      <c r="L76" s="250"/>
      <c r="M76" s="250"/>
      <c r="N76" s="250"/>
      <c r="O76" s="250"/>
      <c r="P76" s="250"/>
      <c r="Q76" s="250"/>
      <c r="R76" s="250"/>
    </row>
    <row r="77" spans="1:19" x14ac:dyDescent="0.2">
      <c r="A77" s="250"/>
      <c r="B77" s="250"/>
      <c r="C77" s="250" t="s">
        <v>606</v>
      </c>
      <c r="D77" s="250"/>
      <c r="E77" s="250"/>
      <c r="F77" s="250"/>
      <c r="G77" s="250"/>
      <c r="H77" s="250"/>
      <c r="I77" s="250"/>
      <c r="J77" s="250"/>
      <c r="K77" s="250"/>
      <c r="L77" s="250"/>
      <c r="M77" s="250"/>
      <c r="N77" s="250"/>
      <c r="O77" s="250"/>
      <c r="P77" s="250"/>
      <c r="Q77" s="250"/>
      <c r="R77" s="250"/>
    </row>
    <row r="78" spans="1:19" x14ac:dyDescent="0.2">
      <c r="A78" s="250"/>
      <c r="B78" s="250"/>
      <c r="C78" s="250" t="s">
        <v>607</v>
      </c>
      <c r="D78" s="250"/>
      <c r="E78" s="250"/>
      <c r="F78" s="250"/>
      <c r="G78" s="250"/>
      <c r="H78" s="250"/>
      <c r="I78" s="250"/>
      <c r="J78" s="250"/>
      <c r="K78" s="250"/>
      <c r="L78" s="250"/>
      <c r="M78" s="250"/>
      <c r="N78" s="250"/>
      <c r="O78" s="250"/>
      <c r="P78" s="250"/>
      <c r="Q78" s="250"/>
      <c r="R78" s="250"/>
    </row>
    <row r="79" spans="1:19" x14ac:dyDescent="0.2">
      <c r="A79" s="250"/>
      <c r="B79" s="250"/>
      <c r="C79" s="250" t="s">
        <v>608</v>
      </c>
      <c r="D79" s="250"/>
      <c r="E79" s="250"/>
      <c r="F79" s="250"/>
      <c r="G79" s="250"/>
      <c r="H79" s="250"/>
      <c r="I79" s="250"/>
      <c r="J79" s="250"/>
      <c r="K79" s="250"/>
      <c r="L79" s="250"/>
      <c r="M79" s="250"/>
      <c r="N79" s="250"/>
      <c r="O79" s="250"/>
      <c r="P79" s="250"/>
      <c r="Q79" s="250"/>
      <c r="R79" s="250"/>
    </row>
    <row r="80" spans="1:19" x14ac:dyDescent="0.2">
      <c r="A80" s="250"/>
      <c r="B80" s="250"/>
      <c r="C80" s="250" t="s">
        <v>37</v>
      </c>
      <c r="D80" s="250"/>
      <c r="E80" s="250"/>
      <c r="F80" s="250"/>
      <c r="G80" s="250"/>
      <c r="H80" s="250"/>
      <c r="I80" s="250"/>
      <c r="J80" s="250"/>
      <c r="K80" s="250"/>
      <c r="L80" s="250"/>
      <c r="M80" s="250"/>
      <c r="N80" s="250"/>
      <c r="O80" s="250"/>
      <c r="P80" s="250"/>
      <c r="Q80" s="250"/>
      <c r="R80" s="250"/>
    </row>
    <row r="81" spans="1:18" x14ac:dyDescent="0.2">
      <c r="A81" s="250"/>
      <c r="B81" s="250"/>
      <c r="C81" s="250"/>
      <c r="D81" s="250"/>
      <c r="E81" s="250"/>
      <c r="F81" s="250"/>
      <c r="G81" s="250"/>
      <c r="H81" s="250"/>
      <c r="I81" s="250"/>
      <c r="J81" s="250"/>
      <c r="K81" s="250"/>
      <c r="L81" s="250"/>
      <c r="M81" s="250"/>
      <c r="N81" s="250"/>
      <c r="O81" s="250"/>
      <c r="P81" s="250"/>
      <c r="Q81" s="250"/>
      <c r="R81" s="250"/>
    </row>
    <row r="82" spans="1:18" x14ac:dyDescent="0.2">
      <c r="A82" s="250"/>
      <c r="B82" s="250"/>
      <c r="C82" s="250"/>
      <c r="D82" s="250"/>
      <c r="E82" s="250"/>
      <c r="F82" s="250"/>
      <c r="G82" s="250"/>
      <c r="H82" s="250"/>
      <c r="I82" s="250"/>
      <c r="J82" s="250"/>
      <c r="K82" s="250"/>
      <c r="L82" s="250"/>
      <c r="M82" s="250"/>
      <c r="N82" s="250"/>
      <c r="O82" s="250"/>
      <c r="P82" s="250"/>
      <c r="Q82" s="250"/>
      <c r="R82" s="250"/>
    </row>
    <row r="83" spans="1:18" x14ac:dyDescent="0.2">
      <c r="A83" s="250"/>
      <c r="B83" s="250"/>
      <c r="C83" s="712" t="s">
        <v>3</v>
      </c>
      <c r="D83" s="713"/>
      <c r="E83" s="714"/>
      <c r="F83" s="250" t="s">
        <v>1</v>
      </c>
      <c r="G83" s="250"/>
      <c r="H83" s="250"/>
      <c r="I83" s="250"/>
      <c r="J83" s="250"/>
      <c r="K83" s="250"/>
      <c r="L83" s="250"/>
      <c r="M83" s="250"/>
      <c r="N83" s="250"/>
      <c r="O83" s="250"/>
      <c r="P83" s="250"/>
      <c r="Q83" s="250"/>
      <c r="R83" s="250"/>
    </row>
    <row r="84" spans="1:18" x14ac:dyDescent="0.2">
      <c r="A84" s="250"/>
      <c r="B84" s="250"/>
      <c r="C84" s="250" t="s">
        <v>795</v>
      </c>
      <c r="D84" s="250"/>
      <c r="E84" s="250"/>
      <c r="F84" s="250"/>
      <c r="G84" s="250"/>
      <c r="H84" s="250"/>
      <c r="I84" s="250"/>
      <c r="J84" s="250"/>
      <c r="K84" s="250"/>
      <c r="L84" s="250"/>
      <c r="M84" s="250"/>
      <c r="N84" s="250"/>
      <c r="O84" s="250"/>
      <c r="P84" s="250"/>
      <c r="Q84" s="250"/>
      <c r="R84" s="250"/>
    </row>
    <row r="85" spans="1:18" x14ac:dyDescent="0.2">
      <c r="A85" s="250"/>
      <c r="B85" s="250"/>
      <c r="C85" s="250" t="s">
        <v>0</v>
      </c>
      <c r="D85" s="250"/>
      <c r="E85" s="250"/>
      <c r="F85" s="250"/>
      <c r="G85" s="250"/>
      <c r="H85" s="250"/>
      <c r="I85" s="250"/>
      <c r="J85" s="250"/>
      <c r="K85" s="250"/>
      <c r="L85" s="250"/>
      <c r="M85" s="250"/>
      <c r="N85" s="250"/>
      <c r="O85" s="250"/>
      <c r="P85" s="250"/>
      <c r="Q85" s="250"/>
      <c r="R85" s="250"/>
    </row>
    <row r="86" spans="1:18" x14ac:dyDescent="0.2">
      <c r="A86" s="250"/>
      <c r="B86" s="250"/>
      <c r="C86" s="250" t="s">
        <v>5</v>
      </c>
      <c r="D86" s="250"/>
      <c r="E86" s="250"/>
      <c r="F86" s="250"/>
      <c r="G86" s="250"/>
      <c r="H86" s="250"/>
      <c r="I86" s="250"/>
      <c r="J86" s="250"/>
      <c r="K86" s="250"/>
      <c r="L86" s="250"/>
      <c r="M86" s="250"/>
      <c r="N86" s="250"/>
      <c r="O86" s="250"/>
      <c r="P86" s="250"/>
      <c r="Q86" s="250"/>
      <c r="R86" s="250"/>
    </row>
    <row r="87" spans="1:18" x14ac:dyDescent="0.2">
      <c r="A87" s="250"/>
      <c r="B87" s="250"/>
      <c r="C87" s="250" t="s">
        <v>609</v>
      </c>
      <c r="D87" s="250"/>
      <c r="E87" s="250"/>
      <c r="F87" s="250"/>
      <c r="G87" s="250"/>
      <c r="H87" s="250"/>
      <c r="I87" s="250"/>
      <c r="J87" s="250"/>
      <c r="K87" s="250"/>
      <c r="L87" s="250"/>
      <c r="M87" s="250"/>
      <c r="N87" s="250"/>
      <c r="O87" s="250"/>
      <c r="P87" s="250"/>
      <c r="Q87" s="250"/>
      <c r="R87" s="250"/>
    </row>
    <row r="88" spans="1:18" x14ac:dyDescent="0.2">
      <c r="A88" s="250"/>
      <c r="B88" s="250"/>
      <c r="C88" s="250" t="s">
        <v>611</v>
      </c>
      <c r="D88" s="250"/>
      <c r="E88" s="250"/>
      <c r="F88" s="250"/>
      <c r="G88" s="250"/>
      <c r="H88" s="250"/>
      <c r="I88" s="250"/>
      <c r="J88" s="250"/>
      <c r="K88" s="250"/>
      <c r="L88" s="250"/>
      <c r="M88" s="250"/>
      <c r="N88" s="250"/>
      <c r="O88" s="250"/>
      <c r="P88" s="250"/>
      <c r="Q88" s="250"/>
      <c r="R88" s="250"/>
    </row>
    <row r="89" spans="1:18" x14ac:dyDescent="0.2">
      <c r="A89" s="250"/>
      <c r="B89" s="250"/>
      <c r="C89" s="250" t="s">
        <v>610</v>
      </c>
      <c r="D89" s="250"/>
      <c r="E89" s="250"/>
      <c r="F89" s="250"/>
      <c r="G89" s="250"/>
      <c r="H89" s="250"/>
      <c r="I89" s="250"/>
      <c r="J89" s="250"/>
      <c r="K89" s="250"/>
      <c r="L89" s="250"/>
      <c r="M89" s="250"/>
      <c r="N89" s="250"/>
      <c r="O89" s="250"/>
      <c r="P89" s="250"/>
      <c r="Q89" s="250"/>
      <c r="R89" s="250"/>
    </row>
    <row r="90" spans="1:18" x14ac:dyDescent="0.2">
      <c r="A90" s="250"/>
      <c r="B90" s="250"/>
      <c r="C90" s="250"/>
      <c r="D90" s="250"/>
      <c r="E90" s="250"/>
      <c r="F90" s="250"/>
      <c r="G90" s="250"/>
      <c r="H90" s="250"/>
      <c r="I90" s="250"/>
      <c r="J90" s="250"/>
      <c r="K90" s="250"/>
      <c r="L90" s="250"/>
      <c r="M90" s="250"/>
      <c r="N90" s="250"/>
      <c r="O90" s="250"/>
      <c r="P90" s="250"/>
      <c r="Q90" s="250"/>
      <c r="R90" s="250"/>
    </row>
    <row r="91" spans="1:18" x14ac:dyDescent="0.2">
      <c r="A91" s="250"/>
      <c r="B91" s="250"/>
      <c r="C91" s="250" t="s">
        <v>10</v>
      </c>
      <c r="D91" s="250"/>
      <c r="E91" s="250"/>
      <c r="F91" s="250"/>
      <c r="G91" s="250"/>
      <c r="H91" s="250"/>
      <c r="I91" s="250"/>
      <c r="J91" s="250"/>
      <c r="K91" s="250"/>
      <c r="L91" s="250"/>
      <c r="M91" s="250"/>
      <c r="N91" s="250"/>
      <c r="O91" s="250"/>
      <c r="P91" s="250"/>
      <c r="Q91" s="250"/>
      <c r="R91" s="250"/>
    </row>
    <row r="92" spans="1:18" x14ac:dyDescent="0.2">
      <c r="A92" s="250"/>
      <c r="B92" s="250"/>
      <c r="C92" s="250" t="s">
        <v>7</v>
      </c>
      <c r="D92" s="250"/>
      <c r="E92" s="250"/>
      <c r="F92" s="250"/>
      <c r="G92" s="250"/>
      <c r="H92" s="250"/>
      <c r="I92" s="250"/>
      <c r="J92" s="250"/>
      <c r="K92" s="250"/>
      <c r="L92" s="250"/>
      <c r="M92" s="250"/>
      <c r="N92" s="250"/>
      <c r="O92" s="250"/>
      <c r="P92" s="250"/>
      <c r="Q92" s="250"/>
      <c r="R92" s="250"/>
    </row>
    <row r="93" spans="1:18" x14ac:dyDescent="0.2">
      <c r="A93" s="250"/>
      <c r="B93" s="250"/>
      <c r="C93" s="250" t="s">
        <v>9</v>
      </c>
      <c r="D93" s="250"/>
      <c r="E93" s="250"/>
      <c r="F93" s="250"/>
      <c r="G93" s="250"/>
      <c r="H93" s="250"/>
      <c r="I93" s="250"/>
      <c r="J93" s="250"/>
      <c r="K93" s="250"/>
      <c r="L93" s="250"/>
      <c r="M93" s="250"/>
      <c r="N93" s="250"/>
      <c r="O93" s="250"/>
      <c r="P93" s="250"/>
      <c r="Q93" s="250"/>
      <c r="R93" s="250"/>
    </row>
    <row r="94" spans="1:18" x14ac:dyDescent="0.2">
      <c r="A94" s="250"/>
      <c r="B94" s="250"/>
      <c r="C94" s="250"/>
      <c r="D94" s="250"/>
      <c r="E94" s="250"/>
      <c r="F94" s="250"/>
      <c r="G94" s="250"/>
      <c r="H94" s="250"/>
      <c r="I94" s="250"/>
      <c r="J94" s="250"/>
      <c r="K94" s="250"/>
      <c r="L94" s="250"/>
      <c r="M94" s="250"/>
      <c r="N94" s="250" t="s">
        <v>37</v>
      </c>
      <c r="O94" s="250"/>
      <c r="P94" s="250"/>
      <c r="Q94" s="250"/>
      <c r="R94" s="250"/>
    </row>
    <row r="95" spans="1:18" x14ac:dyDescent="0.2">
      <c r="A95" s="250"/>
      <c r="B95" s="250"/>
      <c r="C95" s="250"/>
      <c r="D95" s="250"/>
      <c r="E95" s="250"/>
      <c r="F95" s="250"/>
      <c r="G95" s="250"/>
      <c r="H95" s="250"/>
      <c r="I95" s="250"/>
      <c r="J95" s="250"/>
      <c r="K95" s="250"/>
      <c r="L95" s="250"/>
      <c r="M95" s="250"/>
      <c r="N95" s="250"/>
      <c r="O95" s="250"/>
      <c r="P95" s="250"/>
      <c r="Q95" s="250"/>
      <c r="R95" s="250"/>
    </row>
    <row r="96" spans="1:18" x14ac:dyDescent="0.2">
      <c r="A96" s="250"/>
      <c r="B96" s="250"/>
      <c r="C96" s="250"/>
      <c r="D96" s="250"/>
      <c r="E96" s="250"/>
      <c r="F96" s="250"/>
      <c r="G96" s="250"/>
      <c r="H96" s="250"/>
      <c r="I96" s="250"/>
      <c r="J96" s="250"/>
      <c r="K96" s="250"/>
      <c r="L96" s="250"/>
      <c r="M96" s="250"/>
      <c r="N96" s="250"/>
      <c r="O96" s="250"/>
      <c r="P96" s="250"/>
      <c r="Q96" s="250"/>
      <c r="R96" s="250"/>
    </row>
    <row r="97" spans="1:19" x14ac:dyDescent="0.2">
      <c r="A97" s="250"/>
      <c r="B97" s="250"/>
      <c r="C97" s="250"/>
      <c r="D97" s="250"/>
      <c r="E97" s="250"/>
      <c r="F97" s="250"/>
      <c r="G97" s="250"/>
      <c r="H97" s="250"/>
      <c r="I97" s="250"/>
      <c r="J97" s="250"/>
      <c r="K97" s="250"/>
      <c r="L97" s="250"/>
      <c r="M97" s="250"/>
      <c r="N97" s="250"/>
      <c r="O97" s="250"/>
      <c r="P97" s="250"/>
      <c r="Q97" s="250"/>
      <c r="R97" s="250"/>
    </row>
    <row r="98" spans="1:19" x14ac:dyDescent="0.2">
      <c r="A98" s="250"/>
      <c r="B98" s="250"/>
      <c r="C98" s="712" t="s">
        <v>12</v>
      </c>
      <c r="D98" s="716"/>
      <c r="E98" s="716"/>
      <c r="F98" s="714"/>
      <c r="G98" s="250" t="s">
        <v>612</v>
      </c>
      <c r="H98" s="250"/>
      <c r="I98" s="250"/>
      <c r="J98" s="250"/>
      <c r="K98" s="250"/>
      <c r="L98" s="250"/>
      <c r="M98" s="250"/>
      <c r="N98" s="250"/>
      <c r="O98" s="250"/>
      <c r="P98" s="250"/>
      <c r="Q98" s="250"/>
      <c r="R98" s="250"/>
    </row>
    <row r="99" spans="1:19" x14ac:dyDescent="0.2">
      <c r="A99" s="250"/>
      <c r="B99" s="250"/>
      <c r="C99" s="250" t="s">
        <v>613</v>
      </c>
      <c r="D99" s="250"/>
      <c r="E99" s="250"/>
      <c r="F99" s="250"/>
      <c r="G99" s="250"/>
      <c r="H99" s="250"/>
      <c r="I99" s="250"/>
      <c r="J99" s="250"/>
      <c r="K99" s="250"/>
      <c r="L99" s="250"/>
      <c r="M99" s="250"/>
      <c r="N99" s="250"/>
      <c r="O99" s="250"/>
      <c r="P99" s="250"/>
      <c r="Q99" s="250"/>
      <c r="R99" s="250"/>
    </row>
    <row r="100" spans="1:19" x14ac:dyDescent="0.2">
      <c r="A100" s="250"/>
      <c r="B100" s="250"/>
      <c r="C100" s="250" t="s">
        <v>14</v>
      </c>
      <c r="D100" s="250"/>
      <c r="E100" s="250"/>
      <c r="F100" s="250"/>
      <c r="G100" s="250"/>
      <c r="H100" s="250"/>
      <c r="I100" s="250"/>
      <c r="J100" s="250"/>
      <c r="K100" s="250"/>
      <c r="L100" s="250"/>
      <c r="M100" s="250"/>
      <c r="N100" s="250"/>
      <c r="O100" s="250"/>
      <c r="P100" s="250"/>
      <c r="Q100" s="250"/>
      <c r="R100" s="250"/>
    </row>
    <row r="101" spans="1:19" x14ac:dyDescent="0.2">
      <c r="A101" s="250"/>
      <c r="B101" s="250"/>
      <c r="C101" s="250" t="s">
        <v>614</v>
      </c>
      <c r="D101" s="250"/>
      <c r="E101" s="250"/>
      <c r="F101" s="250"/>
      <c r="G101" s="250"/>
      <c r="H101" s="250"/>
      <c r="I101" s="250"/>
      <c r="J101" s="250"/>
      <c r="K101" s="250"/>
      <c r="L101" s="250"/>
      <c r="M101" s="250"/>
      <c r="N101" s="250"/>
      <c r="O101" s="250"/>
      <c r="P101" s="250"/>
      <c r="Q101" s="250"/>
      <c r="R101" s="250"/>
    </row>
    <row r="102" spans="1:19" x14ac:dyDescent="0.2">
      <c r="A102" s="250"/>
      <c r="B102" s="250"/>
      <c r="C102" s="250" t="s">
        <v>13</v>
      </c>
      <c r="D102" s="250"/>
      <c r="E102" s="250"/>
      <c r="F102" s="250"/>
      <c r="G102" s="250"/>
      <c r="H102" s="250"/>
      <c r="I102" s="250"/>
      <c r="J102" s="250"/>
      <c r="K102" s="250"/>
      <c r="L102" s="250"/>
      <c r="M102" s="250"/>
      <c r="N102" s="250"/>
      <c r="O102" s="250"/>
      <c r="P102" s="250"/>
      <c r="Q102" s="250"/>
      <c r="R102" s="250"/>
    </row>
    <row r="103" spans="1:19" x14ac:dyDescent="0.2">
      <c r="A103" s="250"/>
      <c r="B103" s="250"/>
      <c r="C103" s="250"/>
      <c r="D103" s="250"/>
      <c r="E103" s="250"/>
      <c r="F103" s="250"/>
      <c r="G103" s="250"/>
      <c r="H103" s="250"/>
      <c r="I103" s="250"/>
      <c r="J103" s="250"/>
      <c r="K103" s="250"/>
      <c r="L103" s="250"/>
      <c r="M103" s="250"/>
      <c r="N103" s="250"/>
      <c r="O103" s="250"/>
      <c r="P103" s="250"/>
      <c r="Q103" s="250"/>
      <c r="R103" s="250"/>
    </row>
    <row r="104" spans="1:19" x14ac:dyDescent="0.2">
      <c r="A104" s="250"/>
      <c r="B104" s="250"/>
      <c r="C104" s="250"/>
      <c r="D104" s="250"/>
      <c r="E104" s="250"/>
      <c r="F104" s="250"/>
      <c r="G104" s="250"/>
      <c r="H104" s="250"/>
      <c r="I104" s="250"/>
      <c r="J104" s="250"/>
      <c r="K104" s="250"/>
      <c r="L104" s="250"/>
      <c r="M104" s="250"/>
      <c r="N104" s="250"/>
      <c r="O104" s="250"/>
      <c r="P104" s="250"/>
      <c r="Q104" s="250"/>
      <c r="R104" s="250"/>
    </row>
    <row r="105" spans="1:19" x14ac:dyDescent="0.2">
      <c r="A105" s="250"/>
      <c r="B105" s="250"/>
      <c r="C105" s="250"/>
      <c r="D105" s="250"/>
      <c r="E105" s="250"/>
      <c r="F105" s="250"/>
      <c r="G105" s="250"/>
      <c r="H105" s="250"/>
      <c r="I105" s="250"/>
      <c r="J105" s="250"/>
      <c r="K105" s="250"/>
      <c r="L105" s="250"/>
      <c r="M105" s="250"/>
      <c r="N105" s="250"/>
      <c r="O105" s="250"/>
      <c r="P105" s="250"/>
      <c r="Q105" s="250"/>
      <c r="R105" s="250"/>
    </row>
    <row r="106" spans="1:19" x14ac:dyDescent="0.2">
      <c r="A106" s="250"/>
      <c r="B106" s="250"/>
      <c r="C106" s="250"/>
      <c r="D106" s="250"/>
      <c r="E106" s="250"/>
      <c r="F106" s="250"/>
      <c r="G106" s="250"/>
      <c r="H106" s="250"/>
      <c r="I106" s="250"/>
      <c r="J106" s="250"/>
      <c r="K106" s="250"/>
      <c r="L106" s="250"/>
      <c r="M106" s="250"/>
      <c r="N106" s="250"/>
      <c r="O106" s="250"/>
      <c r="P106" s="250"/>
      <c r="Q106" s="250"/>
      <c r="R106" s="250"/>
    </row>
    <row r="107" spans="1:19" ht="15.75" x14ac:dyDescent="0.25">
      <c r="A107" s="250"/>
      <c r="B107" s="294" t="s">
        <v>17</v>
      </c>
      <c r="C107" s="205"/>
      <c r="D107" s="250" t="s">
        <v>18</v>
      </c>
      <c r="E107" s="250"/>
      <c r="F107" s="250"/>
      <c r="G107" s="250"/>
      <c r="H107" s="250"/>
      <c r="I107" s="250"/>
      <c r="J107" s="250"/>
      <c r="K107" s="250"/>
      <c r="L107" s="250"/>
      <c r="M107" s="250"/>
      <c r="N107" s="250"/>
      <c r="O107" s="250"/>
      <c r="P107" s="250"/>
      <c r="Q107" s="250"/>
      <c r="R107" s="250"/>
      <c r="S107" s="250"/>
    </row>
    <row r="108" spans="1:19" x14ac:dyDescent="0.2">
      <c r="A108" s="250"/>
      <c r="B108" s="250"/>
      <c r="C108" s="250"/>
      <c r="D108" s="250"/>
      <c r="E108" s="250"/>
      <c r="F108" s="250"/>
      <c r="G108" s="250"/>
      <c r="H108" s="250"/>
      <c r="I108" s="250"/>
      <c r="J108" s="250"/>
      <c r="K108" s="250"/>
      <c r="L108" s="250"/>
      <c r="M108" s="250"/>
      <c r="N108" s="250"/>
      <c r="O108" s="250"/>
      <c r="P108" s="250"/>
      <c r="Q108" s="250"/>
      <c r="R108" s="250"/>
      <c r="S108" s="250"/>
    </row>
    <row r="109" spans="1:19" x14ac:dyDescent="0.2">
      <c r="A109" s="250"/>
      <c r="B109" s="717">
        <v>1</v>
      </c>
      <c r="C109" s="250" t="s">
        <v>19</v>
      </c>
      <c r="D109" s="250"/>
      <c r="E109" s="250"/>
      <c r="F109" s="250"/>
      <c r="G109" s="250"/>
      <c r="H109" s="250"/>
      <c r="I109" s="250"/>
      <c r="J109" s="250"/>
      <c r="K109" s="250"/>
      <c r="L109" s="250"/>
      <c r="M109" s="250"/>
      <c r="N109" s="250"/>
      <c r="O109" s="250"/>
      <c r="P109" s="250"/>
      <c r="Q109" s="250"/>
      <c r="R109" s="250"/>
      <c r="S109" s="250"/>
    </row>
    <row r="110" spans="1:19" x14ac:dyDescent="0.2">
      <c r="A110" s="250"/>
      <c r="B110" s="262"/>
      <c r="C110" s="250"/>
      <c r="D110" s="250"/>
      <c r="E110" s="250"/>
      <c r="F110" s="250"/>
      <c r="G110" s="250"/>
      <c r="H110" s="250"/>
      <c r="I110" s="250"/>
      <c r="J110" s="250"/>
      <c r="K110" s="250"/>
      <c r="L110" s="250"/>
      <c r="M110" s="250"/>
      <c r="N110" s="250"/>
      <c r="O110" s="250"/>
      <c r="P110" s="250"/>
      <c r="Q110" s="250"/>
      <c r="R110" s="250"/>
      <c r="S110" s="250"/>
    </row>
    <row r="111" spans="1:19" x14ac:dyDescent="0.2">
      <c r="A111" s="250"/>
      <c r="B111" s="262">
        <v>2</v>
      </c>
      <c r="C111" s="250" t="s">
        <v>20</v>
      </c>
      <c r="D111" s="250"/>
      <c r="E111" s="250"/>
      <c r="F111" s="250"/>
      <c r="G111" s="250"/>
      <c r="H111" s="250"/>
      <c r="I111" s="250"/>
      <c r="J111" s="250"/>
      <c r="K111" s="250"/>
      <c r="L111" s="250"/>
      <c r="M111" s="250"/>
      <c r="N111" s="250"/>
      <c r="O111" s="250"/>
      <c r="P111" s="250"/>
      <c r="Q111" s="250"/>
      <c r="R111" s="250"/>
      <c r="S111" s="250"/>
    </row>
    <row r="112" spans="1:19" x14ac:dyDescent="0.2">
      <c r="A112" s="250"/>
      <c r="B112" s="262"/>
      <c r="C112" s="250"/>
      <c r="D112" s="250"/>
      <c r="E112" s="250"/>
      <c r="F112" s="250"/>
      <c r="G112" s="250"/>
      <c r="H112" s="250"/>
      <c r="I112" s="250"/>
      <c r="J112" s="250"/>
      <c r="K112" s="250"/>
      <c r="L112" s="250"/>
      <c r="M112" s="250"/>
      <c r="N112" s="250"/>
      <c r="O112" s="250"/>
      <c r="P112" s="250"/>
      <c r="Q112" s="250"/>
      <c r="R112" s="250"/>
      <c r="S112" s="250"/>
    </row>
    <row r="113" spans="1:19" x14ac:dyDescent="0.2">
      <c r="A113" s="250"/>
      <c r="B113" s="262">
        <v>3</v>
      </c>
      <c r="C113" s="250" t="s">
        <v>21</v>
      </c>
      <c r="D113" s="250"/>
      <c r="E113" s="250"/>
      <c r="F113" s="250"/>
      <c r="G113" s="250"/>
      <c r="H113" s="250"/>
      <c r="I113" s="250"/>
      <c r="J113" s="250"/>
      <c r="K113" s="250"/>
      <c r="L113" s="250"/>
      <c r="M113" s="250"/>
      <c r="N113" s="250"/>
      <c r="O113" s="250"/>
      <c r="P113" s="250"/>
      <c r="Q113" s="250"/>
      <c r="R113" s="250"/>
      <c r="S113" s="250"/>
    </row>
    <row r="114" spans="1:19" x14ac:dyDescent="0.2">
      <c r="A114" s="250"/>
      <c r="B114" s="262"/>
      <c r="C114" s="250"/>
      <c r="D114" s="250"/>
      <c r="E114" s="250"/>
      <c r="F114" s="250"/>
      <c r="G114" s="250"/>
      <c r="H114" s="250"/>
      <c r="I114" s="250"/>
      <c r="J114" s="250"/>
      <c r="K114" s="250"/>
      <c r="L114" s="250"/>
      <c r="M114" s="250"/>
      <c r="N114" s="250"/>
      <c r="O114" s="250"/>
      <c r="P114" s="250"/>
      <c r="Q114" s="250"/>
      <c r="R114" s="250"/>
      <c r="S114" s="250"/>
    </row>
    <row r="115" spans="1:19" x14ac:dyDescent="0.2">
      <c r="A115" s="250"/>
      <c r="B115" s="262">
        <v>4</v>
      </c>
      <c r="C115" s="250" t="s">
        <v>22</v>
      </c>
      <c r="D115" s="250"/>
      <c r="E115" s="250"/>
      <c r="F115" s="250"/>
      <c r="G115" s="250"/>
      <c r="H115" s="250"/>
      <c r="I115" s="250"/>
      <c r="J115" s="250"/>
      <c r="K115" s="250"/>
      <c r="L115" s="250"/>
      <c r="M115" s="250"/>
      <c r="N115" s="250"/>
      <c r="O115" s="250"/>
      <c r="P115" s="250"/>
      <c r="Q115" s="250"/>
      <c r="R115" s="250"/>
      <c r="S115" s="250"/>
    </row>
    <row r="116" spans="1:19" x14ac:dyDescent="0.2">
      <c r="A116" s="250"/>
      <c r="B116" s="262"/>
      <c r="C116" s="250"/>
      <c r="D116" s="250"/>
      <c r="E116" s="250"/>
      <c r="F116" s="250"/>
      <c r="G116" s="250"/>
      <c r="H116" s="250"/>
      <c r="I116" s="250"/>
      <c r="J116" s="250"/>
      <c r="K116" s="250"/>
      <c r="L116" s="250"/>
      <c r="M116" s="250"/>
      <c r="N116" s="250"/>
      <c r="O116" s="250"/>
      <c r="P116" s="250"/>
      <c r="Q116" s="250"/>
      <c r="R116" s="250"/>
      <c r="S116" s="250"/>
    </row>
    <row r="117" spans="1:19" x14ac:dyDescent="0.2">
      <c r="A117" s="250"/>
      <c r="B117" s="262">
        <v>5</v>
      </c>
      <c r="C117" s="250" t="s">
        <v>23</v>
      </c>
      <c r="D117" s="250"/>
      <c r="E117" s="250"/>
      <c r="F117" s="250"/>
      <c r="G117" s="250"/>
      <c r="H117" s="250"/>
      <c r="I117" s="250"/>
      <c r="J117" s="250"/>
      <c r="K117" s="250"/>
      <c r="L117" s="250"/>
      <c r="M117" s="250"/>
      <c r="N117" s="250"/>
      <c r="O117" s="250"/>
      <c r="P117" s="250"/>
      <c r="Q117" s="250"/>
      <c r="R117" s="250"/>
      <c r="S117" s="250"/>
    </row>
    <row r="118" spans="1:19" x14ac:dyDescent="0.2">
      <c r="A118" s="250"/>
      <c r="B118" s="262"/>
      <c r="C118" s="250" t="s">
        <v>24</v>
      </c>
      <c r="D118" s="250"/>
      <c r="E118" s="250"/>
      <c r="F118" s="250"/>
      <c r="G118" s="250"/>
      <c r="H118" s="250"/>
      <c r="I118" s="250"/>
      <c r="J118" s="250"/>
      <c r="K118" s="250"/>
      <c r="L118" s="250"/>
      <c r="M118" s="250"/>
      <c r="N118" s="250"/>
      <c r="O118" s="250"/>
      <c r="P118" s="250"/>
      <c r="Q118" s="250"/>
      <c r="R118" s="250"/>
      <c r="S118" s="250"/>
    </row>
    <row r="119" spans="1:19" x14ac:dyDescent="0.2">
      <c r="A119" s="250"/>
      <c r="B119" s="262"/>
      <c r="C119" s="250"/>
      <c r="D119" s="250"/>
      <c r="E119" s="250"/>
      <c r="F119" s="250"/>
      <c r="G119" s="250"/>
      <c r="H119" s="250"/>
      <c r="I119" s="250"/>
      <c r="J119" s="250"/>
      <c r="K119" s="250"/>
      <c r="L119" s="250"/>
      <c r="M119" s="250"/>
      <c r="N119" s="250"/>
      <c r="O119" s="250"/>
      <c r="P119" s="250"/>
      <c r="Q119" s="250"/>
      <c r="R119" s="250"/>
      <c r="S119" s="250"/>
    </row>
    <row r="120" spans="1:19" x14ac:dyDescent="0.2">
      <c r="A120" s="250"/>
      <c r="B120" s="262">
        <v>6</v>
      </c>
      <c r="C120" s="250" t="s">
        <v>25</v>
      </c>
      <c r="D120" s="250"/>
      <c r="E120" s="250"/>
      <c r="F120" s="250"/>
      <c r="G120" s="250"/>
      <c r="H120" s="250"/>
      <c r="I120" s="250"/>
      <c r="J120" s="250"/>
      <c r="K120" s="250"/>
      <c r="L120" s="250"/>
      <c r="M120" s="250"/>
      <c r="N120" s="250"/>
      <c r="O120" s="250"/>
      <c r="P120" s="250"/>
      <c r="Q120" s="250"/>
      <c r="R120" s="250"/>
      <c r="S120" s="250"/>
    </row>
    <row r="121" spans="1:19" x14ac:dyDescent="0.2">
      <c r="A121" s="250"/>
      <c r="B121" s="262"/>
      <c r="C121" s="250"/>
      <c r="D121" s="250"/>
      <c r="E121" s="250"/>
      <c r="F121" s="250"/>
      <c r="G121" s="250"/>
      <c r="H121" s="250"/>
      <c r="I121" s="250"/>
      <c r="J121" s="250"/>
      <c r="K121" s="250"/>
      <c r="L121" s="250"/>
      <c r="M121" s="250"/>
      <c r="N121" s="250"/>
      <c r="O121" s="250"/>
      <c r="P121" s="250"/>
      <c r="Q121" s="250"/>
      <c r="R121" s="250"/>
      <c r="S121" s="250"/>
    </row>
    <row r="122" spans="1:19" x14ac:dyDescent="0.2">
      <c r="A122" s="250"/>
      <c r="B122" s="262">
        <v>7</v>
      </c>
      <c r="C122" s="250" t="s">
        <v>26</v>
      </c>
      <c r="D122" s="250"/>
      <c r="E122" s="250"/>
      <c r="F122" s="250"/>
      <c r="G122" s="250"/>
      <c r="H122" s="250"/>
      <c r="I122" s="250"/>
      <c r="J122" s="250"/>
      <c r="K122" s="250"/>
      <c r="L122" s="250"/>
      <c r="M122" s="250"/>
      <c r="N122" s="250"/>
      <c r="O122" s="250"/>
      <c r="P122" s="250"/>
      <c r="Q122" s="250"/>
      <c r="R122" s="250"/>
      <c r="S122" s="250"/>
    </row>
    <row r="123" spans="1:19" x14ac:dyDescent="0.2">
      <c r="A123" s="250"/>
      <c r="B123" s="718"/>
      <c r="C123" s="250"/>
      <c r="D123" s="250"/>
      <c r="E123" s="250"/>
      <c r="F123" s="250"/>
      <c r="G123" s="250"/>
      <c r="H123" s="250"/>
      <c r="I123" s="250"/>
      <c r="J123" s="250"/>
      <c r="K123" s="250"/>
      <c r="L123" s="250"/>
      <c r="M123" s="250"/>
      <c r="N123" s="250"/>
      <c r="O123" s="250"/>
      <c r="P123" s="250"/>
      <c r="Q123" s="250"/>
      <c r="R123" s="250"/>
      <c r="S123" s="250"/>
    </row>
    <row r="124" spans="1:19" x14ac:dyDescent="0.2">
      <c r="A124" s="250"/>
      <c r="B124" s="262">
        <v>8</v>
      </c>
      <c r="C124" s="250" t="s">
        <v>27</v>
      </c>
      <c r="D124" s="250"/>
      <c r="E124" s="250"/>
      <c r="F124" s="250"/>
      <c r="G124" s="250"/>
      <c r="H124" s="250"/>
      <c r="I124" s="250"/>
      <c r="J124" s="250"/>
      <c r="K124" s="250"/>
      <c r="L124" s="250"/>
      <c r="M124" s="250"/>
      <c r="N124" s="250"/>
      <c r="O124" s="250"/>
      <c r="P124" s="250"/>
      <c r="Q124" s="250"/>
      <c r="R124" s="250"/>
      <c r="S124" s="250"/>
    </row>
    <row r="125" spans="1:19" x14ac:dyDescent="0.2">
      <c r="A125" s="250"/>
      <c r="B125" s="718"/>
      <c r="C125" s="250"/>
      <c r="D125" s="250"/>
      <c r="E125" s="250"/>
      <c r="F125" s="250"/>
      <c r="G125" s="250"/>
      <c r="H125" s="250"/>
      <c r="I125" s="250"/>
      <c r="J125" s="250"/>
      <c r="K125" s="250"/>
      <c r="L125" s="250"/>
      <c r="M125" s="250"/>
      <c r="N125" s="250"/>
      <c r="O125" s="250"/>
      <c r="P125" s="250"/>
      <c r="Q125" s="250"/>
      <c r="R125" s="250"/>
      <c r="S125" s="250"/>
    </row>
    <row r="126" spans="1:19" x14ac:dyDescent="0.2">
      <c r="A126" s="250"/>
      <c r="B126" s="262">
        <v>9</v>
      </c>
      <c r="C126" s="250" t="s">
        <v>615</v>
      </c>
      <c r="D126" s="250"/>
      <c r="E126" s="250"/>
      <c r="F126" s="250"/>
      <c r="G126" s="250"/>
      <c r="H126" s="250"/>
      <c r="I126" s="250"/>
      <c r="J126" s="250"/>
      <c r="K126" s="250"/>
      <c r="L126" s="250"/>
      <c r="M126" s="250"/>
      <c r="N126" s="250"/>
      <c r="O126" s="250"/>
      <c r="P126" s="250"/>
      <c r="Q126" s="250"/>
      <c r="R126" s="250"/>
      <c r="S126" s="250"/>
    </row>
    <row r="127" spans="1:19" x14ac:dyDescent="0.2">
      <c r="A127" s="250"/>
      <c r="B127" s="250"/>
      <c r="C127" s="250"/>
      <c r="D127" s="250"/>
      <c r="E127" s="250"/>
      <c r="F127" s="250"/>
      <c r="G127" s="250"/>
      <c r="H127" s="250"/>
      <c r="I127" s="250"/>
      <c r="J127" s="250"/>
      <c r="K127" s="250"/>
      <c r="L127" s="250"/>
      <c r="M127" s="250"/>
      <c r="N127" s="250"/>
      <c r="O127" s="250"/>
      <c r="P127" s="250"/>
      <c r="Q127" s="250"/>
      <c r="R127" s="250"/>
      <c r="S127" s="250"/>
    </row>
    <row r="128" spans="1:19" x14ac:dyDescent="0.2">
      <c r="B128" s="250"/>
      <c r="C128" s="250"/>
      <c r="D128" s="250"/>
      <c r="E128" s="250"/>
      <c r="F128" s="250"/>
      <c r="G128" s="250"/>
      <c r="H128" s="250"/>
      <c r="I128" s="250"/>
      <c r="J128" s="250"/>
      <c r="K128" s="250"/>
      <c r="L128" s="250"/>
      <c r="M128" s="250"/>
      <c r="N128" s="250"/>
      <c r="O128" s="250"/>
      <c r="P128" s="250"/>
      <c r="Q128" s="250"/>
      <c r="R128" s="250"/>
      <c r="S128" s="250"/>
    </row>
    <row r="129" spans="1:19" ht="15.75" x14ac:dyDescent="0.25">
      <c r="A129" s="250"/>
      <c r="B129" s="294" t="s">
        <v>28</v>
      </c>
      <c r="C129" s="205"/>
      <c r="D129" s="250" t="s">
        <v>29</v>
      </c>
      <c r="E129" s="250"/>
      <c r="F129" s="250"/>
      <c r="G129" s="250"/>
      <c r="H129" s="250"/>
      <c r="I129" s="250"/>
      <c r="J129" s="250"/>
      <c r="K129" s="250"/>
      <c r="L129" s="250"/>
      <c r="M129" s="250"/>
      <c r="N129" s="250"/>
      <c r="O129" s="250"/>
      <c r="P129" s="250"/>
      <c r="Q129" s="250"/>
      <c r="R129" s="250"/>
      <c r="S129" s="250"/>
    </row>
    <row r="130" spans="1:19" x14ac:dyDescent="0.2">
      <c r="A130" s="250"/>
      <c r="B130" s="250"/>
      <c r="C130" s="250"/>
      <c r="D130" s="250"/>
      <c r="E130" s="250"/>
      <c r="F130" s="250"/>
      <c r="G130" s="250"/>
      <c r="H130" s="250"/>
      <c r="I130" s="250"/>
      <c r="J130" s="250"/>
      <c r="K130" s="250"/>
      <c r="L130" s="250"/>
      <c r="M130" s="250"/>
      <c r="N130" s="250"/>
      <c r="O130" s="250"/>
      <c r="P130" s="250"/>
      <c r="Q130" s="250"/>
      <c r="R130" s="250"/>
      <c r="S130" s="250"/>
    </row>
    <row r="131" spans="1:19" x14ac:dyDescent="0.2">
      <c r="A131" s="262"/>
      <c r="B131" s="719" t="s">
        <v>30</v>
      </c>
      <c r="C131" s="719" t="s">
        <v>31</v>
      </c>
      <c r="D131" s="720" t="s">
        <v>456</v>
      </c>
      <c r="E131" s="721"/>
      <c r="F131" s="698"/>
      <c r="G131" s="698"/>
      <c r="H131" s="698"/>
      <c r="I131" s="698"/>
      <c r="J131" s="698"/>
      <c r="K131" s="698"/>
      <c r="L131" s="698"/>
      <c r="M131" s="698"/>
      <c r="N131" s="698"/>
      <c r="O131" s="715"/>
      <c r="P131" s="250"/>
      <c r="Q131" s="250"/>
      <c r="R131" s="250"/>
      <c r="S131" s="250"/>
    </row>
    <row r="132" spans="1:19" x14ac:dyDescent="0.2">
      <c r="A132" s="250"/>
      <c r="B132" s="723">
        <v>2</v>
      </c>
      <c r="C132" s="759">
        <v>38382</v>
      </c>
      <c r="D132" s="724" t="s">
        <v>32</v>
      </c>
      <c r="E132" s="698"/>
      <c r="F132" s="698"/>
      <c r="G132" s="698"/>
      <c r="H132" s="698"/>
      <c r="I132" s="698"/>
      <c r="J132" s="698"/>
      <c r="K132" s="698"/>
      <c r="L132" s="698"/>
      <c r="M132" s="698"/>
      <c r="N132" s="698"/>
      <c r="O132" s="715"/>
      <c r="P132" s="250"/>
      <c r="Q132" s="250"/>
      <c r="R132" s="250"/>
      <c r="S132" s="250"/>
    </row>
    <row r="133" spans="1:19" x14ac:dyDescent="0.2">
      <c r="A133" s="250"/>
      <c r="B133" s="760">
        <v>2.1</v>
      </c>
      <c r="C133" s="759">
        <v>38390</v>
      </c>
      <c r="D133" s="722" t="s">
        <v>798</v>
      </c>
      <c r="E133" s="698"/>
      <c r="F133" s="698"/>
      <c r="G133" s="698"/>
      <c r="H133" s="698"/>
      <c r="I133" s="698"/>
      <c r="J133" s="698"/>
      <c r="K133" s="698"/>
      <c r="L133" s="698"/>
      <c r="M133" s="698"/>
      <c r="N133" s="698"/>
      <c r="O133" s="715"/>
      <c r="P133" s="250"/>
      <c r="Q133" s="250"/>
      <c r="R133" s="250"/>
      <c r="S133" s="250"/>
    </row>
    <row r="134" spans="1:19" x14ac:dyDescent="0.2">
      <c r="A134" s="250"/>
      <c r="B134" s="760" t="s">
        <v>906</v>
      </c>
      <c r="C134" s="759">
        <v>38395</v>
      </c>
      <c r="D134" s="722" t="s">
        <v>907</v>
      </c>
      <c r="E134" s="698"/>
      <c r="F134" s="698"/>
      <c r="G134" s="698"/>
      <c r="H134" s="698"/>
      <c r="I134" s="698"/>
      <c r="J134" s="698"/>
      <c r="K134" s="698"/>
      <c r="L134" s="698"/>
      <c r="M134" s="698"/>
      <c r="N134" s="698"/>
      <c r="O134" s="715"/>
      <c r="P134" s="250"/>
      <c r="Q134" s="250"/>
      <c r="R134" s="250"/>
      <c r="S134" s="250"/>
    </row>
    <row r="135" spans="1:19" x14ac:dyDescent="0.2">
      <c r="A135" s="250"/>
      <c r="B135" s="760" t="s">
        <v>376</v>
      </c>
      <c r="C135" s="759">
        <v>38404</v>
      </c>
      <c r="D135" s="722" t="s">
        <v>377</v>
      </c>
      <c r="E135" s="698"/>
      <c r="F135" s="698"/>
      <c r="G135" s="698"/>
      <c r="H135" s="698"/>
      <c r="I135" s="698"/>
      <c r="J135" s="698"/>
      <c r="K135" s="698"/>
      <c r="L135" s="698"/>
      <c r="M135" s="698"/>
      <c r="N135" s="698"/>
      <c r="O135" s="715"/>
      <c r="P135" s="250"/>
      <c r="Q135" s="250"/>
      <c r="R135" s="250"/>
      <c r="S135" s="250"/>
    </row>
    <row r="136" spans="1:19" x14ac:dyDescent="0.2">
      <c r="A136" s="250"/>
      <c r="B136" s="760" t="s">
        <v>928</v>
      </c>
      <c r="C136" s="759">
        <v>38409</v>
      </c>
      <c r="D136" s="722" t="s">
        <v>929</v>
      </c>
      <c r="E136" s="698"/>
      <c r="F136" s="698"/>
      <c r="G136" s="698"/>
      <c r="H136" s="698"/>
      <c r="I136" s="698"/>
      <c r="J136" s="698"/>
      <c r="K136" s="698"/>
      <c r="L136" s="698"/>
      <c r="M136" s="698"/>
      <c r="N136" s="698"/>
      <c r="O136" s="715"/>
      <c r="P136" s="250"/>
      <c r="Q136" s="250"/>
      <c r="R136" s="250"/>
      <c r="S136" s="250"/>
    </row>
    <row r="137" spans="1:19" x14ac:dyDescent="0.2">
      <c r="A137" s="250"/>
      <c r="B137" s="760" t="s">
        <v>815</v>
      </c>
      <c r="C137" s="759">
        <v>38410</v>
      </c>
      <c r="D137" s="722" t="s">
        <v>816</v>
      </c>
      <c r="E137" s="698"/>
      <c r="F137" s="698"/>
      <c r="G137" s="698"/>
      <c r="H137" s="698"/>
      <c r="I137" s="698"/>
      <c r="J137" s="698"/>
      <c r="K137" s="698"/>
      <c r="L137" s="698"/>
      <c r="M137" s="698"/>
      <c r="N137" s="698"/>
      <c r="O137" s="715"/>
      <c r="P137" s="250"/>
      <c r="Q137" s="250"/>
      <c r="R137" s="250"/>
      <c r="S137" s="250"/>
    </row>
    <row r="138" spans="1:19" x14ac:dyDescent="0.2">
      <c r="A138" s="250"/>
      <c r="B138" s="760">
        <v>2.2000000000000002</v>
      </c>
      <c r="C138" s="759">
        <v>38410</v>
      </c>
      <c r="D138" s="722" t="s">
        <v>309</v>
      </c>
      <c r="E138" s="698"/>
      <c r="F138" s="698"/>
      <c r="G138" s="698"/>
      <c r="H138" s="698"/>
      <c r="I138" s="698"/>
      <c r="J138" s="698"/>
      <c r="K138" s="698"/>
      <c r="L138" s="698"/>
      <c r="M138" s="698"/>
      <c r="N138" s="698"/>
      <c r="O138" s="715"/>
      <c r="P138" s="250"/>
      <c r="Q138" s="250"/>
      <c r="R138" s="250"/>
      <c r="S138" s="250"/>
    </row>
    <row r="139" spans="1:19" x14ac:dyDescent="0.2">
      <c r="A139" s="250"/>
      <c r="B139" s="760" t="s">
        <v>395</v>
      </c>
      <c r="C139" s="759">
        <v>38487</v>
      </c>
      <c r="D139" s="722" t="s">
        <v>396</v>
      </c>
      <c r="E139" s="698"/>
      <c r="F139" s="698"/>
      <c r="G139" s="698"/>
      <c r="H139" s="698"/>
      <c r="I139" s="698"/>
      <c r="J139" s="698"/>
      <c r="K139" s="698"/>
      <c r="L139" s="698"/>
      <c r="M139" s="698"/>
      <c r="N139" s="698"/>
      <c r="O139" s="715"/>
      <c r="P139" s="250"/>
      <c r="Q139" s="250"/>
      <c r="R139" s="250"/>
      <c r="S139" s="250"/>
    </row>
    <row r="140" spans="1:19" x14ac:dyDescent="0.2">
      <c r="A140" s="250"/>
      <c r="B140" s="760" t="s">
        <v>911</v>
      </c>
      <c r="C140" s="759">
        <v>38526</v>
      </c>
      <c r="D140" s="722" t="s">
        <v>912</v>
      </c>
      <c r="E140" s="698"/>
      <c r="F140" s="698"/>
      <c r="G140" s="698"/>
      <c r="H140" s="698"/>
      <c r="I140" s="698"/>
      <c r="J140" s="698"/>
      <c r="K140" s="698"/>
      <c r="L140" s="698"/>
      <c r="M140" s="698"/>
      <c r="N140" s="698"/>
      <c r="O140" s="715"/>
      <c r="P140" s="250"/>
      <c r="Q140" s="250"/>
      <c r="R140" s="250"/>
      <c r="S140" s="250"/>
    </row>
    <row r="141" spans="1:19" x14ac:dyDescent="0.2">
      <c r="A141" s="250"/>
      <c r="B141" s="760"/>
      <c r="C141" s="760"/>
      <c r="D141" s="722"/>
      <c r="E141" s="698"/>
      <c r="F141" s="698"/>
      <c r="G141" s="698"/>
      <c r="H141" s="698"/>
      <c r="I141" s="698"/>
      <c r="J141" s="698"/>
      <c r="K141" s="698"/>
      <c r="L141" s="698"/>
      <c r="M141" s="698"/>
      <c r="N141" s="698"/>
      <c r="O141" s="715"/>
      <c r="P141" s="250"/>
      <c r="Q141" s="250"/>
      <c r="R141" s="250"/>
      <c r="S141" s="250"/>
    </row>
    <row r="142" spans="1:19" x14ac:dyDescent="0.2">
      <c r="A142" s="250"/>
      <c r="B142" s="760"/>
      <c r="C142" s="760"/>
      <c r="D142" s="722"/>
      <c r="E142" s="698"/>
      <c r="F142" s="698"/>
      <c r="G142" s="698"/>
      <c r="H142" s="698"/>
      <c r="I142" s="698"/>
      <c r="J142" s="698"/>
      <c r="K142" s="698"/>
      <c r="L142" s="698"/>
      <c r="M142" s="698"/>
      <c r="N142" s="698"/>
      <c r="O142" s="715"/>
      <c r="P142" s="250"/>
      <c r="Q142" s="250"/>
      <c r="R142" s="250"/>
      <c r="S142" s="250"/>
    </row>
    <row r="143" spans="1:19" x14ac:dyDescent="0.2">
      <c r="A143" s="250"/>
      <c r="B143" s="760"/>
      <c r="C143" s="760"/>
      <c r="D143" s="722"/>
      <c r="E143" s="698"/>
      <c r="F143" s="698"/>
      <c r="G143" s="698"/>
      <c r="H143" s="698"/>
      <c r="I143" s="698"/>
      <c r="J143" s="698"/>
      <c r="K143" s="698"/>
      <c r="L143" s="698"/>
      <c r="M143" s="698"/>
      <c r="N143" s="698"/>
      <c r="O143" s="715"/>
      <c r="P143" s="250"/>
      <c r="Q143" s="250"/>
      <c r="R143" s="250"/>
      <c r="S143" s="250"/>
    </row>
    <row r="144" spans="1:19" x14ac:dyDescent="0.2">
      <c r="A144" s="250"/>
      <c r="B144" s="760"/>
      <c r="C144" s="760"/>
      <c r="D144" s="722"/>
      <c r="E144" s="698"/>
      <c r="F144" s="698"/>
      <c r="G144" s="698"/>
      <c r="H144" s="698"/>
      <c r="I144" s="698"/>
      <c r="J144" s="698"/>
      <c r="K144" s="698"/>
      <c r="L144" s="698"/>
      <c r="M144" s="698"/>
      <c r="N144" s="698"/>
      <c r="O144" s="715"/>
      <c r="P144" s="250"/>
      <c r="Q144" s="250"/>
      <c r="R144" s="250"/>
      <c r="S144" s="250"/>
    </row>
    <row r="145" spans="1:19" x14ac:dyDescent="0.2">
      <c r="A145" s="250"/>
      <c r="B145" s="760"/>
      <c r="C145" s="760"/>
      <c r="D145" s="722"/>
      <c r="E145" s="698"/>
      <c r="F145" s="698"/>
      <c r="G145" s="698"/>
      <c r="H145" s="698"/>
      <c r="I145" s="698"/>
      <c r="J145" s="698"/>
      <c r="K145" s="698"/>
      <c r="L145" s="698"/>
      <c r="M145" s="698"/>
      <c r="N145" s="698"/>
      <c r="O145" s="715"/>
      <c r="P145" s="250"/>
      <c r="Q145" s="250"/>
      <c r="R145" s="250"/>
      <c r="S145" s="250"/>
    </row>
    <row r="146" spans="1:19" x14ac:dyDescent="0.2">
      <c r="A146" s="250"/>
      <c r="B146" s="760"/>
      <c r="C146" s="760"/>
      <c r="D146" s="722"/>
      <c r="E146" s="698"/>
      <c r="F146" s="698"/>
      <c r="G146" s="698"/>
      <c r="H146" s="698"/>
      <c r="I146" s="698"/>
      <c r="J146" s="698"/>
      <c r="K146" s="698"/>
      <c r="L146" s="698"/>
      <c r="M146" s="698"/>
      <c r="N146" s="698"/>
      <c r="O146" s="715"/>
      <c r="P146" s="250"/>
      <c r="Q146" s="250"/>
      <c r="R146" s="250"/>
      <c r="S146" s="250"/>
    </row>
    <row r="147" spans="1:19" x14ac:dyDescent="0.2">
      <c r="A147" s="250"/>
      <c r="B147" s="760"/>
      <c r="C147" s="760"/>
      <c r="D147" s="722"/>
      <c r="E147" s="698"/>
      <c r="F147" s="698"/>
      <c r="G147" s="698"/>
      <c r="H147" s="698"/>
      <c r="I147" s="698"/>
      <c r="J147" s="698"/>
      <c r="K147" s="698"/>
      <c r="L147" s="698"/>
      <c r="M147" s="698"/>
      <c r="N147" s="698"/>
      <c r="O147" s="715"/>
      <c r="P147" s="250"/>
      <c r="Q147" s="250"/>
      <c r="R147" s="250"/>
      <c r="S147" s="250"/>
    </row>
    <row r="148" spans="1:19" x14ac:dyDescent="0.2">
      <c r="A148" s="250"/>
      <c r="B148" s="250"/>
      <c r="C148" s="250"/>
      <c r="D148" s="250"/>
      <c r="E148" s="250"/>
      <c r="F148" s="250"/>
      <c r="G148" s="250"/>
      <c r="H148" s="250"/>
      <c r="I148" s="250"/>
      <c r="J148" s="250"/>
      <c r="K148" s="250"/>
      <c r="L148" s="250"/>
      <c r="M148" s="250"/>
      <c r="N148" s="250"/>
      <c r="O148" s="250"/>
      <c r="P148" s="250"/>
      <c r="Q148" s="250"/>
      <c r="R148" s="250"/>
      <c r="S148" s="250"/>
    </row>
    <row r="149" spans="1:19" x14ac:dyDescent="0.2">
      <c r="A149" s="250"/>
      <c r="B149" s="250"/>
      <c r="C149" s="250"/>
      <c r="D149" s="250"/>
      <c r="E149" s="250"/>
      <c r="F149" s="250"/>
      <c r="G149" s="250"/>
      <c r="H149" s="250"/>
      <c r="I149" s="250"/>
      <c r="J149" s="250"/>
      <c r="K149" s="250"/>
      <c r="L149" s="250"/>
      <c r="M149" s="250"/>
      <c r="N149" s="250"/>
      <c r="O149" s="250"/>
      <c r="P149" s="250"/>
      <c r="Q149" s="250"/>
      <c r="R149" s="250"/>
      <c r="S149" s="250"/>
    </row>
    <row r="150" spans="1:19" x14ac:dyDescent="0.2">
      <c r="A150" s="250"/>
      <c r="B150" s="250"/>
      <c r="C150" s="250"/>
      <c r="D150" s="250"/>
      <c r="E150" s="250"/>
      <c r="F150" s="250"/>
      <c r="G150" s="250"/>
      <c r="H150" s="250"/>
      <c r="I150" s="250"/>
      <c r="J150" s="250"/>
      <c r="K150" s="250"/>
      <c r="L150" s="250"/>
      <c r="M150" s="250"/>
      <c r="N150" s="250"/>
      <c r="O150" s="250"/>
      <c r="P150" s="250"/>
      <c r="Q150" s="250"/>
      <c r="R150" s="250"/>
      <c r="S150" s="250"/>
    </row>
    <row r="151" spans="1:19" x14ac:dyDescent="0.2">
      <c r="A151" s="250"/>
      <c r="B151" s="250"/>
      <c r="C151" s="250"/>
      <c r="D151" s="250"/>
      <c r="E151" s="250"/>
      <c r="F151" s="250"/>
      <c r="G151" s="250"/>
      <c r="H151" s="250"/>
      <c r="I151" s="250"/>
      <c r="J151" s="250"/>
      <c r="K151" s="250"/>
      <c r="L151" s="250"/>
      <c r="M151" s="250"/>
      <c r="N151" s="250"/>
      <c r="O151" s="250"/>
      <c r="P151" s="250"/>
      <c r="Q151" s="250"/>
      <c r="R151" s="250"/>
      <c r="S151" s="250"/>
    </row>
    <row r="152" spans="1:19" x14ac:dyDescent="0.2">
      <c r="A152" s="250"/>
      <c r="B152" s="250"/>
      <c r="C152" s="250"/>
      <c r="D152" s="250"/>
      <c r="E152" s="250"/>
      <c r="F152" s="250"/>
      <c r="G152" s="250"/>
      <c r="H152" s="250"/>
      <c r="I152" s="250"/>
      <c r="J152" s="250"/>
      <c r="K152" s="250"/>
      <c r="L152" s="250"/>
      <c r="M152" s="250"/>
      <c r="N152" s="250"/>
      <c r="O152" s="250"/>
      <c r="P152" s="250"/>
      <c r="Q152" s="250"/>
      <c r="R152" s="250"/>
      <c r="S152" s="250"/>
    </row>
    <row r="153" spans="1:19" x14ac:dyDescent="0.2">
      <c r="A153" s="250"/>
      <c r="B153" s="250"/>
      <c r="C153" s="250"/>
      <c r="D153" s="250"/>
      <c r="E153" s="250"/>
      <c r="F153" s="250"/>
      <c r="G153" s="250"/>
      <c r="H153" s="250"/>
      <c r="I153" s="250"/>
      <c r="J153" s="250"/>
      <c r="K153" s="250"/>
      <c r="L153" s="250"/>
      <c r="M153" s="250"/>
      <c r="N153" s="250"/>
      <c r="O153" s="250"/>
      <c r="P153" s="250"/>
      <c r="Q153" s="250"/>
      <c r="R153" s="250"/>
      <c r="S153" s="250"/>
    </row>
    <row r="154" spans="1:19" x14ac:dyDescent="0.2">
      <c r="A154" s="250"/>
      <c r="B154" s="250"/>
      <c r="C154" s="250"/>
      <c r="D154" s="250"/>
      <c r="E154" s="250"/>
      <c r="F154" s="250"/>
      <c r="G154" s="250"/>
      <c r="H154" s="250"/>
      <c r="I154" s="250"/>
      <c r="J154" s="250"/>
      <c r="K154" s="250"/>
      <c r="L154" s="250"/>
      <c r="M154" s="250"/>
      <c r="N154" s="250"/>
      <c r="O154" s="250"/>
      <c r="P154" s="250"/>
      <c r="Q154" s="250"/>
      <c r="R154" s="250"/>
      <c r="S154" s="250"/>
    </row>
    <row r="155" spans="1:19" x14ac:dyDescent="0.2">
      <c r="A155" s="250"/>
      <c r="B155" s="250"/>
      <c r="C155" s="250"/>
      <c r="D155" s="250"/>
      <c r="E155" s="250"/>
      <c r="F155" s="250"/>
      <c r="G155" s="250"/>
      <c r="H155" s="250"/>
      <c r="I155" s="250"/>
      <c r="J155" s="250"/>
      <c r="K155" s="250"/>
      <c r="L155" s="250"/>
      <c r="M155" s="250"/>
      <c r="N155" s="250"/>
      <c r="O155" s="250"/>
      <c r="P155" s="250"/>
      <c r="Q155" s="250"/>
      <c r="R155" s="250"/>
      <c r="S155" s="250"/>
    </row>
    <row r="156" spans="1:19" x14ac:dyDescent="0.2">
      <c r="A156" s="250"/>
      <c r="B156" s="250"/>
      <c r="C156" s="250"/>
      <c r="D156" s="250"/>
      <c r="E156" s="250"/>
      <c r="F156" s="250"/>
      <c r="G156" s="250"/>
      <c r="H156" s="250"/>
      <c r="I156" s="250"/>
      <c r="J156" s="250"/>
      <c r="K156" s="250"/>
      <c r="L156" s="250"/>
      <c r="M156" s="250"/>
      <c r="N156" s="250"/>
      <c r="O156" s="250"/>
      <c r="P156" s="250"/>
      <c r="Q156" s="250"/>
      <c r="R156" s="250"/>
      <c r="S156" s="250"/>
    </row>
    <row r="157" spans="1:19" x14ac:dyDescent="0.2">
      <c r="A157" s="250"/>
      <c r="B157" s="250"/>
      <c r="C157" s="250"/>
      <c r="D157" s="250"/>
      <c r="E157" s="250"/>
      <c r="F157" s="250"/>
      <c r="G157" s="250"/>
      <c r="H157" s="250"/>
      <c r="I157" s="250"/>
      <c r="J157" s="250"/>
      <c r="K157" s="250"/>
      <c r="L157" s="250"/>
      <c r="M157" s="250"/>
      <c r="N157" s="250"/>
      <c r="O157" s="250"/>
      <c r="P157" s="250"/>
      <c r="Q157" s="250"/>
      <c r="R157" s="250"/>
      <c r="S157" s="250"/>
    </row>
    <row r="158" spans="1:19" x14ac:dyDescent="0.2">
      <c r="A158" s="250"/>
      <c r="B158" s="250"/>
      <c r="C158" s="250"/>
      <c r="D158" s="250"/>
      <c r="E158" s="250"/>
      <c r="F158" s="250"/>
      <c r="G158" s="250"/>
      <c r="H158" s="250"/>
      <c r="I158" s="250"/>
      <c r="J158" s="250"/>
      <c r="K158" s="250"/>
      <c r="L158" s="250"/>
      <c r="M158" s="250"/>
      <c r="N158" s="250"/>
      <c r="O158" s="250"/>
      <c r="P158" s="250"/>
      <c r="Q158" s="250"/>
      <c r="R158" s="250"/>
      <c r="S158" s="250"/>
    </row>
    <row r="159" spans="1:19" x14ac:dyDescent="0.2">
      <c r="A159" s="250"/>
      <c r="B159" s="250"/>
      <c r="C159" s="250"/>
      <c r="D159" s="250"/>
      <c r="E159" s="250"/>
      <c r="F159" s="250"/>
      <c r="G159" s="250"/>
      <c r="H159" s="250"/>
      <c r="I159" s="250"/>
      <c r="J159" s="250"/>
      <c r="K159" s="250"/>
      <c r="L159" s="250"/>
      <c r="M159" s="250"/>
      <c r="N159" s="250"/>
      <c r="O159" s="250"/>
      <c r="P159" s="250"/>
      <c r="Q159" s="250"/>
      <c r="R159" s="250"/>
      <c r="S159" s="250"/>
    </row>
    <row r="160" spans="1:19" x14ac:dyDescent="0.2">
      <c r="A160" s="250"/>
      <c r="B160" s="250"/>
      <c r="C160" s="250"/>
      <c r="D160" s="250"/>
      <c r="E160" s="250"/>
      <c r="F160" s="250"/>
      <c r="G160" s="250"/>
      <c r="H160" s="250"/>
      <c r="I160" s="250"/>
      <c r="J160" s="250"/>
      <c r="K160" s="250"/>
      <c r="L160" s="250"/>
      <c r="M160" s="250"/>
      <c r="N160" s="250"/>
      <c r="O160" s="250"/>
      <c r="P160" s="250"/>
      <c r="Q160" s="250"/>
      <c r="R160" s="250"/>
      <c r="S160" s="250"/>
    </row>
    <row r="161" spans="1:19" x14ac:dyDescent="0.2">
      <c r="A161" s="250"/>
      <c r="B161" s="250"/>
      <c r="C161" s="250"/>
      <c r="D161" s="250"/>
      <c r="E161" s="250"/>
      <c r="F161" s="250"/>
      <c r="G161" s="250"/>
      <c r="H161" s="250"/>
      <c r="I161" s="250"/>
      <c r="J161" s="250"/>
      <c r="K161" s="250"/>
      <c r="L161" s="250"/>
      <c r="M161" s="250"/>
      <c r="N161" s="250"/>
      <c r="O161" s="250"/>
      <c r="P161" s="250"/>
      <c r="Q161" s="250"/>
      <c r="R161" s="250"/>
      <c r="S161" s="250"/>
    </row>
    <row r="162" spans="1:19" x14ac:dyDescent="0.2">
      <c r="A162" s="250"/>
      <c r="B162" s="250"/>
      <c r="C162" s="250"/>
      <c r="D162" s="250"/>
      <c r="E162" s="250"/>
      <c r="F162" s="250"/>
      <c r="G162" s="250"/>
      <c r="H162" s="250"/>
      <c r="I162" s="250"/>
      <c r="J162" s="250"/>
      <c r="K162" s="250"/>
      <c r="L162" s="250"/>
      <c r="M162" s="250"/>
      <c r="N162" s="250"/>
      <c r="O162" s="250"/>
      <c r="P162" s="250"/>
      <c r="Q162" s="250"/>
      <c r="R162" s="250"/>
      <c r="S162" s="250"/>
    </row>
    <row r="163" spans="1:19" x14ac:dyDescent="0.2">
      <c r="A163" s="250"/>
      <c r="B163" s="250"/>
      <c r="C163" s="250"/>
      <c r="D163" s="250"/>
      <c r="E163" s="250"/>
      <c r="F163" s="250"/>
      <c r="G163" s="250"/>
      <c r="H163" s="250"/>
      <c r="I163" s="250"/>
      <c r="J163" s="250"/>
      <c r="K163" s="250"/>
      <c r="L163" s="250"/>
      <c r="M163" s="250"/>
      <c r="N163" s="250"/>
      <c r="O163" s="250"/>
      <c r="P163" s="250"/>
      <c r="Q163" s="250"/>
      <c r="R163" s="250"/>
      <c r="S163" s="250"/>
    </row>
    <row r="164" spans="1:19" x14ac:dyDescent="0.2">
      <c r="A164" s="250"/>
      <c r="B164" s="250"/>
      <c r="C164" s="250"/>
      <c r="D164" s="250"/>
      <c r="E164" s="250"/>
      <c r="F164" s="250"/>
      <c r="G164" s="250"/>
      <c r="H164" s="250"/>
      <c r="I164" s="250"/>
      <c r="J164" s="250"/>
      <c r="K164" s="250"/>
      <c r="L164" s="250"/>
      <c r="M164" s="250"/>
      <c r="N164" s="250"/>
      <c r="O164" s="250"/>
      <c r="P164" s="250"/>
      <c r="Q164" s="250"/>
      <c r="R164" s="250"/>
      <c r="S164" s="250"/>
    </row>
    <row r="165" spans="1:19" x14ac:dyDescent="0.2">
      <c r="A165" s="250"/>
      <c r="B165" s="250"/>
      <c r="C165" s="250"/>
      <c r="D165" s="250"/>
      <c r="E165" s="250"/>
      <c r="F165" s="250"/>
      <c r="G165" s="250"/>
      <c r="H165" s="250"/>
      <c r="I165" s="250"/>
      <c r="J165" s="250"/>
      <c r="K165" s="250"/>
      <c r="L165" s="250"/>
      <c r="M165" s="250"/>
      <c r="N165" s="250"/>
      <c r="O165" s="250"/>
      <c r="P165" s="250"/>
      <c r="Q165" s="250"/>
      <c r="R165" s="250"/>
      <c r="S165" s="250"/>
    </row>
    <row r="166" spans="1:19" x14ac:dyDescent="0.2">
      <c r="A166" s="250"/>
      <c r="B166" s="250"/>
      <c r="C166" s="250"/>
      <c r="D166" s="250"/>
      <c r="E166" s="250"/>
      <c r="F166" s="250"/>
      <c r="G166" s="250"/>
      <c r="H166" s="250"/>
      <c r="I166" s="250"/>
      <c r="J166" s="250"/>
      <c r="K166" s="250"/>
      <c r="L166" s="250"/>
      <c r="M166" s="250"/>
      <c r="N166" s="250"/>
      <c r="O166" s="250"/>
      <c r="P166" s="250"/>
      <c r="Q166" s="250"/>
      <c r="R166" s="250"/>
      <c r="S166" s="250"/>
    </row>
    <row r="167" spans="1:19" x14ac:dyDescent="0.2">
      <c r="A167" s="250"/>
      <c r="B167" s="250"/>
      <c r="C167" s="250"/>
      <c r="D167" s="250"/>
      <c r="E167" s="250"/>
      <c r="F167" s="250"/>
      <c r="G167" s="250"/>
      <c r="H167" s="250"/>
      <c r="I167" s="250"/>
      <c r="J167" s="250"/>
      <c r="K167" s="250"/>
      <c r="L167" s="250"/>
      <c r="M167" s="250"/>
      <c r="N167" s="250"/>
      <c r="O167" s="250"/>
      <c r="P167" s="250"/>
      <c r="Q167" s="250"/>
      <c r="R167" s="250"/>
      <c r="S167" s="250"/>
    </row>
    <row r="168" spans="1:19" x14ac:dyDescent="0.2">
      <c r="A168" s="250"/>
      <c r="B168" s="250"/>
      <c r="C168" s="250"/>
      <c r="D168" s="250"/>
      <c r="E168" s="250"/>
      <c r="F168" s="250"/>
      <c r="G168" s="250"/>
      <c r="H168" s="250"/>
      <c r="I168" s="250"/>
      <c r="J168" s="250"/>
      <c r="K168" s="250"/>
      <c r="L168" s="250"/>
      <c r="M168" s="250"/>
      <c r="N168" s="250"/>
      <c r="O168" s="250"/>
      <c r="P168" s="250"/>
      <c r="Q168" s="250"/>
      <c r="R168" s="250"/>
      <c r="S168" s="250"/>
    </row>
    <row r="169" spans="1:19" x14ac:dyDescent="0.2">
      <c r="A169" s="250"/>
      <c r="B169" s="250"/>
      <c r="C169" s="250"/>
      <c r="D169" s="250"/>
      <c r="E169" s="250"/>
      <c r="F169" s="250"/>
      <c r="G169" s="250"/>
      <c r="H169" s="250"/>
      <c r="I169" s="250"/>
      <c r="J169" s="250"/>
      <c r="K169" s="250"/>
      <c r="L169" s="250"/>
      <c r="M169" s="250"/>
      <c r="N169" s="250"/>
      <c r="O169" s="250"/>
      <c r="P169" s="250"/>
      <c r="Q169" s="250"/>
      <c r="R169" s="250"/>
      <c r="S169" s="250"/>
    </row>
  </sheetData>
  <phoneticPr fontId="26" type="noConversion"/>
  <pageMargins left="0.75" right="0.75" top="1" bottom="1" header="0.5" footer="0.5"/>
  <pageSetup paperSize="9" orientation="portrait" horizontalDpi="4294967293" verticalDpi="0" r:id="rId1"/>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3"/>
  <sheetViews>
    <sheetView workbookViewId="0">
      <selection activeCell="B4" sqref="B4"/>
    </sheetView>
  </sheetViews>
  <sheetFormatPr defaultRowHeight="12.75" x14ac:dyDescent="0.2"/>
  <cols>
    <col min="1" max="1" width="26" customWidth="1"/>
    <col min="2" max="2" width="15.5703125" customWidth="1"/>
    <col min="3" max="3" width="9.28515625" bestFit="1" customWidth="1"/>
    <col min="5" max="5" width="9.28515625" bestFit="1" customWidth="1"/>
    <col min="12" max="12" width="11" customWidth="1"/>
  </cols>
  <sheetData>
    <row r="1" spans="1:21" ht="24" thickBot="1" x14ac:dyDescent="0.4">
      <c r="A1" s="418" t="s">
        <v>526</v>
      </c>
      <c r="B1" s="27"/>
      <c r="C1" s="27"/>
      <c r="D1" s="27"/>
      <c r="E1" s="727" t="str">
        <f>'Title Page'!F3</f>
        <v>CougSat-1</v>
      </c>
      <c r="F1" s="27"/>
      <c r="G1" s="56" t="s">
        <v>37</v>
      </c>
      <c r="H1" s="27"/>
      <c r="I1" s="56" t="str">
        <f>'Title Page'!F25</f>
        <v>2020 January 17</v>
      </c>
      <c r="J1" s="56"/>
      <c r="K1" s="56">
        <f>'Title Page'!G1</f>
        <v>0</v>
      </c>
      <c r="L1" s="56"/>
      <c r="M1" s="27"/>
      <c r="N1" s="27"/>
      <c r="O1" s="27"/>
      <c r="P1" s="27"/>
      <c r="Q1" s="28"/>
      <c r="R1" s="3"/>
      <c r="S1" s="3"/>
      <c r="T1" s="3"/>
      <c r="U1" s="3"/>
    </row>
    <row r="2" spans="1:21" ht="18.75" thickBot="1" x14ac:dyDescent="0.3">
      <c r="A2" s="61" t="str">
        <f>'Title Page'!F3</f>
        <v>CougSat-1</v>
      </c>
      <c r="B2" s="2"/>
      <c r="C2" s="2"/>
      <c r="D2" s="2"/>
      <c r="E2" s="2"/>
      <c r="F2" s="2"/>
      <c r="G2" s="2"/>
      <c r="H2" s="2"/>
      <c r="I2" s="2"/>
      <c r="J2" s="2"/>
      <c r="K2" s="2"/>
      <c r="L2" s="2"/>
      <c r="M2" s="2"/>
      <c r="N2" s="2"/>
      <c r="O2" s="2"/>
      <c r="P2" s="2"/>
      <c r="Q2" s="2"/>
      <c r="R2" s="3"/>
      <c r="S2" s="3"/>
      <c r="T2" s="3"/>
      <c r="U2" s="3"/>
    </row>
    <row r="3" spans="1:21" ht="13.5" thickBot="1" x14ac:dyDescent="0.25">
      <c r="A3" s="3"/>
      <c r="B3" s="376" t="s">
        <v>529</v>
      </c>
      <c r="C3" s="3"/>
      <c r="D3" s="771" t="s">
        <v>63</v>
      </c>
      <c r="E3" s="29" t="s">
        <v>64</v>
      </c>
      <c r="F3" s="29"/>
      <c r="G3" s="3"/>
      <c r="H3" s="3"/>
      <c r="I3" s="53" t="s">
        <v>65</v>
      </c>
      <c r="J3" s="30" t="s">
        <v>66</v>
      </c>
      <c r="K3" s="3"/>
      <c r="L3" s="4" t="s">
        <v>141</v>
      </c>
      <c r="M3" s="3"/>
      <c r="N3" s="3"/>
      <c r="O3" s="3"/>
      <c r="P3" s="3"/>
      <c r="Q3" s="3"/>
      <c r="R3" s="3"/>
      <c r="S3" s="3"/>
      <c r="T3" s="3"/>
      <c r="U3" s="3"/>
    </row>
    <row r="4" spans="1:21" x14ac:dyDescent="0.2">
      <c r="A4" s="3" t="s">
        <v>144</v>
      </c>
      <c r="B4" s="775" t="s">
        <v>397</v>
      </c>
      <c r="C4" s="3"/>
      <c r="D4" s="54" t="s">
        <v>67</v>
      </c>
      <c r="E4" s="29" t="s">
        <v>153</v>
      </c>
      <c r="F4" s="29"/>
      <c r="G4" s="3"/>
      <c r="H4" s="3"/>
      <c r="I4" s="419" t="s">
        <v>140</v>
      </c>
      <c r="J4" s="30" t="s">
        <v>143</v>
      </c>
      <c r="K4" s="3"/>
      <c r="L4" s="3"/>
      <c r="M4" s="3"/>
      <c r="N4" s="3"/>
      <c r="O4" s="3"/>
      <c r="P4" s="3"/>
      <c r="Q4" s="3"/>
      <c r="R4" s="3"/>
      <c r="S4" s="3"/>
      <c r="T4" s="3"/>
      <c r="U4" s="3"/>
    </row>
    <row r="5" spans="1:21" x14ac:dyDescent="0.2">
      <c r="A5" s="3"/>
      <c r="B5" s="3"/>
      <c r="C5" s="3"/>
      <c r="D5" s="34"/>
      <c r="E5" s="29"/>
      <c r="F5" s="29"/>
      <c r="G5" s="3"/>
      <c r="H5" s="3"/>
      <c r="I5" s="3"/>
      <c r="J5" s="31"/>
      <c r="K5" s="3"/>
      <c r="L5" s="3"/>
      <c r="M5" s="3"/>
      <c r="N5" s="3"/>
      <c r="O5" s="3"/>
      <c r="P5" s="3"/>
      <c r="Q5" s="3"/>
      <c r="R5" s="3"/>
      <c r="S5" s="3"/>
      <c r="T5" s="3"/>
      <c r="U5" s="3"/>
    </row>
    <row r="6" spans="1:21" ht="18" x14ac:dyDescent="0.25">
      <c r="A6" s="39" t="s">
        <v>70</v>
      </c>
      <c r="B6" s="11"/>
      <c r="C6" s="11"/>
      <c r="Q6" s="3"/>
      <c r="R6" s="3"/>
      <c r="S6" s="3"/>
      <c r="T6" s="3"/>
      <c r="U6" s="3"/>
    </row>
    <row r="7" spans="1:21" x14ac:dyDescent="0.2">
      <c r="A7" s="4" t="s">
        <v>71</v>
      </c>
      <c r="B7" s="4"/>
      <c r="C7" s="4"/>
      <c r="Q7" s="3"/>
      <c r="R7" s="3"/>
      <c r="S7" s="3"/>
      <c r="T7" s="3"/>
      <c r="U7" s="3"/>
    </row>
    <row r="8" spans="1:21" x14ac:dyDescent="0.2">
      <c r="A8" s="12" t="s">
        <v>38</v>
      </c>
      <c r="B8" s="13" t="s">
        <v>39</v>
      </c>
      <c r="C8" s="14" t="s">
        <v>40</v>
      </c>
      <c r="Q8" s="3"/>
      <c r="R8" s="3"/>
      <c r="S8" s="3"/>
      <c r="T8" s="3"/>
      <c r="U8" s="3"/>
    </row>
    <row r="9" spans="1:21" x14ac:dyDescent="0.2">
      <c r="A9" s="15" t="s">
        <v>41</v>
      </c>
      <c r="B9" s="16">
        <v>6378.1360000000004</v>
      </c>
      <c r="C9" s="15" t="s">
        <v>42</v>
      </c>
      <c r="Q9" s="3"/>
      <c r="R9" s="3"/>
      <c r="S9" s="3"/>
      <c r="T9" s="3"/>
      <c r="U9" s="3"/>
    </row>
    <row r="10" spans="1:21" x14ac:dyDescent="0.2">
      <c r="A10" s="15" t="s">
        <v>61</v>
      </c>
      <c r="B10" s="747">
        <v>410</v>
      </c>
      <c r="C10" s="15" t="s">
        <v>42</v>
      </c>
      <c r="Q10" s="3"/>
      <c r="R10" s="3"/>
      <c r="S10" s="3"/>
      <c r="T10" s="3"/>
      <c r="U10" s="3"/>
    </row>
    <row r="11" spans="1:21" x14ac:dyDescent="0.2">
      <c r="A11" s="15" t="s">
        <v>62</v>
      </c>
      <c r="B11" s="746">
        <v>408</v>
      </c>
      <c r="C11" s="15" t="s">
        <v>42</v>
      </c>
      <c r="Q11" s="3"/>
      <c r="R11" s="3"/>
      <c r="S11" s="3"/>
      <c r="T11" s="3"/>
      <c r="U11" s="3"/>
    </row>
    <row r="12" spans="1:21" x14ac:dyDescent="0.2">
      <c r="A12" s="3" t="s">
        <v>43</v>
      </c>
      <c r="B12" s="748">
        <f>(B10+B11+2*B9)/2</f>
        <v>6787.1360000000004</v>
      </c>
      <c r="C12" s="3" t="s">
        <v>42</v>
      </c>
      <c r="Q12" s="3"/>
      <c r="R12" s="3"/>
      <c r="S12" s="3"/>
      <c r="T12" s="3"/>
      <c r="U12" s="3"/>
    </row>
    <row r="13" spans="1:21" x14ac:dyDescent="0.2">
      <c r="A13" s="3" t="s">
        <v>44</v>
      </c>
      <c r="B13" s="17">
        <f>((B10+B9)-(B11+B9))/((B10+B9)+(B11+B9))</f>
        <v>1.47337551509208E-4</v>
      </c>
      <c r="C13" s="3"/>
      <c r="Q13" s="3"/>
      <c r="R13" s="3"/>
      <c r="S13" s="3"/>
      <c r="T13" s="3"/>
      <c r="U13" s="3"/>
    </row>
    <row r="14" spans="1:21" x14ac:dyDescent="0.2">
      <c r="A14" s="3" t="s">
        <v>45</v>
      </c>
      <c r="B14" s="65">
        <v>51.640700000000002</v>
      </c>
      <c r="C14" s="3" t="s">
        <v>46</v>
      </c>
      <c r="Q14" s="3"/>
      <c r="R14" s="3"/>
      <c r="S14" s="3"/>
      <c r="T14" s="3"/>
      <c r="U14" s="3"/>
    </row>
    <row r="15" spans="1:21" x14ac:dyDescent="0.2">
      <c r="A15" s="3" t="s">
        <v>47</v>
      </c>
      <c r="B15" s="66">
        <v>142.8271</v>
      </c>
      <c r="C15" s="3" t="s">
        <v>46</v>
      </c>
      <c r="Q15" s="3"/>
      <c r="R15" s="3"/>
      <c r="S15" s="3"/>
      <c r="T15" s="3"/>
      <c r="U15" s="3"/>
    </row>
    <row r="16" spans="1:21" x14ac:dyDescent="0.2">
      <c r="A16" s="3" t="s">
        <v>48</v>
      </c>
      <c r="B16" s="67">
        <v>13.942600000000001</v>
      </c>
      <c r="C16" s="3" t="s">
        <v>46</v>
      </c>
      <c r="Q16" s="3"/>
      <c r="R16" s="3"/>
      <c r="S16" s="3"/>
      <c r="T16" s="3"/>
      <c r="U16" s="3"/>
    </row>
    <row r="17" spans="1:21" x14ac:dyDescent="0.2">
      <c r="A17" s="3" t="s">
        <v>49</v>
      </c>
      <c r="B17" s="68">
        <v>217.3212</v>
      </c>
      <c r="C17" s="3" t="s">
        <v>46</v>
      </c>
      <c r="Q17" s="3"/>
      <c r="R17" s="3"/>
      <c r="S17" s="3"/>
      <c r="T17" s="3"/>
      <c r="U17" s="3"/>
    </row>
    <row r="18" spans="1:21" x14ac:dyDescent="0.2">
      <c r="A18" s="3" t="s">
        <v>50</v>
      </c>
      <c r="B18" s="35">
        <f xml:space="preserve"> 84.4892*((B12/B9)^1.5)</f>
        <v>92.74496940529859</v>
      </c>
      <c r="C18" s="3" t="s">
        <v>51</v>
      </c>
      <c r="Q18" s="3"/>
      <c r="R18" s="3"/>
      <c r="S18" s="3"/>
      <c r="T18" s="3"/>
      <c r="U18" s="3"/>
    </row>
    <row r="19" spans="1:21" x14ac:dyDescent="0.2">
      <c r="A19" s="3" t="s">
        <v>52</v>
      </c>
      <c r="B19" s="19">
        <f>19.919482*((B9/B12)^3.5)*(1-1.25*((SIN(B14/57.29578))^2))/((1-B13^2)^2)</f>
        <v>3.7084928451992734</v>
      </c>
      <c r="C19" s="3" t="s">
        <v>53</v>
      </c>
      <c r="Q19" s="3"/>
      <c r="R19" s="3"/>
      <c r="S19" s="3"/>
      <c r="T19" s="3"/>
      <c r="U19" s="3"/>
    </row>
    <row r="20" spans="1:21" x14ac:dyDescent="0.2">
      <c r="A20" s="3" t="s">
        <v>54</v>
      </c>
      <c r="B20" s="19">
        <f>(-9.9597408/(1-B13^2)^2)*((B9/B12)^3.5)*COS(B14/57.29578)</f>
        <v>-4.9725454902021022</v>
      </c>
      <c r="C20" s="3" t="s">
        <v>53</v>
      </c>
      <c r="Q20" s="3"/>
      <c r="R20" s="3"/>
      <c r="S20" s="3"/>
      <c r="T20" s="3"/>
      <c r="U20" s="3"/>
    </row>
    <row r="21" spans="1:21" x14ac:dyDescent="0.2">
      <c r="A21" s="3" t="s">
        <v>139</v>
      </c>
      <c r="B21" s="70" t="s">
        <v>156</v>
      </c>
      <c r="C21" s="3" t="s">
        <v>53</v>
      </c>
      <c r="Q21" s="3"/>
      <c r="R21" s="3"/>
      <c r="S21" s="3"/>
      <c r="T21" s="3"/>
      <c r="U21" s="3"/>
    </row>
    <row r="22" spans="1:21" x14ac:dyDescent="0.2">
      <c r="A22" s="3" t="s">
        <v>68</v>
      </c>
      <c r="B22" s="18">
        <f>(B10+B11)/2</f>
        <v>409</v>
      </c>
      <c r="C22" s="3" t="s">
        <v>42</v>
      </c>
      <c r="Q22" s="3"/>
      <c r="R22" s="3"/>
      <c r="S22" s="3"/>
      <c r="T22" s="3"/>
      <c r="U22" s="3"/>
    </row>
    <row r="23" spans="1:21" x14ac:dyDescent="0.2">
      <c r="A23" s="3" t="s">
        <v>73</v>
      </c>
      <c r="B23" s="33">
        <f>B22+B9</f>
        <v>6787.1360000000004</v>
      </c>
      <c r="C23" s="3" t="s">
        <v>42</v>
      </c>
      <c r="Q23" s="3"/>
      <c r="R23" s="3"/>
      <c r="S23" s="3"/>
      <c r="T23" s="3"/>
      <c r="U23" s="3"/>
    </row>
    <row r="24" spans="1:21" x14ac:dyDescent="0.2">
      <c r="A24" s="3" t="s">
        <v>82</v>
      </c>
      <c r="B24" s="18">
        <f>57.2958*ACOS((0.98561)/(-9.95974/(((1-B13^2)^2))*(B9/B12)^3.5))</f>
        <v>97.065744010951022</v>
      </c>
      <c r="C24" s="3" t="s">
        <v>46</v>
      </c>
      <c r="Q24" s="3"/>
      <c r="R24" s="3"/>
      <c r="S24" s="3"/>
      <c r="T24" s="3"/>
      <c r="U24" s="3"/>
    </row>
    <row r="25" spans="1:21" x14ac:dyDescent="0.2">
      <c r="A25" s="3" t="s">
        <v>69</v>
      </c>
      <c r="B25" s="422">
        <v>10</v>
      </c>
      <c r="C25" s="3" t="s">
        <v>46</v>
      </c>
      <c r="Q25" s="3"/>
      <c r="R25" s="3"/>
      <c r="S25" s="3"/>
      <c r="T25" s="3"/>
      <c r="U25" s="3"/>
    </row>
    <row r="26" spans="1:21" ht="13.5" thickBot="1" x14ac:dyDescent="0.25">
      <c r="A26" s="3"/>
      <c r="B26" s="20"/>
      <c r="C26" s="3"/>
      <c r="Q26" s="3"/>
      <c r="R26" s="3"/>
      <c r="S26" s="3"/>
      <c r="T26" s="3"/>
      <c r="U26" s="3"/>
    </row>
    <row r="27" spans="1:21" ht="13.5" thickBot="1" x14ac:dyDescent="0.25">
      <c r="A27" s="3" t="s">
        <v>158</v>
      </c>
      <c r="B27" s="40">
        <f>B9*((((B23^2/B9^2)-(COS(B25/57.2958))^2)^0.5)-SIN(B25/57.2958))</f>
        <v>1463.6869476670622</v>
      </c>
      <c r="C27" s="3" t="s">
        <v>72</v>
      </c>
      <c r="Q27" s="3"/>
      <c r="R27" s="3"/>
      <c r="S27" s="3"/>
      <c r="T27" s="3"/>
      <c r="U27" s="3"/>
    </row>
    <row r="28" spans="1:21" x14ac:dyDescent="0.2">
      <c r="A28" s="3"/>
      <c r="B28" s="20"/>
      <c r="C28" s="3"/>
      <c r="Q28" s="3"/>
      <c r="R28" s="3"/>
      <c r="S28" s="3"/>
      <c r="T28" s="3"/>
      <c r="U28" s="3"/>
    </row>
    <row r="29" spans="1:21" ht="18.75" thickBot="1" x14ac:dyDescent="0.3">
      <c r="A29" s="743" t="s">
        <v>343</v>
      </c>
      <c r="B29" s="744"/>
      <c r="C29" s="745"/>
      <c r="D29" s="745"/>
      <c r="E29" s="745"/>
      <c r="F29" s="745"/>
      <c r="G29" s="745"/>
      <c r="H29" s="745"/>
      <c r="I29" s="745"/>
      <c r="J29" s="745"/>
      <c r="K29" s="745"/>
      <c r="L29" s="745"/>
      <c r="M29" s="745"/>
      <c r="N29" s="745"/>
      <c r="O29" s="745"/>
      <c r="P29" s="745"/>
      <c r="Q29" s="745"/>
      <c r="R29" s="135"/>
      <c r="S29" s="135"/>
      <c r="T29" s="135"/>
      <c r="U29" s="135"/>
    </row>
    <row r="30" spans="1:21" ht="13.5" thickBot="1" x14ac:dyDescent="0.25">
      <c r="A30" s="3" t="s">
        <v>37</v>
      </c>
      <c r="B30" s="237" t="s">
        <v>161</v>
      </c>
      <c r="C30" s="55" t="s">
        <v>74</v>
      </c>
      <c r="D30" s="3"/>
      <c r="E30" s="55" t="s">
        <v>159</v>
      </c>
      <c r="F30" s="3"/>
      <c r="G30" s="3"/>
      <c r="H30" s="55" t="s">
        <v>77</v>
      </c>
      <c r="I30" s="3"/>
      <c r="J30" s="3"/>
      <c r="K30" s="3"/>
      <c r="L30" s="3"/>
      <c r="M30" s="3"/>
      <c r="N30" s="3"/>
      <c r="O30" s="3"/>
      <c r="P30" s="3"/>
      <c r="Q30" s="3"/>
      <c r="R30" s="3"/>
      <c r="S30" s="3"/>
      <c r="T30" s="3"/>
      <c r="U30" s="3"/>
    </row>
    <row r="31" spans="1:21" ht="13.5" thickBot="1" x14ac:dyDescent="0.25">
      <c r="A31" s="55" t="s">
        <v>79</v>
      </c>
      <c r="B31" s="236" t="s">
        <v>340</v>
      </c>
      <c r="C31" s="240">
        <v>145.80000000000001</v>
      </c>
      <c r="D31" s="132" t="s">
        <v>75</v>
      </c>
      <c r="E31" s="35">
        <f>299.8/C31</f>
        <v>2.056241426611797</v>
      </c>
      <c r="F31" s="3" t="s">
        <v>76</v>
      </c>
      <c r="G31" s="3"/>
      <c r="H31" s="36">
        <f>22+20*LOG10(($B$27*1000)/E31)</f>
        <v>139.0474819105232</v>
      </c>
      <c r="I31" s="3" t="s">
        <v>78</v>
      </c>
      <c r="J31" s="3" t="s">
        <v>345</v>
      </c>
      <c r="K31" s="3"/>
      <c r="L31" s="3"/>
      <c r="M31" s="423">
        <v>2</v>
      </c>
      <c r="N31" s="239">
        <f>INDEX(C31:C34,M31,1)</f>
        <v>437.5</v>
      </c>
      <c r="O31" s="238" t="s">
        <v>75</v>
      </c>
      <c r="P31" s="3"/>
      <c r="Q31" s="3"/>
      <c r="R31" s="3"/>
      <c r="S31" s="3"/>
      <c r="T31" s="3"/>
      <c r="U31" s="3"/>
    </row>
    <row r="32" spans="1:21" x14ac:dyDescent="0.2">
      <c r="A32" s="55"/>
      <c r="B32" s="236" t="s">
        <v>341</v>
      </c>
      <c r="C32" s="240">
        <v>437.5</v>
      </c>
      <c r="D32" s="132" t="s">
        <v>75</v>
      </c>
      <c r="E32" s="35">
        <f t="shared" ref="E32:E39" si="0">299.8/C32</f>
        <v>0.6852571428571429</v>
      </c>
      <c r="F32" s="3" t="s">
        <v>76</v>
      </c>
      <c r="G32" s="3"/>
      <c r="H32" s="36">
        <f>22+20*LOG10(($B$27*1000)/E32)</f>
        <v>148.59189257805076</v>
      </c>
      <c r="I32" s="3" t="s">
        <v>78</v>
      </c>
      <c r="J32" s="3"/>
      <c r="K32" s="3"/>
      <c r="L32" s="3"/>
      <c r="M32" s="3"/>
      <c r="N32" s="3"/>
      <c r="O32" s="3"/>
      <c r="P32" s="3"/>
      <c r="Q32" s="3"/>
      <c r="R32" s="3"/>
      <c r="S32" s="3"/>
      <c r="T32" s="3"/>
      <c r="U32" s="3"/>
    </row>
    <row r="33" spans="1:21" x14ac:dyDescent="0.2">
      <c r="A33" s="55"/>
      <c r="B33" s="236" t="s">
        <v>342</v>
      </c>
      <c r="C33" s="240">
        <v>1269.9000000000001</v>
      </c>
      <c r="D33" s="132" t="s">
        <v>75</v>
      </c>
      <c r="E33" s="35">
        <f t="shared" si="0"/>
        <v>0.23608158122686826</v>
      </c>
      <c r="F33" s="3" t="s">
        <v>76</v>
      </c>
      <c r="G33" s="3"/>
      <c r="H33" s="36">
        <f>22+20*LOG10(($B$27*1000)/E33)</f>
        <v>157.84772189475754</v>
      </c>
      <c r="I33" s="3" t="s">
        <v>78</v>
      </c>
      <c r="J33" s="3"/>
      <c r="K33" s="3"/>
      <c r="L33" s="3"/>
      <c r="M33" s="3"/>
      <c r="N33" s="3"/>
      <c r="O33" s="3"/>
      <c r="P33" s="3"/>
      <c r="Q33" s="3"/>
      <c r="R33" s="3"/>
      <c r="S33" s="3"/>
      <c r="T33" s="3"/>
      <c r="U33" s="3"/>
    </row>
    <row r="34" spans="1:21" x14ac:dyDescent="0.2">
      <c r="A34" s="245" t="s">
        <v>347</v>
      </c>
      <c r="B34" s="236" t="s">
        <v>346</v>
      </c>
      <c r="C34" s="242">
        <v>145.80000000000001</v>
      </c>
      <c r="D34" s="243" t="s">
        <v>75</v>
      </c>
      <c r="E34" s="35">
        <f>299.8/C34</f>
        <v>2.056241426611797</v>
      </c>
      <c r="F34" s="3" t="s">
        <v>76</v>
      </c>
      <c r="G34" s="3"/>
      <c r="H34" s="36">
        <f>22+20*LOG10(($B$27*1000)/E34)</f>
        <v>139.0474819105232</v>
      </c>
      <c r="I34" s="3" t="s">
        <v>78</v>
      </c>
      <c r="J34" s="3"/>
      <c r="K34" s="3"/>
      <c r="L34" s="3"/>
      <c r="M34" s="3"/>
      <c r="N34" s="3"/>
      <c r="O34" s="3"/>
      <c r="P34" s="3"/>
      <c r="Q34" s="3"/>
      <c r="R34" s="3"/>
      <c r="S34" s="3"/>
      <c r="T34" s="3"/>
      <c r="U34" s="3"/>
    </row>
    <row r="35" spans="1:21" x14ac:dyDescent="0.2">
      <c r="A35" s="55"/>
      <c r="B35" s="236"/>
      <c r="C35" s="72"/>
      <c r="D35" s="3"/>
      <c r="E35" s="35" t="s">
        <v>37</v>
      </c>
      <c r="F35" s="3"/>
      <c r="G35" s="3"/>
      <c r="H35" s="36"/>
      <c r="I35" s="3"/>
      <c r="J35" s="241" t="s">
        <v>81</v>
      </c>
      <c r="K35" s="131"/>
      <c r="L35" s="132"/>
      <c r="M35" s="3"/>
      <c r="N35" s="3"/>
      <c r="O35" s="3"/>
      <c r="P35" s="3"/>
      <c r="Q35" s="3"/>
      <c r="R35" s="3"/>
      <c r="S35" s="3"/>
      <c r="T35" s="3"/>
      <c r="U35" s="3"/>
    </row>
    <row r="36" spans="1:21" ht="13.5" thickBot="1" x14ac:dyDescent="0.25">
      <c r="A36" s="3"/>
      <c r="B36" s="86"/>
      <c r="C36" s="235" t="s">
        <v>37</v>
      </c>
      <c r="D36" s="3"/>
      <c r="E36" s="35" t="s">
        <v>37</v>
      </c>
      <c r="F36" s="3"/>
      <c r="G36" s="3"/>
      <c r="H36" s="3"/>
      <c r="I36" s="3"/>
      <c r="J36" s="37" t="s">
        <v>37</v>
      </c>
      <c r="K36" s="3"/>
      <c r="L36" s="3"/>
      <c r="M36" s="3"/>
      <c r="N36" s="3"/>
      <c r="O36" s="3"/>
      <c r="P36" s="3"/>
      <c r="Q36" s="3"/>
      <c r="R36" s="3"/>
      <c r="S36" s="3"/>
      <c r="T36" s="3"/>
      <c r="U36" s="3"/>
    </row>
    <row r="37" spans="1:21" ht="13.5" thickBot="1" x14ac:dyDescent="0.25">
      <c r="A37" s="55" t="s">
        <v>80</v>
      </c>
      <c r="B37" s="236" t="s">
        <v>340</v>
      </c>
      <c r="C37" s="240">
        <v>145.80000000000001</v>
      </c>
      <c r="D37" s="132" t="s">
        <v>75</v>
      </c>
      <c r="E37" s="35">
        <f t="shared" si="0"/>
        <v>2.056241426611797</v>
      </c>
      <c r="F37" s="3" t="s">
        <v>76</v>
      </c>
      <c r="G37" s="3"/>
      <c r="H37" s="36">
        <f>22+20*LOG10((B27*1000)/E37)</f>
        <v>139.0474819105232</v>
      </c>
      <c r="I37" s="3" t="s">
        <v>78</v>
      </c>
      <c r="J37" s="3" t="s">
        <v>344</v>
      </c>
      <c r="K37" s="3"/>
      <c r="L37" s="3"/>
      <c r="M37" s="423">
        <v>2</v>
      </c>
      <c r="N37" s="239">
        <f>INDEX(C37:C40,M37,1)</f>
        <v>437.45</v>
      </c>
      <c r="O37" s="238" t="s">
        <v>75</v>
      </c>
      <c r="P37" s="3"/>
      <c r="Q37" s="3"/>
      <c r="R37" s="3"/>
      <c r="S37" s="3"/>
      <c r="T37" s="3"/>
      <c r="U37" s="3"/>
    </row>
    <row r="38" spans="1:21" x14ac:dyDescent="0.2">
      <c r="A38" s="3"/>
      <c r="B38" s="237" t="s">
        <v>341</v>
      </c>
      <c r="C38" s="240">
        <v>437.45</v>
      </c>
      <c r="D38" s="132" t="s">
        <v>75</v>
      </c>
      <c r="E38" s="35">
        <f t="shared" si="0"/>
        <v>0.68533546691050407</v>
      </c>
      <c r="F38" s="3" t="s">
        <v>76</v>
      </c>
      <c r="G38" s="3"/>
      <c r="H38" s="36">
        <f>22+20*LOG10(($B$27*1000)/E38)</f>
        <v>148.59089984822074</v>
      </c>
      <c r="I38" s="3" t="s">
        <v>78</v>
      </c>
      <c r="J38" s="3"/>
      <c r="K38" s="3"/>
      <c r="L38" s="3"/>
      <c r="M38" s="3"/>
      <c r="N38" s="3"/>
      <c r="O38" s="3"/>
      <c r="P38" s="3"/>
      <c r="Q38" s="3"/>
      <c r="R38" s="3"/>
      <c r="S38" s="3"/>
      <c r="T38" s="3"/>
      <c r="U38" s="3"/>
    </row>
    <row r="39" spans="1:21" x14ac:dyDescent="0.2">
      <c r="A39" s="3"/>
      <c r="B39" s="237" t="s">
        <v>342</v>
      </c>
      <c r="C39" s="240">
        <v>2405</v>
      </c>
      <c r="D39" s="132" t="s">
        <v>75</v>
      </c>
      <c r="E39" s="35">
        <f t="shared" si="0"/>
        <v>0.12465696465696466</v>
      </c>
      <c r="F39" s="3" t="s">
        <v>76</v>
      </c>
      <c r="G39" s="3"/>
      <c r="H39" s="36">
        <f>22+20*LOG10(($B$27*1000)/E39)</f>
        <v>163.39463304508109</v>
      </c>
      <c r="I39" s="3" t="s">
        <v>78</v>
      </c>
      <c r="J39" s="3"/>
      <c r="K39" s="3"/>
      <c r="L39" s="3"/>
      <c r="M39" s="3"/>
      <c r="N39" s="3"/>
      <c r="O39" s="3"/>
      <c r="P39" s="3"/>
      <c r="Q39" s="3"/>
      <c r="R39" s="3"/>
      <c r="S39" s="3"/>
      <c r="T39" s="3"/>
      <c r="U39" s="3"/>
    </row>
    <row r="40" spans="1:21" x14ac:dyDescent="0.2">
      <c r="A40" s="245" t="s">
        <v>347</v>
      </c>
      <c r="B40" s="237" t="s">
        <v>346</v>
      </c>
      <c r="C40" s="244">
        <v>1269.9000000000001</v>
      </c>
      <c r="D40" s="243" t="s">
        <v>75</v>
      </c>
      <c r="E40" s="35">
        <f>299.8/C40</f>
        <v>0.23608158122686826</v>
      </c>
      <c r="F40" s="3" t="s">
        <v>76</v>
      </c>
      <c r="G40" s="3"/>
      <c r="H40" s="36">
        <f>22+20*LOG10(($B$27*1000)/E40)</f>
        <v>157.84772189475754</v>
      </c>
      <c r="I40" s="3" t="s">
        <v>78</v>
      </c>
      <c r="J40" s="3"/>
      <c r="K40" s="3"/>
      <c r="L40" s="3"/>
      <c r="M40" s="3"/>
      <c r="N40" s="3"/>
      <c r="O40" s="3"/>
      <c r="P40" s="3"/>
      <c r="Q40" s="3"/>
      <c r="R40" s="3"/>
      <c r="S40" s="3"/>
      <c r="T40" s="3"/>
      <c r="U40" s="3"/>
    </row>
    <row r="41" spans="1:21" x14ac:dyDescent="0.2">
      <c r="A41" s="3"/>
      <c r="B41" s="3"/>
      <c r="C41" s="3"/>
      <c r="D41" s="3"/>
      <c r="E41" s="3" t="s">
        <v>37</v>
      </c>
      <c r="F41" s="3"/>
      <c r="G41" s="3"/>
      <c r="H41" s="3"/>
      <c r="I41" s="3"/>
      <c r="J41" s="3" t="s">
        <v>37</v>
      </c>
      <c r="K41" s="3"/>
      <c r="L41" s="3"/>
      <c r="M41" s="3"/>
      <c r="N41" s="3"/>
      <c r="O41" s="3"/>
      <c r="P41" s="3"/>
      <c r="Q41" s="3"/>
      <c r="R41" s="3"/>
      <c r="S41" s="3"/>
      <c r="T41" s="3"/>
      <c r="U41" s="3"/>
    </row>
    <row r="42" spans="1:21" x14ac:dyDescent="0.2">
      <c r="A42" s="3" t="s">
        <v>37</v>
      </c>
      <c r="B42" s="3"/>
      <c r="C42" s="3"/>
      <c r="D42" s="3"/>
      <c r="E42" s="3"/>
      <c r="F42" s="3"/>
      <c r="G42" s="3"/>
      <c r="H42" s="3"/>
      <c r="I42" s="3"/>
      <c r="J42" s="3"/>
      <c r="K42" s="3"/>
      <c r="L42" s="3"/>
      <c r="M42" s="3"/>
      <c r="N42" s="3"/>
      <c r="O42" s="3"/>
      <c r="P42" s="3"/>
      <c r="Q42" s="3"/>
      <c r="R42" s="3"/>
      <c r="S42" s="3"/>
      <c r="T42" s="3"/>
      <c r="U42" s="3"/>
    </row>
    <row r="43" spans="1:21" x14ac:dyDescent="0.2">
      <c r="A43" s="3"/>
      <c r="B43" s="258" t="s">
        <v>370</v>
      </c>
      <c r="C43" s="3"/>
      <c r="D43" s="3"/>
      <c r="E43" s="3"/>
      <c r="F43" s="3"/>
      <c r="G43" s="3"/>
      <c r="H43" s="3" t="s">
        <v>37</v>
      </c>
      <c r="I43" s="3"/>
      <c r="J43" s="3"/>
      <c r="K43" s="3"/>
      <c r="L43" s="3"/>
      <c r="M43" s="3"/>
      <c r="N43" s="3"/>
      <c r="O43" s="3"/>
      <c r="P43" s="3"/>
      <c r="Q43" s="3"/>
      <c r="R43" s="3"/>
      <c r="S43" s="3"/>
      <c r="T43" s="3"/>
      <c r="U43" s="3"/>
    </row>
    <row r="44" spans="1:21" x14ac:dyDescent="0.2">
      <c r="A44" s="3"/>
      <c r="B44" s="3" t="s">
        <v>37</v>
      </c>
      <c r="C44" s="3"/>
      <c r="D44" s="3"/>
      <c r="E44" s="3"/>
      <c r="F44" s="3"/>
      <c r="G44" s="3"/>
      <c r="H44" s="3"/>
      <c r="I44" s="3"/>
      <c r="J44" s="3"/>
      <c r="K44" s="3"/>
      <c r="L44" s="3"/>
      <c r="M44" s="3"/>
      <c r="N44" s="3"/>
      <c r="O44" s="3"/>
      <c r="P44" s="3"/>
      <c r="Q44" s="3"/>
      <c r="R44" s="3"/>
      <c r="S44" s="3"/>
      <c r="T44" s="3"/>
      <c r="U44" s="3"/>
    </row>
    <row r="45" spans="1:21" x14ac:dyDescent="0.2">
      <c r="A45" s="3"/>
      <c r="B45" s="3"/>
      <c r="C45" s="3"/>
      <c r="D45" s="3"/>
      <c r="E45" s="3"/>
      <c r="F45" s="3"/>
      <c r="G45" s="3"/>
      <c r="H45" s="3"/>
      <c r="I45" s="3"/>
      <c r="J45" s="3"/>
      <c r="K45" s="3"/>
      <c r="L45" s="3"/>
      <c r="M45" s="3"/>
      <c r="N45" s="3"/>
      <c r="O45" s="3"/>
      <c r="P45" s="3"/>
      <c r="Q45" s="3"/>
      <c r="R45" s="3"/>
      <c r="S45" s="3"/>
      <c r="T45" s="3"/>
      <c r="U45" s="3"/>
    </row>
    <row r="46" spans="1:21" x14ac:dyDescent="0.2">
      <c r="A46" s="3"/>
      <c r="B46" s="3"/>
      <c r="C46" s="3"/>
      <c r="D46" s="3"/>
      <c r="E46" s="3"/>
      <c r="F46" s="3"/>
      <c r="G46" s="3"/>
      <c r="H46" s="3"/>
      <c r="I46" s="3"/>
      <c r="J46" s="3"/>
      <c r="K46" s="3"/>
      <c r="L46" s="3"/>
      <c r="M46" s="3"/>
      <c r="N46" s="3"/>
      <c r="O46" s="3"/>
      <c r="P46" s="3"/>
      <c r="Q46" s="3"/>
      <c r="R46" s="3"/>
      <c r="S46" s="3"/>
      <c r="T46" s="3"/>
      <c r="U46" s="3"/>
    </row>
    <row r="47" spans="1:21" x14ac:dyDescent="0.2">
      <c r="A47" s="3"/>
      <c r="B47" s="3"/>
      <c r="C47" s="3"/>
      <c r="D47" s="3"/>
      <c r="E47" s="3"/>
      <c r="F47" s="3"/>
      <c r="G47" s="3"/>
      <c r="H47" s="3"/>
      <c r="I47" s="3"/>
      <c r="J47" s="3"/>
      <c r="K47" s="3"/>
      <c r="L47" s="3"/>
      <c r="M47" s="3"/>
      <c r="N47" s="3"/>
      <c r="O47" s="3"/>
      <c r="P47" s="3"/>
      <c r="Q47" s="3"/>
      <c r="R47" s="3"/>
      <c r="S47" s="3"/>
      <c r="T47" s="3"/>
      <c r="U47" s="3"/>
    </row>
    <row r="48" spans="1:21" x14ac:dyDescent="0.2">
      <c r="A48" s="3"/>
      <c r="B48" s="3"/>
      <c r="C48" s="3"/>
      <c r="D48" s="3"/>
      <c r="E48" s="3"/>
      <c r="F48" s="3"/>
      <c r="G48" s="3"/>
      <c r="H48" s="3"/>
      <c r="I48" s="3"/>
      <c r="J48" s="3"/>
      <c r="K48" s="3"/>
      <c r="L48" s="3"/>
      <c r="M48" s="3"/>
      <c r="N48" s="3"/>
      <c r="O48" s="3"/>
      <c r="P48" s="3"/>
      <c r="Q48" s="3"/>
      <c r="R48" s="3"/>
      <c r="S48" s="3"/>
      <c r="T48" s="3"/>
      <c r="U48" s="3"/>
    </row>
    <row r="49" spans="1:21" x14ac:dyDescent="0.2">
      <c r="A49" s="3"/>
      <c r="B49" s="3"/>
      <c r="C49" s="3"/>
      <c r="D49" s="3"/>
      <c r="E49" s="3"/>
      <c r="F49" s="3"/>
      <c r="G49" s="3"/>
      <c r="H49" s="3"/>
      <c r="I49" s="3"/>
      <c r="J49" s="3"/>
      <c r="K49" s="3"/>
      <c r="L49" s="3"/>
      <c r="M49" s="3"/>
      <c r="N49" s="3"/>
      <c r="O49" s="3"/>
      <c r="P49" s="3"/>
      <c r="Q49" s="3"/>
      <c r="R49" s="3"/>
      <c r="S49" s="3"/>
      <c r="T49" s="3"/>
      <c r="U49" s="3"/>
    </row>
    <row r="50" spans="1:21" x14ac:dyDescent="0.2">
      <c r="A50" s="3"/>
      <c r="B50" s="3"/>
      <c r="C50" s="3"/>
      <c r="D50" s="3"/>
      <c r="E50" s="3"/>
      <c r="F50" s="3"/>
      <c r="G50" s="3"/>
      <c r="H50" s="3"/>
      <c r="I50" s="3"/>
      <c r="J50" s="3"/>
      <c r="K50" s="3"/>
      <c r="L50" s="3"/>
      <c r="M50" s="3"/>
      <c r="N50" s="3"/>
      <c r="O50" s="3"/>
      <c r="P50" s="3"/>
      <c r="Q50" s="3"/>
      <c r="R50" s="3"/>
      <c r="S50" s="3"/>
      <c r="T50" s="3"/>
      <c r="U50" s="3"/>
    </row>
    <row r="51" spans="1:21" x14ac:dyDescent="0.2">
      <c r="A51" s="3"/>
      <c r="B51" s="3"/>
      <c r="C51" s="3"/>
      <c r="D51" s="3"/>
      <c r="E51" s="3"/>
      <c r="F51" s="3"/>
      <c r="G51" s="3"/>
      <c r="H51" s="3"/>
      <c r="I51" s="3"/>
      <c r="J51" s="3"/>
      <c r="K51" s="3"/>
      <c r="L51" s="3"/>
      <c r="M51" s="3"/>
      <c r="N51" s="3"/>
      <c r="O51" s="3"/>
      <c r="P51" s="3"/>
      <c r="Q51" s="3"/>
      <c r="R51" s="3"/>
      <c r="S51" s="3"/>
      <c r="T51" s="3"/>
      <c r="U51" s="3"/>
    </row>
    <row r="52" spans="1:21" x14ac:dyDescent="0.2">
      <c r="A52" s="3"/>
      <c r="B52" s="3"/>
      <c r="C52" s="3"/>
      <c r="D52" s="3"/>
      <c r="E52" s="3"/>
      <c r="F52" s="3"/>
      <c r="G52" s="3"/>
      <c r="H52" s="3"/>
      <c r="I52" s="3"/>
      <c r="J52" s="3"/>
      <c r="K52" s="3"/>
      <c r="L52" s="3"/>
      <c r="M52" s="3"/>
      <c r="N52" s="3"/>
      <c r="O52" s="3"/>
      <c r="P52" s="3"/>
      <c r="Q52" s="3"/>
      <c r="R52" s="3"/>
      <c r="S52" s="3"/>
      <c r="T52" s="3"/>
      <c r="U52" s="3"/>
    </row>
    <row r="53" spans="1:21" x14ac:dyDescent="0.2">
      <c r="A53" s="3"/>
      <c r="B53" s="3"/>
      <c r="C53" s="3"/>
      <c r="D53" s="3"/>
      <c r="E53" s="3"/>
      <c r="F53" s="3"/>
      <c r="G53" s="3"/>
      <c r="H53" s="3"/>
      <c r="I53" s="3"/>
      <c r="J53" s="3"/>
      <c r="K53" s="3"/>
      <c r="L53" s="3"/>
      <c r="M53" s="3"/>
      <c r="N53" s="3"/>
      <c r="O53" s="3"/>
      <c r="P53" s="3"/>
      <c r="Q53" s="3"/>
      <c r="R53" s="3"/>
      <c r="S53" s="3"/>
      <c r="T53" s="3"/>
      <c r="U53" s="3"/>
    </row>
  </sheetData>
  <phoneticPr fontId="0" type="noConversion"/>
  <pageMargins left="0.75" right="0.75" top="1" bottom="1" header="0.5" footer="0.5"/>
  <pageSetup orientation="portrait"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91"/>
  <sheetViews>
    <sheetView topLeftCell="A8" workbookViewId="0">
      <selection activeCell="E17" sqref="E17"/>
    </sheetView>
  </sheetViews>
  <sheetFormatPr defaultRowHeight="12.75" x14ac:dyDescent="0.2"/>
  <cols>
    <col min="4" max="4" width="23.42578125" customWidth="1"/>
    <col min="5" max="5" width="9.5703125" bestFit="1" customWidth="1"/>
    <col min="6" max="6" width="9.28515625" customWidth="1"/>
    <col min="7" max="7" width="9" customWidth="1"/>
    <col min="9" max="9" width="10.7109375" customWidth="1"/>
    <col min="12" max="12" width="10.42578125" customWidth="1"/>
  </cols>
  <sheetData>
    <row r="1" spans="1:18" ht="18.75" thickBot="1" x14ac:dyDescent="0.3">
      <c r="A1" s="133" t="s">
        <v>424</v>
      </c>
      <c r="B1" s="135"/>
      <c r="C1" s="135"/>
      <c r="D1" s="135"/>
      <c r="E1" s="135"/>
      <c r="F1" s="726" t="str">
        <f>'Title Page'!F3</f>
        <v>CougSat-1</v>
      </c>
      <c r="G1" s="135"/>
      <c r="H1" s="135"/>
      <c r="I1" s="135"/>
      <c r="J1" s="725" t="str">
        <f>'Title Page'!F25</f>
        <v>2020 January 17</v>
      </c>
      <c r="K1" s="135"/>
      <c r="L1" s="135"/>
      <c r="M1" s="135"/>
      <c r="N1" s="135"/>
      <c r="O1" s="135"/>
      <c r="P1" s="135"/>
      <c r="Q1" s="135"/>
      <c r="R1" s="135"/>
    </row>
    <row r="2" spans="1:18" x14ac:dyDescent="0.2">
      <c r="A2" s="3"/>
      <c r="B2" s="3"/>
      <c r="C2" s="3"/>
      <c r="D2" s="3"/>
      <c r="E2" s="3" t="s">
        <v>37</v>
      </c>
      <c r="F2" s="3"/>
      <c r="G2" s="3"/>
      <c r="H2" s="3"/>
      <c r="I2" s="3"/>
      <c r="J2" s="3"/>
      <c r="K2" s="3"/>
      <c r="L2" s="3"/>
      <c r="M2" s="3"/>
      <c r="N2" s="3"/>
      <c r="O2" s="3"/>
      <c r="P2" s="3"/>
      <c r="Q2" s="3"/>
      <c r="R2" s="3"/>
    </row>
    <row r="3" spans="1:18" x14ac:dyDescent="0.2">
      <c r="A3" s="3"/>
      <c r="B3" s="3"/>
      <c r="C3" s="3"/>
      <c r="D3" s="3"/>
      <c r="E3" s="3"/>
      <c r="F3" s="3"/>
      <c r="G3" s="3"/>
      <c r="H3" s="3"/>
      <c r="I3" s="3"/>
      <c r="J3" s="3"/>
      <c r="K3" s="3"/>
      <c r="L3" s="3"/>
      <c r="M3" s="3"/>
      <c r="N3" s="3"/>
      <c r="O3" s="3"/>
      <c r="P3" s="3"/>
      <c r="Q3" s="3"/>
      <c r="R3" s="3"/>
    </row>
    <row r="4" spans="1:18" ht="15.75" x14ac:dyDescent="0.25">
      <c r="A4" s="3"/>
      <c r="B4" s="294" t="s">
        <v>387</v>
      </c>
      <c r="C4" s="204"/>
      <c r="D4" s="204"/>
      <c r="E4" s="204"/>
      <c r="F4" s="204"/>
      <c r="G4" s="205"/>
      <c r="H4" s="3"/>
      <c r="I4" s="3"/>
      <c r="J4" s="568"/>
      <c r="K4" s="3"/>
      <c r="L4" s="3"/>
      <c r="M4" s="3"/>
      <c r="N4" s="3"/>
      <c r="O4" s="3"/>
      <c r="P4" s="3"/>
      <c r="Q4" s="3"/>
      <c r="R4" s="3"/>
    </row>
    <row r="5" spans="1:18" ht="15.75" x14ac:dyDescent="0.25">
      <c r="A5" s="3"/>
      <c r="B5" s="666"/>
      <c r="C5" s="108"/>
      <c r="D5" s="108"/>
      <c r="E5" s="108"/>
      <c r="F5" s="108"/>
      <c r="G5" s="108"/>
      <c r="H5" s="3"/>
      <c r="I5" s="3"/>
      <c r="J5" s="568"/>
      <c r="K5" s="3"/>
      <c r="L5" s="3"/>
      <c r="M5" s="3"/>
      <c r="N5" s="3"/>
      <c r="O5" s="3"/>
      <c r="P5" s="3"/>
      <c r="Q5" s="3"/>
      <c r="R5" s="3"/>
    </row>
    <row r="6" spans="1:18" x14ac:dyDescent="0.2">
      <c r="A6" s="3"/>
      <c r="B6" s="376" t="s">
        <v>529</v>
      </c>
      <c r="C6" s="3"/>
      <c r="D6" s="3"/>
      <c r="E6" s="3"/>
      <c r="F6" s="3"/>
      <c r="G6" s="3"/>
      <c r="H6" s="3"/>
      <c r="I6" s="3"/>
      <c r="J6" s="3"/>
      <c r="K6" s="3"/>
      <c r="L6" s="3"/>
      <c r="M6" s="3"/>
      <c r="N6" s="3"/>
      <c r="O6" s="3"/>
      <c r="P6" s="3"/>
      <c r="Q6" s="3"/>
      <c r="R6" s="3"/>
    </row>
    <row r="7" spans="1:18" x14ac:dyDescent="0.2">
      <c r="A7" s="3"/>
      <c r="B7" s="3"/>
      <c r="C7" s="3"/>
      <c r="D7" s="3"/>
      <c r="E7" s="3"/>
      <c r="F7" s="3"/>
      <c r="G7" s="3"/>
      <c r="H7" s="3"/>
      <c r="I7" s="3"/>
      <c r="J7" s="3"/>
      <c r="K7" s="3"/>
      <c r="L7" s="3"/>
      <c r="M7" s="3"/>
      <c r="N7" s="3"/>
      <c r="O7" s="3"/>
      <c r="P7" s="3"/>
      <c r="Q7" s="3"/>
      <c r="R7" s="3"/>
    </row>
    <row r="8" spans="1:18" x14ac:dyDescent="0.2">
      <c r="A8" s="3"/>
      <c r="B8" s="3"/>
      <c r="C8" s="355"/>
      <c r="D8" s="356"/>
      <c r="E8" s="356"/>
      <c r="F8" s="356"/>
      <c r="G8" s="356"/>
      <c r="H8" s="356"/>
      <c r="I8" s="356"/>
      <c r="J8" s="356"/>
      <c r="K8" s="357"/>
      <c r="L8" s="3"/>
      <c r="M8" s="3"/>
      <c r="N8" s="3"/>
      <c r="O8" s="3"/>
      <c r="P8" s="3"/>
      <c r="Q8" s="3"/>
      <c r="R8" s="3"/>
    </row>
    <row r="9" spans="1:18" x14ac:dyDescent="0.2">
      <c r="A9" s="3"/>
      <c r="B9" s="3"/>
      <c r="C9" s="373" t="s">
        <v>389</v>
      </c>
      <c r="D9" s="359"/>
      <c r="E9" s="359"/>
      <c r="F9" s="359"/>
      <c r="G9" s="359"/>
      <c r="H9" s="359"/>
      <c r="I9" s="359"/>
      <c r="J9" s="359"/>
      <c r="K9" s="346"/>
      <c r="L9" s="3"/>
      <c r="M9" s="3"/>
      <c r="N9" s="3"/>
      <c r="O9" s="3"/>
      <c r="P9" s="3"/>
      <c r="Q9" s="3"/>
      <c r="R9" s="3"/>
    </row>
    <row r="10" spans="1:18" x14ac:dyDescent="0.2">
      <c r="A10" s="3"/>
      <c r="B10" s="3"/>
      <c r="C10" s="358"/>
      <c r="D10" s="359"/>
      <c r="E10" s="359"/>
      <c r="F10" s="359"/>
      <c r="G10" s="359"/>
      <c r="H10" s="359"/>
      <c r="I10" s="359"/>
      <c r="J10" s="359"/>
      <c r="K10" s="346"/>
      <c r="L10" s="3"/>
      <c r="M10" s="3"/>
      <c r="N10" s="3"/>
      <c r="O10" s="3"/>
      <c r="P10" s="3"/>
      <c r="Q10" s="3"/>
      <c r="R10" s="3"/>
    </row>
    <row r="11" spans="1:18" x14ac:dyDescent="0.2">
      <c r="A11" s="3"/>
      <c r="B11" s="3"/>
      <c r="C11" s="358"/>
      <c r="D11" s="359"/>
      <c r="E11" s="359"/>
      <c r="F11" s="359" t="s">
        <v>428</v>
      </c>
      <c r="G11" s="359"/>
      <c r="H11" s="359" t="s">
        <v>429</v>
      </c>
      <c r="I11" s="359"/>
      <c r="J11" s="359" t="s">
        <v>426</v>
      </c>
      <c r="K11" s="346"/>
      <c r="L11" s="3"/>
      <c r="M11" s="3"/>
      <c r="N11" s="3"/>
      <c r="O11" s="3"/>
      <c r="P11" s="3"/>
      <c r="Q11" s="3"/>
      <c r="R11" s="3"/>
    </row>
    <row r="12" spans="1:18" x14ac:dyDescent="0.2">
      <c r="A12" s="3"/>
      <c r="B12" s="3"/>
      <c r="C12" s="358"/>
      <c r="D12" s="359"/>
      <c r="E12" s="359"/>
      <c r="F12" s="359"/>
      <c r="G12" s="359"/>
      <c r="H12" s="359"/>
      <c r="I12" s="359"/>
      <c r="J12" s="359"/>
      <c r="K12" s="346"/>
      <c r="L12" s="3"/>
      <c r="M12" s="3"/>
      <c r="N12" s="3"/>
      <c r="O12" s="3"/>
      <c r="P12" s="3"/>
      <c r="Q12" s="3"/>
      <c r="R12" s="3"/>
    </row>
    <row r="13" spans="1:18" x14ac:dyDescent="0.2">
      <c r="A13" s="3"/>
      <c r="B13" s="3"/>
      <c r="C13" s="358"/>
      <c r="D13" s="359"/>
      <c r="E13" s="359"/>
      <c r="F13" s="359"/>
      <c r="G13" s="359"/>
      <c r="H13" s="359"/>
      <c r="I13" s="359"/>
      <c r="J13" s="359"/>
      <c r="K13" s="346"/>
      <c r="L13" s="3"/>
      <c r="M13" s="3"/>
      <c r="N13" s="3"/>
      <c r="O13" s="3"/>
      <c r="P13" s="3"/>
      <c r="Q13" s="3"/>
      <c r="R13" s="3"/>
    </row>
    <row r="14" spans="1:18" x14ac:dyDescent="0.2">
      <c r="A14" s="3"/>
      <c r="B14" s="3"/>
      <c r="C14" s="358"/>
      <c r="D14" s="359"/>
      <c r="E14" s="359"/>
      <c r="F14" s="359"/>
      <c r="G14" s="359"/>
      <c r="H14" s="359"/>
      <c r="I14" s="359"/>
      <c r="J14" s="359"/>
      <c r="K14" s="346"/>
      <c r="L14" s="3"/>
      <c r="M14" s="3"/>
      <c r="N14" s="3"/>
      <c r="O14" s="3"/>
      <c r="P14" s="3"/>
      <c r="Q14" s="3"/>
      <c r="R14" s="3"/>
    </row>
    <row r="15" spans="1:18" x14ac:dyDescent="0.2">
      <c r="A15" s="3"/>
      <c r="B15" s="3"/>
      <c r="C15" s="358"/>
      <c r="D15" s="359"/>
      <c r="E15" s="359"/>
      <c r="F15" s="359"/>
      <c r="G15" s="359"/>
      <c r="H15" s="359"/>
      <c r="I15" s="359"/>
      <c r="J15" s="359"/>
      <c r="K15" s="346"/>
      <c r="L15" s="3"/>
      <c r="M15" s="3"/>
      <c r="N15" s="3"/>
      <c r="O15" s="3"/>
      <c r="P15" s="3"/>
      <c r="Q15" s="3"/>
      <c r="R15" s="3"/>
    </row>
    <row r="16" spans="1:18" x14ac:dyDescent="0.2">
      <c r="A16" s="3"/>
      <c r="B16" s="3"/>
      <c r="C16" s="358" t="s">
        <v>390</v>
      </c>
      <c r="D16" s="359"/>
      <c r="E16" s="371">
        <v>10</v>
      </c>
      <c r="F16" s="359" t="s">
        <v>391</v>
      </c>
      <c r="G16" s="442">
        <f>10*LOG10(E16)</f>
        <v>10</v>
      </c>
      <c r="H16" s="359" t="s">
        <v>392</v>
      </c>
      <c r="I16" s="351">
        <f>G16+30</f>
        <v>40</v>
      </c>
      <c r="J16" s="359" t="s">
        <v>104</v>
      </c>
      <c r="K16" s="346" t="s">
        <v>37</v>
      </c>
      <c r="L16" s="3"/>
      <c r="M16" s="3"/>
      <c r="N16" s="3"/>
      <c r="O16" s="3"/>
      <c r="P16" s="3"/>
      <c r="Q16" s="3"/>
      <c r="R16" s="3"/>
    </row>
    <row r="17" spans="1:18" x14ac:dyDescent="0.2">
      <c r="A17" s="3"/>
      <c r="B17" s="3"/>
      <c r="C17" s="358"/>
      <c r="D17" s="359"/>
      <c r="E17" s="359"/>
      <c r="F17" s="359"/>
      <c r="G17" s="359"/>
      <c r="H17" s="359"/>
      <c r="I17" s="359"/>
      <c r="J17" s="359"/>
      <c r="K17" s="346"/>
      <c r="L17" s="3"/>
      <c r="M17" s="3"/>
      <c r="N17" s="3"/>
      <c r="O17" s="3"/>
      <c r="P17" s="3"/>
      <c r="Q17" s="3"/>
      <c r="R17" s="3"/>
    </row>
    <row r="18" spans="1:18" x14ac:dyDescent="0.2">
      <c r="A18" s="3"/>
      <c r="B18" s="3"/>
      <c r="C18" s="358" t="s">
        <v>470</v>
      </c>
      <c r="D18" s="359"/>
      <c r="E18" s="359"/>
      <c r="F18" s="359" t="s">
        <v>37</v>
      </c>
      <c r="G18" s="359"/>
      <c r="H18" s="359"/>
      <c r="I18" s="359"/>
      <c r="J18" s="359"/>
      <c r="K18" s="346"/>
      <c r="L18" s="3"/>
      <c r="M18" s="3"/>
      <c r="N18" s="3"/>
      <c r="O18" s="3"/>
      <c r="P18" s="3"/>
      <c r="Q18" s="3"/>
      <c r="R18" s="3"/>
    </row>
    <row r="19" spans="1:18" x14ac:dyDescent="0.2">
      <c r="A19" s="3"/>
      <c r="B19" s="3"/>
      <c r="C19" s="358"/>
      <c r="D19" s="362" t="s">
        <v>430</v>
      </c>
      <c r="E19" s="359"/>
      <c r="F19" s="359"/>
      <c r="G19" s="359"/>
      <c r="H19" s="359"/>
      <c r="I19" s="372">
        <v>0</v>
      </c>
      <c r="J19" s="359" t="s">
        <v>76</v>
      </c>
      <c r="K19" s="346"/>
      <c r="L19" s="3"/>
      <c r="M19" s="3"/>
      <c r="N19" s="3"/>
      <c r="O19" s="3"/>
      <c r="P19" s="3"/>
      <c r="Q19" s="3"/>
      <c r="R19" s="3"/>
    </row>
    <row r="20" spans="1:18" x14ac:dyDescent="0.2">
      <c r="A20" s="3"/>
      <c r="B20" s="3"/>
      <c r="C20" s="358"/>
      <c r="D20" s="362" t="s">
        <v>431</v>
      </c>
      <c r="E20" s="359"/>
      <c r="F20" s="787"/>
      <c r="G20" s="359"/>
      <c r="H20" s="359"/>
      <c r="I20" s="372">
        <v>0</v>
      </c>
      <c r="J20" s="359" t="s">
        <v>76</v>
      </c>
      <c r="K20" s="346"/>
      <c r="L20" s="3"/>
      <c r="M20" s="3"/>
      <c r="N20" s="3"/>
      <c r="O20" s="3"/>
      <c r="P20" s="3"/>
      <c r="Q20" s="3"/>
      <c r="R20" s="3"/>
    </row>
    <row r="21" spans="1:18" x14ac:dyDescent="0.2">
      <c r="A21" s="3"/>
      <c r="B21" s="3"/>
      <c r="C21" s="358"/>
      <c r="D21" s="362" t="s">
        <v>432</v>
      </c>
      <c r="E21" s="359"/>
      <c r="F21" s="359"/>
      <c r="G21" s="359"/>
      <c r="H21" s="359"/>
      <c r="I21" s="372">
        <v>10</v>
      </c>
      <c r="J21" s="359" t="s">
        <v>76</v>
      </c>
      <c r="K21" s="346"/>
      <c r="L21" s="3"/>
      <c r="M21" s="3"/>
      <c r="N21" s="3"/>
      <c r="O21" s="3"/>
      <c r="P21" s="3"/>
      <c r="Q21" s="3"/>
      <c r="R21" s="3"/>
    </row>
    <row r="22" spans="1:18" x14ac:dyDescent="0.2">
      <c r="A22" s="3"/>
      <c r="B22" s="3"/>
      <c r="C22" s="358"/>
      <c r="D22" s="359"/>
      <c r="E22" s="359"/>
      <c r="F22" s="359" t="s">
        <v>37</v>
      </c>
      <c r="G22" s="359"/>
      <c r="H22" s="359"/>
      <c r="I22" s="359"/>
      <c r="J22" s="359" t="s">
        <v>37</v>
      </c>
      <c r="K22" s="346"/>
      <c r="L22" s="3"/>
      <c r="M22" s="3"/>
      <c r="N22" s="3"/>
      <c r="O22" s="3"/>
      <c r="P22" s="3"/>
      <c r="Q22" s="3"/>
      <c r="R22" s="3"/>
    </row>
    <row r="23" spans="1:18" x14ac:dyDescent="0.2">
      <c r="A23" s="3"/>
      <c r="B23" s="3"/>
      <c r="C23" s="358"/>
      <c r="D23" s="359" t="s">
        <v>436</v>
      </c>
      <c r="E23" s="359"/>
      <c r="F23" s="359" t="s">
        <v>37</v>
      </c>
      <c r="G23" s="359"/>
      <c r="H23" s="359"/>
      <c r="I23" s="752">
        <f>SUM(I19:I21)</f>
        <v>10</v>
      </c>
      <c r="J23" s="359" t="s">
        <v>76</v>
      </c>
      <c r="K23" s="346"/>
      <c r="L23" s="3"/>
      <c r="M23" s="3"/>
      <c r="N23" s="3"/>
      <c r="O23" s="3"/>
      <c r="P23" s="3"/>
      <c r="Q23" s="3"/>
      <c r="R23" s="3"/>
    </row>
    <row r="24" spans="1:18" x14ac:dyDescent="0.2">
      <c r="A24" s="3"/>
      <c r="B24" s="3"/>
      <c r="C24" s="358"/>
      <c r="D24" s="359" t="s">
        <v>699</v>
      </c>
      <c r="E24" s="359"/>
      <c r="F24" s="359"/>
      <c r="G24" s="359"/>
      <c r="H24" s="359"/>
      <c r="I24" s="750" t="s">
        <v>604</v>
      </c>
      <c r="J24" s="309" t="s">
        <v>417</v>
      </c>
      <c r="K24" s="346"/>
      <c r="L24" s="3"/>
      <c r="M24" s="3"/>
      <c r="N24" s="3"/>
      <c r="O24" s="3"/>
      <c r="P24" s="3"/>
      <c r="Q24" s="3"/>
      <c r="R24" s="3"/>
    </row>
    <row r="25" spans="1:18" x14ac:dyDescent="0.2">
      <c r="A25" s="3"/>
      <c r="B25" s="3"/>
      <c r="C25" s="358"/>
      <c r="D25" s="359" t="s">
        <v>698</v>
      </c>
      <c r="E25" s="776">
        <v>0.05</v>
      </c>
      <c r="F25" s="359" t="s">
        <v>419</v>
      </c>
      <c r="G25" s="749">
        <f>'Orbit &amp; Frequency'!N31</f>
        <v>437.5</v>
      </c>
      <c r="H25" s="359" t="s">
        <v>420</v>
      </c>
      <c r="I25" s="361">
        <f>I23*E25</f>
        <v>0.5</v>
      </c>
      <c r="J25" s="359" t="s">
        <v>78</v>
      </c>
      <c r="K25" s="346"/>
      <c r="L25" s="3"/>
      <c r="M25" s="3"/>
      <c r="N25" s="3"/>
      <c r="O25" s="3"/>
      <c r="P25" s="3"/>
      <c r="Q25" s="3"/>
      <c r="R25" s="3"/>
    </row>
    <row r="26" spans="1:18" x14ac:dyDescent="0.2">
      <c r="A26" s="3"/>
      <c r="B26" s="3"/>
      <c r="C26" s="358"/>
      <c r="D26" s="359"/>
      <c r="E26" s="363"/>
      <c r="F26" s="359"/>
      <c r="G26" s="361"/>
      <c r="H26" s="359"/>
      <c r="I26" s="361"/>
      <c r="J26" s="359"/>
      <c r="K26" s="346"/>
      <c r="L26" s="3"/>
      <c r="M26" s="3"/>
      <c r="N26" s="3"/>
      <c r="O26" s="3"/>
      <c r="P26" s="3"/>
      <c r="Q26" s="3"/>
      <c r="R26" s="3"/>
    </row>
    <row r="27" spans="1:18" x14ac:dyDescent="0.2">
      <c r="A27" s="3"/>
      <c r="B27" s="3"/>
      <c r="C27" s="358" t="s">
        <v>421</v>
      </c>
      <c r="D27" s="359"/>
      <c r="E27" s="363"/>
      <c r="F27" s="359"/>
      <c r="G27" s="361"/>
      <c r="H27" s="359"/>
      <c r="I27" s="361"/>
      <c r="J27" s="359"/>
      <c r="K27" s="346"/>
      <c r="L27" s="3"/>
      <c r="M27" s="3"/>
      <c r="N27" s="3"/>
      <c r="O27" s="3"/>
      <c r="P27" s="3"/>
      <c r="Q27" s="3"/>
      <c r="R27" s="3"/>
    </row>
    <row r="28" spans="1:18" x14ac:dyDescent="0.2">
      <c r="A28" s="3"/>
      <c r="B28" s="3"/>
      <c r="C28" s="358"/>
      <c r="D28" s="359"/>
      <c r="E28" s="363"/>
      <c r="F28" s="359"/>
      <c r="G28" s="361"/>
      <c r="H28" s="359"/>
      <c r="I28" s="361"/>
      <c r="J28" s="359"/>
      <c r="K28" s="346"/>
      <c r="L28" s="3"/>
      <c r="M28" s="3"/>
      <c r="N28" s="3"/>
      <c r="O28" s="3"/>
      <c r="P28" s="3"/>
      <c r="Q28" s="3"/>
      <c r="R28" s="3"/>
    </row>
    <row r="29" spans="1:18" x14ac:dyDescent="0.2">
      <c r="A29" s="3"/>
      <c r="B29" s="3"/>
      <c r="C29" s="358"/>
      <c r="D29" s="359" t="s">
        <v>414</v>
      </c>
      <c r="E29" s="286">
        <v>4</v>
      </c>
      <c r="F29" s="359" t="s">
        <v>427</v>
      </c>
      <c r="G29" s="359"/>
      <c r="H29" s="359"/>
      <c r="I29" s="361">
        <f>E29*0.05</f>
        <v>0.2</v>
      </c>
      <c r="J29" s="359" t="s">
        <v>78</v>
      </c>
      <c r="K29" s="346"/>
      <c r="L29" s="3"/>
      <c r="M29" s="3"/>
      <c r="N29" s="3"/>
      <c r="O29" s="3"/>
      <c r="P29" s="3"/>
      <c r="Q29" s="3"/>
      <c r="R29" s="3"/>
    </row>
    <row r="30" spans="1:18" x14ac:dyDescent="0.2">
      <c r="A30" s="3"/>
      <c r="B30" s="3"/>
      <c r="C30" s="358"/>
      <c r="D30" s="359" t="s">
        <v>413</v>
      </c>
      <c r="E30" s="359"/>
      <c r="F30" s="359"/>
      <c r="G30" s="359"/>
      <c r="H30" s="359"/>
      <c r="I30" s="372">
        <v>0</v>
      </c>
      <c r="J30" s="359" t="s">
        <v>78</v>
      </c>
      <c r="K30" s="346"/>
      <c r="L30" s="3"/>
      <c r="M30" s="3"/>
      <c r="N30" s="3"/>
      <c r="O30" s="3"/>
      <c r="P30" s="3"/>
      <c r="Q30" s="3"/>
      <c r="R30" s="3"/>
    </row>
    <row r="31" spans="1:18" x14ac:dyDescent="0.2">
      <c r="A31" s="3"/>
      <c r="B31" s="3"/>
      <c r="C31" s="358"/>
      <c r="D31" s="359" t="s">
        <v>415</v>
      </c>
      <c r="E31" s="362" t="s">
        <v>440</v>
      </c>
      <c r="F31" s="308"/>
      <c r="G31" s="405"/>
      <c r="H31" s="359"/>
      <c r="I31" s="286">
        <v>0</v>
      </c>
      <c r="J31" s="359" t="s">
        <v>78</v>
      </c>
      <c r="K31" s="346"/>
      <c r="L31" s="3"/>
      <c r="M31" s="3"/>
      <c r="N31" s="3"/>
      <c r="O31" s="3"/>
      <c r="P31" s="3"/>
      <c r="Q31" s="3"/>
      <c r="R31" s="3"/>
    </row>
    <row r="32" spans="1:18" x14ac:dyDescent="0.2">
      <c r="A32" s="3"/>
      <c r="B32" s="3"/>
      <c r="C32" s="358"/>
      <c r="D32" s="359" t="s">
        <v>425</v>
      </c>
      <c r="E32" s="359"/>
      <c r="F32" s="359" t="s">
        <v>754</v>
      </c>
      <c r="G32" s="359"/>
      <c r="H32" s="359"/>
      <c r="I32" s="286">
        <v>0.18</v>
      </c>
      <c r="J32" s="359" t="s">
        <v>78</v>
      </c>
      <c r="K32" s="346"/>
      <c r="L32" s="3"/>
      <c r="M32" s="3"/>
      <c r="N32" s="3"/>
      <c r="O32" s="3"/>
      <c r="P32" s="3"/>
      <c r="Q32" s="3"/>
      <c r="R32" s="3"/>
    </row>
    <row r="33" spans="1:18" x14ac:dyDescent="0.2">
      <c r="A33" s="3"/>
      <c r="B33" s="3"/>
      <c r="C33" s="358"/>
      <c r="D33" s="359"/>
      <c r="E33" s="359"/>
      <c r="F33" s="359"/>
      <c r="G33" s="359"/>
      <c r="H33" s="359"/>
      <c r="I33" s="360"/>
      <c r="J33" s="359"/>
      <c r="K33" s="346"/>
      <c r="L33" s="3"/>
      <c r="M33" s="3"/>
      <c r="N33" s="3"/>
      <c r="O33" s="3"/>
      <c r="P33" s="3"/>
      <c r="Q33" s="3"/>
      <c r="R33" s="3"/>
    </row>
    <row r="34" spans="1:18" x14ac:dyDescent="0.2">
      <c r="A34" s="3"/>
      <c r="B34" s="3"/>
      <c r="C34" s="358" t="s">
        <v>423</v>
      </c>
      <c r="D34" s="359"/>
      <c r="E34" s="359"/>
      <c r="F34" s="359"/>
      <c r="G34" s="359"/>
      <c r="H34" s="359"/>
      <c r="I34" s="370">
        <f>I25+I29+I30+I31+I32</f>
        <v>0.87999999999999989</v>
      </c>
      <c r="J34" s="359" t="s">
        <v>78</v>
      </c>
      <c r="K34" s="346"/>
      <c r="L34" s="3"/>
      <c r="M34" s="3"/>
      <c r="N34" s="3"/>
      <c r="O34" s="3"/>
      <c r="P34" s="3"/>
      <c r="Q34" s="3"/>
      <c r="R34" s="3"/>
    </row>
    <row r="35" spans="1:18" x14ac:dyDescent="0.2">
      <c r="A35" s="3"/>
      <c r="B35" s="3"/>
      <c r="C35" s="358"/>
      <c r="D35" s="359"/>
      <c r="E35" s="359"/>
      <c r="F35" s="359"/>
      <c r="G35" s="359"/>
      <c r="H35" s="359"/>
      <c r="I35" s="365"/>
      <c r="J35" s="359"/>
      <c r="K35" s="346"/>
      <c r="L35" s="3"/>
      <c r="M35" s="3"/>
      <c r="N35" s="3"/>
      <c r="O35" s="3"/>
      <c r="P35" s="3"/>
      <c r="Q35" s="3"/>
      <c r="R35" s="3"/>
    </row>
    <row r="36" spans="1:18" x14ac:dyDescent="0.2">
      <c r="A36" s="3"/>
      <c r="B36" s="3"/>
      <c r="C36" s="358" t="s">
        <v>438</v>
      </c>
      <c r="D36" s="359"/>
      <c r="E36" s="359"/>
      <c r="F36" s="359"/>
      <c r="G36" s="359"/>
      <c r="H36" s="359"/>
      <c r="I36" s="350">
        <f>G16-I34</f>
        <v>9.120000000000001</v>
      </c>
      <c r="J36" s="359" t="s">
        <v>103</v>
      </c>
      <c r="K36" s="346"/>
      <c r="L36" s="3"/>
      <c r="M36" s="3"/>
      <c r="N36" s="3"/>
      <c r="O36" s="3"/>
      <c r="P36" s="3"/>
      <c r="Q36" s="3"/>
      <c r="R36" s="3"/>
    </row>
    <row r="37" spans="1:18" x14ac:dyDescent="0.2">
      <c r="A37" s="3"/>
      <c r="B37" s="3"/>
      <c r="C37" s="366"/>
      <c r="D37" s="367"/>
      <c r="E37" s="367"/>
      <c r="F37" s="367"/>
      <c r="G37" s="367"/>
      <c r="H37" s="367"/>
      <c r="I37" s="367"/>
      <c r="J37" s="367"/>
      <c r="K37" s="368"/>
      <c r="L37" s="3"/>
      <c r="M37" s="3"/>
      <c r="N37" s="3"/>
      <c r="O37" s="3"/>
      <c r="P37" s="3"/>
      <c r="Q37" s="3"/>
      <c r="R37" s="3"/>
    </row>
    <row r="38" spans="1:18" x14ac:dyDescent="0.2">
      <c r="A38" s="3"/>
      <c r="B38" s="3"/>
      <c r="C38" s="3"/>
      <c r="D38" s="3"/>
      <c r="E38" s="3"/>
      <c r="F38" s="3"/>
      <c r="G38" s="3"/>
      <c r="H38" s="3"/>
      <c r="I38" s="3"/>
      <c r="J38" s="3"/>
      <c r="K38" s="3"/>
      <c r="L38" s="3"/>
      <c r="M38" s="3"/>
      <c r="N38" s="3"/>
      <c r="O38" s="3"/>
      <c r="P38" s="3"/>
      <c r="Q38" s="3"/>
      <c r="R38" s="3"/>
    </row>
    <row r="39" spans="1:18" x14ac:dyDescent="0.2">
      <c r="A39" s="3"/>
      <c r="B39" s="3"/>
      <c r="C39" s="3"/>
      <c r="D39" s="3"/>
      <c r="E39" s="3"/>
      <c r="F39" s="3"/>
      <c r="G39" s="3"/>
      <c r="H39" s="3"/>
      <c r="I39" s="3"/>
      <c r="J39" s="3"/>
      <c r="K39" s="3"/>
      <c r="L39" s="3"/>
      <c r="M39" s="3"/>
      <c r="N39" s="3"/>
      <c r="O39" s="3"/>
      <c r="P39" s="3"/>
      <c r="Q39" s="3"/>
      <c r="R39" s="3"/>
    </row>
    <row r="40" spans="1:18" ht="15.75" x14ac:dyDescent="0.25">
      <c r="A40" s="3"/>
      <c r="B40" s="294" t="s">
        <v>388</v>
      </c>
      <c r="C40" s="204"/>
      <c r="D40" s="204"/>
      <c r="E40" s="204"/>
      <c r="F40" s="204"/>
      <c r="G40" s="205"/>
      <c r="H40" s="3"/>
      <c r="I40" s="3"/>
      <c r="J40" s="3"/>
      <c r="K40" s="3"/>
      <c r="L40" s="3"/>
      <c r="M40" s="3"/>
      <c r="N40" s="3"/>
      <c r="O40" s="3"/>
      <c r="P40" s="3"/>
      <c r="Q40" s="3"/>
      <c r="R40" s="3"/>
    </row>
    <row r="41" spans="1:18" x14ac:dyDescent="0.2">
      <c r="A41" s="3"/>
      <c r="B41" s="3"/>
      <c r="C41" s="3"/>
      <c r="D41" s="3"/>
      <c r="E41" s="3"/>
      <c r="F41" s="3"/>
      <c r="G41" s="3"/>
      <c r="H41" s="3"/>
      <c r="I41" s="3"/>
      <c r="J41" s="3"/>
      <c r="K41" s="3"/>
      <c r="L41" s="3"/>
      <c r="M41" s="3"/>
      <c r="N41" s="3"/>
      <c r="O41" s="3"/>
      <c r="P41" s="3"/>
      <c r="Q41" s="3"/>
      <c r="R41" s="3"/>
    </row>
    <row r="42" spans="1:18" x14ac:dyDescent="0.2">
      <c r="A42" s="3"/>
      <c r="B42" s="3"/>
      <c r="C42" s="3"/>
      <c r="D42" s="3"/>
      <c r="E42" s="3"/>
      <c r="F42" s="3"/>
      <c r="G42" s="3"/>
      <c r="H42" s="3"/>
      <c r="I42" s="3"/>
      <c r="J42" s="3"/>
      <c r="K42" s="3"/>
      <c r="L42" s="3"/>
      <c r="M42" s="3"/>
      <c r="N42" s="3"/>
      <c r="O42" s="3"/>
      <c r="P42" s="3"/>
      <c r="Q42" s="3"/>
      <c r="R42" s="3"/>
    </row>
    <row r="43" spans="1:18" ht="15.75" x14ac:dyDescent="0.25">
      <c r="A43" s="3"/>
      <c r="B43" s="3"/>
      <c r="C43" s="343" t="s">
        <v>389</v>
      </c>
      <c r="D43" s="195"/>
      <c r="E43" s="195"/>
      <c r="F43" s="195"/>
      <c r="G43" s="195"/>
      <c r="H43" s="195"/>
      <c r="I43" s="195"/>
      <c r="J43" s="195"/>
      <c r="K43" s="196"/>
      <c r="L43" s="777"/>
      <c r="M43" s="3"/>
      <c r="N43" s="3"/>
      <c r="O43" s="3"/>
      <c r="P43" s="3"/>
      <c r="Q43" s="3"/>
      <c r="R43" s="3"/>
    </row>
    <row r="44" spans="1:18" x14ac:dyDescent="0.2">
      <c r="A44" s="3"/>
      <c r="B44" s="3"/>
      <c r="C44" s="192"/>
      <c r="D44" s="155"/>
      <c r="E44" s="155"/>
      <c r="F44" s="155"/>
      <c r="G44" s="155"/>
      <c r="H44" s="155"/>
      <c r="I44" s="155"/>
      <c r="J44" s="155"/>
      <c r="K44" s="197"/>
      <c r="L44" s="3"/>
      <c r="M44" s="3"/>
      <c r="N44" s="3"/>
      <c r="O44" s="3"/>
      <c r="P44" s="3"/>
      <c r="Q44" s="3"/>
      <c r="R44" s="3"/>
    </row>
    <row r="45" spans="1:18" x14ac:dyDescent="0.2">
      <c r="A45" s="3"/>
      <c r="B45" s="3"/>
      <c r="C45" s="192"/>
      <c r="D45" s="156" t="s">
        <v>435</v>
      </c>
      <c r="E45" s="155"/>
      <c r="F45" s="207" t="s">
        <v>433</v>
      </c>
      <c r="G45" s="155"/>
      <c r="H45" s="155" t="s">
        <v>434</v>
      </c>
      <c r="I45" s="155"/>
      <c r="J45" s="155" t="s">
        <v>426</v>
      </c>
      <c r="K45" s="197"/>
      <c r="L45" s="3"/>
      <c r="M45" s="3"/>
      <c r="N45" s="3"/>
      <c r="O45" s="3"/>
      <c r="P45" s="3"/>
      <c r="Q45" s="3"/>
      <c r="R45" s="3"/>
    </row>
    <row r="46" spans="1:18" x14ac:dyDescent="0.2">
      <c r="A46" s="3"/>
      <c r="B46" s="3"/>
      <c r="C46" s="192"/>
      <c r="D46" s="155"/>
      <c r="E46" s="155"/>
      <c r="F46" s="155"/>
      <c r="G46" s="155"/>
      <c r="H46" s="155"/>
      <c r="I46" s="155"/>
      <c r="J46" s="155"/>
      <c r="K46" s="197"/>
      <c r="L46" s="3"/>
      <c r="M46" s="3"/>
      <c r="N46" s="3"/>
      <c r="O46" s="3"/>
      <c r="P46" s="3"/>
      <c r="Q46" s="3"/>
      <c r="R46" s="3"/>
    </row>
    <row r="47" spans="1:18" x14ac:dyDescent="0.2">
      <c r="A47" s="3"/>
      <c r="B47" s="3"/>
      <c r="C47" s="192"/>
      <c r="D47" s="155"/>
      <c r="E47" s="155"/>
      <c r="F47" s="155"/>
      <c r="G47" s="155"/>
      <c r="H47" s="155"/>
      <c r="I47" s="155"/>
      <c r="J47" s="155"/>
      <c r="K47" s="197"/>
      <c r="L47" s="3"/>
      <c r="M47" s="3"/>
      <c r="N47" s="3"/>
      <c r="O47" s="3"/>
      <c r="P47" s="3"/>
      <c r="Q47" s="3"/>
      <c r="R47" s="3"/>
    </row>
    <row r="48" spans="1:18" x14ac:dyDescent="0.2">
      <c r="A48" s="3"/>
      <c r="B48" s="3"/>
      <c r="C48" s="192"/>
      <c r="D48" s="155"/>
      <c r="E48" s="155"/>
      <c r="F48" s="155"/>
      <c r="G48" s="155"/>
      <c r="H48" s="155"/>
      <c r="I48" s="155"/>
      <c r="J48" s="155"/>
      <c r="K48" s="197"/>
      <c r="L48" s="3"/>
      <c r="M48" s="3"/>
      <c r="N48" s="3"/>
      <c r="O48" s="3"/>
      <c r="P48" s="3"/>
      <c r="Q48" s="3"/>
      <c r="R48" s="3"/>
    </row>
    <row r="49" spans="1:18" x14ac:dyDescent="0.2">
      <c r="A49" s="3"/>
      <c r="B49" s="3"/>
      <c r="C49" s="192"/>
      <c r="D49" s="155"/>
      <c r="E49" s="155"/>
      <c r="F49" s="155"/>
      <c r="G49" s="155"/>
      <c r="H49" s="155"/>
      <c r="I49" s="155"/>
      <c r="J49" s="155"/>
      <c r="K49" s="197"/>
      <c r="L49" s="3"/>
      <c r="M49" s="3"/>
      <c r="N49" s="3"/>
      <c r="O49" s="3"/>
      <c r="P49" s="3"/>
      <c r="Q49" s="3"/>
      <c r="R49" s="3"/>
    </row>
    <row r="50" spans="1:18" x14ac:dyDescent="0.2">
      <c r="A50" s="3"/>
      <c r="B50" s="3"/>
      <c r="C50" s="192"/>
      <c r="D50" s="155"/>
      <c r="E50" s="155"/>
      <c r="F50" s="155"/>
      <c r="G50" s="155"/>
      <c r="H50" s="155"/>
      <c r="I50" s="155"/>
      <c r="J50" s="155"/>
      <c r="K50" s="197"/>
      <c r="L50" s="3"/>
      <c r="M50" s="3"/>
      <c r="N50" s="3"/>
      <c r="O50" s="3"/>
      <c r="P50" s="3"/>
      <c r="Q50" s="3"/>
      <c r="R50" s="3"/>
    </row>
    <row r="51" spans="1:18" x14ac:dyDescent="0.2">
      <c r="A51" s="3"/>
      <c r="B51" s="3"/>
      <c r="C51" s="192" t="s">
        <v>390</v>
      </c>
      <c r="D51" s="155"/>
      <c r="E51" s="770">
        <v>1</v>
      </c>
      <c r="F51" s="155" t="s">
        <v>391</v>
      </c>
      <c r="G51" s="442">
        <f>10*LOG10(E51)</f>
        <v>0</v>
      </c>
      <c r="H51" s="155" t="s">
        <v>392</v>
      </c>
      <c r="I51" s="351">
        <f>G51+30</f>
        <v>30</v>
      </c>
      <c r="J51" s="155" t="s">
        <v>104</v>
      </c>
      <c r="K51" s="197" t="s">
        <v>37</v>
      </c>
      <c r="L51" s="3"/>
      <c r="M51" s="3"/>
      <c r="N51" s="3"/>
      <c r="O51" s="3"/>
      <c r="P51" s="3"/>
      <c r="Q51" s="3"/>
      <c r="R51" s="3"/>
    </row>
    <row r="52" spans="1:18" x14ac:dyDescent="0.2">
      <c r="A52" s="3"/>
      <c r="B52" s="3"/>
      <c r="C52" s="192"/>
      <c r="D52" s="155"/>
      <c r="E52" s="155"/>
      <c r="F52" s="155"/>
      <c r="G52" s="155"/>
      <c r="H52" s="155"/>
      <c r="I52" s="155"/>
      <c r="J52" s="155"/>
      <c r="K52" s="197"/>
      <c r="L52" s="3"/>
      <c r="M52" s="3"/>
      <c r="N52" s="3"/>
      <c r="O52" s="3"/>
      <c r="P52" s="3"/>
      <c r="Q52" s="3"/>
      <c r="R52" s="3"/>
    </row>
    <row r="53" spans="1:18" x14ac:dyDescent="0.2">
      <c r="A53" s="3"/>
      <c r="B53" s="3"/>
      <c r="C53" s="192" t="s">
        <v>393</v>
      </c>
      <c r="D53" s="155"/>
      <c r="E53" s="155"/>
      <c r="F53" s="155" t="s">
        <v>37</v>
      </c>
      <c r="G53" s="155"/>
      <c r="H53" s="155"/>
      <c r="I53" s="155"/>
      <c r="J53" s="155"/>
      <c r="K53" s="197"/>
      <c r="L53" s="3"/>
      <c r="M53" s="3"/>
      <c r="N53" s="3"/>
      <c r="O53" s="3"/>
      <c r="P53" s="3"/>
      <c r="Q53" s="3"/>
      <c r="R53" s="3"/>
    </row>
    <row r="54" spans="1:18" x14ac:dyDescent="0.2">
      <c r="A54" s="3"/>
      <c r="B54" s="3"/>
      <c r="C54" s="192"/>
      <c r="D54" s="155" t="s">
        <v>430</v>
      </c>
      <c r="E54" s="155"/>
      <c r="F54" s="155"/>
      <c r="G54" s="155"/>
      <c r="H54" s="155"/>
      <c r="I54" s="374">
        <v>0</v>
      </c>
      <c r="J54" s="155" t="s">
        <v>76</v>
      </c>
      <c r="K54" s="197"/>
      <c r="L54" s="3"/>
      <c r="M54" s="3"/>
      <c r="N54" s="3"/>
      <c r="O54" s="3"/>
      <c r="P54" s="3"/>
      <c r="Q54" s="3"/>
      <c r="R54" s="3"/>
    </row>
    <row r="55" spans="1:18" x14ac:dyDescent="0.2">
      <c r="A55" s="3"/>
      <c r="B55" s="3"/>
      <c r="C55" s="192"/>
      <c r="D55" s="155" t="s">
        <v>431</v>
      </c>
      <c r="E55" s="155"/>
      <c r="F55" s="155"/>
      <c r="G55" s="155"/>
      <c r="H55" s="155"/>
      <c r="I55" s="374">
        <v>0</v>
      </c>
      <c r="J55" s="155" t="s">
        <v>76</v>
      </c>
      <c r="K55" s="197"/>
      <c r="L55" s="3"/>
      <c r="M55" s="3"/>
      <c r="N55" s="3"/>
      <c r="O55" s="3"/>
      <c r="P55" s="3"/>
      <c r="Q55" s="3"/>
      <c r="R55" s="3"/>
    </row>
    <row r="56" spans="1:18" x14ac:dyDescent="0.2">
      <c r="A56" s="3"/>
      <c r="B56" s="3"/>
      <c r="C56" s="192"/>
      <c r="D56" s="155" t="s">
        <v>432</v>
      </c>
      <c r="E56" s="155"/>
      <c r="F56" s="155"/>
      <c r="G56" s="155"/>
      <c r="H56" s="155"/>
      <c r="I56" s="374">
        <v>0.1</v>
      </c>
      <c r="J56" s="155" t="s">
        <v>76</v>
      </c>
      <c r="K56" s="197"/>
      <c r="L56" s="3"/>
      <c r="M56" s="3"/>
      <c r="N56" s="3"/>
      <c r="O56" s="3"/>
      <c r="P56" s="3"/>
      <c r="Q56" s="3"/>
      <c r="R56" s="3"/>
    </row>
    <row r="57" spans="1:18" x14ac:dyDescent="0.2">
      <c r="A57" s="3"/>
      <c r="B57" s="3"/>
      <c r="C57" s="192"/>
      <c r="D57" s="155"/>
      <c r="E57" s="155"/>
      <c r="F57" s="155" t="s">
        <v>37</v>
      </c>
      <c r="G57" s="155"/>
      <c r="H57" s="155"/>
      <c r="I57" s="155"/>
      <c r="J57" s="155" t="s">
        <v>37</v>
      </c>
      <c r="K57" s="197"/>
      <c r="L57" s="3"/>
      <c r="M57" s="3"/>
      <c r="N57" s="3"/>
      <c r="O57" s="3"/>
      <c r="P57" s="3"/>
      <c r="Q57" s="3"/>
      <c r="R57" s="3"/>
    </row>
    <row r="58" spans="1:18" x14ac:dyDescent="0.2">
      <c r="A58" s="3"/>
      <c r="B58" s="3"/>
      <c r="C58" s="192"/>
      <c r="D58" s="155" t="s">
        <v>437</v>
      </c>
      <c r="E58" s="155"/>
      <c r="F58" s="155" t="s">
        <v>37</v>
      </c>
      <c r="G58" s="155"/>
      <c r="H58" s="155"/>
      <c r="I58" s="753">
        <f>SUM(I54:I56)</f>
        <v>0.1</v>
      </c>
      <c r="J58" s="155" t="s">
        <v>76</v>
      </c>
      <c r="K58" s="197"/>
      <c r="L58" s="3"/>
      <c r="M58" s="3"/>
      <c r="N58" s="3"/>
      <c r="O58" s="3"/>
      <c r="P58" s="3"/>
      <c r="Q58" s="3"/>
      <c r="R58" s="3"/>
    </row>
    <row r="59" spans="1:18" x14ac:dyDescent="0.2">
      <c r="A59" s="3"/>
      <c r="B59" s="3"/>
      <c r="C59" s="192"/>
      <c r="D59" s="155" t="s">
        <v>412</v>
      </c>
      <c r="E59" s="155"/>
      <c r="F59" s="155"/>
      <c r="G59" s="155"/>
      <c r="H59" s="155"/>
      <c r="I59" s="374" t="s">
        <v>416</v>
      </c>
      <c r="J59" s="155" t="s">
        <v>417</v>
      </c>
      <c r="K59" s="197"/>
      <c r="L59" s="3"/>
      <c r="M59" s="3"/>
      <c r="N59" s="3"/>
      <c r="O59" s="3"/>
      <c r="P59" s="3"/>
      <c r="Q59" s="3"/>
      <c r="R59" s="3"/>
    </row>
    <row r="60" spans="1:18" x14ac:dyDescent="0.2">
      <c r="A60" s="3"/>
      <c r="B60" s="3"/>
      <c r="C60" s="192"/>
      <c r="D60" s="155" t="s">
        <v>418</v>
      </c>
      <c r="E60" s="776">
        <v>0.57999999999999996</v>
      </c>
      <c r="F60" s="155" t="s">
        <v>419</v>
      </c>
      <c r="G60" s="450">
        <f>'Orbit &amp; Frequency'!N37</f>
        <v>437.45</v>
      </c>
      <c r="H60" s="155" t="s">
        <v>420</v>
      </c>
      <c r="I60" s="207">
        <f>I58*E60</f>
        <v>5.7999999999999996E-2</v>
      </c>
      <c r="J60" s="155" t="s">
        <v>78</v>
      </c>
      <c r="K60" s="197"/>
      <c r="L60" s="3"/>
      <c r="M60" s="3"/>
      <c r="N60" s="3"/>
      <c r="O60" s="3"/>
      <c r="P60" s="3"/>
      <c r="Q60" s="3"/>
      <c r="R60" s="3"/>
    </row>
    <row r="61" spans="1:18" x14ac:dyDescent="0.2">
      <c r="A61" s="3"/>
      <c r="B61" s="3"/>
      <c r="C61" s="192"/>
      <c r="D61" s="155"/>
      <c r="E61" s="353"/>
      <c r="F61" s="155"/>
      <c r="G61" s="207"/>
      <c r="H61" s="155"/>
      <c r="I61" s="207"/>
      <c r="J61" s="155"/>
      <c r="K61" s="197"/>
      <c r="L61" s="3"/>
      <c r="M61" s="3"/>
      <c r="N61" s="3"/>
      <c r="O61" s="3"/>
      <c r="P61" s="3"/>
      <c r="Q61" s="3"/>
      <c r="R61" s="3"/>
    </row>
    <row r="62" spans="1:18" x14ac:dyDescent="0.2">
      <c r="A62" s="3"/>
      <c r="B62" s="3"/>
      <c r="C62" s="192" t="s">
        <v>421</v>
      </c>
      <c r="D62" s="155"/>
      <c r="E62" s="353"/>
      <c r="F62" s="155"/>
      <c r="G62" s="207"/>
      <c r="H62" s="155"/>
      <c r="I62" s="207"/>
      <c r="J62" s="155"/>
      <c r="K62" s="197"/>
      <c r="L62" s="3"/>
      <c r="M62" s="3"/>
      <c r="N62" s="3"/>
      <c r="O62" s="3"/>
      <c r="P62" s="3"/>
      <c r="Q62" s="3"/>
      <c r="R62" s="3"/>
    </row>
    <row r="63" spans="1:18" x14ac:dyDescent="0.2">
      <c r="A63" s="3"/>
      <c r="B63" s="3"/>
      <c r="C63" s="192"/>
      <c r="D63" s="155"/>
      <c r="E63" s="353"/>
      <c r="F63" s="155"/>
      <c r="G63" s="207"/>
      <c r="H63" s="155"/>
      <c r="I63" s="207"/>
      <c r="J63" s="155"/>
      <c r="K63" s="197"/>
      <c r="L63" s="3"/>
      <c r="M63" s="3"/>
      <c r="N63" s="3"/>
      <c r="O63" s="3"/>
      <c r="P63" s="3"/>
      <c r="Q63" s="3"/>
      <c r="R63" s="3"/>
    </row>
    <row r="64" spans="1:18" x14ac:dyDescent="0.2">
      <c r="A64" s="3"/>
      <c r="B64" s="3"/>
      <c r="C64" s="192"/>
      <c r="D64" s="155" t="s">
        <v>414</v>
      </c>
      <c r="E64" s="286">
        <v>2</v>
      </c>
      <c r="F64" s="155" t="s">
        <v>422</v>
      </c>
      <c r="G64" s="155"/>
      <c r="H64" s="155"/>
      <c r="I64" s="207">
        <f>E64*0.05</f>
        <v>0.1</v>
      </c>
      <c r="J64" s="155" t="s">
        <v>78</v>
      </c>
      <c r="K64" s="197"/>
      <c r="L64" s="3"/>
      <c r="M64" s="3"/>
      <c r="N64" s="3"/>
      <c r="O64" s="3"/>
      <c r="P64" s="3"/>
      <c r="Q64" s="3"/>
      <c r="R64" s="3"/>
    </row>
    <row r="65" spans="1:18" x14ac:dyDescent="0.2">
      <c r="A65" s="3"/>
      <c r="B65" s="3"/>
      <c r="C65" s="192"/>
      <c r="D65" s="155" t="s">
        <v>413</v>
      </c>
      <c r="E65" s="155"/>
      <c r="F65" s="155"/>
      <c r="G65" s="155"/>
      <c r="H65" s="155"/>
      <c r="I65" s="372">
        <v>0</v>
      </c>
      <c r="J65" s="155" t="s">
        <v>78</v>
      </c>
      <c r="K65" s="197"/>
      <c r="L65" s="3"/>
      <c r="M65" s="3"/>
      <c r="N65" s="3"/>
      <c r="O65" s="3"/>
      <c r="P65" s="3"/>
      <c r="Q65" s="3"/>
      <c r="R65" s="3"/>
    </row>
    <row r="66" spans="1:18" x14ac:dyDescent="0.2">
      <c r="A66" s="3"/>
      <c r="B66" s="3"/>
      <c r="C66" s="192"/>
      <c r="D66" s="155" t="s">
        <v>415</v>
      </c>
      <c r="E66" s="156" t="s">
        <v>440</v>
      </c>
      <c r="F66" s="751"/>
      <c r="G66" s="405"/>
      <c r="H66" s="155"/>
      <c r="I66" s="286">
        <v>0</v>
      </c>
      <c r="J66" s="155" t="s">
        <v>78</v>
      </c>
      <c r="K66" s="197"/>
      <c r="L66" s="3"/>
      <c r="M66" s="3"/>
      <c r="N66" s="3"/>
      <c r="O66" s="3"/>
      <c r="P66" s="3"/>
      <c r="Q66" s="3"/>
      <c r="R66" s="3"/>
    </row>
    <row r="67" spans="1:18" x14ac:dyDescent="0.2">
      <c r="A67" s="3"/>
      <c r="B67" s="3"/>
      <c r="C67" s="192"/>
      <c r="D67" s="155" t="s">
        <v>425</v>
      </c>
      <c r="E67" s="155"/>
      <c r="F67" s="155" t="s">
        <v>754</v>
      </c>
      <c r="G67" s="155"/>
      <c r="H67" s="155"/>
      <c r="I67" s="770">
        <v>0.18</v>
      </c>
      <c r="J67" s="155" t="s">
        <v>78</v>
      </c>
      <c r="K67" s="197"/>
      <c r="L67" s="3"/>
      <c r="M67" s="3"/>
      <c r="N67" s="3"/>
      <c r="O67" s="3"/>
      <c r="P67" s="3"/>
      <c r="Q67" s="3"/>
      <c r="R67" s="3"/>
    </row>
    <row r="68" spans="1:18" x14ac:dyDescent="0.2">
      <c r="A68" s="3"/>
      <c r="B68" s="3"/>
      <c r="C68" s="192"/>
      <c r="D68" s="155"/>
      <c r="E68" s="155"/>
      <c r="F68" s="155"/>
      <c r="G68" s="155"/>
      <c r="H68" s="155"/>
      <c r="I68" s="352"/>
      <c r="J68" s="155"/>
      <c r="K68" s="197"/>
      <c r="L68" s="3"/>
      <c r="M68" s="3"/>
      <c r="N68" s="3"/>
      <c r="O68" s="3"/>
      <c r="P68" s="3"/>
      <c r="Q68" s="3"/>
      <c r="R68" s="3"/>
    </row>
    <row r="69" spans="1:18" x14ac:dyDescent="0.2">
      <c r="A69" s="3"/>
      <c r="B69" s="3"/>
      <c r="C69" s="192" t="s">
        <v>423</v>
      </c>
      <c r="D69" s="155"/>
      <c r="E69" s="155"/>
      <c r="F69" s="155"/>
      <c r="G69" s="155"/>
      <c r="H69" s="155"/>
      <c r="I69" s="370">
        <f>I60+I64+I65+I66+I67</f>
        <v>0.33799999999999997</v>
      </c>
      <c r="J69" s="155" t="s">
        <v>78</v>
      </c>
      <c r="K69" s="197"/>
      <c r="L69" s="3"/>
      <c r="M69" s="3"/>
      <c r="N69" s="3"/>
      <c r="O69" s="3"/>
      <c r="P69" s="3"/>
      <c r="Q69" s="3"/>
      <c r="R69" s="3"/>
    </row>
    <row r="70" spans="1:18" x14ac:dyDescent="0.2">
      <c r="A70" s="3"/>
      <c r="B70" s="3"/>
      <c r="C70" s="192"/>
      <c r="D70" s="155"/>
      <c r="E70" s="155"/>
      <c r="F70" s="155"/>
      <c r="G70" s="155"/>
      <c r="H70" s="155"/>
      <c r="I70" s="369"/>
      <c r="J70" s="155"/>
      <c r="K70" s="197"/>
      <c r="L70" s="3"/>
      <c r="M70" s="3"/>
      <c r="N70" s="3"/>
      <c r="O70" s="3"/>
      <c r="P70" s="3"/>
      <c r="Q70" s="3"/>
      <c r="R70" s="3"/>
    </row>
    <row r="71" spans="1:18" x14ac:dyDescent="0.2">
      <c r="A71" s="3"/>
      <c r="B71" s="3"/>
      <c r="C71" s="192" t="s">
        <v>439</v>
      </c>
      <c r="D71" s="155"/>
      <c r="E71" s="155"/>
      <c r="F71" s="155"/>
      <c r="G71" s="155"/>
      <c r="H71" s="155"/>
      <c r="I71" s="350">
        <f>G51-I69</f>
        <v>-0.33799999999999997</v>
      </c>
      <c r="J71" s="155" t="s">
        <v>103</v>
      </c>
      <c r="K71" s="197"/>
      <c r="L71" s="3"/>
      <c r="M71" s="3"/>
      <c r="N71" s="3"/>
      <c r="O71" s="3"/>
      <c r="P71" s="3"/>
      <c r="Q71" s="3"/>
      <c r="R71" s="3"/>
    </row>
    <row r="72" spans="1:18" x14ac:dyDescent="0.2">
      <c r="A72" s="3"/>
      <c r="B72" s="3"/>
      <c r="C72" s="252"/>
      <c r="D72" s="253"/>
      <c r="E72" s="253"/>
      <c r="F72" s="253"/>
      <c r="G72" s="253"/>
      <c r="H72" s="253"/>
      <c r="I72" s="253"/>
      <c r="J72" s="253"/>
      <c r="K72" s="254"/>
      <c r="L72" s="3"/>
      <c r="M72" s="3"/>
      <c r="N72" s="3"/>
      <c r="O72" s="3"/>
      <c r="P72" s="3"/>
      <c r="Q72" s="3"/>
      <c r="R72" s="3"/>
    </row>
    <row r="73" spans="1:18" x14ac:dyDescent="0.2">
      <c r="A73" s="3"/>
      <c r="B73" s="3"/>
      <c r="C73" s="3"/>
      <c r="D73" s="3"/>
      <c r="E73" s="3"/>
      <c r="F73" s="3"/>
      <c r="G73" s="3"/>
      <c r="H73" s="3"/>
      <c r="I73" s="3"/>
      <c r="J73" s="3"/>
      <c r="K73" s="3"/>
      <c r="L73" s="3"/>
      <c r="M73" s="3"/>
      <c r="N73" s="3"/>
      <c r="O73" s="3"/>
      <c r="P73" s="3"/>
      <c r="Q73" s="3"/>
      <c r="R73" s="3"/>
    </row>
    <row r="74" spans="1:18" x14ac:dyDescent="0.2">
      <c r="A74" s="3"/>
      <c r="B74" s="3"/>
      <c r="C74" s="3"/>
      <c r="D74" s="3"/>
      <c r="E74" s="3"/>
      <c r="F74" s="3"/>
      <c r="G74" s="3"/>
      <c r="H74" s="3"/>
      <c r="I74" s="3"/>
      <c r="J74" s="3"/>
      <c r="K74" s="3"/>
      <c r="L74" s="3"/>
      <c r="M74" s="3"/>
      <c r="N74" s="3"/>
      <c r="O74" s="3"/>
      <c r="P74" s="3"/>
      <c r="Q74" s="3"/>
      <c r="R74" s="3"/>
    </row>
    <row r="75" spans="1:18" x14ac:dyDescent="0.2">
      <c r="A75" s="3"/>
      <c r="B75" s="3"/>
      <c r="C75" s="3"/>
      <c r="D75" s="3"/>
      <c r="E75" s="3"/>
      <c r="F75" s="3"/>
      <c r="G75" s="3"/>
      <c r="H75" s="3"/>
      <c r="I75" s="3"/>
      <c r="J75" s="3"/>
      <c r="K75" s="3"/>
      <c r="L75" s="3"/>
      <c r="M75" s="3"/>
      <c r="N75" s="3"/>
      <c r="O75" s="3"/>
      <c r="P75" s="3"/>
      <c r="Q75" s="3"/>
      <c r="R75" s="3"/>
    </row>
    <row r="76" spans="1:18" x14ac:dyDescent="0.2">
      <c r="A76" s="3"/>
      <c r="B76" s="3"/>
      <c r="C76" s="3"/>
      <c r="D76" s="3"/>
      <c r="E76" s="3"/>
      <c r="F76" s="3"/>
      <c r="G76" s="3"/>
      <c r="H76" s="3"/>
      <c r="I76" s="3"/>
      <c r="J76" s="3"/>
      <c r="K76" s="3"/>
      <c r="L76" s="3"/>
      <c r="M76" s="3"/>
      <c r="N76" s="3"/>
      <c r="O76" s="3"/>
      <c r="P76" s="3"/>
      <c r="Q76" s="3"/>
      <c r="R76" s="3"/>
    </row>
    <row r="77" spans="1:18" x14ac:dyDescent="0.2">
      <c r="A77" s="3"/>
      <c r="B77" s="3"/>
      <c r="C77" s="3"/>
      <c r="D77" s="3"/>
      <c r="E77" s="3"/>
      <c r="F77" s="3"/>
      <c r="G77" s="3"/>
      <c r="H77" s="3"/>
      <c r="I77" s="3"/>
      <c r="J77" s="3"/>
      <c r="K77" s="3"/>
      <c r="L77" s="3"/>
      <c r="M77" s="3"/>
      <c r="N77" s="3"/>
      <c r="O77" s="3"/>
      <c r="P77" s="3"/>
      <c r="Q77" s="3"/>
      <c r="R77" s="3"/>
    </row>
    <row r="78" spans="1:18" x14ac:dyDescent="0.2">
      <c r="A78" s="3"/>
      <c r="B78" s="3"/>
      <c r="C78" s="3"/>
      <c r="D78" s="3"/>
      <c r="E78" s="3"/>
      <c r="F78" s="3"/>
      <c r="G78" s="3"/>
      <c r="H78" s="3"/>
      <c r="I78" s="3"/>
      <c r="J78" s="3"/>
      <c r="K78" s="3"/>
      <c r="L78" s="3"/>
      <c r="M78" s="3"/>
      <c r="N78" s="3"/>
      <c r="O78" s="3"/>
      <c r="P78" s="3"/>
      <c r="Q78" s="3"/>
      <c r="R78" s="3"/>
    </row>
    <row r="79" spans="1:18" x14ac:dyDescent="0.2">
      <c r="A79" s="3"/>
      <c r="B79" s="3"/>
      <c r="C79" s="3"/>
      <c r="D79" s="3"/>
      <c r="E79" s="3"/>
      <c r="F79" s="3"/>
      <c r="G79" s="3"/>
      <c r="H79" s="3"/>
      <c r="I79" s="3"/>
      <c r="J79" s="3"/>
      <c r="K79" s="3"/>
      <c r="L79" s="3"/>
      <c r="M79" s="3"/>
      <c r="N79" s="3"/>
      <c r="O79" s="3"/>
      <c r="P79" s="3"/>
      <c r="Q79" s="3"/>
      <c r="R79" s="3"/>
    </row>
    <row r="80" spans="1:18" x14ac:dyDescent="0.2">
      <c r="A80" s="3"/>
      <c r="B80" s="3"/>
      <c r="C80" s="3"/>
      <c r="D80" s="3"/>
      <c r="E80" s="3"/>
      <c r="F80" s="3"/>
      <c r="G80" s="3"/>
      <c r="H80" s="3"/>
      <c r="I80" s="3"/>
      <c r="J80" s="3"/>
      <c r="K80" s="3"/>
      <c r="L80" s="3"/>
      <c r="M80" s="3"/>
      <c r="N80" s="3"/>
      <c r="O80" s="3"/>
      <c r="P80" s="3"/>
      <c r="Q80" s="3"/>
      <c r="R80" s="3"/>
    </row>
    <row r="81" spans="1:18" x14ac:dyDescent="0.2">
      <c r="A81" s="3"/>
      <c r="B81" s="3"/>
      <c r="C81" s="3"/>
      <c r="D81" s="3"/>
      <c r="E81" s="3"/>
      <c r="F81" s="3"/>
      <c r="G81" s="3"/>
      <c r="H81" s="3"/>
      <c r="I81" s="3"/>
      <c r="J81" s="3"/>
      <c r="K81" s="3"/>
      <c r="L81" s="3"/>
      <c r="M81" s="3"/>
      <c r="N81" s="3"/>
      <c r="O81" s="3"/>
      <c r="P81" s="3"/>
      <c r="Q81" s="3"/>
      <c r="R81" s="3"/>
    </row>
    <row r="82" spans="1:18" x14ac:dyDescent="0.2">
      <c r="A82" s="3"/>
      <c r="B82" s="3"/>
      <c r="C82" s="3"/>
      <c r="D82" s="3"/>
      <c r="E82" s="3"/>
      <c r="F82" s="3"/>
      <c r="G82" s="3"/>
      <c r="H82" s="3"/>
      <c r="I82" s="3"/>
      <c r="J82" s="3"/>
      <c r="K82" s="3"/>
      <c r="L82" s="3"/>
      <c r="M82" s="3"/>
      <c r="N82" s="3"/>
      <c r="O82" s="3"/>
      <c r="P82" s="3"/>
      <c r="Q82" s="3"/>
      <c r="R82" s="3"/>
    </row>
    <row r="83" spans="1:18" x14ac:dyDescent="0.2">
      <c r="A83" s="3"/>
      <c r="B83" s="3"/>
      <c r="C83" s="3"/>
      <c r="D83" s="3"/>
      <c r="E83" s="3"/>
      <c r="F83" s="3"/>
      <c r="G83" s="3"/>
      <c r="H83" s="3"/>
      <c r="I83" s="3"/>
      <c r="J83" s="3"/>
      <c r="K83" s="3"/>
      <c r="L83" s="3"/>
      <c r="M83" s="3"/>
      <c r="N83" s="3"/>
      <c r="O83" s="3"/>
      <c r="P83" s="3"/>
      <c r="Q83" s="3"/>
      <c r="R83" s="3"/>
    </row>
    <row r="84" spans="1:18" x14ac:dyDescent="0.2">
      <c r="A84" s="3"/>
      <c r="B84" s="3"/>
      <c r="C84" s="3"/>
      <c r="D84" s="3"/>
      <c r="E84" s="3"/>
      <c r="F84" s="3"/>
      <c r="G84" s="3"/>
      <c r="H84" s="3"/>
      <c r="I84" s="3"/>
      <c r="J84" s="3"/>
      <c r="K84" s="3"/>
      <c r="L84" s="3"/>
      <c r="M84" s="3"/>
      <c r="N84" s="3"/>
      <c r="O84" s="3"/>
      <c r="P84" s="3"/>
      <c r="Q84" s="3"/>
      <c r="R84" s="3"/>
    </row>
    <row r="85" spans="1:18" x14ac:dyDescent="0.2">
      <c r="A85" s="3"/>
      <c r="B85" s="3"/>
      <c r="C85" s="3"/>
      <c r="D85" s="3"/>
      <c r="E85" s="3"/>
      <c r="F85" s="3"/>
      <c r="G85" s="3"/>
      <c r="H85" s="3"/>
      <c r="I85" s="3"/>
      <c r="J85" s="3"/>
      <c r="K85" s="3"/>
      <c r="L85" s="3"/>
      <c r="M85" s="3"/>
      <c r="N85" s="3"/>
      <c r="O85" s="3"/>
      <c r="P85" s="3"/>
      <c r="Q85" s="3"/>
      <c r="R85" s="3"/>
    </row>
    <row r="86" spans="1:18" x14ac:dyDescent="0.2">
      <c r="A86" s="3"/>
      <c r="B86" s="3"/>
      <c r="C86" s="3"/>
      <c r="D86" s="3"/>
      <c r="E86" s="3"/>
      <c r="F86" s="3"/>
      <c r="G86" s="3"/>
      <c r="H86" s="3"/>
      <c r="I86" s="3"/>
      <c r="J86" s="3"/>
      <c r="K86" s="3"/>
      <c r="L86" s="3"/>
      <c r="M86" s="3"/>
      <c r="N86" s="3"/>
      <c r="O86" s="3"/>
      <c r="P86" s="3"/>
      <c r="Q86" s="3"/>
      <c r="R86" s="3"/>
    </row>
    <row r="87" spans="1:18" x14ac:dyDescent="0.2">
      <c r="A87" s="3"/>
      <c r="B87" s="3"/>
      <c r="C87" s="3"/>
      <c r="D87" s="3"/>
      <c r="E87" s="3"/>
      <c r="F87" s="3"/>
      <c r="G87" s="3"/>
      <c r="H87" s="3"/>
      <c r="I87" s="3"/>
      <c r="J87" s="3"/>
      <c r="K87" s="3"/>
      <c r="L87" s="3"/>
      <c r="M87" s="3"/>
      <c r="N87" s="3"/>
      <c r="O87" s="3"/>
      <c r="P87" s="3"/>
      <c r="Q87" s="3"/>
      <c r="R87" s="3"/>
    </row>
    <row r="88" spans="1:18" x14ac:dyDescent="0.2">
      <c r="A88" s="3"/>
      <c r="B88" s="3"/>
      <c r="C88" s="3"/>
      <c r="D88" s="3"/>
      <c r="E88" s="3"/>
      <c r="F88" s="3"/>
      <c r="G88" s="3"/>
      <c r="H88" s="3"/>
      <c r="I88" s="3"/>
      <c r="J88" s="3"/>
      <c r="K88" s="3"/>
      <c r="L88" s="3"/>
      <c r="M88" s="3"/>
      <c r="N88" s="3"/>
      <c r="O88" s="3"/>
      <c r="P88" s="3"/>
      <c r="Q88" s="3"/>
      <c r="R88" s="3"/>
    </row>
    <row r="89" spans="1:18" x14ac:dyDescent="0.2">
      <c r="A89" s="3"/>
      <c r="B89" s="3"/>
      <c r="C89" s="3"/>
      <c r="D89" s="3"/>
      <c r="E89" s="3"/>
      <c r="F89" s="3"/>
      <c r="G89" s="3"/>
      <c r="H89" s="3"/>
      <c r="I89" s="3"/>
      <c r="J89" s="3"/>
      <c r="K89" s="3"/>
      <c r="L89" s="3"/>
      <c r="M89" s="3"/>
      <c r="N89" s="3"/>
      <c r="O89" s="3"/>
      <c r="P89" s="3"/>
      <c r="Q89" s="3"/>
      <c r="R89" s="3"/>
    </row>
    <row r="90" spans="1:18" x14ac:dyDescent="0.2">
      <c r="A90" s="3"/>
      <c r="B90" s="3"/>
      <c r="C90" s="3"/>
      <c r="D90" s="3"/>
      <c r="E90" s="3"/>
      <c r="F90" s="3"/>
      <c r="G90" s="3"/>
      <c r="H90" s="3"/>
      <c r="I90" s="3"/>
      <c r="J90" s="3"/>
      <c r="K90" s="3"/>
      <c r="L90" s="3"/>
      <c r="M90" s="3"/>
      <c r="N90" s="3"/>
      <c r="O90" s="3"/>
      <c r="P90" s="3"/>
      <c r="Q90" s="3"/>
      <c r="R90" s="3"/>
    </row>
    <row r="91" spans="1:18" x14ac:dyDescent="0.2">
      <c r="A91" s="3"/>
      <c r="B91" s="3"/>
      <c r="C91" s="3"/>
      <c r="D91" s="3"/>
      <c r="E91" s="3"/>
      <c r="F91" s="3"/>
      <c r="G91" s="3"/>
      <c r="H91" s="3"/>
      <c r="I91" s="3"/>
      <c r="J91" s="3"/>
      <c r="K91" s="3"/>
      <c r="L91" s="3"/>
      <c r="M91" s="3"/>
      <c r="N91" s="3"/>
      <c r="O91" s="3"/>
      <c r="P91" s="3"/>
      <c r="Q91" s="3"/>
      <c r="R91" s="3"/>
    </row>
  </sheetData>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79"/>
  <sheetViews>
    <sheetView topLeftCell="E112" workbookViewId="0">
      <selection activeCell="T136" sqref="T136"/>
    </sheetView>
  </sheetViews>
  <sheetFormatPr defaultRowHeight="12.75" x14ac:dyDescent="0.2"/>
  <cols>
    <col min="9" max="9" width="14.140625" customWidth="1"/>
    <col min="10" max="10" width="10" customWidth="1"/>
    <col min="21" max="21" width="9.5703125" bestFit="1" customWidth="1"/>
  </cols>
  <sheetData>
    <row r="1" spans="1:27" ht="18.75" thickBot="1" x14ac:dyDescent="0.3">
      <c r="A1" s="133" t="s">
        <v>441</v>
      </c>
      <c r="B1" s="135"/>
      <c r="C1" s="135"/>
      <c r="D1" s="135"/>
      <c r="E1" s="135"/>
      <c r="F1" s="135"/>
      <c r="G1" s="135"/>
      <c r="H1" s="726" t="str">
        <f>'Title Page'!F3</f>
        <v>CougSat-1</v>
      </c>
      <c r="I1" s="135"/>
      <c r="J1" s="135"/>
      <c r="K1" s="725" t="str">
        <f>'Title Page'!F25</f>
        <v>2020 January 17</v>
      </c>
      <c r="L1" s="135"/>
      <c r="M1" s="135"/>
      <c r="N1" s="135"/>
      <c r="O1" s="135"/>
      <c r="P1" s="135"/>
      <c r="Q1" s="135"/>
      <c r="R1" s="135"/>
      <c r="S1" s="135"/>
      <c r="T1" s="135"/>
      <c r="U1" s="135"/>
      <c r="V1" s="135"/>
      <c r="W1" s="135"/>
      <c r="X1" s="135"/>
      <c r="Y1" s="135"/>
      <c r="Z1" s="135"/>
      <c r="AA1" s="135"/>
    </row>
    <row r="2" spans="1:27" x14ac:dyDescent="0.2">
      <c r="A2" s="3"/>
      <c r="B2" s="3"/>
      <c r="C2" s="3"/>
      <c r="D2" s="3"/>
      <c r="E2" s="3"/>
      <c r="F2" s="3"/>
      <c r="G2" s="3"/>
      <c r="H2" s="3"/>
      <c r="I2" s="3"/>
      <c r="J2" s="3"/>
      <c r="K2" s="3"/>
      <c r="L2" s="3"/>
      <c r="M2" s="3"/>
      <c r="N2" s="3"/>
      <c r="O2" s="3"/>
      <c r="P2" s="3"/>
      <c r="Q2" s="3"/>
      <c r="R2" s="3"/>
      <c r="S2" s="3"/>
      <c r="T2" s="3"/>
      <c r="U2" s="3"/>
      <c r="V2" s="3"/>
      <c r="W2" s="3"/>
      <c r="X2" s="3"/>
      <c r="Y2" s="3"/>
      <c r="Z2" s="3"/>
      <c r="AA2" s="3"/>
    </row>
    <row r="3" spans="1:27" x14ac:dyDescent="0.2">
      <c r="A3" s="3"/>
      <c r="B3" s="3"/>
      <c r="C3" s="3"/>
      <c r="D3" s="3"/>
      <c r="E3" s="3"/>
      <c r="F3" s="3"/>
      <c r="G3" s="3"/>
      <c r="H3" s="3"/>
      <c r="I3" s="3"/>
      <c r="J3" s="3"/>
      <c r="K3" s="3"/>
      <c r="L3" s="3"/>
      <c r="M3" s="3"/>
      <c r="N3" s="3"/>
      <c r="O3" s="3"/>
      <c r="P3" s="3"/>
      <c r="Q3" s="3"/>
      <c r="R3" s="3"/>
      <c r="S3" s="3"/>
      <c r="T3" s="3"/>
      <c r="U3" s="3"/>
      <c r="V3" s="3"/>
      <c r="W3" s="3"/>
      <c r="X3" s="3"/>
      <c r="Y3" s="3"/>
      <c r="Z3" s="3"/>
      <c r="AA3" s="3"/>
    </row>
    <row r="4" spans="1:27" ht="15.75" x14ac:dyDescent="0.25">
      <c r="A4" s="3"/>
      <c r="B4" s="294" t="s">
        <v>442</v>
      </c>
      <c r="C4" s="204"/>
      <c r="D4" s="204"/>
      <c r="E4" s="204"/>
      <c r="F4" s="205"/>
      <c r="G4" s="3"/>
      <c r="H4" s="3"/>
      <c r="I4" s="3"/>
      <c r="J4" s="568"/>
      <c r="K4" s="3"/>
      <c r="L4" s="3"/>
      <c r="M4" s="3"/>
      <c r="N4" s="3"/>
      <c r="O4" s="3"/>
      <c r="P4" s="3"/>
      <c r="Q4" s="3"/>
      <c r="R4" s="3"/>
      <c r="S4" s="3"/>
      <c r="T4" s="3"/>
      <c r="U4" s="3"/>
      <c r="V4" s="3"/>
      <c r="W4" s="3"/>
      <c r="X4" s="3"/>
      <c r="Y4" s="3"/>
      <c r="Z4" s="3"/>
      <c r="AA4" s="3"/>
    </row>
    <row r="5" spans="1:27" x14ac:dyDescent="0.2">
      <c r="A5" s="3"/>
      <c r="B5" s="3"/>
      <c r="C5" s="3"/>
      <c r="D5" s="3"/>
      <c r="E5" s="3"/>
      <c r="F5" s="3"/>
      <c r="G5" s="3"/>
      <c r="H5" s="3"/>
      <c r="I5" s="3"/>
      <c r="J5" s="3"/>
      <c r="K5" s="3"/>
      <c r="L5" s="3"/>
      <c r="M5" s="3"/>
      <c r="N5" s="3"/>
      <c r="O5" s="3"/>
      <c r="P5" s="3"/>
      <c r="Q5" s="3"/>
      <c r="R5" s="3"/>
      <c r="S5" s="3"/>
      <c r="T5" s="3"/>
      <c r="U5" s="3"/>
      <c r="V5" s="3"/>
      <c r="W5" s="3"/>
      <c r="X5" s="3"/>
      <c r="Y5" s="3"/>
      <c r="Z5" s="3"/>
      <c r="AA5" s="3"/>
    </row>
    <row r="6" spans="1:27" x14ac:dyDescent="0.2">
      <c r="A6" s="3"/>
      <c r="B6" s="3"/>
      <c r="C6" s="376" t="s">
        <v>529</v>
      </c>
      <c r="D6" s="3"/>
      <c r="E6" s="3"/>
      <c r="F6" s="3"/>
      <c r="G6" s="3"/>
      <c r="H6" s="3"/>
      <c r="I6" s="3"/>
      <c r="J6" s="3"/>
      <c r="K6" s="3"/>
      <c r="L6" s="3"/>
      <c r="M6" s="3"/>
      <c r="N6" s="3"/>
      <c r="O6" s="3"/>
      <c r="P6" s="3"/>
      <c r="Q6" s="3"/>
      <c r="R6" s="3"/>
      <c r="S6" s="3"/>
      <c r="T6" s="3"/>
      <c r="U6" s="3"/>
      <c r="V6" s="3"/>
      <c r="W6" s="3"/>
      <c r="X6" s="3"/>
      <c r="Y6" s="3"/>
      <c r="Z6" s="3"/>
      <c r="AA6" s="3"/>
    </row>
    <row r="7" spans="1:27" x14ac:dyDescent="0.2">
      <c r="A7" s="3"/>
      <c r="B7" s="3"/>
      <c r="C7" s="108"/>
      <c r="D7" s="108"/>
      <c r="E7" s="108"/>
      <c r="F7" s="108"/>
      <c r="G7" s="108"/>
      <c r="H7" s="108"/>
      <c r="I7" s="108"/>
      <c r="J7" s="108"/>
      <c r="K7" s="108"/>
      <c r="L7" s="3"/>
      <c r="M7" s="3"/>
      <c r="N7" s="3"/>
      <c r="O7" s="3"/>
      <c r="P7" s="3"/>
      <c r="Q7" s="3"/>
      <c r="R7" s="3"/>
      <c r="S7" s="3"/>
      <c r="T7" s="3"/>
      <c r="U7" s="3"/>
      <c r="V7" s="3"/>
      <c r="W7" s="3"/>
      <c r="X7" s="3"/>
      <c r="Y7" s="3"/>
      <c r="Z7" s="3"/>
      <c r="AA7" s="3"/>
    </row>
    <row r="8" spans="1:27" ht="15.75" x14ac:dyDescent="0.25">
      <c r="A8" s="3"/>
      <c r="B8" s="3"/>
      <c r="C8" s="385" t="s">
        <v>389</v>
      </c>
      <c r="D8" s="356"/>
      <c r="E8" s="356"/>
      <c r="F8" s="356"/>
      <c r="G8" s="356"/>
      <c r="H8" s="356"/>
      <c r="I8" s="356"/>
      <c r="J8" s="356"/>
      <c r="K8" s="356"/>
      <c r="L8" s="356"/>
      <c r="M8" s="357"/>
      <c r="N8" s="777" t="s">
        <v>916</v>
      </c>
      <c r="O8" s="3"/>
      <c r="P8" s="3"/>
      <c r="Q8" s="3"/>
      <c r="R8" s="3"/>
      <c r="S8" s="3"/>
      <c r="T8" s="3"/>
      <c r="U8" s="3"/>
      <c r="V8" s="3"/>
      <c r="W8" s="3"/>
      <c r="X8" s="3"/>
      <c r="Y8" s="3"/>
      <c r="Z8" s="3"/>
      <c r="AA8" s="3"/>
    </row>
    <row r="9" spans="1:27" x14ac:dyDescent="0.2">
      <c r="A9" s="3"/>
      <c r="B9" s="3"/>
      <c r="C9" s="358"/>
      <c r="D9" s="359"/>
      <c r="E9" s="359"/>
      <c r="F9" s="359"/>
      <c r="G9" s="359"/>
      <c r="H9" s="359"/>
      <c r="I9" s="359"/>
      <c r="J9" s="359"/>
      <c r="K9" s="359"/>
      <c r="L9" s="359"/>
      <c r="M9" s="346"/>
      <c r="N9" s="3"/>
      <c r="O9" s="3"/>
      <c r="P9" s="3"/>
      <c r="Q9" s="3"/>
      <c r="R9" s="3"/>
      <c r="S9" s="3"/>
      <c r="T9" s="3"/>
      <c r="U9" s="3"/>
      <c r="V9" s="3"/>
      <c r="W9" s="3"/>
      <c r="X9" s="3"/>
      <c r="Y9" s="3"/>
      <c r="Z9" s="3"/>
      <c r="AA9" s="3"/>
    </row>
    <row r="10" spans="1:27" ht="13.5" thickBot="1" x14ac:dyDescent="0.25">
      <c r="A10" s="3"/>
      <c r="B10" s="3"/>
      <c r="C10" s="358"/>
      <c r="D10" s="359"/>
      <c r="E10" s="359"/>
      <c r="F10" s="359"/>
      <c r="G10" s="359"/>
      <c r="H10" s="359"/>
      <c r="I10" s="359" t="s">
        <v>454</v>
      </c>
      <c r="J10" s="359"/>
      <c r="K10" s="359" t="s">
        <v>466</v>
      </c>
      <c r="L10" s="359"/>
      <c r="M10" s="346"/>
      <c r="N10" s="3"/>
      <c r="O10" s="3"/>
      <c r="P10" s="3"/>
      <c r="Q10" s="3"/>
      <c r="R10" s="3"/>
      <c r="S10" s="3"/>
      <c r="T10" s="3"/>
      <c r="U10" s="3"/>
      <c r="V10" s="3"/>
      <c r="W10" s="3"/>
      <c r="X10" s="3"/>
      <c r="Y10" s="3"/>
      <c r="Z10" s="3"/>
      <c r="AA10" s="3"/>
    </row>
    <row r="11" spans="1:27" ht="16.5" thickBot="1" x14ac:dyDescent="0.3">
      <c r="A11" s="3"/>
      <c r="B11" s="3"/>
      <c r="C11" s="358"/>
      <c r="D11" s="359"/>
      <c r="E11" s="359"/>
      <c r="F11" s="359"/>
      <c r="G11" s="359"/>
      <c r="H11" s="359"/>
      <c r="I11" s="359"/>
      <c r="J11" s="359"/>
      <c r="K11" s="359"/>
      <c r="L11" s="359"/>
      <c r="M11" s="346"/>
      <c r="N11" s="4" t="s">
        <v>146</v>
      </c>
      <c r="O11" s="3"/>
      <c r="P11" s="3"/>
      <c r="Q11" s="802" t="s">
        <v>189</v>
      </c>
      <c r="R11" s="803"/>
      <c r="S11" s="804"/>
      <c r="T11" s="3"/>
      <c r="U11" s="3"/>
      <c r="V11" s="3"/>
      <c r="W11" s="3"/>
      <c r="X11" s="3"/>
      <c r="Y11" s="3"/>
      <c r="Z11" s="3"/>
      <c r="AA11" s="3"/>
    </row>
    <row r="12" spans="1:27" ht="13.5" thickBot="1" x14ac:dyDescent="0.25">
      <c r="A12" s="3"/>
      <c r="B12" s="3"/>
      <c r="C12" s="358"/>
      <c r="D12" s="359"/>
      <c r="E12" s="359"/>
      <c r="F12" s="359"/>
      <c r="G12" s="359"/>
      <c r="H12" s="359"/>
      <c r="I12" s="359"/>
      <c r="J12" s="359"/>
      <c r="K12" s="359"/>
      <c r="L12" s="359"/>
      <c r="M12" s="346"/>
      <c r="N12" s="4"/>
      <c r="O12" s="38" t="s">
        <v>519</v>
      </c>
      <c r="P12" s="3"/>
      <c r="Q12" s="3"/>
      <c r="R12" s="3"/>
      <c r="S12" s="3"/>
      <c r="T12" s="3"/>
      <c r="U12" s="3"/>
      <c r="V12" s="3"/>
      <c r="W12" s="3"/>
      <c r="X12" s="3"/>
      <c r="Y12" s="3"/>
      <c r="Z12" s="3"/>
      <c r="AA12" s="3"/>
    </row>
    <row r="13" spans="1:27" x14ac:dyDescent="0.2">
      <c r="A13" s="3"/>
      <c r="B13" s="3"/>
      <c r="C13" s="358"/>
      <c r="D13" s="359"/>
      <c r="E13" s="359"/>
      <c r="F13" s="359"/>
      <c r="G13" s="359"/>
      <c r="H13" s="359"/>
      <c r="I13" s="359"/>
      <c r="J13" s="359"/>
      <c r="K13" s="359"/>
      <c r="L13" s="359"/>
      <c r="M13" s="346"/>
      <c r="N13" s="3"/>
      <c r="O13" s="3"/>
      <c r="P13" s="3"/>
      <c r="Q13" s="3"/>
      <c r="R13" s="3"/>
      <c r="S13" s="3"/>
      <c r="T13" s="3"/>
      <c r="U13" s="3"/>
      <c r="V13" s="3"/>
      <c r="W13" s="3"/>
      <c r="X13" s="3"/>
      <c r="Y13" s="3"/>
      <c r="Z13" s="3"/>
      <c r="AA13" s="3"/>
    </row>
    <row r="14" spans="1:27" ht="13.5" thickBot="1" x14ac:dyDescent="0.25">
      <c r="A14" s="3"/>
      <c r="B14" s="3"/>
      <c r="C14" s="358"/>
      <c r="D14" s="361" t="s">
        <v>445</v>
      </c>
      <c r="E14" s="359"/>
      <c r="F14" s="361" t="s">
        <v>446</v>
      </c>
      <c r="G14" s="359"/>
      <c r="H14" s="361" t="s">
        <v>447</v>
      </c>
      <c r="I14" s="359"/>
      <c r="J14" s="359"/>
      <c r="K14" s="359"/>
      <c r="L14" s="359"/>
      <c r="M14" s="346"/>
      <c r="N14" s="3"/>
      <c r="O14" s="3"/>
      <c r="P14" s="3"/>
      <c r="Q14" s="3"/>
      <c r="R14" s="3"/>
      <c r="S14" s="3"/>
      <c r="T14" s="3"/>
      <c r="U14" s="3"/>
      <c r="V14" s="3"/>
      <c r="W14" s="3"/>
      <c r="X14" s="3"/>
      <c r="Y14" s="3"/>
      <c r="Z14" s="3"/>
      <c r="AA14" s="3"/>
    </row>
    <row r="15" spans="1:27" ht="16.5" thickBot="1" x14ac:dyDescent="0.3">
      <c r="A15" s="3"/>
      <c r="B15" s="3"/>
      <c r="C15" s="358"/>
      <c r="D15" s="359"/>
      <c r="E15" s="359"/>
      <c r="F15" s="359"/>
      <c r="G15" s="359"/>
      <c r="H15" s="359"/>
      <c r="I15" s="359"/>
      <c r="J15" s="359"/>
      <c r="K15" s="359"/>
      <c r="L15" s="359"/>
      <c r="M15" s="346"/>
      <c r="N15" s="4" t="s">
        <v>192</v>
      </c>
      <c r="O15" s="3"/>
      <c r="P15" s="3"/>
      <c r="Q15" s="802" t="s">
        <v>191</v>
      </c>
      <c r="R15" s="803"/>
      <c r="S15" s="804"/>
      <c r="T15" s="3"/>
      <c r="U15" s="3"/>
      <c r="V15" s="3"/>
      <c r="W15" s="3"/>
      <c r="X15" s="3"/>
      <c r="Y15" s="3"/>
      <c r="Z15" s="3"/>
      <c r="AA15" s="3"/>
    </row>
    <row r="16" spans="1:27" ht="13.5" thickBot="1" x14ac:dyDescent="0.25">
      <c r="A16" s="3"/>
      <c r="B16" s="3"/>
      <c r="C16" s="358"/>
      <c r="D16" s="361" t="s">
        <v>448</v>
      </c>
      <c r="E16" s="359"/>
      <c r="F16" s="361" t="s">
        <v>449</v>
      </c>
      <c r="G16" s="359"/>
      <c r="H16" s="359"/>
      <c r="I16" s="359"/>
      <c r="J16" s="359"/>
      <c r="K16" s="359"/>
      <c r="L16" s="359"/>
      <c r="M16" s="346"/>
      <c r="N16" s="3"/>
      <c r="O16" s="38" t="s">
        <v>55</v>
      </c>
      <c r="P16" s="3"/>
      <c r="Q16" s="3"/>
      <c r="R16" s="3"/>
      <c r="S16" s="3"/>
      <c r="T16" s="3"/>
      <c r="U16" s="3"/>
      <c r="V16" s="3"/>
      <c r="W16" s="3"/>
      <c r="X16" s="3"/>
      <c r="Y16" s="3"/>
      <c r="Z16" s="3"/>
      <c r="AA16" s="3"/>
    </row>
    <row r="17" spans="1:27" x14ac:dyDescent="0.2">
      <c r="A17" s="3"/>
      <c r="B17" s="3"/>
      <c r="C17" s="358"/>
      <c r="D17" s="359"/>
      <c r="E17" s="359"/>
      <c r="F17" s="359"/>
      <c r="G17" s="359"/>
      <c r="H17" s="359"/>
      <c r="I17" s="359"/>
      <c r="J17" s="359" t="s">
        <v>448</v>
      </c>
      <c r="K17" s="362" t="s">
        <v>448</v>
      </c>
      <c r="L17" s="359"/>
      <c r="M17" s="346"/>
      <c r="N17" s="3"/>
      <c r="O17" s="3"/>
      <c r="P17" s="3"/>
      <c r="Q17" s="3"/>
      <c r="R17" s="3"/>
      <c r="S17" s="3"/>
      <c r="T17" s="3"/>
      <c r="U17" s="3"/>
      <c r="V17" s="3"/>
      <c r="W17" s="3"/>
      <c r="X17" s="3"/>
      <c r="Y17" s="3"/>
      <c r="Z17" s="3"/>
      <c r="AA17" s="3"/>
    </row>
    <row r="18" spans="1:27" x14ac:dyDescent="0.2">
      <c r="A18" s="3"/>
      <c r="B18" s="3"/>
      <c r="C18" s="358"/>
      <c r="D18" s="359"/>
      <c r="E18" s="359"/>
      <c r="F18" s="359"/>
      <c r="G18" s="359"/>
      <c r="H18" s="359"/>
      <c r="I18" s="359"/>
      <c r="J18" s="359"/>
      <c r="K18" s="359"/>
      <c r="L18" s="359"/>
      <c r="M18" s="346"/>
      <c r="N18" s="3"/>
      <c r="O18" s="3"/>
      <c r="P18" s="3"/>
      <c r="Q18" s="3"/>
      <c r="R18" s="3"/>
      <c r="S18" s="3"/>
      <c r="T18" s="3"/>
      <c r="U18" s="3"/>
      <c r="V18" s="3"/>
      <c r="W18" s="3"/>
      <c r="X18" s="3"/>
      <c r="Y18" s="3"/>
      <c r="Z18" s="3"/>
      <c r="AA18" s="3"/>
    </row>
    <row r="19" spans="1:27" x14ac:dyDescent="0.2">
      <c r="A19" s="3"/>
      <c r="B19" s="3"/>
      <c r="C19" s="358"/>
      <c r="D19" s="359"/>
      <c r="E19" s="359"/>
      <c r="F19" s="359"/>
      <c r="G19" s="359"/>
      <c r="H19" s="359"/>
      <c r="I19" s="359"/>
      <c r="J19" s="359"/>
      <c r="K19" s="359"/>
      <c r="L19" s="359"/>
      <c r="M19" s="346"/>
      <c r="N19" s="3"/>
      <c r="O19" s="3"/>
      <c r="P19" s="3"/>
      <c r="Q19" s="3"/>
      <c r="R19" s="3"/>
      <c r="S19" s="3"/>
      <c r="T19" s="3"/>
      <c r="U19" s="3"/>
      <c r="V19" s="3"/>
      <c r="W19" s="3"/>
      <c r="X19" s="3"/>
      <c r="Y19" s="3"/>
      <c r="Z19" s="3"/>
      <c r="AA19" s="3"/>
    </row>
    <row r="20" spans="1:27" x14ac:dyDescent="0.2">
      <c r="A20" s="3"/>
      <c r="B20" s="3"/>
      <c r="C20" s="358"/>
      <c r="D20" s="359" t="s">
        <v>443</v>
      </c>
      <c r="E20" s="359"/>
      <c r="F20" s="359"/>
      <c r="G20" s="359"/>
      <c r="H20" s="359"/>
      <c r="I20" s="359"/>
      <c r="J20" s="359"/>
      <c r="K20" s="359"/>
      <c r="L20" s="359"/>
      <c r="M20" s="346"/>
      <c r="N20" s="3"/>
      <c r="O20" s="3"/>
      <c r="P20" s="3"/>
      <c r="Q20" s="3"/>
      <c r="R20" s="3"/>
      <c r="S20" s="3"/>
      <c r="T20" s="3"/>
      <c r="U20" s="3"/>
      <c r="V20" s="3"/>
      <c r="W20" s="3"/>
      <c r="X20" s="3"/>
      <c r="Y20" s="3"/>
      <c r="Z20" s="3"/>
      <c r="AA20" s="3"/>
    </row>
    <row r="21" spans="1:27" x14ac:dyDescent="0.2">
      <c r="A21" s="3"/>
      <c r="B21" s="3"/>
      <c r="C21" s="358"/>
      <c r="D21" s="359"/>
      <c r="E21" s="359"/>
      <c r="F21" s="359"/>
      <c r="G21" s="359"/>
      <c r="H21" s="359"/>
      <c r="I21" s="359"/>
      <c r="J21" s="359"/>
      <c r="K21" s="359"/>
      <c r="L21" s="359"/>
      <c r="M21" s="346"/>
      <c r="N21" s="3"/>
      <c r="O21" s="3"/>
      <c r="P21" s="3"/>
      <c r="Q21" s="3"/>
      <c r="R21" s="3"/>
      <c r="S21" s="3"/>
      <c r="T21" s="3"/>
      <c r="U21" s="3"/>
      <c r="V21" s="3"/>
      <c r="W21" s="3"/>
      <c r="X21" s="3"/>
      <c r="Y21" s="3"/>
      <c r="Z21" s="3"/>
      <c r="AA21" s="3"/>
    </row>
    <row r="22" spans="1:27" x14ac:dyDescent="0.2">
      <c r="A22" s="3"/>
      <c r="B22" s="3"/>
      <c r="C22" s="358"/>
      <c r="D22" s="379" t="s">
        <v>455</v>
      </c>
      <c r="E22" s="359"/>
      <c r="F22" s="359"/>
      <c r="G22" s="359"/>
      <c r="H22" s="359"/>
      <c r="I22" s="359"/>
      <c r="J22" s="359"/>
      <c r="K22" s="359"/>
      <c r="L22" s="359"/>
      <c r="M22" s="346"/>
      <c r="N22" s="3"/>
      <c r="O22" s="3"/>
      <c r="P22" s="3"/>
      <c r="Q22" s="3"/>
      <c r="R22" s="3"/>
      <c r="S22" s="3"/>
      <c r="T22" s="3"/>
      <c r="U22" s="3"/>
      <c r="V22" s="3"/>
      <c r="W22" s="3"/>
      <c r="X22" s="3"/>
      <c r="Y22" s="3"/>
      <c r="Z22" s="3"/>
      <c r="AA22" s="3"/>
    </row>
    <row r="23" spans="1:27" x14ac:dyDescent="0.2">
      <c r="A23" s="3"/>
      <c r="B23" s="3"/>
      <c r="C23" s="358"/>
      <c r="D23" s="359" t="s">
        <v>444</v>
      </c>
      <c r="E23" s="359"/>
      <c r="F23" s="359"/>
      <c r="G23" s="380"/>
      <c r="H23" s="359"/>
      <c r="I23" s="359"/>
      <c r="J23" s="359"/>
      <c r="K23" s="359"/>
      <c r="L23" s="359"/>
      <c r="M23" s="346"/>
      <c r="N23" s="3"/>
      <c r="O23" s="3"/>
      <c r="P23" s="3"/>
      <c r="Q23" s="3"/>
      <c r="R23" s="3"/>
      <c r="S23" s="3"/>
      <c r="T23" s="3"/>
      <c r="U23" s="3"/>
      <c r="V23" s="3"/>
      <c r="W23" s="3"/>
      <c r="X23" s="3"/>
      <c r="Y23" s="3"/>
      <c r="Z23" s="3"/>
      <c r="AA23" s="3"/>
    </row>
    <row r="24" spans="1:27" x14ac:dyDescent="0.2">
      <c r="A24" s="3"/>
      <c r="B24" s="3"/>
      <c r="C24" s="358"/>
      <c r="D24" s="381" t="s">
        <v>450</v>
      </c>
      <c r="E24" s="359"/>
      <c r="F24" s="359"/>
      <c r="G24" s="359"/>
      <c r="H24" s="359"/>
      <c r="I24" s="359"/>
      <c r="J24" s="359"/>
      <c r="K24" s="359"/>
      <c r="L24" s="359"/>
      <c r="M24" s="346"/>
      <c r="N24" s="3"/>
      <c r="O24" s="3"/>
      <c r="P24" s="3"/>
      <c r="Q24" s="3"/>
      <c r="R24" s="3"/>
      <c r="S24" s="3"/>
      <c r="T24" s="3"/>
      <c r="U24" s="3"/>
      <c r="V24" s="3"/>
      <c r="W24" s="3"/>
      <c r="X24" s="3"/>
      <c r="Y24" s="3"/>
      <c r="Z24" s="3"/>
      <c r="AA24" s="3"/>
    </row>
    <row r="25" spans="1:27" x14ac:dyDescent="0.2">
      <c r="A25" s="3"/>
      <c r="B25" s="3"/>
      <c r="C25" s="358"/>
      <c r="D25" s="381" t="s">
        <v>506</v>
      </c>
      <c r="E25" s="359"/>
      <c r="F25" s="359"/>
      <c r="G25" s="359"/>
      <c r="H25" s="359"/>
      <c r="I25" s="359"/>
      <c r="J25" s="359"/>
      <c r="K25" s="359"/>
      <c r="L25" s="359"/>
      <c r="M25" s="346"/>
      <c r="N25" s="3"/>
      <c r="O25" s="3"/>
      <c r="P25" s="3"/>
      <c r="Q25" s="3"/>
      <c r="R25" s="3"/>
      <c r="S25" s="3"/>
      <c r="T25" s="3"/>
      <c r="U25" s="3"/>
      <c r="V25" s="3"/>
      <c r="W25" s="3"/>
      <c r="X25" s="3"/>
      <c r="Y25" s="3"/>
      <c r="Z25" s="3"/>
      <c r="AA25" s="3"/>
    </row>
    <row r="26" spans="1:27" x14ac:dyDescent="0.2">
      <c r="A26" s="3"/>
      <c r="B26" s="3"/>
      <c r="C26" s="358"/>
      <c r="D26" s="381" t="s">
        <v>452</v>
      </c>
      <c r="E26" s="359"/>
      <c r="F26" s="359"/>
      <c r="G26" s="359"/>
      <c r="H26" s="359"/>
      <c r="I26" s="359"/>
      <c r="J26" s="359"/>
      <c r="K26" s="359"/>
      <c r="L26" s="359"/>
      <c r="M26" s="346"/>
      <c r="N26" s="3"/>
      <c r="O26" s="3"/>
      <c r="P26" s="3"/>
      <c r="Q26" s="3"/>
      <c r="R26" s="3"/>
      <c r="S26" s="3"/>
      <c r="T26" s="3"/>
      <c r="U26" s="3"/>
      <c r="V26" s="3"/>
      <c r="W26" s="3"/>
      <c r="X26" s="3"/>
      <c r="Y26" s="3"/>
      <c r="Z26" s="3"/>
      <c r="AA26" s="3"/>
    </row>
    <row r="27" spans="1:27" x14ac:dyDescent="0.2">
      <c r="A27" s="3"/>
      <c r="B27" s="3"/>
      <c r="C27" s="358"/>
      <c r="D27" s="381" t="s">
        <v>467</v>
      </c>
      <c r="E27" s="359"/>
      <c r="F27" s="359"/>
      <c r="G27" s="359"/>
      <c r="H27" s="359"/>
      <c r="I27" s="359"/>
      <c r="J27" s="359"/>
      <c r="K27" s="359"/>
      <c r="L27" s="359"/>
      <c r="M27" s="346"/>
      <c r="N27" s="3"/>
      <c r="O27" s="3"/>
      <c r="P27" s="3"/>
      <c r="Q27" s="3"/>
      <c r="R27" s="3"/>
      <c r="S27" s="3"/>
      <c r="T27" s="3"/>
      <c r="U27" s="3"/>
      <c r="V27" s="3"/>
      <c r="W27" s="3"/>
      <c r="X27" s="3"/>
      <c r="Y27" s="3"/>
      <c r="Z27" s="3"/>
      <c r="AA27" s="3"/>
    </row>
    <row r="28" spans="1:27" x14ac:dyDescent="0.2">
      <c r="A28" s="3"/>
      <c r="B28" s="3"/>
      <c r="C28" s="358"/>
      <c r="D28" s="381" t="s">
        <v>468</v>
      </c>
      <c r="E28" s="359"/>
      <c r="F28" s="359"/>
      <c r="G28" s="359"/>
      <c r="H28" s="359"/>
      <c r="I28" s="258" t="s">
        <v>511</v>
      </c>
      <c r="J28" s="359"/>
      <c r="K28" s="359"/>
      <c r="L28" s="359"/>
      <c r="M28" s="346"/>
      <c r="N28" s="3"/>
      <c r="O28" s="3"/>
      <c r="P28" s="3"/>
      <c r="Q28" s="3"/>
      <c r="R28" s="3"/>
      <c r="S28" s="3"/>
      <c r="T28" s="3"/>
      <c r="U28" s="3"/>
      <c r="V28" s="3"/>
      <c r="W28" s="3"/>
      <c r="X28" s="3"/>
      <c r="Y28" s="3"/>
      <c r="Z28" s="3"/>
      <c r="AA28" s="3"/>
    </row>
    <row r="29" spans="1:27" x14ac:dyDescent="0.2">
      <c r="A29" s="3"/>
      <c r="B29" s="3"/>
      <c r="C29" s="358"/>
      <c r="D29" s="382" t="s">
        <v>453</v>
      </c>
      <c r="E29" s="359"/>
      <c r="F29" s="359"/>
      <c r="G29" s="359"/>
      <c r="H29" s="359"/>
      <c r="I29" s="359"/>
      <c r="J29" s="359"/>
      <c r="K29" s="359"/>
      <c r="L29" s="359"/>
      <c r="M29" s="346"/>
      <c r="N29" s="3"/>
      <c r="O29" s="3"/>
      <c r="P29" s="3"/>
      <c r="Q29" s="3"/>
      <c r="R29" s="3"/>
      <c r="S29" s="3"/>
      <c r="T29" s="3"/>
      <c r="U29" s="3"/>
      <c r="V29" s="3"/>
      <c r="W29" s="3"/>
      <c r="X29" s="3"/>
      <c r="Y29" s="3"/>
      <c r="Z29" s="3"/>
      <c r="AA29" s="3"/>
    </row>
    <row r="30" spans="1:27" x14ac:dyDescent="0.2">
      <c r="A30" s="3"/>
      <c r="B30" s="3"/>
      <c r="C30" s="358"/>
      <c r="D30" s="359" t="s">
        <v>444</v>
      </c>
      <c r="E30" s="359"/>
      <c r="F30" s="359"/>
      <c r="G30" s="359"/>
      <c r="H30" s="359"/>
      <c r="I30" s="359"/>
      <c r="J30" s="359"/>
      <c r="K30" s="359"/>
      <c r="L30" s="359"/>
      <c r="M30" s="346"/>
      <c r="N30" s="3"/>
      <c r="O30" s="3"/>
      <c r="P30" s="3"/>
      <c r="Q30" s="3"/>
      <c r="R30" s="3"/>
      <c r="S30" s="3"/>
      <c r="T30" s="3"/>
      <c r="U30" s="3"/>
      <c r="V30" s="3"/>
      <c r="W30" s="3"/>
      <c r="X30" s="3"/>
      <c r="Y30" s="3"/>
      <c r="Z30" s="3"/>
      <c r="AA30" s="3"/>
    </row>
    <row r="31" spans="1:27" x14ac:dyDescent="0.2">
      <c r="A31" s="3"/>
      <c r="B31" s="3"/>
      <c r="C31" s="358"/>
      <c r="D31" s="359"/>
      <c r="E31" s="359" t="s">
        <v>463</v>
      </c>
      <c r="F31" s="359"/>
      <c r="G31" s="359"/>
      <c r="H31" s="359"/>
      <c r="I31" s="359"/>
      <c r="J31" s="359"/>
      <c r="K31" s="359"/>
      <c r="L31" s="359"/>
      <c r="M31" s="346"/>
      <c r="N31" s="3"/>
      <c r="O31" s="3"/>
      <c r="P31" s="3"/>
      <c r="Q31" s="3"/>
      <c r="R31" s="3"/>
      <c r="S31" s="3"/>
      <c r="T31" s="3"/>
      <c r="U31" s="3"/>
      <c r="V31" s="3"/>
      <c r="W31" s="3"/>
      <c r="X31" s="3"/>
      <c r="Y31" s="3"/>
      <c r="Z31" s="3"/>
      <c r="AA31" s="3"/>
    </row>
    <row r="32" spans="1:27" x14ac:dyDescent="0.2">
      <c r="A32" s="3"/>
      <c r="B32" s="3"/>
      <c r="C32" s="358"/>
      <c r="D32" s="359"/>
      <c r="E32" s="359" t="s">
        <v>464</v>
      </c>
      <c r="F32" s="359"/>
      <c r="G32" s="359"/>
      <c r="H32" s="359"/>
      <c r="I32" s="359"/>
      <c r="J32" s="359"/>
      <c r="K32" s="359"/>
      <c r="L32" s="359"/>
      <c r="M32" s="346"/>
      <c r="N32" s="3"/>
      <c r="O32" s="3"/>
      <c r="P32" s="3"/>
      <c r="Q32" s="3"/>
      <c r="R32" s="3"/>
      <c r="S32" s="3"/>
      <c r="T32" s="3"/>
      <c r="U32" s="3"/>
      <c r="V32" s="3"/>
      <c r="W32" s="3"/>
      <c r="X32" s="3"/>
      <c r="Y32" s="3"/>
      <c r="Z32" s="3"/>
      <c r="AA32" s="3"/>
    </row>
    <row r="33" spans="1:27" x14ac:dyDescent="0.2">
      <c r="A33" s="3"/>
      <c r="B33" s="3"/>
      <c r="C33" s="358"/>
      <c r="D33" s="359"/>
      <c r="E33" s="383" t="s">
        <v>465</v>
      </c>
      <c r="F33" s="359"/>
      <c r="G33" s="359"/>
      <c r="H33" s="359"/>
      <c r="I33" s="359"/>
      <c r="J33" s="359"/>
      <c r="K33" s="359"/>
      <c r="L33" s="359"/>
      <c r="M33" s="346"/>
      <c r="N33" s="3"/>
      <c r="O33" s="3"/>
      <c r="P33" s="3"/>
      <c r="Q33" s="3"/>
      <c r="R33" s="3"/>
      <c r="S33" s="3"/>
      <c r="T33" s="3"/>
      <c r="U33" s="3"/>
      <c r="V33" s="3"/>
      <c r="W33" s="3"/>
      <c r="X33" s="3"/>
      <c r="Y33" s="3"/>
      <c r="Z33" s="3"/>
      <c r="AA33" s="3"/>
    </row>
    <row r="34" spans="1:27" x14ac:dyDescent="0.2">
      <c r="A34" s="3"/>
      <c r="B34" s="3"/>
      <c r="C34" s="358"/>
      <c r="D34" s="359"/>
      <c r="E34" s="359"/>
      <c r="F34" s="359"/>
      <c r="G34" s="359"/>
      <c r="H34" s="359"/>
      <c r="I34" s="359"/>
      <c r="J34" s="359"/>
      <c r="K34" s="359"/>
      <c r="L34" s="359"/>
      <c r="M34" s="346"/>
      <c r="N34" s="3"/>
      <c r="O34" s="3"/>
      <c r="P34" s="3"/>
      <c r="Q34" s="3"/>
      <c r="R34" s="3"/>
      <c r="S34" s="3"/>
      <c r="T34" s="3"/>
      <c r="U34" s="3"/>
      <c r="V34" s="3"/>
      <c r="W34" s="3"/>
      <c r="X34" s="3"/>
      <c r="Y34" s="3"/>
      <c r="Z34" s="3"/>
      <c r="AA34" s="3"/>
    </row>
    <row r="35" spans="1:27" x14ac:dyDescent="0.2">
      <c r="A35" s="3"/>
      <c r="B35" s="3"/>
      <c r="C35" s="358"/>
      <c r="D35" s="359"/>
      <c r="E35" s="359"/>
      <c r="F35" s="359"/>
      <c r="G35" s="359"/>
      <c r="H35" s="359"/>
      <c r="I35" s="359"/>
      <c r="J35" s="359"/>
      <c r="K35" s="359"/>
      <c r="L35" s="359"/>
      <c r="M35" s="346"/>
      <c r="N35" s="3"/>
      <c r="O35" s="3"/>
      <c r="P35" s="3"/>
      <c r="Q35" s="3"/>
      <c r="R35" s="3"/>
      <c r="S35" s="3"/>
      <c r="T35" s="3"/>
      <c r="U35" s="3"/>
      <c r="V35" s="3"/>
      <c r="W35" s="3"/>
      <c r="X35" s="3"/>
      <c r="Y35" s="3"/>
      <c r="Z35" s="3"/>
      <c r="AA35" s="3"/>
    </row>
    <row r="36" spans="1:27" x14ac:dyDescent="0.2">
      <c r="A36" s="3"/>
      <c r="B36" s="3"/>
      <c r="C36" s="358"/>
      <c r="D36" s="359" t="s">
        <v>469</v>
      </c>
      <c r="E36" s="359"/>
      <c r="F36" s="359"/>
      <c r="G36" s="359"/>
      <c r="H36" s="359"/>
      <c r="I36" s="359"/>
      <c r="J36" s="359"/>
      <c r="K36" s="359"/>
      <c r="L36" s="359"/>
      <c r="M36" s="346"/>
      <c r="N36" s="3"/>
      <c r="O36" s="3"/>
      <c r="P36" s="3"/>
      <c r="Q36" s="3"/>
      <c r="R36" s="3"/>
      <c r="S36" s="3"/>
      <c r="T36" s="3"/>
      <c r="U36" s="3"/>
      <c r="V36" s="3"/>
      <c r="W36" s="3"/>
      <c r="X36" s="3"/>
      <c r="Y36" s="3"/>
      <c r="Z36" s="3"/>
      <c r="AA36" s="3"/>
    </row>
    <row r="37" spans="1:27" x14ac:dyDescent="0.2">
      <c r="A37" s="3"/>
      <c r="B37" s="3"/>
      <c r="C37" s="358"/>
      <c r="D37" s="359"/>
      <c r="E37" s="359"/>
      <c r="F37" s="359"/>
      <c r="G37" s="359"/>
      <c r="H37" s="359"/>
      <c r="I37" s="359"/>
      <c r="J37" s="359"/>
      <c r="K37" s="359"/>
      <c r="L37" s="359"/>
      <c r="M37" s="346"/>
      <c r="N37" s="3"/>
      <c r="O37" s="3"/>
      <c r="P37" s="3"/>
      <c r="Q37" s="3"/>
      <c r="R37" s="3"/>
      <c r="S37" s="3"/>
      <c r="T37" s="3"/>
      <c r="U37" s="3"/>
      <c r="V37" s="3"/>
      <c r="W37" s="3"/>
      <c r="X37" s="3"/>
      <c r="Y37" s="3"/>
      <c r="Z37" s="3"/>
      <c r="AA37" s="3"/>
    </row>
    <row r="38" spans="1:27" x14ac:dyDescent="0.2">
      <c r="A38" s="3"/>
      <c r="B38" s="3"/>
      <c r="C38" s="358"/>
      <c r="D38" s="362" t="s">
        <v>37</v>
      </c>
      <c r="E38" s="359" t="s">
        <v>430</v>
      </c>
      <c r="F38" s="359"/>
      <c r="G38" s="359"/>
      <c r="H38" s="359"/>
      <c r="I38" s="359"/>
      <c r="J38" s="374">
        <v>0.1</v>
      </c>
      <c r="K38" s="359" t="s">
        <v>76</v>
      </c>
      <c r="L38" s="359"/>
      <c r="M38" s="346"/>
      <c r="N38" s="3"/>
      <c r="O38" s="3"/>
      <c r="P38" s="3"/>
      <c r="Q38" s="3"/>
      <c r="R38" s="3"/>
      <c r="S38" s="3"/>
      <c r="T38" s="3"/>
      <c r="U38" s="3"/>
      <c r="V38" s="3"/>
      <c r="W38" s="3"/>
      <c r="X38" s="3"/>
      <c r="Y38" s="3"/>
      <c r="Z38" s="3"/>
      <c r="AA38" s="3"/>
    </row>
    <row r="39" spans="1:27" x14ac:dyDescent="0.2">
      <c r="A39" s="3"/>
      <c r="B39" s="3"/>
      <c r="C39" s="358"/>
      <c r="D39" s="359"/>
      <c r="E39" s="359" t="s">
        <v>431</v>
      </c>
      <c r="F39" s="359"/>
      <c r="G39" s="359"/>
      <c r="H39" s="359"/>
      <c r="I39" s="359"/>
      <c r="J39" s="374">
        <v>0</v>
      </c>
      <c r="K39" s="359" t="s">
        <v>76</v>
      </c>
      <c r="L39" s="359"/>
      <c r="M39" s="346"/>
      <c r="N39" s="3"/>
      <c r="O39" s="3"/>
      <c r="P39" s="3"/>
      <c r="Q39" s="3"/>
      <c r="R39" s="3"/>
      <c r="S39" s="3"/>
      <c r="T39" s="3"/>
      <c r="U39" s="3"/>
      <c r="V39" s="3"/>
      <c r="W39" s="3"/>
      <c r="X39" s="3"/>
      <c r="Y39" s="3"/>
      <c r="Z39" s="3"/>
      <c r="AA39" s="3"/>
    </row>
    <row r="40" spans="1:27" x14ac:dyDescent="0.2">
      <c r="A40" s="3"/>
      <c r="B40" s="3"/>
      <c r="C40" s="358"/>
      <c r="D40" s="359"/>
      <c r="E40" s="359" t="s">
        <v>432</v>
      </c>
      <c r="F40" s="359"/>
      <c r="G40" s="359"/>
      <c r="H40" s="359"/>
      <c r="I40" s="359"/>
      <c r="J40" s="374">
        <v>0</v>
      </c>
      <c r="K40" s="359" t="s">
        <v>76</v>
      </c>
      <c r="L40" s="359"/>
      <c r="M40" s="346"/>
      <c r="N40" s="3"/>
      <c r="O40" s="3"/>
      <c r="P40" s="3"/>
      <c r="Q40" s="3"/>
      <c r="R40" s="3"/>
      <c r="S40" s="3"/>
      <c r="T40" s="3"/>
      <c r="U40" s="3"/>
      <c r="V40" s="3"/>
      <c r="W40" s="3"/>
      <c r="X40" s="3"/>
      <c r="Y40" s="3"/>
      <c r="Z40" s="3"/>
      <c r="AA40" s="3"/>
    </row>
    <row r="41" spans="1:27" x14ac:dyDescent="0.2">
      <c r="A41" s="3"/>
      <c r="B41" s="3"/>
      <c r="C41" s="358"/>
      <c r="D41" s="359"/>
      <c r="E41" s="359"/>
      <c r="F41" s="359"/>
      <c r="G41" s="359"/>
      <c r="H41" s="359"/>
      <c r="I41" s="359"/>
      <c r="J41" s="364"/>
      <c r="K41" s="359"/>
      <c r="L41" s="359"/>
      <c r="M41" s="346"/>
      <c r="N41" s="3"/>
      <c r="O41" s="3"/>
      <c r="P41" s="3"/>
      <c r="Q41" s="3"/>
      <c r="R41" s="3"/>
      <c r="S41" s="3"/>
      <c r="T41" s="3"/>
      <c r="U41" s="3"/>
      <c r="V41" s="3"/>
      <c r="W41" s="3"/>
      <c r="X41" s="3"/>
      <c r="Y41" s="3"/>
      <c r="Z41" s="3"/>
      <c r="AA41" s="3"/>
    </row>
    <row r="42" spans="1:27" x14ac:dyDescent="0.2">
      <c r="A42" s="3"/>
      <c r="B42" s="3"/>
      <c r="C42" s="358"/>
      <c r="D42" s="359"/>
      <c r="E42" s="359" t="s">
        <v>412</v>
      </c>
      <c r="F42" s="359"/>
      <c r="G42" s="359"/>
      <c r="H42" s="359"/>
      <c r="I42" s="359"/>
      <c r="J42" s="308" t="s">
        <v>416</v>
      </c>
      <c r="K42" s="309" t="s">
        <v>417</v>
      </c>
      <c r="L42" s="359"/>
      <c r="M42" s="346"/>
      <c r="N42" s="3"/>
      <c r="O42" s="3"/>
      <c r="P42" s="3"/>
      <c r="Q42" s="3"/>
      <c r="R42" s="3"/>
      <c r="S42" s="3"/>
      <c r="T42" s="3"/>
      <c r="U42" s="3"/>
      <c r="V42" s="3"/>
      <c r="W42" s="3"/>
      <c r="X42" s="3"/>
      <c r="Y42" s="3"/>
      <c r="Z42" s="3"/>
      <c r="AA42" s="3"/>
    </row>
    <row r="43" spans="1:27" x14ac:dyDescent="0.2">
      <c r="A43" s="3"/>
      <c r="B43" s="3"/>
      <c r="C43" s="358"/>
      <c r="D43" s="359"/>
      <c r="E43" s="359" t="s">
        <v>418</v>
      </c>
      <c r="F43" s="359"/>
      <c r="G43" s="359"/>
      <c r="H43" s="372">
        <v>0.4</v>
      </c>
      <c r="I43" s="361" t="s">
        <v>509</v>
      </c>
      <c r="J43" s="766">
        <f>'Orbit &amp; Frequency'!N31</f>
        <v>437.5</v>
      </c>
      <c r="K43" s="359" t="s">
        <v>75</v>
      </c>
      <c r="L43" s="359"/>
      <c r="M43" s="346"/>
      <c r="N43" s="3"/>
      <c r="O43" s="3"/>
      <c r="P43" s="3"/>
      <c r="Q43" s="3"/>
      <c r="R43" s="3"/>
      <c r="S43" s="3"/>
      <c r="T43" s="3"/>
      <c r="U43" s="3"/>
      <c r="V43" s="3"/>
      <c r="W43" s="3"/>
      <c r="X43" s="3"/>
      <c r="Y43" s="3"/>
      <c r="Z43" s="3"/>
      <c r="AA43" s="3"/>
    </row>
    <row r="44" spans="1:27" x14ac:dyDescent="0.2">
      <c r="A44" s="3"/>
      <c r="B44" s="3"/>
      <c r="C44" s="358"/>
      <c r="D44" s="359"/>
      <c r="E44" s="359"/>
      <c r="F44" s="359"/>
      <c r="G44" s="359"/>
      <c r="H44" s="359"/>
      <c r="I44" s="359"/>
      <c r="J44" s="359"/>
      <c r="K44" s="359"/>
      <c r="L44" s="359"/>
      <c r="M44" s="346"/>
      <c r="N44" s="3"/>
      <c r="O44" s="3"/>
      <c r="P44" s="3"/>
      <c r="Q44" s="3"/>
      <c r="R44" s="3"/>
      <c r="S44" s="3"/>
      <c r="T44" s="3"/>
      <c r="U44" s="3"/>
      <c r="V44" s="3"/>
      <c r="W44" s="3"/>
      <c r="X44" s="3"/>
      <c r="Y44" s="3"/>
      <c r="Z44" s="3"/>
      <c r="AA44" s="3"/>
    </row>
    <row r="45" spans="1:27" x14ac:dyDescent="0.2">
      <c r="A45" s="3"/>
      <c r="B45" s="3"/>
      <c r="C45" s="358"/>
      <c r="D45" s="359"/>
      <c r="E45" s="359" t="s">
        <v>474</v>
      </c>
      <c r="F45" s="359"/>
      <c r="G45" s="359"/>
      <c r="H45" s="359"/>
      <c r="I45" s="359" t="s">
        <v>471</v>
      </c>
      <c r="J45" s="359">
        <f>J38*H43</f>
        <v>4.0000000000000008E-2</v>
      </c>
      <c r="K45" s="361" t="s">
        <v>78</v>
      </c>
      <c r="L45" s="359"/>
      <c r="M45" s="346"/>
      <c r="N45" s="3"/>
      <c r="O45" s="3"/>
      <c r="P45" s="3"/>
      <c r="Q45" s="3"/>
      <c r="R45" s="3"/>
      <c r="S45" s="3"/>
      <c r="T45" s="3"/>
      <c r="U45" s="3"/>
      <c r="V45" s="3"/>
      <c r="W45" s="3"/>
      <c r="X45" s="3"/>
      <c r="Y45" s="3"/>
      <c r="Z45" s="3"/>
      <c r="AA45" s="3"/>
    </row>
    <row r="46" spans="1:27" x14ac:dyDescent="0.2">
      <c r="A46" s="3"/>
      <c r="B46" s="3"/>
      <c r="C46" s="358"/>
      <c r="D46" s="359"/>
      <c r="E46" s="359" t="s">
        <v>475</v>
      </c>
      <c r="F46" s="359"/>
      <c r="G46" s="359"/>
      <c r="H46" s="359"/>
      <c r="I46" s="359" t="s">
        <v>472</v>
      </c>
      <c r="J46" s="359">
        <f>J39*H43</f>
        <v>0</v>
      </c>
      <c r="K46" s="361" t="s">
        <v>78</v>
      </c>
      <c r="L46" s="359"/>
      <c r="M46" s="346"/>
      <c r="N46" s="3"/>
      <c r="O46" s="3"/>
      <c r="P46" s="3"/>
      <c r="Q46" s="3"/>
      <c r="R46" s="3"/>
      <c r="S46" s="3"/>
      <c r="T46" s="3"/>
      <c r="U46" s="3"/>
      <c r="V46" s="3"/>
      <c r="W46" s="3"/>
      <c r="X46" s="3"/>
      <c r="Y46" s="3"/>
      <c r="Z46" s="3"/>
      <c r="AA46" s="3"/>
    </row>
    <row r="47" spans="1:27" x14ac:dyDescent="0.2">
      <c r="A47" s="3"/>
      <c r="B47" s="3"/>
      <c r="C47" s="358"/>
      <c r="D47" s="359"/>
      <c r="E47" s="359" t="s">
        <v>476</v>
      </c>
      <c r="F47" s="359"/>
      <c r="G47" s="359"/>
      <c r="H47" s="359"/>
      <c r="I47" s="359" t="s">
        <v>473</v>
      </c>
      <c r="J47" s="359">
        <f>J40*H43</f>
        <v>0</v>
      </c>
      <c r="K47" s="359" t="s">
        <v>78</v>
      </c>
      <c r="L47" s="359"/>
      <c r="M47" s="346"/>
      <c r="N47" s="3"/>
      <c r="O47" s="3"/>
      <c r="P47" s="3"/>
      <c r="Q47" s="3"/>
      <c r="R47" s="3"/>
      <c r="S47" s="3"/>
      <c r="T47" s="3"/>
      <c r="U47" s="3"/>
      <c r="V47" s="3"/>
      <c r="W47" s="3"/>
      <c r="X47" s="3"/>
      <c r="Y47" s="3"/>
      <c r="Z47" s="3"/>
      <c r="AA47" s="3"/>
    </row>
    <row r="48" spans="1:27" x14ac:dyDescent="0.2">
      <c r="A48" s="3"/>
      <c r="B48" s="3"/>
      <c r="C48" s="358"/>
      <c r="D48" s="359"/>
      <c r="E48" s="359" t="s">
        <v>477</v>
      </c>
      <c r="F48" s="359"/>
      <c r="G48" s="359"/>
      <c r="H48" s="359"/>
      <c r="I48" s="359" t="s">
        <v>478</v>
      </c>
      <c r="J48" s="375">
        <v>0</v>
      </c>
      <c r="K48" s="359" t="s">
        <v>78</v>
      </c>
      <c r="L48" s="359"/>
      <c r="M48" s="346"/>
      <c r="N48" s="3"/>
      <c r="O48" s="3"/>
      <c r="P48" s="3"/>
      <c r="Q48" s="3"/>
      <c r="R48" s="3"/>
      <c r="S48" s="3"/>
      <c r="T48" s="3"/>
      <c r="U48" s="3"/>
      <c r="V48" s="3"/>
      <c r="W48" s="3"/>
      <c r="X48" s="3"/>
      <c r="Y48" s="3"/>
      <c r="Z48" s="3"/>
      <c r="AA48" s="3"/>
    </row>
    <row r="49" spans="1:27" x14ac:dyDescent="0.2">
      <c r="A49" s="3"/>
      <c r="B49" s="3"/>
      <c r="C49" s="358"/>
      <c r="D49" s="359"/>
      <c r="E49" s="359" t="s">
        <v>479</v>
      </c>
      <c r="F49" s="359"/>
      <c r="G49" s="359"/>
      <c r="H49" s="359"/>
      <c r="I49" s="359" t="s">
        <v>480</v>
      </c>
      <c r="J49" s="374">
        <v>0.27</v>
      </c>
      <c r="K49" s="359" t="s">
        <v>78</v>
      </c>
      <c r="L49" s="359"/>
      <c r="M49" s="346"/>
      <c r="N49" s="3"/>
      <c r="O49" s="3"/>
      <c r="P49" s="3"/>
      <c r="Q49" s="3"/>
      <c r="R49" s="3"/>
      <c r="S49" s="3"/>
      <c r="T49" s="3"/>
      <c r="U49" s="3"/>
      <c r="V49" s="3"/>
      <c r="W49" s="3"/>
      <c r="X49" s="3"/>
      <c r="Y49" s="3"/>
      <c r="Z49" s="3"/>
      <c r="AA49" s="3"/>
    </row>
    <row r="50" spans="1:27" x14ac:dyDescent="0.2">
      <c r="A50" s="3"/>
      <c r="B50" s="3"/>
      <c r="C50" s="358"/>
      <c r="D50" s="359"/>
      <c r="E50" s="359" t="s">
        <v>507</v>
      </c>
      <c r="F50" s="359"/>
      <c r="G50" s="359"/>
      <c r="H50" s="286">
        <v>2</v>
      </c>
      <c r="I50" s="359" t="s">
        <v>508</v>
      </c>
      <c r="J50" s="403">
        <f>H50*0.05</f>
        <v>0.1</v>
      </c>
      <c r="K50" s="359" t="s">
        <v>78</v>
      </c>
      <c r="L50" s="359"/>
      <c r="M50" s="346"/>
      <c r="N50" s="3"/>
      <c r="O50" s="3"/>
      <c r="P50" s="3"/>
      <c r="Q50" s="3"/>
      <c r="R50" s="3"/>
      <c r="S50" s="3"/>
      <c r="T50" s="3"/>
      <c r="U50" s="3"/>
      <c r="V50" s="3"/>
      <c r="W50" s="3"/>
      <c r="X50" s="3"/>
      <c r="Y50" s="3"/>
      <c r="Z50" s="3"/>
      <c r="AA50" s="3"/>
    </row>
    <row r="51" spans="1:27" x14ac:dyDescent="0.2">
      <c r="A51" s="3"/>
      <c r="B51" s="3"/>
      <c r="C51" s="358"/>
      <c r="D51" s="359"/>
      <c r="E51" s="359" t="s">
        <v>753</v>
      </c>
      <c r="F51" s="359"/>
      <c r="G51" s="359"/>
      <c r="H51" s="360"/>
      <c r="I51" s="359"/>
      <c r="J51" s="751" t="s">
        <v>948</v>
      </c>
      <c r="K51" s="405"/>
      <c r="L51" s="359"/>
      <c r="M51" s="346"/>
      <c r="N51" s="3"/>
      <c r="O51" s="3"/>
      <c r="P51" s="3"/>
      <c r="Q51" s="3"/>
      <c r="R51" s="3"/>
      <c r="S51" s="3"/>
      <c r="T51" s="3"/>
      <c r="U51" s="3"/>
      <c r="V51" s="3"/>
      <c r="W51" s="3"/>
      <c r="X51" s="3"/>
      <c r="Y51" s="3"/>
      <c r="Z51" s="3"/>
      <c r="AA51" s="3"/>
    </row>
    <row r="52" spans="1:27" x14ac:dyDescent="0.2">
      <c r="A52" s="3"/>
      <c r="B52" s="3"/>
      <c r="C52" s="358"/>
      <c r="D52" s="359"/>
      <c r="E52" s="359"/>
      <c r="F52" s="359"/>
      <c r="G52" s="359"/>
      <c r="H52" s="359"/>
      <c r="I52" s="359"/>
      <c r="J52" s="359"/>
      <c r="K52" s="359"/>
      <c r="L52" s="359"/>
      <c r="M52" s="346"/>
      <c r="N52" s="3"/>
      <c r="O52" s="390" t="s">
        <v>6</v>
      </c>
      <c r="P52" s="406"/>
      <c r="Q52" s="315"/>
      <c r="R52" s="315"/>
      <c r="S52" s="315"/>
      <c r="T52" s="315"/>
      <c r="U52" s="315"/>
      <c r="V52" s="260" t="s">
        <v>370</v>
      </c>
      <c r="W52" s="3"/>
      <c r="X52" s="3"/>
      <c r="Y52" s="3"/>
      <c r="Z52" s="3"/>
      <c r="AA52" s="3"/>
    </row>
    <row r="53" spans="1:27" x14ac:dyDescent="0.2">
      <c r="A53" s="3"/>
      <c r="B53" s="3"/>
      <c r="C53" s="358"/>
      <c r="D53" s="359"/>
      <c r="E53" s="359" t="s">
        <v>481</v>
      </c>
      <c r="F53" s="359"/>
      <c r="G53" s="359"/>
      <c r="H53" s="359"/>
      <c r="I53" s="359"/>
      <c r="J53" s="376">
        <f>SUM(J45:J50)</f>
        <v>0.41000000000000003</v>
      </c>
      <c r="K53" s="359" t="s">
        <v>78</v>
      </c>
      <c r="L53" s="359"/>
      <c r="M53" s="346"/>
      <c r="N53" s="3"/>
      <c r="O53" s="317"/>
      <c r="P53" s="319"/>
      <c r="Q53" s="319"/>
      <c r="R53" s="319"/>
      <c r="S53" s="319"/>
      <c r="T53" s="319"/>
      <c r="U53" s="319"/>
      <c r="V53" s="391"/>
      <c r="W53" s="3"/>
      <c r="X53" s="3"/>
      <c r="Y53" s="3"/>
      <c r="Z53" s="3"/>
      <c r="AA53" s="3"/>
    </row>
    <row r="54" spans="1:27" x14ac:dyDescent="0.2">
      <c r="A54" s="3"/>
      <c r="B54" s="3"/>
      <c r="C54" s="358"/>
      <c r="D54" s="359"/>
      <c r="E54" s="359"/>
      <c r="F54" s="359"/>
      <c r="G54" s="359"/>
      <c r="H54" s="359"/>
      <c r="I54" s="359"/>
      <c r="J54" s="359"/>
      <c r="K54" s="359"/>
      <c r="L54" s="359"/>
      <c r="M54" s="346"/>
      <c r="N54" s="3"/>
      <c r="O54" s="317"/>
      <c r="P54" s="319"/>
      <c r="Q54" s="319" t="s">
        <v>499</v>
      </c>
      <c r="R54" s="319"/>
      <c r="S54" s="319"/>
      <c r="T54" s="319"/>
      <c r="U54" s="319"/>
      <c r="V54" s="391"/>
      <c r="W54" s="3"/>
      <c r="X54" s="3"/>
      <c r="Y54" s="3"/>
      <c r="Z54" s="3"/>
      <c r="AA54" s="3"/>
    </row>
    <row r="55" spans="1:27" x14ac:dyDescent="0.2">
      <c r="A55" s="3"/>
      <c r="B55" s="3"/>
      <c r="C55" s="358"/>
      <c r="D55" s="359" t="s">
        <v>482</v>
      </c>
      <c r="E55" s="359"/>
      <c r="F55" s="359"/>
      <c r="G55" s="359"/>
      <c r="H55" s="359"/>
      <c r="I55" s="386" t="s">
        <v>483</v>
      </c>
      <c r="J55" s="377">
        <f>10^-(J53/10)</f>
        <v>0.90991327263225152</v>
      </c>
      <c r="K55" s="359"/>
      <c r="L55" s="359"/>
      <c r="M55" s="346"/>
      <c r="N55" s="3"/>
      <c r="O55" s="317"/>
      <c r="P55" s="319"/>
      <c r="Q55" s="319"/>
      <c r="R55" s="319" t="s">
        <v>496</v>
      </c>
      <c r="S55" s="319"/>
      <c r="T55" s="319"/>
      <c r="U55" s="319"/>
      <c r="V55" s="391"/>
      <c r="W55" s="3"/>
      <c r="X55" s="3"/>
      <c r="Y55" s="3"/>
      <c r="Z55" s="3"/>
      <c r="AA55" s="3"/>
    </row>
    <row r="56" spans="1:27" x14ac:dyDescent="0.2">
      <c r="A56" s="3"/>
      <c r="B56" s="3"/>
      <c r="C56" s="358"/>
      <c r="D56" s="359"/>
      <c r="E56" s="359"/>
      <c r="F56" s="359"/>
      <c r="G56" s="359"/>
      <c r="H56" s="359"/>
      <c r="I56" s="359"/>
      <c r="J56" s="359"/>
      <c r="K56" s="359"/>
      <c r="L56" s="359"/>
      <c r="M56" s="346"/>
      <c r="N56" s="3"/>
      <c r="O56" s="317"/>
      <c r="P56" s="319"/>
      <c r="Q56" s="319" t="s">
        <v>498</v>
      </c>
      <c r="R56" s="319"/>
      <c r="S56" s="319"/>
      <c r="T56" s="319"/>
      <c r="U56" s="319"/>
      <c r="V56" s="391"/>
      <c r="W56" s="3"/>
      <c r="X56" s="3"/>
      <c r="Y56" s="3"/>
      <c r="Z56" s="3"/>
      <c r="AA56" s="3"/>
    </row>
    <row r="57" spans="1:27" x14ac:dyDescent="0.2">
      <c r="A57" s="3"/>
      <c r="B57" s="3"/>
      <c r="C57" s="358"/>
      <c r="D57" s="359" t="s">
        <v>484</v>
      </c>
      <c r="E57" s="359"/>
      <c r="F57" s="359"/>
      <c r="G57" s="258" t="s">
        <v>370</v>
      </c>
      <c r="H57" s="359"/>
      <c r="I57" s="359" t="s">
        <v>485</v>
      </c>
      <c r="J57" s="374">
        <f>(15+290)/2</f>
        <v>152.5</v>
      </c>
      <c r="K57" s="359" t="s">
        <v>106</v>
      </c>
      <c r="L57" s="359" t="s">
        <v>134</v>
      </c>
      <c r="M57" s="346"/>
      <c r="N57" s="3"/>
      <c r="O57" s="317"/>
      <c r="P57" s="319"/>
      <c r="Q57" s="319"/>
      <c r="R57" s="319"/>
      <c r="S57" s="319"/>
      <c r="T57" s="319"/>
      <c r="U57" s="319"/>
      <c r="V57" s="391"/>
      <c r="W57" s="3"/>
      <c r="X57" s="3"/>
      <c r="Y57" s="3"/>
      <c r="Z57" s="3"/>
      <c r="AA57" s="3"/>
    </row>
    <row r="58" spans="1:27" x14ac:dyDescent="0.2">
      <c r="A58" s="3"/>
      <c r="B58" s="3"/>
      <c r="C58" s="358"/>
      <c r="D58" s="359"/>
      <c r="E58" s="359"/>
      <c r="F58" s="359"/>
      <c r="G58" s="359"/>
      <c r="H58" s="359"/>
      <c r="I58" s="359"/>
      <c r="J58" s="359"/>
      <c r="K58" s="359"/>
      <c r="L58" s="359" t="s">
        <v>135</v>
      </c>
      <c r="M58" s="346"/>
      <c r="N58" s="3"/>
      <c r="O58" s="317" t="s">
        <v>134</v>
      </c>
      <c r="P58" s="319"/>
      <c r="Q58" s="319"/>
      <c r="R58" s="319"/>
      <c r="S58" s="319"/>
      <c r="T58" s="319"/>
      <c r="U58" s="319"/>
      <c r="V58" s="391"/>
      <c r="W58" s="3"/>
      <c r="X58" s="3"/>
      <c r="Y58" s="3"/>
      <c r="Z58" s="3"/>
      <c r="AA58" s="3"/>
    </row>
    <row r="59" spans="1:27" x14ac:dyDescent="0.2">
      <c r="A59" s="3"/>
      <c r="B59" s="3"/>
      <c r="C59" s="358"/>
      <c r="D59" s="359" t="s">
        <v>486</v>
      </c>
      <c r="E59" s="359"/>
      <c r="F59" s="359"/>
      <c r="G59" s="359"/>
      <c r="H59" s="359"/>
      <c r="I59" s="359" t="s">
        <v>487</v>
      </c>
      <c r="J59" s="374">
        <v>280</v>
      </c>
      <c r="K59" s="359" t="s">
        <v>106</v>
      </c>
      <c r="L59" s="359"/>
      <c r="M59" s="346"/>
      <c r="N59" s="3"/>
      <c r="O59" s="192" t="s">
        <v>792</v>
      </c>
      <c r="P59" s="155"/>
      <c r="Q59" s="392" t="s">
        <v>497</v>
      </c>
      <c r="R59" s="372">
        <v>1</v>
      </c>
      <c r="S59" s="319" t="s">
        <v>78</v>
      </c>
      <c r="T59" s="392" t="s">
        <v>500</v>
      </c>
      <c r="U59" s="378">
        <f>J59*(10^(R59/10)-1)</f>
        <v>72.499115302366846</v>
      </c>
      <c r="V59" s="391" t="s">
        <v>106</v>
      </c>
      <c r="W59" s="3"/>
      <c r="X59" s="3"/>
      <c r="Y59" s="3"/>
      <c r="Z59" s="3"/>
      <c r="AA59" s="3"/>
    </row>
    <row r="60" spans="1:27" x14ac:dyDescent="0.2">
      <c r="A60" s="3"/>
      <c r="B60" s="3"/>
      <c r="C60" s="358"/>
      <c r="D60" s="359"/>
      <c r="E60" s="359"/>
      <c r="F60" s="359"/>
      <c r="G60" s="359"/>
      <c r="H60" s="359"/>
      <c r="I60" s="359"/>
      <c r="J60" s="359"/>
      <c r="K60" s="359"/>
      <c r="L60" s="359"/>
      <c r="M60" s="346"/>
      <c r="N60" s="3"/>
      <c r="O60" s="192" t="s">
        <v>793</v>
      </c>
      <c r="P60" s="786">
        <v>190</v>
      </c>
      <c r="Q60" s="319"/>
      <c r="R60" s="319"/>
      <c r="S60" s="319"/>
      <c r="T60" s="319"/>
      <c r="U60" s="319"/>
      <c r="V60" s="391"/>
      <c r="W60" s="3"/>
      <c r="X60" s="3"/>
      <c r="Y60" s="3"/>
      <c r="Z60" s="3"/>
      <c r="AA60" s="3"/>
    </row>
    <row r="61" spans="1:27" x14ac:dyDescent="0.2">
      <c r="A61" s="3"/>
      <c r="B61" s="3"/>
      <c r="C61" s="358"/>
      <c r="D61" s="359" t="s">
        <v>488</v>
      </c>
      <c r="E61" s="359"/>
      <c r="F61" s="359"/>
      <c r="G61" s="359"/>
      <c r="H61" s="359"/>
      <c r="I61" s="359" t="s">
        <v>489</v>
      </c>
      <c r="J61" s="374">
        <v>97.7</v>
      </c>
      <c r="K61" s="359" t="s">
        <v>106</v>
      </c>
      <c r="L61" s="359"/>
      <c r="M61" s="346"/>
      <c r="N61" s="3"/>
      <c r="O61" s="192" t="s">
        <v>794</v>
      </c>
      <c r="P61" s="786">
        <v>15</v>
      </c>
      <c r="Q61" s="319"/>
      <c r="R61" s="319"/>
      <c r="S61" s="393" t="s">
        <v>502</v>
      </c>
      <c r="T61" s="319"/>
      <c r="U61" s="319"/>
      <c r="V61" s="391"/>
      <c r="W61" s="3"/>
      <c r="X61" s="3"/>
      <c r="Y61" s="3"/>
      <c r="Z61" s="3"/>
      <c r="AA61" s="3"/>
    </row>
    <row r="62" spans="1:27" x14ac:dyDescent="0.2">
      <c r="A62" s="3"/>
      <c r="B62" s="3"/>
      <c r="C62" s="358"/>
      <c r="D62" s="359"/>
      <c r="E62" s="359"/>
      <c r="F62" s="359"/>
      <c r="G62" s="359"/>
      <c r="H62" s="359"/>
      <c r="I62" s="359"/>
      <c r="J62" s="359"/>
      <c r="K62" s="359"/>
      <c r="L62" s="359"/>
      <c r="M62" s="346"/>
      <c r="N62" s="3"/>
      <c r="O62" s="192"/>
      <c r="P62" s="155"/>
      <c r="Q62" s="319"/>
      <c r="R62" s="319"/>
      <c r="S62" s="319"/>
      <c r="T62" s="319"/>
      <c r="U62" s="319"/>
      <c r="V62" s="391"/>
      <c r="W62" s="3"/>
      <c r="X62" s="3"/>
      <c r="Y62" s="3"/>
      <c r="Z62" s="3"/>
      <c r="AA62" s="3"/>
    </row>
    <row r="63" spans="1:27" x14ac:dyDescent="0.2">
      <c r="A63" s="3"/>
      <c r="B63" s="3"/>
      <c r="C63" s="358"/>
      <c r="D63" s="359" t="s">
        <v>491</v>
      </c>
      <c r="E63" s="359"/>
      <c r="F63" s="375">
        <v>19.5</v>
      </c>
      <c r="G63" s="359" t="s">
        <v>78</v>
      </c>
      <c r="H63" s="359"/>
      <c r="I63" s="359" t="s">
        <v>492</v>
      </c>
      <c r="J63" s="384">
        <f>10^(F63/10)</f>
        <v>89.125093813374562</v>
      </c>
      <c r="K63" s="359"/>
      <c r="L63" s="359"/>
      <c r="M63" s="346"/>
      <c r="N63" s="3"/>
      <c r="O63" s="192"/>
      <c r="P63" s="155"/>
      <c r="Q63" s="392" t="s">
        <v>500</v>
      </c>
      <c r="R63" s="372">
        <v>190</v>
      </c>
      <c r="S63" s="319" t="s">
        <v>106</v>
      </c>
      <c r="T63" s="392" t="s">
        <v>501</v>
      </c>
      <c r="U63" s="389">
        <f>10*LOG10(1+(R63/J59))</f>
        <v>2.2493982659349827</v>
      </c>
      <c r="V63" s="391" t="s">
        <v>78</v>
      </c>
      <c r="W63" s="3"/>
      <c r="X63" s="3"/>
      <c r="Y63" s="3"/>
      <c r="Z63" s="3"/>
      <c r="AA63" s="3"/>
    </row>
    <row r="64" spans="1:27" x14ac:dyDescent="0.2">
      <c r="A64" s="3"/>
      <c r="B64" s="3"/>
      <c r="C64" s="358"/>
      <c r="D64" s="359"/>
      <c r="E64" s="359"/>
      <c r="F64" s="359"/>
      <c r="G64" s="359"/>
      <c r="H64" s="359"/>
      <c r="I64" s="359"/>
      <c r="J64" s="359"/>
      <c r="K64" s="359"/>
      <c r="L64" s="359"/>
      <c r="M64" s="346"/>
      <c r="N64" s="3"/>
      <c r="O64" s="317"/>
      <c r="P64" s="319"/>
      <c r="Q64" s="319"/>
      <c r="R64" s="319"/>
      <c r="S64" s="319"/>
      <c r="T64" s="319"/>
      <c r="U64" s="319"/>
      <c r="V64" s="391"/>
      <c r="W64" s="3"/>
      <c r="X64" s="3"/>
      <c r="Y64" s="3"/>
      <c r="Z64" s="3"/>
      <c r="AA64" s="3"/>
    </row>
    <row r="65" spans="1:27" x14ac:dyDescent="0.2">
      <c r="A65" s="3"/>
      <c r="B65" s="3"/>
      <c r="C65" s="358"/>
      <c r="D65" s="359" t="s">
        <v>490</v>
      </c>
      <c r="E65" s="359"/>
      <c r="F65" s="359"/>
      <c r="G65" s="359"/>
      <c r="H65" s="359"/>
      <c r="I65" s="359" t="s">
        <v>493</v>
      </c>
      <c r="J65" s="374">
        <v>97.7</v>
      </c>
      <c r="K65" s="359" t="s">
        <v>106</v>
      </c>
      <c r="L65" s="359"/>
      <c r="M65" s="346"/>
      <c r="N65" s="3"/>
      <c r="O65" s="317"/>
      <c r="P65" s="319"/>
      <c r="Q65" s="319"/>
      <c r="R65" s="319"/>
      <c r="S65" s="319"/>
      <c r="T65" s="319"/>
      <c r="U65" s="319"/>
      <c r="V65" s="391"/>
      <c r="W65" s="3"/>
      <c r="X65" s="3"/>
      <c r="Y65" s="3"/>
      <c r="Z65" s="3"/>
      <c r="AA65" s="3"/>
    </row>
    <row r="66" spans="1:27" x14ac:dyDescent="0.2">
      <c r="A66" s="3"/>
      <c r="B66" s="3"/>
      <c r="C66" s="358"/>
      <c r="D66" s="359"/>
      <c r="E66" s="359"/>
      <c r="F66" s="359"/>
      <c r="G66" s="359"/>
      <c r="H66" s="359"/>
      <c r="I66" s="359"/>
      <c r="J66" s="359"/>
      <c r="K66" s="359"/>
      <c r="L66" s="359"/>
      <c r="M66" s="346"/>
      <c r="N66" s="3"/>
      <c r="O66" s="317"/>
      <c r="P66" s="319"/>
      <c r="Q66" s="319"/>
      <c r="R66" s="319"/>
      <c r="S66" s="319"/>
      <c r="T66" s="319"/>
      <c r="U66" s="319"/>
      <c r="V66" s="391"/>
      <c r="W66" s="3"/>
      <c r="X66" s="3"/>
      <c r="Y66" s="3"/>
      <c r="Z66" s="3"/>
      <c r="AA66" s="3"/>
    </row>
    <row r="67" spans="1:27" x14ac:dyDescent="0.2">
      <c r="A67" s="3"/>
      <c r="B67" s="3"/>
      <c r="C67" s="358"/>
      <c r="D67" s="359"/>
      <c r="E67" s="359"/>
      <c r="F67" s="359"/>
      <c r="G67" s="359"/>
      <c r="H67" s="359"/>
      <c r="I67" s="359"/>
      <c r="J67" s="359"/>
      <c r="K67" s="359"/>
      <c r="L67" s="387"/>
      <c r="M67" s="346"/>
      <c r="N67" s="3"/>
      <c r="O67" s="317"/>
      <c r="P67" s="319"/>
      <c r="Q67" s="394"/>
      <c r="R67" s="395" t="s">
        <v>503</v>
      </c>
      <c r="S67" s="394"/>
      <c r="T67" s="319"/>
      <c r="U67" s="395" t="s">
        <v>504</v>
      </c>
      <c r="V67" s="391"/>
      <c r="W67" s="3"/>
      <c r="X67" s="3"/>
      <c r="Y67" s="3"/>
      <c r="Z67" s="3"/>
      <c r="AA67" s="3"/>
    </row>
    <row r="68" spans="1:27" x14ac:dyDescent="0.2">
      <c r="A68" s="3"/>
      <c r="B68" s="3"/>
      <c r="C68" s="358"/>
      <c r="D68" s="359" t="s">
        <v>494</v>
      </c>
      <c r="E68" s="359"/>
      <c r="F68" s="359"/>
      <c r="G68" s="359"/>
      <c r="H68" s="359"/>
      <c r="I68" s="359" t="s">
        <v>495</v>
      </c>
      <c r="J68" s="388">
        <f>J57*J55+J59*(1-J55)+J61+(J65/J63)</f>
        <v>262.78226976924094</v>
      </c>
      <c r="K68" s="359" t="s">
        <v>106</v>
      </c>
      <c r="L68" s="359"/>
      <c r="M68" s="346"/>
      <c r="N68" s="3"/>
      <c r="O68" s="317"/>
      <c r="P68" s="319"/>
      <c r="Q68" s="319"/>
      <c r="R68" s="319"/>
      <c r="S68" s="319"/>
      <c r="T68" s="319"/>
      <c r="U68" s="319"/>
      <c r="V68" s="391"/>
      <c r="W68" s="3"/>
      <c r="X68" s="3"/>
      <c r="Y68" s="3"/>
      <c r="Z68" s="3"/>
      <c r="AA68" s="3"/>
    </row>
    <row r="69" spans="1:27" x14ac:dyDescent="0.2">
      <c r="A69" s="3"/>
      <c r="B69" s="3"/>
      <c r="C69" s="358"/>
      <c r="D69" s="359"/>
      <c r="E69" s="359"/>
      <c r="F69" s="359"/>
      <c r="G69" s="359"/>
      <c r="H69" s="359"/>
      <c r="I69" s="359"/>
      <c r="J69" s="359"/>
      <c r="K69" s="359"/>
      <c r="L69" s="359"/>
      <c r="M69" s="346"/>
      <c r="N69" s="3"/>
      <c r="O69" s="320"/>
      <c r="P69" s="321"/>
      <c r="Q69" s="321"/>
      <c r="R69" s="321"/>
      <c r="S69" s="321"/>
      <c r="T69" s="321"/>
      <c r="U69" s="321"/>
      <c r="V69" s="322"/>
      <c r="W69" s="3"/>
      <c r="X69" s="3"/>
      <c r="Y69" s="3"/>
      <c r="Z69" s="3"/>
      <c r="AA69" s="3"/>
    </row>
    <row r="70" spans="1:27" x14ac:dyDescent="0.2">
      <c r="A70" s="3"/>
      <c r="B70" s="3"/>
      <c r="C70" s="358"/>
      <c r="D70" s="359"/>
      <c r="E70" s="359"/>
      <c r="F70" s="359"/>
      <c r="G70" s="359"/>
      <c r="H70" s="359"/>
      <c r="I70" s="359"/>
      <c r="J70" s="359"/>
      <c r="K70" s="359"/>
      <c r="L70" s="359"/>
      <c r="M70" s="346"/>
      <c r="N70" s="3"/>
      <c r="O70" s="3"/>
      <c r="P70" s="3"/>
      <c r="Q70" s="3"/>
      <c r="R70" s="3"/>
      <c r="S70" s="3"/>
      <c r="T70" s="3"/>
      <c r="U70" s="3"/>
      <c r="V70" s="3"/>
      <c r="W70" s="3"/>
      <c r="X70" s="3"/>
      <c r="Y70" s="3"/>
      <c r="Z70" s="3"/>
      <c r="AA70" s="3"/>
    </row>
    <row r="71" spans="1:27" x14ac:dyDescent="0.2">
      <c r="A71" s="3"/>
      <c r="B71" s="3"/>
      <c r="C71" s="366"/>
      <c r="D71" s="367"/>
      <c r="E71" s="367"/>
      <c r="F71" s="367"/>
      <c r="G71" s="367"/>
      <c r="H71" s="367"/>
      <c r="I71" s="367"/>
      <c r="J71" s="367"/>
      <c r="K71" s="367"/>
      <c r="L71" s="367"/>
      <c r="M71" s="368"/>
      <c r="N71" s="3"/>
      <c r="O71" s="3"/>
      <c r="P71" s="3"/>
      <c r="Q71" s="3"/>
      <c r="R71" s="3"/>
      <c r="S71" s="3"/>
      <c r="T71" s="3"/>
      <c r="U71" s="3"/>
      <c r="V71" s="3"/>
      <c r="W71" s="3"/>
      <c r="X71" s="3"/>
      <c r="Y71" s="3"/>
      <c r="Z71" s="3"/>
      <c r="AA71" s="3"/>
    </row>
    <row r="72" spans="1:27" x14ac:dyDescent="0.2">
      <c r="A72" s="3"/>
      <c r="B72" s="3"/>
      <c r="C72" s="3"/>
      <c r="D72" s="3"/>
      <c r="E72" s="3"/>
      <c r="F72" s="3"/>
      <c r="G72" s="3"/>
      <c r="H72" s="3"/>
      <c r="I72" s="3"/>
      <c r="J72" s="3"/>
      <c r="K72" s="3"/>
      <c r="L72" s="3"/>
      <c r="M72" s="3"/>
      <c r="N72" s="3"/>
      <c r="O72" s="3"/>
      <c r="P72" s="3"/>
      <c r="Q72" s="3"/>
      <c r="R72" s="3"/>
      <c r="S72" s="3"/>
      <c r="T72" s="3"/>
      <c r="U72" s="3"/>
      <c r="V72" s="3"/>
      <c r="W72" s="3"/>
      <c r="X72" s="3"/>
      <c r="Y72" s="3"/>
      <c r="Z72" s="3"/>
      <c r="AA72" s="3"/>
    </row>
    <row r="73" spans="1:27" x14ac:dyDescent="0.2">
      <c r="A73" s="3"/>
      <c r="B73" s="3"/>
      <c r="C73" s="3"/>
      <c r="D73" s="3"/>
      <c r="E73" s="3"/>
      <c r="F73" s="3"/>
      <c r="G73" s="3"/>
      <c r="H73" s="3"/>
      <c r="I73" s="3"/>
      <c r="J73" s="3"/>
      <c r="K73" s="3"/>
      <c r="L73" s="3"/>
      <c r="M73" s="3"/>
      <c r="N73" s="3"/>
      <c r="O73" s="3"/>
      <c r="P73" s="3"/>
      <c r="Q73" s="3"/>
      <c r="R73" s="3"/>
      <c r="S73" s="3"/>
      <c r="T73" s="3"/>
      <c r="U73" s="3"/>
      <c r="V73" s="3"/>
      <c r="W73" s="3"/>
      <c r="X73" s="3"/>
      <c r="Y73" s="3"/>
      <c r="Z73" s="3"/>
      <c r="AA73" s="3"/>
    </row>
    <row r="74" spans="1:27" x14ac:dyDescent="0.2">
      <c r="A74" s="3"/>
      <c r="B74" s="3"/>
      <c r="C74" s="3"/>
      <c r="D74" s="3"/>
      <c r="E74" s="3"/>
      <c r="F74" s="3"/>
      <c r="G74" s="3"/>
      <c r="H74" s="3"/>
      <c r="I74" s="3"/>
      <c r="J74" s="3"/>
      <c r="K74" s="3"/>
      <c r="L74" s="3" t="s">
        <v>37</v>
      </c>
      <c r="M74" s="3"/>
      <c r="N74" s="3"/>
      <c r="O74" s="3"/>
      <c r="P74" s="3"/>
      <c r="Q74" s="3"/>
      <c r="R74" s="3"/>
      <c r="S74" s="3"/>
      <c r="T74" s="3"/>
      <c r="U74" s="3"/>
      <c r="V74" s="3"/>
      <c r="W74" s="3"/>
      <c r="X74" s="3"/>
      <c r="Y74" s="3"/>
      <c r="Z74" s="3"/>
      <c r="AA74" s="3"/>
    </row>
    <row r="75" spans="1:27" ht="15.75" x14ac:dyDescent="0.25">
      <c r="A75" s="3"/>
      <c r="B75" s="294" t="s">
        <v>505</v>
      </c>
      <c r="C75" s="204"/>
      <c r="D75" s="204"/>
      <c r="E75" s="204"/>
      <c r="F75" s="204"/>
      <c r="G75" s="205"/>
      <c r="H75" s="3"/>
      <c r="I75" s="3"/>
      <c r="J75" s="3"/>
      <c r="K75" s="3"/>
      <c r="L75" s="3"/>
      <c r="M75" s="3"/>
      <c r="N75" s="3"/>
      <c r="O75" s="3"/>
      <c r="P75" s="3"/>
      <c r="Q75" s="3"/>
      <c r="R75" s="3"/>
      <c r="S75" s="3"/>
      <c r="T75" s="3"/>
      <c r="U75" s="3"/>
      <c r="V75" s="3"/>
      <c r="W75" s="3"/>
      <c r="X75" s="3"/>
      <c r="Y75" s="3"/>
      <c r="Z75" s="3"/>
      <c r="AA75" s="3"/>
    </row>
    <row r="76" spans="1:27" x14ac:dyDescent="0.2">
      <c r="A76" s="3"/>
      <c r="B76" s="3"/>
      <c r="C76" s="3"/>
      <c r="D76" s="3"/>
      <c r="E76" s="3"/>
      <c r="F76" s="3"/>
      <c r="G76" s="3"/>
      <c r="H76" s="3"/>
      <c r="I76" s="3"/>
      <c r="J76" s="3"/>
      <c r="K76" s="3"/>
      <c r="L76" s="3"/>
      <c r="M76" s="3"/>
      <c r="N76" s="3"/>
      <c r="O76" s="3"/>
      <c r="P76" s="3"/>
      <c r="Q76" s="3"/>
      <c r="R76" s="3"/>
      <c r="S76" s="3"/>
      <c r="T76" s="3"/>
      <c r="U76" s="3"/>
      <c r="V76" s="3"/>
      <c r="W76" s="3"/>
      <c r="X76" s="3"/>
      <c r="Y76" s="3"/>
      <c r="Z76" s="3"/>
      <c r="AA76" s="3"/>
    </row>
    <row r="77" spans="1:27" x14ac:dyDescent="0.2">
      <c r="A77" s="3"/>
      <c r="B77" s="3"/>
      <c r="C77" s="3"/>
      <c r="D77" s="3"/>
      <c r="E77" s="3"/>
      <c r="F77" s="3"/>
      <c r="G77" s="3"/>
      <c r="H77" s="3"/>
      <c r="I77" s="3"/>
      <c r="J77" s="3"/>
      <c r="K77" s="3"/>
      <c r="L77" s="3"/>
      <c r="M77" s="3"/>
      <c r="N77" s="3"/>
      <c r="O77" s="793"/>
      <c r="P77" s="793"/>
      <c r="Q77" s="793"/>
      <c r="R77" s="793"/>
      <c r="S77" s="793"/>
      <c r="T77" s="793"/>
      <c r="U77" s="3"/>
      <c r="V77" s="3"/>
      <c r="W77" s="3"/>
      <c r="X77" s="3"/>
      <c r="Y77" s="3"/>
      <c r="Z77" s="3"/>
      <c r="AA77" s="3"/>
    </row>
    <row r="78" spans="1:27" x14ac:dyDescent="0.2">
      <c r="A78" s="3"/>
      <c r="B78" s="3"/>
      <c r="C78" s="108"/>
      <c r="D78" s="108"/>
      <c r="E78" s="108"/>
      <c r="F78" s="108"/>
      <c r="G78" s="108"/>
      <c r="H78" s="108"/>
      <c r="I78" s="108"/>
      <c r="J78" s="108"/>
      <c r="K78" s="108"/>
      <c r="L78" s="3"/>
      <c r="M78" s="3"/>
      <c r="N78" s="3"/>
      <c r="O78" s="793"/>
      <c r="P78" s="793"/>
      <c r="Q78" s="793"/>
      <c r="R78" s="793"/>
      <c r="S78" s="793"/>
      <c r="T78" s="793"/>
      <c r="U78" s="3"/>
      <c r="V78" s="3"/>
      <c r="W78" s="3"/>
      <c r="X78" s="3"/>
      <c r="Y78" s="3"/>
      <c r="Z78" s="3"/>
      <c r="AA78" s="3"/>
    </row>
    <row r="79" spans="1:27" ht="15.75" x14ac:dyDescent="0.25">
      <c r="A79" s="3"/>
      <c r="B79" s="3"/>
      <c r="C79" s="396" t="s">
        <v>389</v>
      </c>
      <c r="D79" s="195"/>
      <c r="E79" s="195"/>
      <c r="F79" s="195"/>
      <c r="G79" s="195"/>
      <c r="H79" s="195"/>
      <c r="I79" s="195"/>
      <c r="J79" s="195"/>
      <c r="K79" s="195"/>
      <c r="L79" s="195"/>
      <c r="M79" s="196"/>
      <c r="N79" s="777"/>
      <c r="O79" s="793"/>
      <c r="P79" s="793"/>
      <c r="Q79" s="794"/>
      <c r="R79" s="794"/>
      <c r="S79" s="794"/>
      <c r="T79" s="793"/>
      <c r="U79" s="3"/>
      <c r="V79" s="3"/>
      <c r="W79" s="3"/>
      <c r="X79" s="3"/>
      <c r="Y79" s="3"/>
      <c r="Z79" s="3"/>
      <c r="AA79" s="3"/>
    </row>
    <row r="80" spans="1:27" x14ac:dyDescent="0.2">
      <c r="A80" s="3"/>
      <c r="B80" s="3"/>
      <c r="C80" s="192"/>
      <c r="D80" s="155"/>
      <c r="E80" s="155"/>
      <c r="F80" s="155"/>
      <c r="G80" s="155"/>
      <c r="H80" s="155"/>
      <c r="I80" s="155"/>
      <c r="J80" s="155"/>
      <c r="K80" s="155"/>
      <c r="L80" s="155"/>
      <c r="M80" s="197"/>
      <c r="N80" s="3"/>
      <c r="O80" s="793"/>
      <c r="P80" s="793"/>
      <c r="Q80" s="793"/>
      <c r="R80" s="793"/>
      <c r="S80" s="793"/>
      <c r="T80" s="793"/>
      <c r="U80" s="3"/>
      <c r="V80" s="3"/>
      <c r="W80" s="3"/>
      <c r="X80" s="3"/>
      <c r="Y80" s="3"/>
      <c r="Z80" s="3"/>
      <c r="AA80" s="3"/>
    </row>
    <row r="81" spans="1:27" x14ac:dyDescent="0.2">
      <c r="A81" s="3"/>
      <c r="B81" s="3"/>
      <c r="C81" s="192"/>
      <c r="D81" s="155"/>
      <c r="E81" s="155"/>
      <c r="F81" s="155"/>
      <c r="G81" s="155"/>
      <c r="H81" s="155"/>
      <c r="I81" s="155" t="s">
        <v>454</v>
      </c>
      <c r="J81" s="155"/>
      <c r="K81" s="155" t="s">
        <v>930</v>
      </c>
      <c r="L81" s="155"/>
      <c r="M81" s="197"/>
      <c r="N81" s="3"/>
      <c r="O81" s="793"/>
      <c r="P81" s="793"/>
      <c r="Q81" s="793"/>
      <c r="R81" s="793"/>
      <c r="S81" s="793"/>
      <c r="T81" s="793"/>
      <c r="U81" s="3"/>
      <c r="V81" s="3"/>
      <c r="W81" s="3"/>
      <c r="X81" s="3"/>
      <c r="Y81" s="3"/>
      <c r="Z81" s="3"/>
      <c r="AA81" s="3"/>
    </row>
    <row r="82" spans="1:27" x14ac:dyDescent="0.2">
      <c r="A82" s="3"/>
      <c r="B82" s="3"/>
      <c r="C82" s="192"/>
      <c r="D82" s="155"/>
      <c r="E82" s="155"/>
      <c r="F82" s="155"/>
      <c r="G82" s="155"/>
      <c r="H82" s="155"/>
      <c r="I82" s="155"/>
      <c r="J82" s="155"/>
      <c r="K82" s="155"/>
      <c r="L82" s="155"/>
      <c r="M82" s="197"/>
      <c r="N82" s="4"/>
      <c r="O82" s="793"/>
      <c r="P82" s="793"/>
      <c r="Q82" s="793"/>
      <c r="R82" s="793"/>
      <c r="S82" s="793"/>
      <c r="T82" s="793"/>
      <c r="U82" s="3"/>
      <c r="V82" s="3"/>
      <c r="W82" s="3"/>
      <c r="X82" s="3"/>
      <c r="Y82" s="3"/>
      <c r="Z82" s="3"/>
      <c r="AA82" s="3"/>
    </row>
    <row r="83" spans="1:27" x14ac:dyDescent="0.2">
      <c r="A83" s="3"/>
      <c r="B83" s="3"/>
      <c r="C83" s="192"/>
      <c r="D83" s="155"/>
      <c r="E83" s="155"/>
      <c r="F83" s="155"/>
      <c r="G83" s="155"/>
      <c r="H83" s="155"/>
      <c r="I83" s="155"/>
      <c r="J83" s="155"/>
      <c r="K83" s="155"/>
      <c r="L83" s="155"/>
      <c r="M83" s="197"/>
      <c r="N83" s="4"/>
      <c r="O83" s="795"/>
      <c r="P83" s="793"/>
      <c r="Q83" s="793"/>
      <c r="R83" s="793"/>
      <c r="S83" s="793"/>
      <c r="T83" s="793"/>
      <c r="U83" s="3"/>
      <c r="V83" s="3"/>
      <c r="W83" s="3"/>
      <c r="X83" s="3"/>
      <c r="Y83" s="3"/>
      <c r="Z83" s="3"/>
      <c r="AA83" s="3"/>
    </row>
    <row r="84" spans="1:27" x14ac:dyDescent="0.2">
      <c r="A84" s="3"/>
      <c r="B84" s="3"/>
      <c r="C84" s="192"/>
      <c r="D84" s="155"/>
      <c r="E84" s="155"/>
      <c r="F84" s="155"/>
      <c r="G84" s="155"/>
      <c r="H84" s="155"/>
      <c r="I84" s="155"/>
      <c r="J84" s="155"/>
      <c r="K84" s="155"/>
      <c r="L84" s="155"/>
      <c r="M84" s="197"/>
      <c r="N84" s="3"/>
      <c r="O84" s="793"/>
      <c r="P84" s="793"/>
      <c r="Q84" s="793"/>
      <c r="R84" s="793"/>
      <c r="S84" s="793"/>
      <c r="T84" s="793"/>
      <c r="U84" s="3"/>
      <c r="V84" s="3"/>
      <c r="W84" s="3"/>
      <c r="X84" s="3"/>
      <c r="Y84" s="3"/>
      <c r="Z84" s="3"/>
      <c r="AA84" s="3"/>
    </row>
    <row r="85" spans="1:27" x14ac:dyDescent="0.2">
      <c r="A85" s="3"/>
      <c r="B85" s="3"/>
      <c r="C85" s="192"/>
      <c r="D85" s="207" t="s">
        <v>445</v>
      </c>
      <c r="E85" s="155"/>
      <c r="F85" s="207" t="s">
        <v>446</v>
      </c>
      <c r="G85" s="155"/>
      <c r="H85" s="207" t="s">
        <v>447</v>
      </c>
      <c r="I85" s="155"/>
      <c r="J85" s="155"/>
      <c r="K85" s="155"/>
      <c r="L85" s="155"/>
      <c r="M85" s="197"/>
      <c r="N85" s="3"/>
      <c r="O85" s="793"/>
      <c r="P85" s="793"/>
      <c r="Q85" s="793"/>
      <c r="R85" s="793"/>
      <c r="S85" s="793"/>
      <c r="T85" s="793"/>
      <c r="U85" s="3"/>
      <c r="V85" s="3"/>
      <c r="W85" s="3"/>
      <c r="X85" s="3"/>
      <c r="Y85" s="3"/>
      <c r="Z85" s="3"/>
      <c r="AA85" s="3"/>
    </row>
    <row r="86" spans="1:27" ht="15.75" x14ac:dyDescent="0.25">
      <c r="A86" s="3"/>
      <c r="B86" s="3"/>
      <c r="C86" s="192"/>
      <c r="D86" s="155"/>
      <c r="E86" s="155"/>
      <c r="F86" s="155"/>
      <c r="G86" s="155"/>
      <c r="H86" s="155"/>
      <c r="I86" s="155"/>
      <c r="J86" s="155"/>
      <c r="K86" s="155"/>
      <c r="L86" s="155"/>
      <c r="M86" s="197"/>
      <c r="N86" s="4"/>
      <c r="O86" s="793"/>
      <c r="P86" s="793"/>
      <c r="Q86" s="805"/>
      <c r="R86" s="805"/>
      <c r="S86" s="805"/>
      <c r="T86" s="793"/>
      <c r="U86" s="3"/>
      <c r="V86" s="3"/>
      <c r="W86" s="3"/>
      <c r="X86" s="3"/>
      <c r="Y86" s="3"/>
      <c r="Z86" s="3"/>
      <c r="AA86" s="3"/>
    </row>
    <row r="87" spans="1:27" x14ac:dyDescent="0.2">
      <c r="A87" s="3"/>
      <c r="B87" s="3"/>
      <c r="C87" s="192"/>
      <c r="D87" s="207" t="s">
        <v>448</v>
      </c>
      <c r="E87" s="155"/>
      <c r="F87" s="207" t="s">
        <v>449</v>
      </c>
      <c r="G87" s="155"/>
      <c r="H87" s="155"/>
      <c r="I87" s="155"/>
      <c r="J87" s="155"/>
      <c r="K87" s="155"/>
      <c r="L87" s="155"/>
      <c r="M87" s="197"/>
      <c r="N87" s="3"/>
      <c r="O87" s="795"/>
      <c r="P87" s="793"/>
      <c r="Q87" s="793"/>
      <c r="R87" s="793"/>
      <c r="S87" s="793"/>
      <c r="T87" s="793"/>
      <c r="U87" s="3"/>
      <c r="V87" s="3"/>
      <c r="W87" s="3"/>
      <c r="X87" s="3"/>
      <c r="Y87" s="3"/>
      <c r="Z87" s="3"/>
      <c r="AA87" s="3"/>
    </row>
    <row r="88" spans="1:27" x14ac:dyDescent="0.2">
      <c r="A88" s="3"/>
      <c r="B88" s="3"/>
      <c r="C88" s="192"/>
      <c r="D88" s="155"/>
      <c r="E88" s="155"/>
      <c r="F88" s="155"/>
      <c r="G88" s="155"/>
      <c r="H88" s="155"/>
      <c r="I88" s="155"/>
      <c r="J88" s="155"/>
      <c r="K88" s="155"/>
      <c r="L88" s="155"/>
      <c r="M88" s="197"/>
      <c r="N88" s="3"/>
      <c r="O88" s="793"/>
      <c r="P88" s="793"/>
      <c r="Q88" s="793"/>
      <c r="R88" s="793"/>
      <c r="S88" s="793"/>
      <c r="T88" s="793"/>
      <c r="U88" s="3"/>
      <c r="V88" s="3"/>
      <c r="W88" s="3"/>
      <c r="X88" s="3"/>
      <c r="Y88" s="3"/>
      <c r="Z88" s="3"/>
      <c r="AA88" s="3"/>
    </row>
    <row r="89" spans="1:27" x14ac:dyDescent="0.2">
      <c r="A89" s="3"/>
      <c r="B89" s="3"/>
      <c r="C89" s="192"/>
      <c r="D89" s="155"/>
      <c r="E89" s="155"/>
      <c r="F89" s="155"/>
      <c r="G89" s="155"/>
      <c r="H89" s="155"/>
      <c r="I89" s="155"/>
      <c r="J89" s="155"/>
      <c r="K89" s="155"/>
      <c r="L89" s="155"/>
      <c r="M89" s="197"/>
      <c r="N89" s="3"/>
      <c r="O89" s="793"/>
      <c r="P89" s="793"/>
      <c r="Q89" s="793"/>
      <c r="R89" s="793"/>
      <c r="S89" s="793"/>
      <c r="T89" s="793"/>
      <c r="U89" s="3"/>
      <c r="V89" s="3"/>
      <c r="W89" s="3"/>
      <c r="X89" s="3"/>
      <c r="Y89" s="3"/>
      <c r="Z89" s="3"/>
      <c r="AA89" s="3"/>
    </row>
    <row r="90" spans="1:27" x14ac:dyDescent="0.2">
      <c r="A90" s="3"/>
      <c r="B90" s="3"/>
      <c r="C90" s="192"/>
      <c r="D90" s="155"/>
      <c r="E90" s="155"/>
      <c r="F90" s="155"/>
      <c r="G90" s="155"/>
      <c r="H90" s="155"/>
      <c r="I90" s="155"/>
      <c r="J90" s="155"/>
      <c r="K90" s="155"/>
      <c r="L90" s="155"/>
      <c r="M90" s="197"/>
      <c r="N90" s="3"/>
      <c r="O90" s="793"/>
      <c r="P90" s="793"/>
      <c r="Q90" s="793"/>
      <c r="R90" s="793"/>
      <c r="S90" s="793"/>
      <c r="T90" s="793"/>
      <c r="U90" s="3"/>
      <c r="V90" s="3"/>
      <c r="W90" s="3"/>
      <c r="X90" s="3"/>
      <c r="Y90" s="3"/>
      <c r="Z90" s="3"/>
      <c r="AA90" s="3"/>
    </row>
    <row r="91" spans="1:27" x14ac:dyDescent="0.2">
      <c r="A91" s="3"/>
      <c r="B91" s="3"/>
      <c r="C91" s="192"/>
      <c r="D91" s="155" t="s">
        <v>443</v>
      </c>
      <c r="E91" s="155"/>
      <c r="F91" s="155"/>
      <c r="G91" s="155"/>
      <c r="H91" s="155"/>
      <c r="I91" s="155"/>
      <c r="J91" s="155"/>
      <c r="K91" s="155"/>
      <c r="L91" s="155"/>
      <c r="M91" s="197"/>
      <c r="N91" s="3"/>
      <c r="O91" s="793"/>
      <c r="P91" s="793"/>
      <c r="Q91" s="793"/>
      <c r="R91" s="793"/>
      <c r="S91" s="793"/>
      <c r="T91" s="793"/>
      <c r="U91" s="3"/>
      <c r="V91" s="3"/>
      <c r="W91" s="3"/>
      <c r="X91" s="3"/>
      <c r="Y91" s="3"/>
      <c r="Z91" s="3"/>
      <c r="AA91" s="3"/>
    </row>
    <row r="92" spans="1:27" x14ac:dyDescent="0.2">
      <c r="A92" s="3"/>
      <c r="B92" s="3"/>
      <c r="C92" s="192"/>
      <c r="D92" s="155"/>
      <c r="E92" s="155"/>
      <c r="F92" s="155"/>
      <c r="G92" s="155"/>
      <c r="H92" s="155"/>
      <c r="I92" s="155"/>
      <c r="J92" s="155"/>
      <c r="K92" s="155"/>
      <c r="L92" s="155"/>
      <c r="M92" s="197"/>
      <c r="N92" s="3"/>
      <c r="O92" s="3"/>
      <c r="P92" s="3"/>
      <c r="Q92" s="3"/>
      <c r="R92" s="3"/>
      <c r="S92" s="3"/>
      <c r="T92" s="3"/>
      <c r="U92" s="3"/>
      <c r="V92" s="3"/>
      <c r="W92" s="3"/>
      <c r="X92" s="3"/>
      <c r="Y92" s="3"/>
      <c r="Z92" s="3"/>
      <c r="AA92" s="3"/>
    </row>
    <row r="93" spans="1:27" x14ac:dyDescent="0.2">
      <c r="A93" s="3"/>
      <c r="B93" s="3"/>
      <c r="C93" s="192"/>
      <c r="D93" s="397" t="s">
        <v>931</v>
      </c>
      <c r="E93" s="155"/>
      <c r="F93" s="155"/>
      <c r="G93" s="155"/>
      <c r="H93" s="155"/>
      <c r="I93" s="155"/>
      <c r="J93" s="155"/>
      <c r="K93" s="155"/>
      <c r="L93" s="155"/>
      <c r="M93" s="197"/>
      <c r="N93" s="3"/>
      <c r="O93" s="3"/>
      <c r="P93" s="3"/>
      <c r="Q93" s="3"/>
      <c r="R93" s="3"/>
      <c r="S93" s="3"/>
      <c r="T93" s="3"/>
      <c r="U93" s="3"/>
      <c r="V93" s="3"/>
      <c r="W93" s="3"/>
      <c r="X93" s="3"/>
      <c r="Y93" s="3"/>
      <c r="Z93" s="3"/>
      <c r="AA93" s="3"/>
    </row>
    <row r="94" spans="1:27" x14ac:dyDescent="0.2">
      <c r="A94" s="3"/>
      <c r="B94" s="3"/>
      <c r="C94" s="192"/>
      <c r="D94" s="155" t="s">
        <v>444</v>
      </c>
      <c r="E94" s="155"/>
      <c r="F94" s="155"/>
      <c r="G94" s="398"/>
      <c r="H94" s="155"/>
      <c r="I94" s="155"/>
      <c r="J94" s="155"/>
      <c r="K94" s="155"/>
      <c r="L94" s="155"/>
      <c r="M94" s="197"/>
      <c r="N94" s="3"/>
      <c r="O94" s="3"/>
      <c r="P94" s="3"/>
      <c r="Q94" s="3"/>
      <c r="R94" s="3"/>
      <c r="S94" s="3"/>
      <c r="T94" s="3"/>
      <c r="U94" s="3"/>
      <c r="V94" s="3"/>
      <c r="W94" s="3"/>
      <c r="X94" s="3"/>
      <c r="Y94" s="3"/>
      <c r="Z94" s="3"/>
      <c r="AA94" s="3"/>
    </row>
    <row r="95" spans="1:27" x14ac:dyDescent="0.2">
      <c r="A95" s="3"/>
      <c r="B95" s="3"/>
      <c r="C95" s="192"/>
      <c r="D95" s="399" t="s">
        <v>450</v>
      </c>
      <c r="E95" s="155"/>
      <c r="F95" s="155"/>
      <c r="G95" s="155"/>
      <c r="H95" s="155"/>
      <c r="I95" s="155"/>
      <c r="J95" s="155"/>
      <c r="K95" s="155"/>
      <c r="L95" s="155"/>
      <c r="M95" s="197"/>
      <c r="N95" s="3"/>
      <c r="O95" s="3"/>
      <c r="P95" s="3"/>
      <c r="Q95" s="3"/>
      <c r="R95" s="3"/>
      <c r="S95" s="3"/>
      <c r="T95" s="3"/>
      <c r="U95" s="3"/>
      <c r="V95" s="3"/>
      <c r="W95" s="3"/>
      <c r="X95" s="3"/>
      <c r="Y95" s="3"/>
      <c r="Z95" s="3"/>
      <c r="AA95" s="3"/>
    </row>
    <row r="96" spans="1:27" x14ac:dyDescent="0.2">
      <c r="A96" s="3"/>
      <c r="B96" s="3"/>
      <c r="C96" s="192"/>
      <c r="D96" s="399" t="s">
        <v>451</v>
      </c>
      <c r="E96" s="155"/>
      <c r="F96" s="155"/>
      <c r="G96" s="155"/>
      <c r="H96" s="155"/>
      <c r="I96" s="155"/>
      <c r="J96" s="155"/>
      <c r="K96" s="155"/>
      <c r="L96" s="155"/>
      <c r="M96" s="197"/>
      <c r="N96" s="3"/>
      <c r="O96" s="3"/>
      <c r="P96" s="3"/>
      <c r="Q96" s="3"/>
      <c r="R96" s="3"/>
      <c r="S96" s="3"/>
      <c r="T96" s="3"/>
      <c r="U96" s="3"/>
      <c r="V96" s="3"/>
      <c r="W96" s="3"/>
      <c r="X96" s="3"/>
      <c r="Y96" s="3"/>
      <c r="Z96" s="3"/>
      <c r="AA96" s="3"/>
    </row>
    <row r="97" spans="1:27" x14ac:dyDescent="0.2">
      <c r="A97" s="3"/>
      <c r="B97" s="3"/>
      <c r="C97" s="192"/>
      <c r="D97" s="399" t="s">
        <v>452</v>
      </c>
      <c r="E97" s="155"/>
      <c r="F97" s="155"/>
      <c r="G97" s="155"/>
      <c r="H97" s="155"/>
      <c r="I97" s="155"/>
      <c r="J97" s="155"/>
      <c r="K97" s="155"/>
      <c r="L97" s="155"/>
      <c r="M97" s="197"/>
      <c r="N97" s="3"/>
      <c r="O97" s="3"/>
      <c r="P97" s="3"/>
      <c r="Q97" s="3"/>
      <c r="R97" s="3"/>
      <c r="S97" s="3"/>
      <c r="T97" s="3"/>
      <c r="U97" s="3"/>
      <c r="V97" s="3"/>
      <c r="W97" s="3"/>
      <c r="X97" s="3"/>
      <c r="Y97" s="3"/>
      <c r="Z97" s="3"/>
      <c r="AA97" s="3"/>
    </row>
    <row r="98" spans="1:27" x14ac:dyDescent="0.2">
      <c r="A98" s="3"/>
      <c r="B98" s="3"/>
      <c r="C98" s="192"/>
      <c r="D98" s="399" t="s">
        <v>932</v>
      </c>
      <c r="E98" s="155"/>
      <c r="F98" s="155"/>
      <c r="G98" s="155"/>
      <c r="H98" s="155"/>
      <c r="I98" s="155"/>
      <c r="J98" s="155"/>
      <c r="K98" s="155"/>
      <c r="L98" s="155"/>
      <c r="M98" s="197"/>
      <c r="N98" s="3"/>
      <c r="O98" s="3"/>
      <c r="P98" s="3"/>
      <c r="Q98" s="3"/>
      <c r="R98" s="3"/>
      <c r="S98" s="3"/>
      <c r="T98" s="3"/>
      <c r="U98" s="3"/>
      <c r="V98" s="3"/>
      <c r="W98" s="3"/>
      <c r="X98" s="3"/>
      <c r="Y98" s="3"/>
      <c r="Z98" s="3"/>
      <c r="AA98" s="3"/>
    </row>
    <row r="99" spans="1:27" x14ac:dyDescent="0.2">
      <c r="A99" s="3"/>
      <c r="B99" s="3"/>
      <c r="C99" s="192"/>
      <c r="D99" s="399" t="s">
        <v>468</v>
      </c>
      <c r="E99" s="155"/>
      <c r="F99" s="155"/>
      <c r="G99" s="155"/>
      <c r="H99" s="155"/>
      <c r="I99" s="258" t="s">
        <v>370</v>
      </c>
      <c r="J99" s="155" t="s">
        <v>37</v>
      </c>
      <c r="K99" s="155"/>
      <c r="L99" s="155"/>
      <c r="M99" s="197"/>
      <c r="N99" s="3"/>
      <c r="O99" s="3"/>
      <c r="P99" s="3"/>
      <c r="Q99" s="3"/>
      <c r="R99" s="3"/>
      <c r="S99" s="3"/>
      <c r="T99" s="3"/>
      <c r="U99" s="3"/>
      <c r="V99" s="3"/>
      <c r="W99" s="3"/>
      <c r="X99" s="3"/>
      <c r="Y99" s="3"/>
      <c r="Z99" s="3"/>
      <c r="AA99" s="3"/>
    </row>
    <row r="100" spans="1:27" x14ac:dyDescent="0.2">
      <c r="A100" s="3"/>
      <c r="B100" s="3"/>
      <c r="C100" s="192"/>
      <c r="D100" s="400" t="s">
        <v>453</v>
      </c>
      <c r="E100" s="155"/>
      <c r="F100" s="155"/>
      <c r="G100" s="155"/>
      <c r="H100" s="155"/>
      <c r="I100" s="155"/>
      <c r="J100" s="155"/>
      <c r="K100" s="155"/>
      <c r="L100" s="155"/>
      <c r="M100" s="197"/>
      <c r="N100" s="3"/>
      <c r="O100" s="3"/>
      <c r="P100" s="3"/>
      <c r="Q100" s="3"/>
      <c r="R100" s="3"/>
      <c r="S100" s="3"/>
      <c r="T100" s="3"/>
      <c r="U100" s="3"/>
      <c r="V100" s="3"/>
      <c r="W100" s="3"/>
      <c r="X100" s="3"/>
      <c r="Y100" s="3"/>
      <c r="Z100" s="3"/>
      <c r="AA100" s="3"/>
    </row>
    <row r="101" spans="1:27" x14ac:dyDescent="0.2">
      <c r="A101" s="3"/>
      <c r="B101" s="3"/>
      <c r="C101" s="192"/>
      <c r="D101" s="155" t="s">
        <v>444</v>
      </c>
      <c r="E101" s="155"/>
      <c r="F101" s="155"/>
      <c r="G101" s="155"/>
      <c r="H101" s="155"/>
      <c r="I101" s="155"/>
      <c r="J101" s="155"/>
      <c r="K101" s="155"/>
      <c r="L101" s="155"/>
      <c r="M101" s="197"/>
      <c r="N101" s="3"/>
      <c r="O101" s="3"/>
      <c r="P101" s="3"/>
      <c r="Q101" s="3"/>
      <c r="R101" s="3"/>
      <c r="S101" s="3"/>
      <c r="T101" s="3"/>
      <c r="U101" s="3"/>
      <c r="V101" s="3"/>
      <c r="W101" s="3"/>
      <c r="X101" s="3"/>
      <c r="Y101" s="3"/>
      <c r="Z101" s="3"/>
      <c r="AA101" s="3"/>
    </row>
    <row r="102" spans="1:27" x14ac:dyDescent="0.2">
      <c r="A102" s="3"/>
      <c r="B102" s="3"/>
      <c r="C102" s="192"/>
      <c r="D102" s="155"/>
      <c r="E102" s="155" t="s">
        <v>463</v>
      </c>
      <c r="F102" s="155"/>
      <c r="G102" s="155"/>
      <c r="H102" s="155"/>
      <c r="I102" s="155"/>
      <c r="J102" s="155"/>
      <c r="K102" s="155"/>
      <c r="L102" s="155"/>
      <c r="M102" s="197"/>
      <c r="N102" s="3"/>
      <c r="O102" s="3"/>
      <c r="P102" s="3"/>
      <c r="Q102" s="3"/>
      <c r="R102" s="3"/>
      <c r="S102" s="3"/>
      <c r="T102" s="3"/>
      <c r="U102" s="3"/>
      <c r="V102" s="3"/>
      <c r="W102" s="3"/>
      <c r="X102" s="3"/>
      <c r="Y102" s="3"/>
      <c r="Z102" s="3"/>
      <c r="AA102" s="3"/>
    </row>
    <row r="103" spans="1:27" x14ac:dyDescent="0.2">
      <c r="A103" s="3"/>
      <c r="B103" s="3"/>
      <c r="C103" s="192"/>
      <c r="D103" s="155"/>
      <c r="E103" s="155" t="s">
        <v>464</v>
      </c>
      <c r="F103" s="155"/>
      <c r="G103" s="155"/>
      <c r="H103" s="155"/>
      <c r="I103" s="155"/>
      <c r="J103" s="155"/>
      <c r="K103" s="155"/>
      <c r="L103" s="155"/>
      <c r="M103" s="197"/>
      <c r="N103" s="3"/>
      <c r="O103" s="3"/>
      <c r="P103" s="3"/>
      <c r="Q103" s="3"/>
      <c r="R103" s="3"/>
      <c r="S103" s="3"/>
      <c r="T103" s="3"/>
      <c r="U103" s="3"/>
      <c r="V103" s="3"/>
      <c r="W103" s="3"/>
      <c r="X103" s="3"/>
      <c r="Y103" s="3"/>
      <c r="Z103" s="3"/>
      <c r="AA103" s="3"/>
    </row>
    <row r="104" spans="1:27" x14ac:dyDescent="0.2">
      <c r="A104" s="3"/>
      <c r="B104" s="3"/>
      <c r="C104" s="192"/>
      <c r="D104" s="155"/>
      <c r="E104" s="349" t="s">
        <v>465</v>
      </c>
      <c r="F104" s="155"/>
      <c r="G104" s="155"/>
      <c r="H104" s="155"/>
      <c r="I104" s="155"/>
      <c r="J104" s="155"/>
      <c r="K104" s="155"/>
      <c r="L104" s="155"/>
      <c r="M104" s="197"/>
      <c r="N104" s="3"/>
      <c r="O104" s="3"/>
      <c r="P104" s="3"/>
      <c r="Q104" s="3"/>
      <c r="R104" s="3"/>
      <c r="S104" s="3"/>
      <c r="T104" s="3"/>
      <c r="U104" s="3"/>
      <c r="V104" s="3"/>
      <c r="W104" s="3"/>
      <c r="X104" s="3"/>
      <c r="Y104" s="3"/>
      <c r="Z104" s="3"/>
      <c r="AA104" s="3"/>
    </row>
    <row r="105" spans="1:27" x14ac:dyDescent="0.2">
      <c r="A105" s="3"/>
      <c r="B105" s="3"/>
      <c r="C105" s="192"/>
      <c r="D105" s="155"/>
      <c r="E105" s="155"/>
      <c r="F105" s="155"/>
      <c r="G105" s="155"/>
      <c r="H105" s="155"/>
      <c r="I105" s="155"/>
      <c r="J105" s="155"/>
      <c r="K105" s="155"/>
      <c r="L105" s="155"/>
      <c r="M105" s="197"/>
      <c r="N105" s="3"/>
      <c r="O105" s="3"/>
      <c r="P105" s="3"/>
      <c r="Q105" s="3"/>
      <c r="R105" s="3"/>
      <c r="S105" s="3"/>
      <c r="T105" s="3"/>
      <c r="U105" s="3"/>
      <c r="V105" s="3"/>
      <c r="W105" s="3"/>
      <c r="X105" s="3"/>
      <c r="Y105" s="3"/>
      <c r="Z105" s="3"/>
      <c r="AA105" s="3"/>
    </row>
    <row r="106" spans="1:27" x14ac:dyDescent="0.2">
      <c r="A106" s="3"/>
      <c r="B106" s="3"/>
      <c r="C106" s="192"/>
      <c r="D106" s="155"/>
      <c r="E106" s="155"/>
      <c r="F106" s="155"/>
      <c r="G106" s="155"/>
      <c r="H106" s="155"/>
      <c r="I106" s="155"/>
      <c r="J106" s="155"/>
      <c r="K106" s="155"/>
      <c r="L106" s="155"/>
      <c r="M106" s="197"/>
      <c r="N106" s="3"/>
      <c r="O106" s="3"/>
      <c r="P106" s="3"/>
      <c r="Q106" s="3"/>
      <c r="R106" s="3"/>
      <c r="S106" s="3"/>
      <c r="T106" s="3"/>
      <c r="U106" s="3"/>
      <c r="V106" s="3"/>
      <c r="W106" s="3"/>
      <c r="X106" s="3"/>
      <c r="Y106" s="3"/>
      <c r="Z106" s="3"/>
      <c r="AA106" s="3"/>
    </row>
    <row r="107" spans="1:27" x14ac:dyDescent="0.2">
      <c r="A107" s="3"/>
      <c r="B107" s="3"/>
      <c r="C107" s="192"/>
      <c r="D107" s="155" t="s">
        <v>469</v>
      </c>
      <c r="E107" s="155"/>
      <c r="F107" s="155"/>
      <c r="G107" s="155"/>
      <c r="H107" s="258" t="s">
        <v>370</v>
      </c>
      <c r="I107" s="155"/>
      <c r="J107" s="155"/>
      <c r="K107" s="155"/>
      <c r="L107" s="155"/>
      <c r="M107" s="197"/>
      <c r="N107" s="3"/>
      <c r="O107" s="3"/>
      <c r="P107" s="3"/>
      <c r="Q107" s="3"/>
      <c r="R107" s="3"/>
      <c r="S107" s="3"/>
      <c r="T107" s="3"/>
      <c r="U107" s="3"/>
      <c r="V107" s="3"/>
      <c r="W107" s="3"/>
      <c r="X107" s="3"/>
      <c r="Y107" s="3"/>
      <c r="Z107" s="3"/>
      <c r="AA107" s="3"/>
    </row>
    <row r="108" spans="1:27" x14ac:dyDescent="0.2">
      <c r="A108" s="3"/>
      <c r="B108" s="3"/>
      <c r="C108" s="192"/>
      <c r="D108" s="155"/>
      <c r="E108" s="155"/>
      <c r="F108" s="155"/>
      <c r="G108" s="155"/>
      <c r="H108" s="155"/>
      <c r="I108" s="155"/>
      <c r="J108" s="155"/>
      <c r="K108" s="155"/>
      <c r="L108" s="155"/>
      <c r="M108" s="197"/>
      <c r="N108" s="3"/>
      <c r="O108" s="3"/>
      <c r="P108" s="3"/>
      <c r="Q108" s="3"/>
      <c r="R108" s="3"/>
      <c r="S108" s="3"/>
      <c r="T108" s="3"/>
      <c r="U108" s="3"/>
      <c r="V108" s="3"/>
      <c r="W108" s="3"/>
      <c r="X108" s="3"/>
      <c r="Y108" s="3"/>
      <c r="Z108" s="3"/>
      <c r="AA108" s="3"/>
    </row>
    <row r="109" spans="1:27" x14ac:dyDescent="0.2">
      <c r="A109" s="3"/>
      <c r="B109" s="3"/>
      <c r="C109" s="192"/>
      <c r="D109" s="156" t="s">
        <v>37</v>
      </c>
      <c r="E109" s="155" t="s">
        <v>430</v>
      </c>
      <c r="F109" s="155"/>
      <c r="G109" s="155"/>
      <c r="H109" s="155"/>
      <c r="I109" s="155"/>
      <c r="J109" s="374">
        <v>0</v>
      </c>
      <c r="K109" s="155" t="s">
        <v>76</v>
      </c>
      <c r="L109" s="155"/>
      <c r="M109" s="197"/>
      <c r="N109" s="3"/>
      <c r="O109" s="3"/>
      <c r="P109" s="3"/>
      <c r="Q109" s="3"/>
      <c r="R109" s="3"/>
      <c r="S109" s="3"/>
      <c r="T109" s="3"/>
      <c r="U109" s="3"/>
      <c r="V109" s="3"/>
      <c r="W109" s="3"/>
      <c r="X109" s="3"/>
      <c r="Y109" s="3"/>
      <c r="Z109" s="3"/>
      <c r="AA109" s="3"/>
    </row>
    <row r="110" spans="1:27" x14ac:dyDescent="0.2">
      <c r="A110" s="3"/>
      <c r="B110" s="3"/>
      <c r="C110" s="192"/>
      <c r="D110" s="155"/>
      <c r="E110" s="155" t="s">
        <v>431</v>
      </c>
      <c r="F110" s="155"/>
      <c r="G110" s="155"/>
      <c r="H110" s="155"/>
      <c r="I110" s="155"/>
      <c r="J110" s="374">
        <v>0</v>
      </c>
      <c r="K110" s="155" t="s">
        <v>76</v>
      </c>
      <c r="L110" s="155"/>
      <c r="M110" s="197"/>
      <c r="N110" s="3"/>
      <c r="O110" s="3"/>
      <c r="P110" s="3"/>
      <c r="Q110" s="3"/>
      <c r="R110" s="3"/>
      <c r="S110" s="3"/>
      <c r="T110" s="3"/>
      <c r="U110" s="3"/>
      <c r="V110" s="3"/>
      <c r="W110" s="3"/>
      <c r="X110" s="3"/>
      <c r="Y110" s="3"/>
      <c r="Z110" s="3"/>
      <c r="AA110" s="3"/>
    </row>
    <row r="111" spans="1:27" x14ac:dyDescent="0.2">
      <c r="A111" s="3"/>
      <c r="B111" s="3"/>
      <c r="C111" s="192"/>
      <c r="D111" s="155"/>
      <c r="E111" s="155" t="s">
        <v>432</v>
      </c>
      <c r="F111" s="155"/>
      <c r="G111" s="155"/>
      <c r="H111" s="155"/>
      <c r="I111" s="155"/>
      <c r="J111" s="374">
        <v>0</v>
      </c>
      <c r="K111" s="155" t="s">
        <v>76</v>
      </c>
      <c r="L111" s="155"/>
      <c r="M111" s="197"/>
      <c r="N111" s="3"/>
      <c r="O111" s="3"/>
      <c r="P111" s="3"/>
      <c r="Q111" s="3"/>
      <c r="R111" s="3"/>
      <c r="S111" s="3"/>
      <c r="T111" s="3"/>
      <c r="U111" s="3"/>
      <c r="V111" s="3"/>
      <c r="W111" s="3"/>
      <c r="X111" s="3"/>
      <c r="Y111" s="3"/>
      <c r="Z111" s="3"/>
      <c r="AA111" s="3"/>
    </row>
    <row r="112" spans="1:27" x14ac:dyDescent="0.2">
      <c r="A112" s="3"/>
      <c r="B112" s="3"/>
      <c r="C112" s="192"/>
      <c r="D112" s="155"/>
      <c r="E112" s="155"/>
      <c r="F112" s="155"/>
      <c r="G112" s="155"/>
      <c r="H112" s="155"/>
      <c r="I112" s="155"/>
      <c r="J112" s="354"/>
      <c r="K112" s="155"/>
      <c r="L112" s="155"/>
      <c r="M112" s="197"/>
      <c r="N112" s="3"/>
      <c r="O112" s="3"/>
      <c r="P112" s="3"/>
      <c r="Q112" s="3"/>
      <c r="R112" s="3"/>
      <c r="S112" s="3"/>
      <c r="T112" s="3"/>
      <c r="U112" s="3"/>
      <c r="V112" s="3"/>
      <c r="W112" s="3"/>
      <c r="X112" s="3"/>
      <c r="Y112" s="3"/>
      <c r="Z112" s="3"/>
      <c r="AA112" s="3"/>
    </row>
    <row r="113" spans="1:27" x14ac:dyDescent="0.2">
      <c r="A113" s="3"/>
      <c r="B113" s="3"/>
      <c r="C113" s="192"/>
      <c r="D113" s="155"/>
      <c r="E113" s="155" t="s">
        <v>412</v>
      </c>
      <c r="F113" s="155"/>
      <c r="G113" s="155"/>
      <c r="H113" s="155"/>
      <c r="I113" s="155"/>
      <c r="J113" s="308" t="s">
        <v>915</v>
      </c>
      <c r="K113" s="309"/>
      <c r="L113" s="155"/>
      <c r="M113" s="197"/>
      <c r="N113" s="3"/>
      <c r="O113" s="3"/>
      <c r="P113" s="3"/>
      <c r="Q113" s="3"/>
      <c r="R113" s="3"/>
      <c r="S113" s="3"/>
      <c r="T113" s="3"/>
      <c r="U113" s="3"/>
      <c r="V113" s="3"/>
      <c r="W113" s="3"/>
      <c r="X113" s="3"/>
      <c r="Y113" s="3"/>
      <c r="Z113" s="3"/>
      <c r="AA113" s="3"/>
    </row>
    <row r="114" spans="1:27" x14ac:dyDescent="0.2">
      <c r="A114" s="3"/>
      <c r="B114" s="3"/>
      <c r="C114" s="192"/>
      <c r="D114" s="155"/>
      <c r="E114" s="155" t="s">
        <v>418</v>
      </c>
      <c r="F114" s="155"/>
      <c r="G114" s="155"/>
      <c r="H114" s="770">
        <v>9.1999999999999998E-2</v>
      </c>
      <c r="I114" s="155" t="s">
        <v>919</v>
      </c>
      <c r="J114" s="766">
        <f>'Orbit &amp; Frequency'!N37</f>
        <v>437.45</v>
      </c>
      <c r="K114" s="155" t="s">
        <v>75</v>
      </c>
      <c r="L114" s="155"/>
      <c r="M114" s="197"/>
      <c r="N114" s="3"/>
      <c r="O114" s="3"/>
      <c r="P114" s="3"/>
      <c r="Q114" s="3"/>
      <c r="R114" s="3"/>
      <c r="S114" s="3"/>
      <c r="T114" s="3"/>
      <c r="U114" s="3"/>
      <c r="V114" s="3"/>
      <c r="W114" s="3"/>
      <c r="X114" s="3"/>
      <c r="Y114" s="3"/>
      <c r="Z114" s="3"/>
      <c r="AA114" s="3"/>
    </row>
    <row r="115" spans="1:27" x14ac:dyDescent="0.2">
      <c r="A115" s="3"/>
      <c r="B115" s="3"/>
      <c r="C115" s="192"/>
      <c r="D115" s="155"/>
      <c r="E115" s="155"/>
      <c r="F115" s="155"/>
      <c r="G115" s="155"/>
      <c r="H115" s="155"/>
      <c r="I115" s="155"/>
      <c r="J115" s="155"/>
      <c r="K115" s="155"/>
      <c r="L115" s="155"/>
      <c r="M115" s="197"/>
      <c r="N115" s="3"/>
      <c r="O115" s="3"/>
      <c r="P115" s="3"/>
      <c r="Q115" s="3"/>
      <c r="R115" s="3"/>
      <c r="S115" s="3"/>
      <c r="T115" s="3"/>
      <c r="U115" s="3"/>
      <c r="V115" s="3"/>
      <c r="W115" s="3"/>
      <c r="X115" s="3"/>
      <c r="Y115" s="3"/>
      <c r="Z115" s="3"/>
      <c r="AA115" s="3"/>
    </row>
    <row r="116" spans="1:27" x14ac:dyDescent="0.2">
      <c r="A116" s="3"/>
      <c r="B116" s="3"/>
      <c r="C116" s="192"/>
      <c r="D116" s="155"/>
      <c r="E116" s="155" t="s">
        <v>474</v>
      </c>
      <c r="F116" s="155"/>
      <c r="G116" s="155"/>
      <c r="H116" s="155"/>
      <c r="I116" s="155" t="s">
        <v>471</v>
      </c>
      <c r="J116" s="155">
        <f>J109*H114</f>
        <v>0</v>
      </c>
      <c r="K116" s="155" t="s">
        <v>78</v>
      </c>
      <c r="L116" s="155"/>
      <c r="M116" s="197"/>
      <c r="N116" s="3"/>
      <c r="O116" s="3"/>
      <c r="P116" s="3"/>
      <c r="Q116" s="3"/>
      <c r="R116" s="3"/>
      <c r="S116" s="3"/>
      <c r="T116" s="3"/>
      <c r="U116" s="3"/>
      <c r="V116" s="3"/>
      <c r="W116" s="3"/>
      <c r="X116" s="3"/>
      <c r="Y116" s="3"/>
      <c r="Z116" s="3"/>
      <c r="AA116" s="3"/>
    </row>
    <row r="117" spans="1:27" x14ac:dyDescent="0.2">
      <c r="A117" s="3"/>
      <c r="B117" s="3"/>
      <c r="C117" s="192"/>
      <c r="D117" s="155"/>
      <c r="E117" s="155" t="s">
        <v>475</v>
      </c>
      <c r="F117" s="155"/>
      <c r="G117" s="155"/>
      <c r="H117" s="155"/>
      <c r="I117" s="155" t="s">
        <v>472</v>
      </c>
      <c r="J117" s="155">
        <f>J110*H114</f>
        <v>0</v>
      </c>
      <c r="K117" s="155" t="s">
        <v>78</v>
      </c>
      <c r="L117" s="155"/>
      <c r="M117" s="197"/>
      <c r="N117" s="3"/>
      <c r="O117" s="3"/>
      <c r="P117" s="3"/>
      <c r="Q117" s="3"/>
      <c r="R117" s="3"/>
      <c r="S117" s="3"/>
      <c r="T117" s="3"/>
      <c r="U117" s="3"/>
      <c r="V117" s="3"/>
      <c r="W117" s="3"/>
      <c r="X117" s="3"/>
      <c r="Y117" s="3"/>
      <c r="Z117" s="3"/>
      <c r="AA117" s="3"/>
    </row>
    <row r="118" spans="1:27" x14ac:dyDescent="0.2">
      <c r="A118" s="3"/>
      <c r="B118" s="3"/>
      <c r="C118" s="192"/>
      <c r="D118" s="155"/>
      <c r="E118" s="155" t="s">
        <v>476</v>
      </c>
      <c r="F118" s="155"/>
      <c r="G118" s="155"/>
      <c r="H118" s="155"/>
      <c r="I118" s="155" t="s">
        <v>473</v>
      </c>
      <c r="J118" s="155">
        <f>J111*H114</f>
        <v>0</v>
      </c>
      <c r="K118" s="155" t="s">
        <v>78</v>
      </c>
      <c r="L118" s="155"/>
      <c r="M118" s="197"/>
      <c r="N118" s="3"/>
      <c r="O118" s="3"/>
      <c r="P118" s="3"/>
      <c r="Q118" s="3"/>
      <c r="R118" s="3"/>
      <c r="S118" s="3"/>
      <c r="T118" s="3"/>
      <c r="U118" s="3"/>
      <c r="V118" s="3"/>
      <c r="W118" s="3"/>
      <c r="X118" s="3"/>
      <c r="Y118" s="3"/>
      <c r="Z118" s="3"/>
      <c r="AA118" s="3"/>
    </row>
    <row r="119" spans="1:27" x14ac:dyDescent="0.2">
      <c r="A119" s="3"/>
      <c r="B119" s="3"/>
      <c r="C119" s="192"/>
      <c r="D119" s="155"/>
      <c r="E119" s="155" t="s">
        <v>477</v>
      </c>
      <c r="F119" s="155"/>
      <c r="G119" s="155"/>
      <c r="H119" s="155"/>
      <c r="I119" s="155" t="s">
        <v>478</v>
      </c>
      <c r="J119" s="375">
        <v>0</v>
      </c>
      <c r="K119" s="155" t="s">
        <v>78</v>
      </c>
      <c r="L119" s="155"/>
      <c r="M119" s="197"/>
      <c r="N119" s="3"/>
      <c r="O119" s="3"/>
      <c r="P119" s="3"/>
      <c r="Q119" s="3"/>
      <c r="R119" s="3"/>
      <c r="S119" s="3"/>
      <c r="T119" s="3"/>
      <c r="U119" s="3"/>
      <c r="V119" s="3"/>
      <c r="W119" s="3"/>
      <c r="X119" s="3"/>
      <c r="Y119" s="3"/>
      <c r="Z119" s="3"/>
      <c r="AA119" s="3"/>
    </row>
    <row r="120" spans="1:27" x14ac:dyDescent="0.2">
      <c r="A120" s="3"/>
      <c r="B120" s="3"/>
      <c r="C120" s="192"/>
      <c r="D120" s="155"/>
      <c r="E120" s="155" t="s">
        <v>479</v>
      </c>
      <c r="F120" s="155"/>
      <c r="G120" s="155"/>
      <c r="H120" s="155"/>
      <c r="I120" s="155" t="s">
        <v>480</v>
      </c>
      <c r="J120" s="375">
        <v>0</v>
      </c>
      <c r="K120" s="155" t="s">
        <v>78</v>
      </c>
      <c r="L120" s="155"/>
      <c r="M120" s="197"/>
      <c r="N120" s="3"/>
      <c r="O120" s="390" t="s">
        <v>8</v>
      </c>
      <c r="P120" s="406"/>
      <c r="Q120" s="315"/>
      <c r="R120" s="315"/>
      <c r="S120" s="315"/>
      <c r="T120" s="315"/>
      <c r="U120" s="315"/>
      <c r="V120" s="316"/>
      <c r="W120" s="3"/>
      <c r="X120" s="3"/>
      <c r="Y120" s="3"/>
      <c r="Z120" s="3"/>
      <c r="AA120" s="3"/>
    </row>
    <row r="121" spans="1:27" x14ac:dyDescent="0.2">
      <c r="A121" s="3"/>
      <c r="B121" s="3"/>
      <c r="C121" s="192"/>
      <c r="D121" s="155"/>
      <c r="E121" s="155" t="s">
        <v>507</v>
      </c>
      <c r="F121" s="155"/>
      <c r="G121" s="155"/>
      <c r="H121" s="286">
        <v>6</v>
      </c>
      <c r="I121" s="155" t="s">
        <v>510</v>
      </c>
      <c r="J121" s="404">
        <f>H121*0.05</f>
        <v>0.30000000000000004</v>
      </c>
      <c r="K121" s="155" t="s">
        <v>78</v>
      </c>
      <c r="L121" s="155"/>
      <c r="M121" s="197"/>
      <c r="N121" s="3"/>
      <c r="O121" s="317"/>
      <c r="P121" s="319"/>
      <c r="Q121" s="319"/>
      <c r="R121" s="319"/>
      <c r="S121" s="319"/>
      <c r="T121" s="319"/>
      <c r="U121" s="319"/>
      <c r="V121" s="391"/>
      <c r="W121" s="3"/>
      <c r="X121" s="3"/>
      <c r="Y121" s="3"/>
      <c r="Z121" s="3"/>
      <c r="AA121" s="3"/>
    </row>
    <row r="122" spans="1:27" x14ac:dyDescent="0.2">
      <c r="A122" s="3"/>
      <c r="B122" s="3"/>
      <c r="C122" s="192"/>
      <c r="D122" s="155"/>
      <c r="E122" s="155" t="s">
        <v>753</v>
      </c>
      <c r="F122" s="155"/>
      <c r="G122" s="155"/>
      <c r="H122" s="155"/>
      <c r="I122" s="155"/>
      <c r="J122" s="561" t="s">
        <v>752</v>
      </c>
      <c r="K122" s="405"/>
      <c r="L122" s="155"/>
      <c r="M122" s="197"/>
      <c r="N122" s="3"/>
      <c r="O122" s="317"/>
      <c r="P122" s="319" t="s">
        <v>515</v>
      </c>
      <c r="Q122" s="319"/>
      <c r="R122" s="319"/>
      <c r="S122" s="319"/>
      <c r="T122" s="319"/>
      <c r="U122" s="319"/>
      <c r="V122" s="391"/>
      <c r="W122" s="3"/>
      <c r="X122" s="3"/>
      <c r="Y122" s="3"/>
      <c r="Z122" s="3"/>
      <c r="AA122" s="3"/>
    </row>
    <row r="123" spans="1:27" x14ac:dyDescent="0.2">
      <c r="A123" s="3"/>
      <c r="B123" s="3"/>
      <c r="C123" s="192"/>
      <c r="D123" s="155"/>
      <c r="E123" s="155"/>
      <c r="F123" s="155"/>
      <c r="G123" s="155"/>
      <c r="H123" s="155"/>
      <c r="I123" s="155"/>
      <c r="J123" s="155"/>
      <c r="K123" s="155"/>
      <c r="L123" s="155"/>
      <c r="M123" s="197"/>
      <c r="N123" s="3"/>
      <c r="O123" s="317"/>
      <c r="P123" s="319"/>
      <c r="Q123" s="319"/>
      <c r="R123" s="319"/>
      <c r="S123" s="319"/>
      <c r="T123" s="319"/>
      <c r="U123" s="319"/>
      <c r="V123" s="391"/>
      <c r="W123" s="3"/>
      <c r="X123" s="3"/>
      <c r="Y123" s="3"/>
      <c r="Z123" s="3"/>
      <c r="AA123" s="3"/>
    </row>
    <row r="124" spans="1:27" x14ac:dyDescent="0.2">
      <c r="A124" s="3"/>
      <c r="B124" s="3"/>
      <c r="C124" s="192"/>
      <c r="D124" s="155"/>
      <c r="E124" s="155" t="s">
        <v>481</v>
      </c>
      <c r="F124" s="155"/>
      <c r="G124" s="155"/>
      <c r="H124" s="155"/>
      <c r="I124" s="155"/>
      <c r="J124" s="370">
        <f>SUM(J116:J121)</f>
        <v>0.30000000000000004</v>
      </c>
      <c r="K124" s="155" t="s">
        <v>78</v>
      </c>
      <c r="L124" s="155"/>
      <c r="M124" s="197"/>
      <c r="N124" s="3"/>
      <c r="O124" s="317"/>
      <c r="P124" s="319"/>
      <c r="Q124" s="319" t="s">
        <v>512</v>
      </c>
      <c r="R124" s="319"/>
      <c r="S124" s="319"/>
      <c r="T124" s="308">
        <v>437.5</v>
      </c>
      <c r="U124" s="46" t="s">
        <v>75</v>
      </c>
      <c r="V124" s="391"/>
      <c r="W124" s="3"/>
      <c r="X124" s="3"/>
      <c r="Y124" s="3"/>
      <c r="Z124" s="3"/>
      <c r="AA124" s="3"/>
    </row>
    <row r="125" spans="1:27" x14ac:dyDescent="0.2">
      <c r="A125" s="3"/>
      <c r="B125" s="3"/>
      <c r="C125" s="192"/>
      <c r="D125" s="155"/>
      <c r="E125" s="155"/>
      <c r="F125" s="155"/>
      <c r="G125" s="155"/>
      <c r="H125" s="155"/>
      <c r="I125" s="155"/>
      <c r="J125" s="155"/>
      <c r="K125" s="155"/>
      <c r="L125" s="155"/>
      <c r="M125" s="197"/>
      <c r="N125" s="3"/>
      <c r="O125" s="317"/>
      <c r="P125" s="319"/>
      <c r="Q125" s="319"/>
      <c r="R125" s="319"/>
      <c r="S125" s="319"/>
      <c r="T125" s="319"/>
      <c r="U125" s="319"/>
      <c r="V125" s="391"/>
      <c r="W125" s="3"/>
      <c r="X125" s="3"/>
      <c r="Y125" s="3"/>
      <c r="Z125" s="3"/>
      <c r="AA125" s="3"/>
    </row>
    <row r="126" spans="1:27" x14ac:dyDescent="0.2">
      <c r="A126" s="3"/>
      <c r="B126" s="3"/>
      <c r="C126" s="192"/>
      <c r="D126" s="155" t="s">
        <v>482</v>
      </c>
      <c r="E126" s="155"/>
      <c r="F126" s="155"/>
      <c r="G126" s="155"/>
      <c r="H126" s="155"/>
      <c r="I126" s="401" t="s">
        <v>483</v>
      </c>
      <c r="J126" s="377">
        <f>10^-(J124/10)</f>
        <v>0.93325430079699101</v>
      </c>
      <c r="K126" s="155"/>
      <c r="L126" s="155"/>
      <c r="M126" s="197"/>
      <c r="N126" s="3"/>
      <c r="O126" s="317"/>
      <c r="P126" s="319"/>
      <c r="Q126" s="319" t="s">
        <v>513</v>
      </c>
      <c r="R126" s="319"/>
      <c r="S126" s="319"/>
      <c r="T126" s="409">
        <f>80*((T124/1000)/0.25)^-2.75+2.7</f>
        <v>19.868618607887718</v>
      </c>
      <c r="U126" s="408" t="s">
        <v>106</v>
      </c>
      <c r="V126" s="391"/>
      <c r="W126" s="3"/>
      <c r="X126" s="3"/>
      <c r="Y126" s="3"/>
      <c r="Z126" s="3"/>
      <c r="AA126" s="3"/>
    </row>
    <row r="127" spans="1:27" x14ac:dyDescent="0.2">
      <c r="A127" s="3"/>
      <c r="B127" s="3"/>
      <c r="C127" s="192"/>
      <c r="D127" s="155"/>
      <c r="E127" s="155"/>
      <c r="F127" s="155"/>
      <c r="G127" s="155"/>
      <c r="H127" s="155"/>
      <c r="I127" s="155"/>
      <c r="J127" s="155"/>
      <c r="K127" s="155"/>
      <c r="L127" s="155"/>
      <c r="M127" s="197"/>
      <c r="N127" s="3"/>
      <c r="O127" s="317"/>
      <c r="P127" s="319"/>
      <c r="Q127" s="319"/>
      <c r="R127" s="319"/>
      <c r="S127" s="319"/>
      <c r="T127" s="319"/>
      <c r="U127" s="392"/>
      <c r="V127" s="391"/>
      <c r="W127" s="3"/>
      <c r="X127" s="3"/>
      <c r="Y127" s="3"/>
      <c r="Z127" s="3"/>
      <c r="AA127" s="3"/>
    </row>
    <row r="128" spans="1:27" x14ac:dyDescent="0.2">
      <c r="A128" s="3"/>
      <c r="B128" s="3"/>
      <c r="C128" s="192"/>
      <c r="D128" s="155" t="s">
        <v>484</v>
      </c>
      <c r="E128" s="155"/>
      <c r="F128" s="155"/>
      <c r="G128" s="258" t="s">
        <v>370</v>
      </c>
      <c r="H128" s="155"/>
      <c r="I128" s="155" t="s">
        <v>485</v>
      </c>
      <c r="J128" s="374">
        <f>(T139+T141)/2</f>
        <v>132.55266295045382</v>
      </c>
      <c r="K128" s="155" t="s">
        <v>106</v>
      </c>
      <c r="L128" s="155"/>
      <c r="M128" s="197"/>
      <c r="N128" s="3"/>
      <c r="O128" s="317"/>
      <c r="P128" s="319"/>
      <c r="Q128" s="319" t="s">
        <v>514</v>
      </c>
      <c r="R128" s="319"/>
      <c r="S128" s="319"/>
      <c r="T128" s="409">
        <f>380*((T124/1000)/0.25)^-2.75+2.7</f>
        <v>84.250938387466675</v>
      </c>
      <c r="U128" s="408" t="s">
        <v>106</v>
      </c>
      <c r="V128" s="391"/>
      <c r="W128" s="3"/>
      <c r="X128" s="3"/>
      <c r="Y128" s="3"/>
      <c r="Z128" s="3"/>
      <c r="AA128" s="3"/>
    </row>
    <row r="129" spans="1:27" x14ac:dyDescent="0.2">
      <c r="A129" s="3"/>
      <c r="B129" s="3"/>
      <c r="C129" s="192"/>
      <c r="D129" s="155"/>
      <c r="E129" s="155"/>
      <c r="F129" s="155"/>
      <c r="G129" s="155"/>
      <c r="H129" s="155"/>
      <c r="I129" s="155"/>
      <c r="J129" s="155"/>
      <c r="K129" s="155"/>
      <c r="L129" s="155"/>
      <c r="M129" s="197"/>
      <c r="N129" s="3"/>
      <c r="O129" s="317"/>
      <c r="P129" s="319"/>
      <c r="Q129" s="319"/>
      <c r="R129" s="319"/>
      <c r="S129" s="319"/>
      <c r="T129" s="319"/>
      <c r="U129" s="319"/>
      <c r="V129" s="391"/>
      <c r="W129" s="3"/>
      <c r="X129" s="3"/>
      <c r="Y129" s="3"/>
      <c r="Z129" s="3"/>
      <c r="AA129" s="3"/>
    </row>
    <row r="130" spans="1:27" x14ac:dyDescent="0.2">
      <c r="A130" s="3"/>
      <c r="B130" s="3"/>
      <c r="C130" s="192"/>
      <c r="D130" s="155" t="s">
        <v>811</v>
      </c>
      <c r="E130" s="155"/>
      <c r="F130" s="155"/>
      <c r="G130" s="155"/>
      <c r="H130" s="155"/>
      <c r="I130" s="155" t="s">
        <v>487</v>
      </c>
      <c r="J130" s="374">
        <v>290</v>
      </c>
      <c r="K130" s="155" t="s">
        <v>106</v>
      </c>
      <c r="L130" s="155"/>
      <c r="M130" s="197"/>
      <c r="N130" s="3"/>
      <c r="O130" s="317"/>
      <c r="P130" s="319"/>
      <c r="Q130" s="319"/>
      <c r="R130" s="319"/>
      <c r="S130" s="319"/>
      <c r="T130" s="319"/>
      <c r="U130" s="319"/>
      <c r="V130" s="391"/>
      <c r="W130" s="3"/>
      <c r="X130" s="3"/>
      <c r="Y130" s="3"/>
      <c r="Z130" s="3"/>
      <c r="AA130" s="3"/>
    </row>
    <row r="131" spans="1:27" x14ac:dyDescent="0.2">
      <c r="A131" s="3"/>
      <c r="B131" s="3"/>
      <c r="C131" s="192"/>
      <c r="D131" s="155"/>
      <c r="E131" s="155"/>
      <c r="F131" s="155"/>
      <c r="G131" s="155"/>
      <c r="H131" s="155"/>
      <c r="I131" s="155"/>
      <c r="J131" s="155"/>
      <c r="K131" s="155"/>
      <c r="L131" s="155"/>
      <c r="M131" s="197"/>
      <c r="N131" s="3"/>
      <c r="O131" s="317"/>
      <c r="P131" s="319" t="s">
        <v>255</v>
      </c>
      <c r="Q131" s="319"/>
      <c r="R131" s="319"/>
      <c r="S131" s="319"/>
      <c r="T131" s="319"/>
      <c r="U131" s="319"/>
      <c r="V131" s="391"/>
      <c r="W131" s="3"/>
      <c r="X131" s="3"/>
      <c r="Y131" s="3"/>
      <c r="Z131" s="3"/>
      <c r="AA131" s="3"/>
    </row>
    <row r="132" spans="1:27" x14ac:dyDescent="0.2">
      <c r="A132" s="3"/>
      <c r="B132" s="3"/>
      <c r="C132" s="192"/>
      <c r="D132" s="155" t="s">
        <v>488</v>
      </c>
      <c r="E132" s="155"/>
      <c r="F132" s="155"/>
      <c r="G132" s="155"/>
      <c r="H132" s="155"/>
      <c r="I132" s="155" t="s">
        <v>489</v>
      </c>
      <c r="J132" s="374">
        <v>70</v>
      </c>
      <c r="K132" s="155" t="s">
        <v>106</v>
      </c>
      <c r="L132" s="155"/>
      <c r="M132" s="197"/>
      <c r="N132" s="3"/>
      <c r="O132" s="317"/>
      <c r="P132" s="319"/>
      <c r="Q132" s="319"/>
      <c r="R132" s="319"/>
      <c r="S132" s="319"/>
      <c r="T132" s="319"/>
      <c r="U132" s="319"/>
      <c r="V132" s="391"/>
      <c r="W132" s="3"/>
      <c r="X132" s="3"/>
      <c r="Y132" s="3"/>
      <c r="Z132" s="3"/>
      <c r="AA132" s="3"/>
    </row>
    <row r="133" spans="1:27" x14ac:dyDescent="0.2">
      <c r="A133" s="3"/>
      <c r="B133" s="3"/>
      <c r="C133" s="192"/>
      <c r="D133" s="155"/>
      <c r="E133" s="155"/>
      <c r="F133" s="155"/>
      <c r="G133" s="155"/>
      <c r="H133" s="155"/>
      <c r="I133" s="155"/>
      <c r="J133" s="155"/>
      <c r="K133" s="155"/>
      <c r="L133" s="155"/>
      <c r="M133" s="197"/>
      <c r="N133" s="3"/>
      <c r="O133" s="317"/>
      <c r="P133" s="319"/>
      <c r="Q133" s="319" t="s">
        <v>516</v>
      </c>
      <c r="R133" s="319"/>
      <c r="S133" s="319"/>
      <c r="T133" s="407">
        <v>9</v>
      </c>
      <c r="U133" s="405" t="s">
        <v>518</v>
      </c>
      <c r="V133" s="391"/>
      <c r="W133" s="3"/>
      <c r="X133" s="3"/>
      <c r="Y133" s="3"/>
      <c r="Z133" s="3"/>
      <c r="AA133" s="3"/>
    </row>
    <row r="134" spans="1:27" x14ac:dyDescent="0.2">
      <c r="A134" s="3"/>
      <c r="B134" s="3"/>
      <c r="C134" s="192"/>
      <c r="D134" s="155" t="s">
        <v>491</v>
      </c>
      <c r="E134" s="155"/>
      <c r="F134" s="375">
        <v>29</v>
      </c>
      <c r="G134" s="155" t="s">
        <v>78</v>
      </c>
      <c r="H134" s="155"/>
      <c r="I134" s="155" t="s">
        <v>492</v>
      </c>
      <c r="J134" s="324">
        <f>10^(F134/10)</f>
        <v>794.32823472428208</v>
      </c>
      <c r="K134" s="155"/>
      <c r="L134" s="155"/>
      <c r="M134" s="197"/>
      <c r="N134" s="3"/>
      <c r="O134" s="317"/>
      <c r="P134" s="319"/>
      <c r="Q134" s="319"/>
      <c r="R134" s="319"/>
      <c r="S134" s="319"/>
      <c r="T134" s="319"/>
      <c r="U134" s="319"/>
      <c r="V134" s="391"/>
      <c r="W134" s="3"/>
      <c r="X134" s="3"/>
      <c r="Y134" s="3"/>
      <c r="Z134" s="3"/>
      <c r="AA134" s="3"/>
    </row>
    <row r="135" spans="1:27" x14ac:dyDescent="0.2">
      <c r="A135" s="3"/>
      <c r="B135" s="3"/>
      <c r="C135" s="192"/>
      <c r="D135" s="155"/>
      <c r="E135" s="155"/>
      <c r="F135" s="768"/>
      <c r="G135" s="155"/>
      <c r="H135" s="155"/>
      <c r="I135" s="155"/>
      <c r="J135" s="324"/>
      <c r="K135" s="155"/>
      <c r="L135" s="155"/>
      <c r="M135" s="197"/>
      <c r="N135" s="3"/>
      <c r="O135" s="317"/>
      <c r="P135" s="258" t="s">
        <v>370</v>
      </c>
      <c r="Q135" s="413" t="s">
        <v>256</v>
      </c>
      <c r="R135" s="319"/>
      <c r="S135" s="319"/>
      <c r="T135" s="308">
        <v>-140</v>
      </c>
      <c r="U135" s="405" t="s">
        <v>104</v>
      </c>
      <c r="V135" s="391"/>
      <c r="W135" s="3"/>
      <c r="X135" s="3"/>
      <c r="Y135" s="3"/>
      <c r="Z135" s="3"/>
      <c r="AA135" s="3"/>
    </row>
    <row r="136" spans="1:27" x14ac:dyDescent="0.2">
      <c r="A136" s="3"/>
      <c r="B136" s="3"/>
      <c r="C136" s="192"/>
      <c r="D136" s="155" t="s">
        <v>934</v>
      </c>
      <c r="E136" s="155"/>
      <c r="F136" s="768"/>
      <c r="G136" s="258" t="s">
        <v>370</v>
      </c>
      <c r="H136" s="155"/>
      <c r="I136" s="155"/>
      <c r="J136" s="375">
        <v>10</v>
      </c>
      <c r="K136" s="155" t="s">
        <v>933</v>
      </c>
      <c r="L136" s="155"/>
      <c r="M136" s="197"/>
      <c r="N136" s="3"/>
      <c r="O136" s="317"/>
      <c r="P136" s="319"/>
      <c r="Q136" s="319"/>
      <c r="R136" s="319"/>
      <c r="S136" s="319"/>
      <c r="T136" s="319"/>
      <c r="U136" s="319"/>
      <c r="V136" s="391"/>
      <c r="W136" s="3"/>
      <c r="X136" s="3"/>
      <c r="Y136" s="3"/>
      <c r="Z136" s="3"/>
      <c r="AA136" s="3"/>
    </row>
    <row r="137" spans="1:27" x14ac:dyDescent="0.2">
      <c r="A137" s="3"/>
      <c r="B137" s="3"/>
      <c r="C137" s="192"/>
      <c r="D137" s="155"/>
      <c r="E137" s="155"/>
      <c r="F137" s="768"/>
      <c r="G137" s="155"/>
      <c r="H137" s="155"/>
      <c r="I137" s="155"/>
      <c r="J137" s="324"/>
      <c r="K137" s="155"/>
      <c r="L137" s="155"/>
      <c r="M137" s="197"/>
      <c r="N137" s="3"/>
      <c r="O137" s="317"/>
      <c r="P137" s="319"/>
      <c r="Q137" s="413" t="s">
        <v>517</v>
      </c>
      <c r="R137" s="319"/>
      <c r="S137" s="319"/>
      <c r="T137" s="409">
        <f>10^((T135+198.6-10*LOG10(T133*1000))/10)</f>
        <v>80.492884452776636</v>
      </c>
      <c r="U137" s="410" t="s">
        <v>106</v>
      </c>
      <c r="V137" s="391"/>
      <c r="W137" s="3"/>
      <c r="X137" s="3"/>
      <c r="Y137" s="3"/>
      <c r="Z137" s="3"/>
      <c r="AA137" s="3"/>
    </row>
    <row r="138" spans="1:27" x14ac:dyDescent="0.2">
      <c r="A138" s="3"/>
      <c r="B138" s="3"/>
      <c r="C138" s="192"/>
      <c r="D138" s="155" t="s">
        <v>935</v>
      </c>
      <c r="E138" s="155"/>
      <c r="F138" s="768"/>
      <c r="G138" s="155"/>
      <c r="H138" s="155"/>
      <c r="I138" s="155"/>
      <c r="J138" s="308" t="s">
        <v>915</v>
      </c>
      <c r="K138" s="405"/>
      <c r="L138" s="155"/>
      <c r="M138" s="197"/>
      <c r="N138" s="3"/>
      <c r="O138" s="317"/>
      <c r="P138" s="319"/>
      <c r="Q138" s="319"/>
      <c r="R138" s="319"/>
      <c r="S138" s="319"/>
      <c r="T138" s="319"/>
      <c r="U138" s="319"/>
      <c r="V138" s="391"/>
      <c r="W138" s="3"/>
      <c r="X138" s="3"/>
      <c r="Y138" s="3"/>
      <c r="Z138" s="3"/>
      <c r="AA138" s="3"/>
    </row>
    <row r="139" spans="1:27" x14ac:dyDescent="0.2">
      <c r="A139" s="3"/>
      <c r="B139" s="3"/>
      <c r="C139" s="192"/>
      <c r="D139" s="155"/>
      <c r="E139" s="155"/>
      <c r="F139" s="768"/>
      <c r="G139" s="155"/>
      <c r="H139" s="155"/>
      <c r="I139" s="155"/>
      <c r="J139" s="324"/>
      <c r="K139" s="155"/>
      <c r="L139" s="155"/>
      <c r="M139" s="197"/>
      <c r="N139" s="3"/>
      <c r="O139" s="317"/>
      <c r="P139" s="319" t="s">
        <v>520</v>
      </c>
      <c r="Q139" s="319"/>
      <c r="R139" s="319"/>
      <c r="S139" s="319"/>
      <c r="T139" s="412">
        <f>T126+T137</f>
        <v>100.36150306066435</v>
      </c>
      <c r="U139" s="411" t="s">
        <v>106</v>
      </c>
      <c r="V139" s="391"/>
      <c r="W139" s="3"/>
      <c r="X139" s="3"/>
      <c r="Y139" s="3"/>
      <c r="Z139" s="3"/>
      <c r="AA139" s="3"/>
    </row>
    <row r="140" spans="1:27" x14ac:dyDescent="0.2">
      <c r="A140" s="3"/>
      <c r="B140" s="3"/>
      <c r="C140" s="192"/>
      <c r="D140" s="155" t="s">
        <v>936</v>
      </c>
      <c r="E140" s="155"/>
      <c r="F140" s="768"/>
      <c r="G140" s="155"/>
      <c r="H140" s="155"/>
      <c r="I140" s="155"/>
      <c r="J140" s="769">
        <v>0.17</v>
      </c>
      <c r="K140" s="155" t="s">
        <v>780</v>
      </c>
      <c r="L140" s="155"/>
      <c r="M140" s="197"/>
      <c r="N140" s="3"/>
      <c r="O140" s="317"/>
      <c r="P140" s="319"/>
      <c r="Q140" s="319"/>
      <c r="R140" s="319"/>
      <c r="S140" s="319"/>
      <c r="T140" s="321"/>
      <c r="U140" s="321"/>
      <c r="V140" s="391"/>
      <c r="W140" s="3"/>
      <c r="X140" s="3"/>
      <c r="Y140" s="3"/>
      <c r="Z140" s="3"/>
      <c r="AA140" s="3"/>
    </row>
    <row r="141" spans="1:27" x14ac:dyDescent="0.2">
      <c r="A141" s="3"/>
      <c r="B141" s="3"/>
      <c r="C141" s="192"/>
      <c r="D141" s="155"/>
      <c r="E141" s="155"/>
      <c r="F141" s="768"/>
      <c r="G141" s="155"/>
      <c r="H141" s="155"/>
      <c r="I141" s="155"/>
      <c r="J141" s="324"/>
      <c r="K141" s="155"/>
      <c r="L141" s="155"/>
      <c r="M141" s="197"/>
      <c r="N141" s="3"/>
      <c r="O141" s="317"/>
      <c r="P141" s="319" t="s">
        <v>521</v>
      </c>
      <c r="Q141" s="319"/>
      <c r="R141" s="319"/>
      <c r="S141" s="319"/>
      <c r="T141" s="412">
        <f>T128+T137</f>
        <v>164.7438228402433</v>
      </c>
      <c r="U141" s="411" t="s">
        <v>106</v>
      </c>
      <c r="V141" s="391"/>
      <c r="W141" s="3"/>
      <c r="X141" s="3"/>
      <c r="Y141" s="3"/>
      <c r="Z141" s="3"/>
      <c r="AA141" s="3"/>
    </row>
    <row r="142" spans="1:27" x14ac:dyDescent="0.2">
      <c r="A142" s="3"/>
      <c r="B142" s="3"/>
      <c r="C142" s="192"/>
      <c r="D142" s="155" t="s">
        <v>937</v>
      </c>
      <c r="E142" s="155"/>
      <c r="F142" s="768"/>
      <c r="G142" s="155"/>
      <c r="H142" s="155"/>
      <c r="I142" s="155"/>
      <c r="J142" s="324">
        <f>J136*J140</f>
        <v>1.7000000000000002</v>
      </c>
      <c r="K142" s="155" t="s">
        <v>78</v>
      </c>
      <c r="L142" s="155"/>
      <c r="M142" s="197"/>
      <c r="N142" s="3"/>
      <c r="O142" s="320"/>
      <c r="P142" s="321"/>
      <c r="Q142" s="321"/>
      <c r="R142" s="321"/>
      <c r="S142" s="321"/>
      <c r="T142" s="321"/>
      <c r="U142" s="321"/>
      <c r="V142" s="322"/>
      <c r="W142" s="3"/>
      <c r="X142" s="3"/>
      <c r="Y142" s="3"/>
      <c r="Z142" s="3"/>
      <c r="AA142" s="3"/>
    </row>
    <row r="143" spans="1:27" x14ac:dyDescent="0.2">
      <c r="A143" s="3"/>
      <c r="B143" s="3"/>
      <c r="C143" s="192"/>
      <c r="D143" s="155"/>
      <c r="E143" s="155"/>
      <c r="F143" s="155"/>
      <c r="G143" s="155"/>
      <c r="H143" s="155"/>
      <c r="I143" s="155"/>
      <c r="J143" s="155"/>
      <c r="K143" s="155"/>
      <c r="L143" s="155"/>
      <c r="M143" s="197"/>
      <c r="N143" s="3"/>
      <c r="O143" s="3"/>
      <c r="P143" s="3"/>
      <c r="Q143" s="3"/>
      <c r="R143" s="3"/>
      <c r="S143" s="3"/>
      <c r="T143" s="3"/>
      <c r="U143" s="3"/>
      <c r="V143" s="3"/>
      <c r="W143" s="3"/>
      <c r="X143" s="3"/>
      <c r="Y143" s="3"/>
      <c r="Z143" s="3"/>
      <c r="AA143" s="3"/>
    </row>
    <row r="144" spans="1:27" x14ac:dyDescent="0.2">
      <c r="A144" s="3"/>
      <c r="B144" s="3"/>
      <c r="C144" s="192"/>
      <c r="D144" s="155" t="s">
        <v>918</v>
      </c>
      <c r="E144" s="155"/>
      <c r="F144" s="155"/>
      <c r="G144" s="155"/>
      <c r="H144" s="155"/>
      <c r="I144" s="155" t="s">
        <v>938</v>
      </c>
      <c r="J144" s="374">
        <v>270</v>
      </c>
      <c r="K144" s="155" t="s">
        <v>106</v>
      </c>
      <c r="L144" s="155"/>
      <c r="M144" s="197"/>
      <c r="N144" s="3"/>
      <c r="O144" s="3"/>
      <c r="P144" s="3"/>
      <c r="Q144" s="3"/>
      <c r="R144" s="3"/>
      <c r="S144" s="3"/>
      <c r="T144" s="3"/>
      <c r="U144" s="3"/>
      <c r="V144" s="3"/>
      <c r="W144" s="3"/>
      <c r="X144" s="3"/>
      <c r="Y144" s="3"/>
      <c r="Z144" s="3"/>
      <c r="AA144" s="3"/>
    </row>
    <row r="145" spans="1:27" x14ac:dyDescent="0.2">
      <c r="A145" s="3"/>
      <c r="B145" s="3"/>
      <c r="C145" s="192"/>
      <c r="D145" s="155"/>
      <c r="E145" s="155"/>
      <c r="F145" s="155"/>
      <c r="G145" s="155"/>
      <c r="H145" s="155"/>
      <c r="I145" s="155"/>
      <c r="J145" s="155"/>
      <c r="K145" s="155"/>
      <c r="L145" s="155"/>
      <c r="M145" s="197"/>
      <c r="N145" s="3"/>
      <c r="O145" s="3"/>
      <c r="P145" s="3"/>
      <c r="Q145" s="3"/>
      <c r="R145" s="3"/>
      <c r="S145" s="3"/>
      <c r="T145" s="3"/>
      <c r="U145" s="3"/>
      <c r="V145" s="3"/>
      <c r="W145" s="3"/>
      <c r="X145" s="3"/>
      <c r="Y145" s="3"/>
      <c r="Z145" s="3"/>
      <c r="AA145" s="3"/>
    </row>
    <row r="146" spans="1:27" x14ac:dyDescent="0.2">
      <c r="A146" s="3"/>
      <c r="B146" s="3"/>
      <c r="C146" s="192"/>
      <c r="D146" s="155"/>
      <c r="E146" s="155"/>
      <c r="F146" s="155"/>
      <c r="G146" s="155"/>
      <c r="H146" s="155"/>
      <c r="I146" s="155"/>
      <c r="J146" s="155"/>
      <c r="K146" s="155"/>
      <c r="L146" s="402"/>
      <c r="M146" s="197"/>
      <c r="N146" s="3"/>
      <c r="O146" s="3"/>
      <c r="P146" s="3"/>
      <c r="Q146" s="3"/>
      <c r="R146" s="3"/>
      <c r="S146" s="3"/>
      <c r="T146" s="3"/>
      <c r="U146" s="3"/>
      <c r="V146" s="3"/>
      <c r="W146" s="3"/>
      <c r="X146" s="3"/>
      <c r="Y146" s="3"/>
      <c r="Z146" s="3"/>
      <c r="AA146" s="3"/>
    </row>
    <row r="147" spans="1:27" x14ac:dyDescent="0.2">
      <c r="A147" s="3"/>
      <c r="B147" s="3"/>
      <c r="C147" s="192"/>
      <c r="D147" s="155" t="s">
        <v>494</v>
      </c>
      <c r="E147" s="155"/>
      <c r="F147" s="155"/>
      <c r="G147" s="155"/>
      <c r="H147" s="155"/>
      <c r="I147" s="155" t="s">
        <v>495</v>
      </c>
      <c r="J147" s="414">
        <f>J128*J126+J130*(1-J126)+J132+(J144/(J134/(10^(J142/10))))</f>
        <v>213.56435907637658</v>
      </c>
      <c r="K147" s="155" t="s">
        <v>106</v>
      </c>
      <c r="L147" s="155"/>
      <c r="M147" s="197"/>
      <c r="N147" s="3"/>
      <c r="O147" s="3"/>
      <c r="P147" s="3"/>
      <c r="Q147" s="3"/>
      <c r="R147" s="3"/>
      <c r="S147" s="3"/>
      <c r="T147" s="3"/>
      <c r="U147" s="3"/>
      <c r="V147" s="3"/>
      <c r="W147" s="3"/>
      <c r="X147" s="3"/>
      <c r="Y147" s="3"/>
      <c r="Z147" s="3"/>
      <c r="AA147" s="3"/>
    </row>
    <row r="148" spans="1:27" x14ac:dyDescent="0.2">
      <c r="A148" s="3"/>
      <c r="B148" s="3"/>
      <c r="C148" s="192"/>
      <c r="D148" s="155"/>
      <c r="E148" s="155"/>
      <c r="F148" s="155"/>
      <c r="G148" s="155"/>
      <c r="H148" s="155"/>
      <c r="I148" s="155"/>
      <c r="J148" s="155"/>
      <c r="K148" s="155"/>
      <c r="L148" s="155"/>
      <c r="M148" s="197"/>
      <c r="N148" s="3"/>
      <c r="O148" s="3"/>
      <c r="P148" s="3"/>
      <c r="Q148" s="3"/>
      <c r="R148" s="3"/>
      <c r="S148" s="3"/>
      <c r="T148" s="3"/>
      <c r="U148" s="3"/>
      <c r="V148" s="3"/>
      <c r="W148" s="3"/>
      <c r="X148" s="3"/>
      <c r="Y148" s="3"/>
      <c r="Z148" s="3"/>
      <c r="AA148" s="3"/>
    </row>
    <row r="149" spans="1:27" x14ac:dyDescent="0.2">
      <c r="A149" s="3"/>
      <c r="B149" s="3"/>
      <c r="C149" s="192"/>
      <c r="D149" s="155"/>
      <c r="E149" s="155"/>
      <c r="F149" s="155"/>
      <c r="G149" s="155"/>
      <c r="H149" s="155"/>
      <c r="I149" s="155"/>
      <c r="J149" s="155"/>
      <c r="K149" s="155"/>
      <c r="L149" s="155"/>
      <c r="M149" s="197"/>
      <c r="N149" s="3"/>
      <c r="O149" s="3"/>
      <c r="P149" s="3"/>
      <c r="Q149" s="3"/>
      <c r="R149" s="3"/>
      <c r="S149" s="3"/>
      <c r="T149" s="3"/>
      <c r="U149" s="3"/>
      <c r="V149" s="3"/>
      <c r="W149" s="3"/>
      <c r="X149" s="3"/>
      <c r="Y149" s="3"/>
      <c r="Z149" s="3"/>
      <c r="AA149" s="3"/>
    </row>
    <row r="150" spans="1:27" x14ac:dyDescent="0.2">
      <c r="A150" s="3"/>
      <c r="B150" s="3"/>
      <c r="C150" s="252"/>
      <c r="D150" s="253"/>
      <c r="E150" s="253"/>
      <c r="F150" s="253"/>
      <c r="G150" s="253"/>
      <c r="H150" s="253"/>
      <c r="I150" s="253"/>
      <c r="J150" s="253"/>
      <c r="K150" s="253"/>
      <c r="L150" s="253"/>
      <c r="M150" s="254"/>
      <c r="N150" s="3"/>
      <c r="O150" s="3"/>
      <c r="P150" s="3"/>
      <c r="Q150" s="3"/>
      <c r="R150" s="3"/>
      <c r="S150" s="3"/>
      <c r="T150" s="3"/>
      <c r="U150" s="3"/>
      <c r="V150" s="3"/>
      <c r="W150" s="3"/>
      <c r="X150" s="3"/>
      <c r="Y150" s="3"/>
      <c r="Z150" s="3"/>
      <c r="AA150" s="3"/>
    </row>
    <row r="151" spans="1:27"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row>
    <row r="152" spans="1:27"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row>
    <row r="153" spans="1:27" x14ac:dyDescent="0.2">
      <c r="A153" s="3"/>
      <c r="B153" s="3"/>
      <c r="C153" s="3"/>
      <c r="D153" s="37" t="s">
        <v>399</v>
      </c>
      <c r="E153" s="3"/>
      <c r="F153" s="3"/>
      <c r="G153" s="3"/>
      <c r="H153" s="3"/>
      <c r="I153" s="3"/>
      <c r="J153" s="3"/>
      <c r="K153" s="3"/>
      <c r="L153" s="3"/>
      <c r="M153" s="3"/>
      <c r="N153" s="3"/>
      <c r="O153" s="3"/>
      <c r="P153" s="3"/>
      <c r="Q153" s="3"/>
      <c r="R153" s="3"/>
      <c r="S153" s="3"/>
      <c r="T153" s="3"/>
      <c r="U153" s="3"/>
      <c r="V153" s="3"/>
      <c r="W153" s="3"/>
      <c r="X153" s="3"/>
      <c r="Y153" s="3"/>
      <c r="Z153" s="3"/>
      <c r="AA153" s="3"/>
    </row>
    <row r="154" spans="1:27"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x14ac:dyDescent="0.2">
      <c r="A155" s="3"/>
      <c r="B155" s="3"/>
      <c r="C155" s="3"/>
      <c r="D155" s="790" t="s">
        <v>400</v>
      </c>
      <c r="E155" s="3"/>
      <c r="F155" s="3"/>
      <c r="G155" s="3"/>
      <c r="H155" s="3"/>
      <c r="I155" s="3"/>
      <c r="J155" s="3"/>
      <c r="K155" s="3"/>
      <c r="L155" s="3"/>
      <c r="M155" s="3"/>
      <c r="N155" s="3"/>
      <c r="O155" s="3"/>
      <c r="P155" s="3"/>
      <c r="Q155" s="3"/>
      <c r="R155" s="3"/>
      <c r="S155" s="3"/>
      <c r="T155" s="3"/>
      <c r="U155" s="3"/>
      <c r="V155" s="3"/>
      <c r="W155" s="3"/>
      <c r="X155" s="3"/>
      <c r="Y155" s="3"/>
      <c r="Z155" s="3"/>
      <c r="AA155" s="3"/>
    </row>
    <row r="156" spans="1:27" x14ac:dyDescent="0.2">
      <c r="A156" s="3"/>
      <c r="B156" s="3"/>
      <c r="C156" s="3"/>
      <c r="D156" s="3" t="s">
        <v>401</v>
      </c>
      <c r="E156" s="3"/>
      <c r="F156" s="3"/>
      <c r="G156" s="3"/>
      <c r="H156" s="3"/>
      <c r="I156" s="3"/>
      <c r="J156" s="3"/>
      <c r="K156" s="3"/>
      <c r="L156" s="3"/>
      <c r="M156" s="3"/>
      <c r="N156" s="4" t="s">
        <v>409</v>
      </c>
      <c r="O156" s="3"/>
      <c r="P156" s="3"/>
      <c r="Q156" s="3"/>
      <c r="R156" s="3"/>
      <c r="S156" s="3"/>
      <c r="T156" s="3"/>
      <c r="U156" s="3"/>
      <c r="V156" s="3"/>
      <c r="W156" s="3"/>
      <c r="X156" s="3"/>
      <c r="Y156" s="3"/>
      <c r="Z156" s="3"/>
      <c r="AA156" s="3"/>
    </row>
    <row r="157" spans="1:27"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x14ac:dyDescent="0.2">
      <c r="A158" s="3"/>
      <c r="B158" s="3"/>
      <c r="C158" s="3"/>
      <c r="D158" s="790" t="s">
        <v>402</v>
      </c>
      <c r="E158" s="3"/>
      <c r="F158" s="3"/>
      <c r="G158" s="3"/>
      <c r="H158" s="3"/>
      <c r="I158" s="3"/>
      <c r="J158" s="3"/>
      <c r="K158" s="3"/>
      <c r="L158" s="3"/>
      <c r="M158" s="3"/>
      <c r="N158" s="3"/>
      <c r="O158" s="3"/>
      <c r="P158" s="3"/>
      <c r="Q158" s="3"/>
      <c r="R158" s="3"/>
      <c r="S158" s="3"/>
      <c r="T158" s="3"/>
      <c r="U158" s="3"/>
      <c r="V158" s="3"/>
      <c r="W158" s="3"/>
      <c r="X158" s="3"/>
      <c r="Y158" s="3"/>
      <c r="Z158" s="3"/>
      <c r="AA158" s="3"/>
    </row>
    <row r="159" spans="1:27" ht="14.25" x14ac:dyDescent="0.25">
      <c r="A159" s="3"/>
      <c r="B159" s="3"/>
      <c r="C159" s="3"/>
      <c r="D159" s="789" t="s">
        <v>403</v>
      </c>
      <c r="E159" s="3"/>
      <c r="F159" s="3"/>
      <c r="G159" s="3"/>
      <c r="H159" s="3"/>
      <c r="I159" s="3"/>
      <c r="J159" s="3"/>
      <c r="K159" s="3"/>
      <c r="L159" s="3"/>
      <c r="M159" s="3"/>
      <c r="N159" s="3"/>
      <c r="O159" s="3"/>
      <c r="P159" s="3"/>
      <c r="Q159" s="3"/>
      <c r="R159" s="3"/>
      <c r="S159" s="3"/>
      <c r="T159" s="3"/>
      <c r="U159" s="3"/>
      <c r="V159" s="3"/>
      <c r="W159" s="3"/>
      <c r="X159" s="3"/>
      <c r="Y159" s="3"/>
      <c r="Z159" s="3"/>
      <c r="AA159" s="3"/>
    </row>
    <row r="160" spans="1:27"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x14ac:dyDescent="0.2">
      <c r="A161" s="3"/>
      <c r="B161" s="3"/>
      <c r="C161" s="3"/>
      <c r="D161" s="790" t="s">
        <v>404</v>
      </c>
      <c r="E161" s="3"/>
      <c r="F161" s="3"/>
      <c r="G161" s="3"/>
      <c r="H161" s="3"/>
      <c r="I161" s="3"/>
      <c r="J161" s="3"/>
      <c r="K161" s="3"/>
      <c r="L161" s="3"/>
      <c r="M161" s="3"/>
      <c r="N161" s="3"/>
      <c r="O161" s="3"/>
      <c r="P161" s="3"/>
      <c r="Q161" s="3"/>
      <c r="R161" s="3"/>
      <c r="S161" s="3"/>
      <c r="T161" s="3"/>
      <c r="U161" s="3"/>
      <c r="V161" s="3"/>
      <c r="W161" s="3"/>
      <c r="X161" s="3"/>
      <c r="Y161" s="3"/>
      <c r="Z161" s="3"/>
      <c r="AA161" s="3"/>
    </row>
    <row r="162" spans="1:27" x14ac:dyDescent="0.2">
      <c r="A162" s="3"/>
      <c r="B162" s="3"/>
      <c r="C162" s="3"/>
      <c r="D162" s="790" t="s">
        <v>405</v>
      </c>
      <c r="E162" s="3"/>
      <c r="F162" s="3"/>
      <c r="G162" s="3"/>
      <c r="H162" s="3"/>
      <c r="I162" s="3"/>
      <c r="J162" s="3"/>
      <c r="K162" s="3"/>
      <c r="L162" s="3"/>
      <c r="M162" s="3"/>
      <c r="N162" s="3"/>
      <c r="O162" s="3"/>
      <c r="P162" s="3"/>
      <c r="Q162" s="3"/>
      <c r="R162" s="3"/>
      <c r="S162" s="3"/>
      <c r="T162" s="3"/>
      <c r="U162" s="3"/>
      <c r="V162" s="3"/>
      <c r="W162" s="3"/>
      <c r="X162" s="3"/>
      <c r="Y162" s="3"/>
      <c r="Z162" s="3"/>
      <c r="AA162" s="3"/>
    </row>
    <row r="163" spans="1:27" x14ac:dyDescent="0.2">
      <c r="A163" s="3"/>
      <c r="B163" s="3"/>
      <c r="C163" s="3"/>
      <c r="D163" s="101"/>
      <c r="E163" s="3"/>
      <c r="F163" s="3"/>
      <c r="G163" s="3"/>
      <c r="H163" s="3"/>
      <c r="I163" s="3"/>
      <c r="J163" s="3"/>
      <c r="K163" s="3"/>
      <c r="L163" s="3"/>
      <c r="M163" s="3"/>
      <c r="N163" s="3"/>
      <c r="O163" s="3"/>
      <c r="P163" s="3"/>
      <c r="Q163" s="3"/>
      <c r="R163" s="3"/>
      <c r="S163" s="3"/>
      <c r="T163" s="3"/>
      <c r="U163" s="3"/>
      <c r="V163" s="3"/>
      <c r="W163" s="3"/>
      <c r="X163" s="3"/>
      <c r="Y163" s="3"/>
      <c r="Z163" s="3"/>
      <c r="AA163" s="3"/>
    </row>
    <row r="164" spans="1:27" x14ac:dyDescent="0.2">
      <c r="A164" s="3"/>
      <c r="B164" s="3"/>
      <c r="C164" s="3"/>
      <c r="D164" s="790" t="s">
        <v>407</v>
      </c>
      <c r="E164" s="3"/>
      <c r="F164" s="3"/>
      <c r="G164" s="3"/>
      <c r="H164" s="3"/>
      <c r="I164" s="3"/>
      <c r="J164" s="3"/>
      <c r="K164" s="3"/>
      <c r="L164" s="3"/>
      <c r="M164" s="3"/>
      <c r="N164" s="3"/>
      <c r="O164" s="3"/>
      <c r="P164" s="3"/>
      <c r="Q164" s="3"/>
      <c r="R164" s="3"/>
      <c r="S164" s="3"/>
      <c r="T164" s="3"/>
      <c r="U164" s="3"/>
      <c r="V164" s="3"/>
      <c r="W164" s="3"/>
      <c r="X164" s="3"/>
      <c r="Y164" s="3"/>
      <c r="Z164" s="3"/>
      <c r="AA164" s="3"/>
    </row>
    <row r="165" spans="1:27" x14ac:dyDescent="0.2">
      <c r="A165" s="3"/>
      <c r="B165" s="3"/>
      <c r="C165" s="3"/>
      <c r="D165" s="790" t="s">
        <v>408</v>
      </c>
      <c r="E165" s="3"/>
      <c r="F165" s="3"/>
      <c r="G165" s="3"/>
      <c r="H165" s="3"/>
      <c r="I165" s="3"/>
      <c r="J165" s="3"/>
      <c r="K165" s="3"/>
      <c r="L165" s="3"/>
      <c r="M165" s="3"/>
      <c r="N165" s="3"/>
      <c r="O165" s="3"/>
      <c r="P165" s="3"/>
      <c r="Q165" s="3"/>
      <c r="R165" s="3"/>
      <c r="S165" s="3"/>
      <c r="T165" s="3"/>
      <c r="U165" s="3"/>
      <c r="V165" s="3"/>
      <c r="W165" s="3"/>
      <c r="X165" s="3"/>
      <c r="Y165" s="3"/>
      <c r="Z165" s="3"/>
      <c r="AA165" s="3"/>
    </row>
    <row r="166" spans="1:27" x14ac:dyDescent="0.2">
      <c r="A166" s="3"/>
      <c r="B166" s="3"/>
      <c r="C166" s="3"/>
      <c r="D166" s="790"/>
      <c r="E166" s="3"/>
      <c r="F166" s="3"/>
      <c r="G166" s="3"/>
      <c r="H166" s="3"/>
      <c r="I166" s="3"/>
      <c r="J166" s="3"/>
      <c r="K166" s="3"/>
      <c r="L166" s="3"/>
      <c r="M166" s="3"/>
      <c r="N166" s="3"/>
      <c r="O166" s="3"/>
      <c r="P166" s="3"/>
      <c r="Q166" s="3"/>
      <c r="R166" s="3"/>
      <c r="S166" s="3"/>
      <c r="T166" s="3"/>
      <c r="U166" s="3"/>
      <c r="V166" s="3"/>
      <c r="W166" s="3"/>
      <c r="X166" s="3"/>
      <c r="Y166" s="3"/>
      <c r="Z166" s="3"/>
      <c r="AA166" s="3"/>
    </row>
    <row r="167" spans="1:27" x14ac:dyDescent="0.2">
      <c r="A167" s="3"/>
      <c r="B167" s="3"/>
      <c r="C167" s="3"/>
      <c r="D167" s="789" t="s">
        <v>406</v>
      </c>
      <c r="E167" s="3"/>
      <c r="F167" s="3"/>
      <c r="G167" s="3"/>
      <c r="H167" s="3"/>
      <c r="I167" s="3"/>
      <c r="J167" s="3"/>
      <c r="K167" s="3"/>
      <c r="L167" s="3"/>
      <c r="M167" s="3"/>
      <c r="N167" s="3"/>
      <c r="O167" s="3"/>
      <c r="P167" s="3"/>
      <c r="Q167" s="3"/>
      <c r="R167" s="3"/>
      <c r="S167" s="3"/>
      <c r="T167" s="3"/>
      <c r="U167" s="3"/>
      <c r="V167" s="3"/>
      <c r="W167" s="3"/>
      <c r="X167" s="3"/>
      <c r="Y167" s="3"/>
      <c r="Z167" s="3"/>
      <c r="AA167" s="3"/>
    </row>
    <row r="168" spans="1:27" x14ac:dyDescent="0.2">
      <c r="A168" s="3"/>
      <c r="B168" s="3"/>
      <c r="C168" s="3"/>
      <c r="D168" s="790"/>
      <c r="E168" s="3"/>
      <c r="F168" s="3"/>
      <c r="G168" s="3"/>
      <c r="H168" s="3"/>
      <c r="I168" s="3"/>
      <c r="J168" s="3"/>
      <c r="K168" s="3"/>
      <c r="L168" s="3"/>
      <c r="M168" s="3"/>
      <c r="N168" s="3"/>
      <c r="O168" s="3"/>
      <c r="P168" s="3"/>
      <c r="Q168" s="3"/>
      <c r="R168" s="3"/>
      <c r="S168" s="3"/>
      <c r="T168" s="3"/>
      <c r="U168" s="3"/>
      <c r="V168" s="3"/>
      <c r="W168" s="3"/>
      <c r="X168" s="3"/>
      <c r="Y168" s="3"/>
      <c r="Z168" s="3"/>
      <c r="AA168" s="3"/>
    </row>
    <row r="169" spans="1:27" ht="14.25" x14ac:dyDescent="0.2">
      <c r="A169" s="3"/>
      <c r="B169" s="3"/>
      <c r="C169" s="3"/>
      <c r="D169" s="791" t="s">
        <v>410</v>
      </c>
      <c r="E169" s="3"/>
      <c r="F169" s="3"/>
      <c r="G169" s="3"/>
      <c r="H169" s="3"/>
      <c r="I169" s="3"/>
      <c r="J169" s="3"/>
      <c r="K169" s="3"/>
      <c r="L169" s="3"/>
      <c r="M169" s="3"/>
      <c r="N169" s="3"/>
      <c r="O169" s="3"/>
      <c r="P169" s="3"/>
      <c r="Q169" s="3"/>
      <c r="R169" s="3"/>
      <c r="S169" s="3"/>
      <c r="T169" s="3"/>
      <c r="U169" s="3"/>
      <c r="V169" s="3"/>
      <c r="W169" s="3"/>
      <c r="X169" s="3"/>
      <c r="Y169" s="3"/>
      <c r="Z169" s="3"/>
      <c r="AA169" s="3"/>
    </row>
    <row r="170" spans="1:27" x14ac:dyDescent="0.2">
      <c r="A170" s="3"/>
      <c r="B170" s="3"/>
      <c r="C170" s="3"/>
      <c r="D170" s="790"/>
      <c r="E170" s="3"/>
      <c r="F170" s="3"/>
      <c r="G170" s="3"/>
      <c r="H170" s="3"/>
      <c r="I170" s="3"/>
      <c r="J170" s="3"/>
      <c r="K170" s="3"/>
      <c r="L170" s="3"/>
      <c r="M170" s="3"/>
      <c r="N170" s="3"/>
      <c r="O170" s="3"/>
      <c r="P170" s="3"/>
      <c r="Q170" s="3"/>
      <c r="R170" s="3"/>
      <c r="S170" s="3"/>
      <c r="T170" s="3"/>
      <c r="U170" s="3"/>
      <c r="V170" s="3"/>
      <c r="W170" s="3"/>
      <c r="X170" s="3"/>
      <c r="Y170" s="3"/>
      <c r="Z170" s="3"/>
      <c r="AA170" s="3"/>
    </row>
    <row r="171" spans="1:27"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ht="15" x14ac:dyDescent="0.2">
      <c r="C172" s="144"/>
      <c r="D172" s="788"/>
      <c r="E172" s="144"/>
      <c r="F172" s="144"/>
      <c r="G172" s="144"/>
      <c r="H172" s="144"/>
      <c r="I172" s="144"/>
      <c r="J172" s="144"/>
      <c r="K172" s="144"/>
      <c r="L172" s="144"/>
      <c r="M172" s="144"/>
    </row>
    <row r="173" spans="1:27" x14ac:dyDescent="0.2">
      <c r="C173" s="144"/>
      <c r="D173" s="144"/>
      <c r="E173" s="144"/>
      <c r="F173" s="144"/>
      <c r="G173" s="144"/>
      <c r="H173" s="144"/>
      <c r="I173" s="144"/>
      <c r="J173" s="144"/>
      <c r="K173" s="144"/>
      <c r="L173" s="144"/>
      <c r="M173" s="144"/>
    </row>
    <row r="174" spans="1:27" x14ac:dyDescent="0.2">
      <c r="C174" s="144"/>
      <c r="D174" s="144"/>
      <c r="E174" s="144"/>
      <c r="F174" s="144"/>
      <c r="G174" s="144"/>
      <c r="H174" s="144"/>
      <c r="I174" s="144"/>
      <c r="J174" s="144"/>
      <c r="K174" s="144"/>
      <c r="L174" s="144"/>
      <c r="M174" s="144"/>
    </row>
    <row r="175" spans="1:27" x14ac:dyDescent="0.2">
      <c r="C175" s="144"/>
      <c r="D175" s="144"/>
      <c r="E175" s="144"/>
      <c r="F175" s="144"/>
      <c r="H175" s="144"/>
      <c r="I175" s="144"/>
      <c r="J175" s="144"/>
      <c r="K175" s="144"/>
      <c r="L175" s="144"/>
      <c r="M175" s="144"/>
    </row>
    <row r="176" spans="1:27" x14ac:dyDescent="0.2">
      <c r="C176" s="144"/>
      <c r="D176" s="144"/>
      <c r="E176" s="144"/>
      <c r="F176" s="144"/>
      <c r="G176" s="144"/>
      <c r="H176" s="144"/>
      <c r="I176" s="144"/>
      <c r="J176" s="144"/>
      <c r="K176" s="144"/>
      <c r="L176" s="144"/>
      <c r="M176" s="144"/>
    </row>
    <row r="177" spans="3:13" x14ac:dyDescent="0.2">
      <c r="C177" s="144"/>
      <c r="D177" s="144"/>
      <c r="E177" s="144"/>
      <c r="F177" s="144"/>
      <c r="G177" s="144"/>
      <c r="H177" s="144"/>
      <c r="I177" s="144"/>
      <c r="J177" s="144"/>
      <c r="K177" s="144"/>
      <c r="L177" s="144"/>
      <c r="M177" s="144"/>
    </row>
    <row r="178" spans="3:13" x14ac:dyDescent="0.2">
      <c r="C178" s="144"/>
      <c r="D178" s="144"/>
      <c r="E178" s="144"/>
      <c r="F178" s="144"/>
      <c r="G178" s="144"/>
      <c r="H178" s="144"/>
      <c r="I178" s="144"/>
      <c r="J178" s="144"/>
      <c r="K178" s="144"/>
      <c r="L178" s="144"/>
      <c r="M178" s="144"/>
    </row>
    <row r="179" spans="3:13" x14ac:dyDescent="0.2">
      <c r="C179" s="144"/>
      <c r="D179" s="144"/>
      <c r="E179" s="144"/>
      <c r="F179" s="144"/>
      <c r="G179" s="144"/>
      <c r="H179" s="144"/>
      <c r="I179" s="144"/>
      <c r="J179" s="144"/>
      <c r="K179" s="144"/>
      <c r="L179" s="144"/>
      <c r="M179" s="144"/>
    </row>
  </sheetData>
  <mergeCells count="3">
    <mergeCell ref="Q11:S11"/>
    <mergeCell ref="Q15:S15"/>
    <mergeCell ref="Q86:S86"/>
  </mergeCells>
  <phoneticPr fontId="26" type="noConversion"/>
  <conditionalFormatting sqref="O16 O12">
    <cfRule type="cellIs" dxfId="7" priority="1" stopIfTrue="1" operator="equal">
      <formula>"X"</formula>
    </cfRule>
    <cfRule type="cellIs" dxfId="6" priority="2" stopIfTrue="1" operator="notEqual">
      <formula>"X"</formula>
    </cfRule>
  </conditionalFormatting>
  <pageMargins left="0.75" right="0.75" top="1" bottom="1" header="0.5" footer="0.5"/>
  <pageSetup paperSize="9" orientation="portrait" horizontalDpi="4294967293"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19"/>
  <sheetViews>
    <sheetView topLeftCell="B41" zoomScale="90" workbookViewId="0">
      <selection activeCell="E60" sqref="E60"/>
    </sheetView>
  </sheetViews>
  <sheetFormatPr defaultRowHeight="12.75" x14ac:dyDescent="0.2"/>
  <cols>
    <col min="5" max="5" width="10.140625" customWidth="1"/>
    <col min="6" max="6" width="9.85546875" customWidth="1"/>
    <col min="7" max="7" width="10.85546875" customWidth="1"/>
    <col min="10" max="10" width="11.28515625" customWidth="1"/>
    <col min="11" max="11" width="10.5703125" customWidth="1"/>
    <col min="14" max="14" width="11.28515625" customWidth="1"/>
    <col min="16" max="16" width="10.85546875" customWidth="1"/>
    <col min="17" max="17" width="9.5703125" bestFit="1" customWidth="1"/>
    <col min="21" max="21" width="9.5703125" bestFit="1" customWidth="1"/>
  </cols>
  <sheetData>
    <row r="1" spans="1:26" ht="18.75" thickBot="1" x14ac:dyDescent="0.3">
      <c r="A1" s="133" t="s">
        <v>554</v>
      </c>
      <c r="B1" s="133"/>
      <c r="C1" s="133"/>
      <c r="D1" s="133"/>
      <c r="E1" s="135"/>
      <c r="F1" s="135"/>
      <c r="G1" s="728" t="str">
        <f>'Title Page'!F3</f>
        <v>CougSat-1</v>
      </c>
      <c r="H1" s="135"/>
      <c r="I1" s="135"/>
      <c r="J1" s="135"/>
      <c r="K1" s="135"/>
      <c r="L1" s="725" t="str">
        <f>'Title Page'!F25</f>
        <v>2020 January 17</v>
      </c>
      <c r="M1" s="135"/>
      <c r="N1" s="135"/>
      <c r="O1" s="135"/>
      <c r="P1" s="135"/>
      <c r="Q1" s="135"/>
      <c r="R1" s="135"/>
      <c r="S1" s="135"/>
      <c r="T1" s="135"/>
      <c r="U1" s="135"/>
      <c r="V1" s="135"/>
      <c r="W1" s="135"/>
      <c r="X1" s="135"/>
      <c r="Y1" s="135"/>
      <c r="Z1" s="135"/>
    </row>
    <row r="2" spans="1:26" x14ac:dyDescent="0.2">
      <c r="A2" s="3"/>
      <c r="B2" s="3"/>
      <c r="C2" s="3"/>
      <c r="D2" s="3"/>
      <c r="E2" s="3"/>
      <c r="F2" s="3"/>
      <c r="G2" s="3"/>
      <c r="H2" s="3"/>
      <c r="I2" s="3"/>
      <c r="J2" s="3"/>
      <c r="K2" s="3"/>
      <c r="L2" s="3"/>
      <c r="M2" s="3"/>
      <c r="N2" s="3"/>
      <c r="O2" s="3"/>
      <c r="P2" s="3"/>
      <c r="Q2" s="3"/>
      <c r="R2" s="3"/>
      <c r="S2" s="3"/>
      <c r="T2" s="3"/>
      <c r="U2" s="3"/>
      <c r="V2" s="3"/>
      <c r="W2" s="3"/>
      <c r="X2" s="3"/>
      <c r="Y2" s="3"/>
      <c r="Z2" s="3"/>
    </row>
    <row r="3" spans="1:26" ht="15.75" x14ac:dyDescent="0.25">
      <c r="A3" s="203" t="s">
        <v>288</v>
      </c>
      <c r="B3" s="204"/>
      <c r="C3" s="205"/>
      <c r="D3" s="3"/>
      <c r="E3" s="568"/>
      <c r="F3" s="3"/>
      <c r="G3" s="3"/>
      <c r="H3" s="3"/>
      <c r="I3" s="3"/>
      <c r="J3" s="568" t="s">
        <v>37</v>
      </c>
      <c r="K3" s="3"/>
      <c r="L3" s="3"/>
      <c r="M3" s="3"/>
      <c r="N3" s="3"/>
      <c r="O3" s="3"/>
      <c r="P3" s="3"/>
      <c r="Q3" s="3"/>
      <c r="R3" s="3"/>
      <c r="S3" s="3"/>
      <c r="T3" s="3"/>
      <c r="U3" s="3"/>
      <c r="V3" s="3"/>
      <c r="W3" s="3"/>
      <c r="X3" s="3"/>
      <c r="Y3" s="3"/>
      <c r="Z3" s="3"/>
    </row>
    <row r="4" spans="1:26" ht="15.75" x14ac:dyDescent="0.25">
      <c r="A4" s="227"/>
      <c r="B4" s="108"/>
      <c r="C4" s="108"/>
      <c r="D4" s="3"/>
      <c r="E4" s="568"/>
      <c r="F4" s="3"/>
      <c r="G4" s="3"/>
      <c r="H4" s="3"/>
      <c r="I4" s="3"/>
      <c r="J4" s="568"/>
      <c r="K4" s="3"/>
      <c r="L4" s="3"/>
      <c r="M4" s="3"/>
      <c r="N4" s="3"/>
      <c r="O4" s="3"/>
      <c r="P4" s="3"/>
      <c r="Q4" s="3"/>
      <c r="R4" s="3"/>
      <c r="S4" s="3"/>
      <c r="T4" s="3"/>
      <c r="U4" s="3"/>
      <c r="V4" s="3"/>
      <c r="W4" s="3"/>
      <c r="X4" s="3"/>
      <c r="Y4" s="3"/>
      <c r="Z4" s="3"/>
    </row>
    <row r="5" spans="1:26" ht="15.75" x14ac:dyDescent="0.25">
      <c r="A5" s="227"/>
      <c r="B5" s="376" t="s">
        <v>511</v>
      </c>
      <c r="C5" s="108"/>
      <c r="D5" s="3"/>
      <c r="E5" s="568"/>
      <c r="F5" s="3"/>
      <c r="G5" s="3"/>
      <c r="H5" s="3"/>
      <c r="I5" s="3"/>
      <c r="J5" s="568"/>
      <c r="K5" s="3"/>
      <c r="L5" s="3"/>
      <c r="M5" s="3"/>
      <c r="N5" s="3"/>
      <c r="O5" s="3"/>
      <c r="P5" s="3"/>
      <c r="Q5" s="3"/>
      <c r="R5" s="3"/>
      <c r="S5" s="3"/>
      <c r="T5" s="3"/>
      <c r="U5" s="3"/>
      <c r="V5" s="3"/>
      <c r="W5" s="3"/>
      <c r="X5" s="3"/>
      <c r="Y5" s="3"/>
      <c r="Z5" s="3"/>
    </row>
    <row r="6" spans="1:26" ht="16.5" thickBot="1" x14ac:dyDescent="0.3">
      <c r="A6" s="227"/>
      <c r="B6" s="108"/>
      <c r="C6" s="108"/>
      <c r="D6" s="3"/>
      <c r="E6" s="3"/>
      <c r="F6" s="3"/>
      <c r="G6" s="3"/>
      <c r="H6" s="3"/>
      <c r="I6" s="3"/>
      <c r="J6" s="3"/>
      <c r="K6" s="3"/>
      <c r="L6" s="3"/>
      <c r="M6" s="777"/>
      <c r="N6" s="793"/>
      <c r="O6" s="793"/>
      <c r="P6" s="793"/>
      <c r="Q6" s="793"/>
      <c r="R6" s="793"/>
      <c r="S6" s="3"/>
      <c r="T6" s="3"/>
      <c r="U6" s="3"/>
      <c r="V6" s="3"/>
      <c r="W6" s="3"/>
      <c r="X6" s="3"/>
      <c r="Y6" s="3"/>
      <c r="Z6" s="3"/>
    </row>
    <row r="7" spans="1:26" ht="16.5" thickBot="1" x14ac:dyDescent="0.3">
      <c r="A7" s="150" t="s">
        <v>37</v>
      </c>
      <c r="B7" s="202" t="s">
        <v>324</v>
      </c>
      <c r="C7" s="209"/>
      <c r="D7" s="195"/>
      <c r="E7" s="195"/>
      <c r="F7" s="195"/>
      <c r="G7" s="195" t="s">
        <v>37</v>
      </c>
      <c r="H7" s="195"/>
      <c r="I7" s="195"/>
      <c r="J7" s="195" t="s">
        <v>37</v>
      </c>
      <c r="K7" s="195"/>
      <c r="L7" s="196"/>
      <c r="M7" s="4"/>
      <c r="N7" s="793"/>
      <c r="O7" s="793"/>
      <c r="P7" s="805"/>
      <c r="Q7" s="805"/>
      <c r="R7" s="805"/>
      <c r="S7" s="3"/>
      <c r="T7" s="3"/>
      <c r="U7" s="3"/>
      <c r="V7" s="3"/>
      <c r="W7" s="3"/>
      <c r="X7" s="3"/>
      <c r="Y7" s="3"/>
      <c r="Z7" s="3"/>
    </row>
    <row r="8" spans="1:26" x14ac:dyDescent="0.2">
      <c r="A8" s="3"/>
      <c r="B8" s="193" t="s">
        <v>37</v>
      </c>
      <c r="C8" s="228"/>
      <c r="D8" s="230"/>
      <c r="E8" s="229" t="s">
        <v>74</v>
      </c>
      <c r="F8" s="260">
        <f>'Orbit &amp; Frequency'!N31</f>
        <v>437.5</v>
      </c>
      <c r="G8" s="155" t="s">
        <v>75</v>
      </c>
      <c r="H8" s="155"/>
      <c r="I8" s="155"/>
      <c r="J8" s="155" t="s">
        <v>318</v>
      </c>
      <c r="K8" s="261">
        <f>299.8/$F$8</f>
        <v>0.6852571428571429</v>
      </c>
      <c r="L8" s="197" t="s">
        <v>76</v>
      </c>
      <c r="M8" s="3"/>
      <c r="N8" s="795"/>
      <c r="O8" s="793"/>
      <c r="P8" s="793"/>
      <c r="Q8" s="793"/>
      <c r="R8" s="793"/>
      <c r="S8" s="3"/>
      <c r="T8" s="3"/>
      <c r="U8" s="3"/>
      <c r="V8" s="3"/>
      <c r="W8" s="3"/>
      <c r="X8" s="3"/>
      <c r="Y8" s="3"/>
      <c r="Z8" s="3"/>
    </row>
    <row r="9" spans="1:26" x14ac:dyDescent="0.2">
      <c r="A9" s="3"/>
      <c r="B9" s="192"/>
      <c r="C9" s="155"/>
      <c r="D9" s="155"/>
      <c r="E9" s="155"/>
      <c r="F9" s="155"/>
      <c r="G9" s="155"/>
      <c r="H9" s="155"/>
      <c r="I9" s="155"/>
      <c r="J9" s="155"/>
      <c r="K9" s="155"/>
      <c r="L9" s="197"/>
      <c r="M9" s="3"/>
      <c r="N9" s="793"/>
      <c r="O9" s="793"/>
      <c r="P9" s="793"/>
      <c r="Q9" s="793"/>
      <c r="R9" s="793"/>
      <c r="S9" s="3"/>
      <c r="T9" s="3"/>
      <c r="U9" s="3"/>
      <c r="V9" s="3"/>
      <c r="W9" s="3"/>
      <c r="X9" s="3"/>
      <c r="Y9" s="3"/>
      <c r="Z9" s="3"/>
    </row>
    <row r="10" spans="1:26" ht="16.5" thickBot="1" x14ac:dyDescent="0.3">
      <c r="A10" s="86"/>
      <c r="B10" s="192"/>
      <c r="C10" s="155"/>
      <c r="D10" s="155"/>
      <c r="E10" s="155"/>
      <c r="F10" s="216" t="s">
        <v>337</v>
      </c>
      <c r="G10" s="155"/>
      <c r="H10" s="155"/>
      <c r="I10" s="155"/>
      <c r="J10" s="155"/>
      <c r="K10" s="155"/>
      <c r="L10" s="197"/>
      <c r="M10" s="4"/>
      <c r="N10" s="793"/>
      <c r="O10" s="793"/>
      <c r="P10" s="805"/>
      <c r="Q10" s="805"/>
      <c r="R10" s="805"/>
      <c r="S10" s="3"/>
      <c r="T10" s="3"/>
      <c r="U10" s="3"/>
      <c r="V10" s="3"/>
      <c r="W10" s="3"/>
      <c r="X10" s="3"/>
      <c r="Y10" s="3"/>
      <c r="Z10" s="3"/>
    </row>
    <row r="11" spans="1:26" ht="13.5" thickBot="1" x14ac:dyDescent="0.25">
      <c r="A11" s="86"/>
      <c r="B11" s="193" t="s">
        <v>37</v>
      </c>
      <c r="C11" s="155"/>
      <c r="D11" s="155"/>
      <c r="E11" s="763">
        <v>2</v>
      </c>
      <c r="F11" s="762" t="str">
        <f>INDEX(B13:B16,E11,1)</f>
        <v>Helix</v>
      </c>
      <c r="G11" s="200"/>
      <c r="H11" s="155"/>
      <c r="I11" s="155"/>
      <c r="J11" s="155" t="s">
        <v>291</v>
      </c>
      <c r="K11" s="286" t="s">
        <v>293</v>
      </c>
      <c r="L11" s="197"/>
      <c r="M11" s="3"/>
      <c r="N11" s="795"/>
      <c r="O11" s="793"/>
      <c r="P11" s="793"/>
      <c r="Q11" s="793"/>
      <c r="R11" s="793"/>
      <c r="S11" s="3"/>
      <c r="T11" s="3"/>
      <c r="U11" s="3"/>
      <c r="V11" s="3"/>
      <c r="W11" s="3"/>
      <c r="X11" s="3"/>
      <c r="Y11" s="3"/>
      <c r="Z11" s="3"/>
    </row>
    <row r="12" spans="1:26" ht="13.5" thickBot="1" x14ac:dyDescent="0.25">
      <c r="A12" s="232" t="s">
        <v>336</v>
      </c>
      <c r="B12" s="194"/>
      <c r="C12" s="160"/>
      <c r="D12" s="160"/>
      <c r="E12" s="160"/>
      <c r="F12" s="160"/>
      <c r="G12" s="160"/>
      <c r="H12" s="160"/>
      <c r="I12" s="160"/>
      <c r="J12" s="160"/>
      <c r="K12" s="160"/>
      <c r="L12" s="198"/>
      <c r="M12" s="3"/>
      <c r="N12" s="3"/>
      <c r="O12" s="3"/>
      <c r="P12" s="3"/>
      <c r="Q12" s="3"/>
      <c r="R12" s="3"/>
      <c r="S12" s="3"/>
      <c r="T12" s="3"/>
      <c r="U12" s="3"/>
      <c r="V12" s="3"/>
      <c r="W12" s="3"/>
      <c r="X12" s="3"/>
      <c r="Y12" s="3"/>
      <c r="Z12" s="3"/>
    </row>
    <row r="13" spans="1:26" ht="36" customHeight="1" x14ac:dyDescent="0.2">
      <c r="A13" s="191">
        <v>1</v>
      </c>
      <c r="B13" s="186" t="s">
        <v>308</v>
      </c>
      <c r="C13" s="186"/>
      <c r="D13" s="187" t="s">
        <v>304</v>
      </c>
      <c r="E13" s="188">
        <v>3.2</v>
      </c>
      <c r="F13" s="186"/>
      <c r="G13" s="187" t="s">
        <v>306</v>
      </c>
      <c r="H13" s="189">
        <f>IF(E13&lt;$B$70,"too short!",INDEX($D$70:$D$108,MATCH(E13,$B$70:$B$108,1),1))</f>
        <v>12</v>
      </c>
      <c r="I13" s="186" t="s">
        <v>305</v>
      </c>
      <c r="J13" s="190" t="s">
        <v>317</v>
      </c>
      <c r="K13" s="186"/>
      <c r="L13" s="186"/>
      <c r="M13" s="167" t="s">
        <v>307</v>
      </c>
      <c r="N13" s="168">
        <f>IF(E13&lt;$B$70,"too short!",INDEX($F$70:$F$108,MATCH(E13,$B$70:$B$108,1),1))</f>
        <v>16.3</v>
      </c>
      <c r="O13" s="166" t="s">
        <v>105</v>
      </c>
      <c r="P13" s="166" t="s">
        <v>292</v>
      </c>
      <c r="Q13" s="169">
        <f>SQRT(40000/(10^(N13/10)))</f>
        <v>30.621749233640596</v>
      </c>
      <c r="R13" s="166" t="s">
        <v>239</v>
      </c>
      <c r="S13" s="166" t="s">
        <v>523</v>
      </c>
      <c r="T13" s="166"/>
      <c r="U13" s="170">
        <f>K8*E13</f>
        <v>2.1928228571428572</v>
      </c>
      <c r="V13" s="171" t="s">
        <v>76</v>
      </c>
      <c r="W13" s="3"/>
      <c r="X13" s="3"/>
      <c r="Y13" s="3"/>
      <c r="Z13" s="3"/>
    </row>
    <row r="14" spans="1:26" ht="36" customHeight="1" x14ac:dyDescent="0.2">
      <c r="A14" s="172">
        <v>2</v>
      </c>
      <c r="B14" s="173" t="s">
        <v>321</v>
      </c>
      <c r="C14" s="173"/>
      <c r="D14" s="173" t="s">
        <v>296</v>
      </c>
      <c r="E14" s="174">
        <v>10</v>
      </c>
      <c r="F14" s="173"/>
      <c r="G14" s="175" t="s">
        <v>297</v>
      </c>
      <c r="H14" s="174">
        <v>0.25</v>
      </c>
      <c r="I14" s="173"/>
      <c r="J14" s="175" t="s">
        <v>295</v>
      </c>
      <c r="K14" s="176">
        <v>1</v>
      </c>
      <c r="L14" s="173"/>
      <c r="M14" s="173" t="s">
        <v>290</v>
      </c>
      <c r="N14" s="177">
        <f>10*LOG10(15*K14^2*E14*H14)</f>
        <v>15.740312677277188</v>
      </c>
      <c r="O14" s="173" t="s">
        <v>105</v>
      </c>
      <c r="P14" s="173" t="s">
        <v>292</v>
      </c>
      <c r="Q14" s="178">
        <f>52.2/(K14*((E14*H14)^0.5))</f>
        <v>33.014178772157877</v>
      </c>
      <c r="R14" s="173" t="s">
        <v>239</v>
      </c>
      <c r="S14" s="175"/>
      <c r="T14" s="175" t="s">
        <v>522</v>
      </c>
      <c r="U14" s="415">
        <f>H14*E14*K8</f>
        <v>1.7131428571428573</v>
      </c>
      <c r="V14" s="179" t="s">
        <v>76</v>
      </c>
      <c r="W14" s="3"/>
      <c r="X14" s="3"/>
      <c r="Y14" s="3"/>
      <c r="Z14" s="3"/>
    </row>
    <row r="15" spans="1:26" ht="36" customHeight="1" x14ac:dyDescent="0.2">
      <c r="A15" s="180">
        <v>3</v>
      </c>
      <c r="B15" s="181" t="s">
        <v>322</v>
      </c>
      <c r="C15" s="181"/>
      <c r="D15" s="181"/>
      <c r="E15" s="181"/>
      <c r="F15" s="181"/>
      <c r="G15" s="182" t="s">
        <v>289</v>
      </c>
      <c r="H15" s="183">
        <v>5.4</v>
      </c>
      <c r="I15" s="181"/>
      <c r="J15" s="182" t="s">
        <v>282</v>
      </c>
      <c r="K15" s="184">
        <v>0.55000000000000004</v>
      </c>
      <c r="L15" s="181"/>
      <c r="M15" s="181" t="s">
        <v>290</v>
      </c>
      <c r="N15" s="177">
        <f>20.4+20*LOG10(H15)+20*LOG10(F8/1000)+10*LOG10(K15)</f>
        <v>25.271063238568452</v>
      </c>
      <c r="O15" s="181" t="s">
        <v>105</v>
      </c>
      <c r="P15" s="181" t="s">
        <v>292</v>
      </c>
      <c r="Q15" s="178">
        <f>21/((F8/1000)*H15)</f>
        <v>8.8888888888888875</v>
      </c>
      <c r="R15" s="181" t="s">
        <v>239</v>
      </c>
      <c r="S15" s="181"/>
      <c r="T15" s="181"/>
      <c r="U15" s="181"/>
      <c r="V15" s="185"/>
      <c r="W15" s="3"/>
      <c r="X15" s="3"/>
      <c r="Y15" s="3"/>
      <c r="Z15" s="3"/>
    </row>
    <row r="16" spans="1:26" ht="36" customHeight="1" thickBot="1" x14ac:dyDescent="0.25">
      <c r="A16" s="159">
        <v>4</v>
      </c>
      <c r="B16" s="160" t="s">
        <v>323</v>
      </c>
      <c r="C16" s="160"/>
      <c r="D16" s="741" t="s">
        <v>923</v>
      </c>
      <c r="E16" s="741"/>
      <c r="F16" s="741"/>
      <c r="G16" s="742"/>
      <c r="H16" s="779"/>
      <c r="I16" s="160"/>
      <c r="J16" s="161"/>
      <c r="K16" s="162"/>
      <c r="L16" s="160"/>
      <c r="M16" s="160" t="s">
        <v>290</v>
      </c>
      <c r="N16" s="764">
        <v>16.149999999999999</v>
      </c>
      <c r="O16" s="160" t="s">
        <v>105</v>
      </c>
      <c r="P16" s="160" t="s">
        <v>292</v>
      </c>
      <c r="Q16" s="765">
        <v>30</v>
      </c>
      <c r="R16" s="160" t="s">
        <v>239</v>
      </c>
      <c r="S16" s="160" t="s">
        <v>523</v>
      </c>
      <c r="T16" s="160"/>
      <c r="U16" s="740">
        <f>$K$8*5.9</f>
        <v>4.0430171428571438</v>
      </c>
      <c r="V16" s="165" t="s">
        <v>76</v>
      </c>
      <c r="W16" s="3"/>
      <c r="X16" s="3"/>
      <c r="Y16" s="3"/>
      <c r="Z16" s="3"/>
    </row>
    <row r="17" spans="1:26" x14ac:dyDescent="0.2">
      <c r="A17" s="34"/>
      <c r="B17" s="108"/>
      <c r="C17" s="108"/>
      <c r="D17" s="108"/>
      <c r="E17" s="108"/>
      <c r="F17" s="108"/>
      <c r="G17" s="108"/>
      <c r="H17" s="108"/>
      <c r="I17" s="108"/>
      <c r="J17" s="108"/>
      <c r="K17" s="108"/>
      <c r="L17" s="108"/>
      <c r="M17" s="108"/>
      <c r="N17" s="108"/>
      <c r="O17" s="108"/>
      <c r="P17" s="108"/>
      <c r="Q17" s="108"/>
      <c r="R17" s="108"/>
      <c r="S17" s="108"/>
      <c r="T17" s="108"/>
      <c r="U17" s="3"/>
      <c r="V17" s="3"/>
      <c r="W17" s="3"/>
      <c r="X17" s="3"/>
      <c r="Y17" s="3"/>
      <c r="Z17" s="3"/>
    </row>
    <row r="18" spans="1:26" x14ac:dyDescent="0.2">
      <c r="A18" s="34"/>
      <c r="B18" s="108"/>
      <c r="C18" s="108"/>
      <c r="D18" s="108"/>
      <c r="E18" s="108"/>
      <c r="F18" s="108" t="s">
        <v>37</v>
      </c>
      <c r="G18" s="108"/>
      <c r="H18" s="108"/>
      <c r="I18" s="108"/>
      <c r="J18" s="108"/>
      <c r="K18" s="108"/>
      <c r="L18" s="108"/>
      <c r="M18" s="108" t="s">
        <v>37</v>
      </c>
      <c r="N18" s="108"/>
      <c r="O18" s="108"/>
      <c r="P18" s="108"/>
      <c r="Q18" s="108"/>
      <c r="R18" s="108"/>
      <c r="S18" s="108"/>
      <c r="T18" s="108"/>
      <c r="U18" s="3"/>
      <c r="V18" s="3"/>
      <c r="W18" s="3"/>
      <c r="X18" s="3"/>
      <c r="Y18" s="3"/>
      <c r="Z18" s="3"/>
    </row>
    <row r="19" spans="1:26" x14ac:dyDescent="0.2">
      <c r="A19" s="34" t="s">
        <v>37</v>
      </c>
      <c r="B19" s="108"/>
      <c r="C19" s="108"/>
      <c r="D19" s="108"/>
      <c r="E19" s="108"/>
      <c r="F19" s="108"/>
      <c r="G19" s="108"/>
      <c r="H19" s="108"/>
      <c r="I19" s="108"/>
      <c r="J19" s="108"/>
      <c r="K19" s="108"/>
      <c r="L19" s="108"/>
      <c r="M19" s="108"/>
      <c r="N19" s="108"/>
      <c r="O19" s="108"/>
      <c r="P19" s="108"/>
      <c r="Q19" s="108"/>
      <c r="R19" s="108"/>
      <c r="S19" s="108"/>
      <c r="T19" s="108"/>
      <c r="U19" s="3"/>
      <c r="V19" s="3"/>
      <c r="W19" s="3"/>
      <c r="X19" s="3"/>
      <c r="Y19" s="3"/>
      <c r="Z19" s="3"/>
    </row>
    <row r="20" spans="1:26" ht="16.5" thickBot="1" x14ac:dyDescent="0.3">
      <c r="A20" s="34"/>
      <c r="B20" s="108"/>
      <c r="C20" s="108"/>
      <c r="D20" s="108"/>
      <c r="E20" s="108"/>
      <c r="F20" s="108"/>
      <c r="G20" s="108"/>
      <c r="H20" s="108"/>
      <c r="I20" s="108"/>
      <c r="J20" s="108"/>
      <c r="K20" s="108"/>
      <c r="L20" s="108"/>
      <c r="M20" s="777"/>
      <c r="N20" s="793"/>
      <c r="O20" s="793"/>
      <c r="P20" s="793"/>
      <c r="Q20" s="793"/>
      <c r="R20" s="793"/>
      <c r="S20" s="108"/>
      <c r="T20" s="108"/>
      <c r="U20" s="3"/>
      <c r="V20" s="3"/>
      <c r="W20" s="3"/>
      <c r="X20" s="3"/>
      <c r="Y20" s="3"/>
      <c r="Z20" s="3"/>
    </row>
    <row r="21" spans="1:26" ht="16.5" thickBot="1" x14ac:dyDescent="0.3">
      <c r="A21" s="34"/>
      <c r="B21" s="202" t="s">
        <v>333</v>
      </c>
      <c r="C21" s="209"/>
      <c r="D21" s="195"/>
      <c r="E21" s="195"/>
      <c r="F21" s="195"/>
      <c r="G21" s="195"/>
      <c r="H21" s="195"/>
      <c r="I21" s="195"/>
      <c r="J21" s="195"/>
      <c r="K21" s="195"/>
      <c r="L21" s="196"/>
      <c r="M21" s="4"/>
      <c r="N21" s="793"/>
      <c r="O21" s="793"/>
      <c r="P21" s="805"/>
      <c r="Q21" s="805"/>
      <c r="R21" s="805"/>
      <c r="S21" s="108"/>
      <c r="T21" s="108"/>
      <c r="U21" s="3"/>
      <c r="V21" s="3"/>
      <c r="W21" s="3"/>
      <c r="X21" s="3"/>
      <c r="Y21" s="3"/>
      <c r="Z21" s="3"/>
    </row>
    <row r="22" spans="1:26" x14ac:dyDescent="0.2">
      <c r="A22" s="34"/>
      <c r="B22" s="192"/>
      <c r="C22" s="155"/>
      <c r="D22" s="156"/>
      <c r="E22" s="155" t="s">
        <v>74</v>
      </c>
      <c r="F22" s="258">
        <f>$F$8</f>
        <v>437.5</v>
      </c>
      <c r="G22" s="155" t="s">
        <v>75</v>
      </c>
      <c r="H22" s="155"/>
      <c r="I22" s="155"/>
      <c r="J22" s="155" t="s">
        <v>318</v>
      </c>
      <c r="K22" s="259">
        <f>299.8/F22</f>
        <v>0.6852571428571429</v>
      </c>
      <c r="L22" s="197" t="s">
        <v>76</v>
      </c>
      <c r="M22" s="3"/>
      <c r="N22" s="795"/>
      <c r="O22" s="793"/>
      <c r="P22" s="793"/>
      <c r="Q22" s="793"/>
      <c r="R22" s="793"/>
      <c r="S22" s="108"/>
      <c r="T22" s="108"/>
      <c r="U22" s="108"/>
      <c r="V22" s="108"/>
      <c r="W22" s="3"/>
      <c r="X22" s="3"/>
      <c r="Y22" s="3"/>
      <c r="Z22" s="3"/>
    </row>
    <row r="23" spans="1:26" x14ac:dyDescent="0.2">
      <c r="A23" s="86"/>
      <c r="B23" s="192"/>
      <c r="C23" s="155"/>
      <c r="D23" s="155" t="s">
        <v>37</v>
      </c>
      <c r="E23" s="462"/>
      <c r="F23" s="462"/>
      <c r="G23" s="462"/>
      <c r="H23" s="462"/>
      <c r="I23" s="155"/>
      <c r="J23" s="155"/>
      <c r="K23" s="155"/>
      <c r="L23" s="197"/>
      <c r="M23" s="3"/>
      <c r="N23" s="793"/>
      <c r="O23" s="793"/>
      <c r="P23" s="793"/>
      <c r="Q23" s="793"/>
      <c r="R23" s="793"/>
      <c r="S23" s="3"/>
      <c r="T23" s="3"/>
      <c r="U23" s="3"/>
      <c r="V23" s="3"/>
      <c r="W23" s="3"/>
      <c r="X23" s="3"/>
      <c r="Y23" s="3"/>
      <c r="Z23" s="3"/>
    </row>
    <row r="24" spans="1:26" ht="16.5" thickBot="1" x14ac:dyDescent="0.3">
      <c r="A24" s="86"/>
      <c r="B24" s="193" t="s">
        <v>37</v>
      </c>
      <c r="C24" s="155"/>
      <c r="D24" s="155"/>
      <c r="E24" s="155" t="s">
        <v>37</v>
      </c>
      <c r="F24" s="216" t="s">
        <v>338</v>
      </c>
      <c r="G24" s="155"/>
      <c r="H24" s="155"/>
      <c r="I24" s="155"/>
      <c r="J24" s="462"/>
      <c r="K24" s="462"/>
      <c r="L24" s="197"/>
      <c r="M24" s="4"/>
      <c r="N24" s="793"/>
      <c r="O24" s="793"/>
      <c r="P24" s="805"/>
      <c r="Q24" s="805"/>
      <c r="R24" s="805"/>
      <c r="S24" s="3"/>
      <c r="T24" s="3"/>
      <c r="U24" s="3"/>
      <c r="V24" s="3"/>
      <c r="W24" s="3"/>
      <c r="X24" s="3"/>
      <c r="Y24" s="3"/>
      <c r="Z24" s="3"/>
    </row>
    <row r="25" spans="1:26" ht="13.5" thickBot="1" x14ac:dyDescent="0.25">
      <c r="A25" s="86"/>
      <c r="B25" s="193"/>
      <c r="C25" s="155"/>
      <c r="D25" s="155"/>
      <c r="E25" s="763">
        <v>2</v>
      </c>
      <c r="F25" s="338" t="str">
        <f>INDEX(B27:B31,E25,1)</f>
        <v>Dipole</v>
      </c>
      <c r="G25" s="200"/>
      <c r="H25" s="155"/>
      <c r="I25" s="155"/>
      <c r="J25" s="155" t="s">
        <v>291</v>
      </c>
      <c r="K25" s="286" t="s">
        <v>188</v>
      </c>
      <c r="L25" s="197"/>
      <c r="M25" s="4"/>
      <c r="N25" s="795"/>
      <c r="O25" s="793"/>
      <c r="P25" s="793"/>
      <c r="Q25" s="793"/>
      <c r="R25" s="793"/>
      <c r="S25" s="3"/>
      <c r="T25" s="3"/>
      <c r="U25" s="3"/>
      <c r="V25" s="3"/>
      <c r="W25" s="3"/>
      <c r="X25" s="3"/>
      <c r="Y25" s="3"/>
      <c r="Z25" s="3"/>
    </row>
    <row r="26" spans="1:26" ht="13.5" thickBot="1" x14ac:dyDescent="0.25">
      <c r="A26" s="231" t="s">
        <v>336</v>
      </c>
      <c r="B26" s="192"/>
      <c r="C26" s="155"/>
      <c r="D26" s="155"/>
      <c r="E26" s="155"/>
      <c r="F26" s="155" t="s">
        <v>37</v>
      </c>
      <c r="G26" s="155"/>
      <c r="H26" s="155"/>
      <c r="I26" s="155"/>
      <c r="J26" s="155"/>
      <c r="K26" s="155"/>
      <c r="L26" s="197"/>
      <c r="M26" s="3"/>
      <c r="N26" s="3"/>
      <c r="O26" s="3"/>
      <c r="P26" s="3"/>
      <c r="Q26" s="3"/>
      <c r="R26" s="3"/>
      <c r="S26" s="3"/>
      <c r="T26" s="3"/>
      <c r="U26" s="3"/>
      <c r="V26" s="3"/>
      <c r="W26" s="3"/>
      <c r="X26" s="3"/>
      <c r="Y26" s="3"/>
      <c r="Z26" s="3"/>
    </row>
    <row r="27" spans="1:26" ht="36" customHeight="1" x14ac:dyDescent="0.2">
      <c r="A27" s="151">
        <v>1</v>
      </c>
      <c r="B27" s="152" t="s">
        <v>325</v>
      </c>
      <c r="C27" s="152"/>
      <c r="D27" s="152"/>
      <c r="E27" s="152"/>
      <c r="F27" s="152"/>
      <c r="G27" s="152" t="s">
        <v>290</v>
      </c>
      <c r="H27" s="215">
        <v>2.15</v>
      </c>
      <c r="I27" s="152" t="s">
        <v>294</v>
      </c>
      <c r="J27" s="152"/>
      <c r="K27" s="152" t="s">
        <v>292</v>
      </c>
      <c r="L27" s="215">
        <v>156.19999999999999</v>
      </c>
      <c r="M27" s="152" t="s">
        <v>239</v>
      </c>
      <c r="N27" s="152" t="s">
        <v>374</v>
      </c>
      <c r="O27" s="152"/>
      <c r="P27" s="152"/>
      <c r="Q27" s="152"/>
      <c r="R27" s="152"/>
      <c r="S27" s="152"/>
      <c r="T27" s="152"/>
      <c r="U27" s="152"/>
      <c r="V27" s="153"/>
      <c r="W27" s="3"/>
      <c r="X27" s="3"/>
      <c r="Y27" s="3"/>
      <c r="Z27" s="3"/>
    </row>
    <row r="28" spans="1:26" ht="36" customHeight="1" x14ac:dyDescent="0.2">
      <c r="A28" s="154">
        <v>2</v>
      </c>
      <c r="B28" s="155" t="s">
        <v>326</v>
      </c>
      <c r="C28" s="155"/>
      <c r="D28" s="155"/>
      <c r="E28" s="155"/>
      <c r="F28" s="155"/>
      <c r="G28" s="155" t="s">
        <v>290</v>
      </c>
      <c r="H28" s="206">
        <v>2.15</v>
      </c>
      <c r="I28" s="155" t="s">
        <v>294</v>
      </c>
      <c r="J28" s="155"/>
      <c r="K28" s="155" t="s">
        <v>292</v>
      </c>
      <c r="L28" s="206">
        <v>156.19999999999999</v>
      </c>
      <c r="M28" s="155" t="s">
        <v>239</v>
      </c>
      <c r="N28" s="155" t="s">
        <v>301</v>
      </c>
      <c r="O28" s="155"/>
      <c r="P28" s="155"/>
      <c r="Q28" s="155"/>
      <c r="R28" s="155"/>
      <c r="S28" s="155"/>
      <c r="T28" s="155"/>
      <c r="U28" s="155"/>
      <c r="V28" s="157"/>
      <c r="W28" s="3"/>
      <c r="X28" s="3"/>
      <c r="Y28" s="3"/>
      <c r="Z28" s="3"/>
    </row>
    <row r="29" spans="1:26" ht="36" customHeight="1" x14ac:dyDescent="0.2">
      <c r="A29" s="158">
        <v>3</v>
      </c>
      <c r="B29" s="105" t="s">
        <v>327</v>
      </c>
      <c r="C29" s="105"/>
      <c r="D29" s="105"/>
      <c r="E29" s="105"/>
      <c r="F29" s="105"/>
      <c r="G29" s="105" t="s">
        <v>290</v>
      </c>
      <c r="H29" s="210">
        <f>IF(K25=K11,2,0.5)</f>
        <v>0.5</v>
      </c>
      <c r="I29" s="105" t="s">
        <v>105</v>
      </c>
      <c r="J29" s="105" t="s">
        <v>303</v>
      </c>
      <c r="K29" s="105" t="s">
        <v>292</v>
      </c>
      <c r="L29" s="206">
        <v>180</v>
      </c>
      <c r="M29" s="105" t="s">
        <v>239</v>
      </c>
      <c r="N29" s="105" t="s">
        <v>302</v>
      </c>
      <c r="O29" s="105"/>
      <c r="P29" s="105"/>
      <c r="Q29" s="105"/>
      <c r="R29" s="105"/>
      <c r="S29" s="105"/>
      <c r="T29" s="105"/>
      <c r="U29" s="105"/>
      <c r="V29" s="106"/>
      <c r="W29" s="3"/>
      <c r="X29" s="3"/>
      <c r="Y29" s="3"/>
      <c r="Z29" s="3"/>
    </row>
    <row r="30" spans="1:26" ht="36" customHeight="1" x14ac:dyDescent="0.2">
      <c r="A30" s="154">
        <v>4</v>
      </c>
      <c r="B30" s="155" t="s">
        <v>328</v>
      </c>
      <c r="C30" s="155"/>
      <c r="D30" s="207" t="s">
        <v>298</v>
      </c>
      <c r="E30" s="155" t="s">
        <v>299</v>
      </c>
      <c r="F30" s="155"/>
      <c r="G30" s="155" t="s">
        <v>290</v>
      </c>
      <c r="H30" s="210">
        <v>4</v>
      </c>
      <c r="I30" s="155" t="s">
        <v>105</v>
      </c>
      <c r="J30" s="155"/>
      <c r="K30" s="155" t="s">
        <v>292</v>
      </c>
      <c r="L30" s="206">
        <v>150</v>
      </c>
      <c r="M30" s="155" t="s">
        <v>239</v>
      </c>
      <c r="N30" s="155" t="s">
        <v>375</v>
      </c>
      <c r="O30" s="155"/>
      <c r="P30" s="155"/>
      <c r="Q30" s="155"/>
      <c r="R30" s="155"/>
      <c r="S30" s="155"/>
      <c r="T30" s="155"/>
      <c r="U30" s="155"/>
      <c r="V30" s="157"/>
      <c r="W30" s="3"/>
      <c r="X30" s="3"/>
      <c r="Y30" s="3"/>
      <c r="Z30" s="3"/>
    </row>
    <row r="31" spans="1:26" ht="36" customHeight="1" thickBot="1" x14ac:dyDescent="0.25">
      <c r="A31" s="214">
        <v>5</v>
      </c>
      <c r="B31" s="211" t="s">
        <v>329</v>
      </c>
      <c r="C31" s="211"/>
      <c r="D31" s="310" t="s">
        <v>920</v>
      </c>
      <c r="E31" s="211"/>
      <c r="F31" s="211"/>
      <c r="G31" s="211" t="s">
        <v>290</v>
      </c>
      <c r="H31" s="164">
        <v>0</v>
      </c>
      <c r="I31" s="211" t="s">
        <v>616</v>
      </c>
      <c r="J31" s="211"/>
      <c r="K31" s="211" t="s">
        <v>292</v>
      </c>
      <c r="L31" s="212">
        <v>360</v>
      </c>
      <c r="M31" s="211" t="s">
        <v>239</v>
      </c>
      <c r="N31" s="211" t="s">
        <v>921</v>
      </c>
      <c r="O31" s="211"/>
      <c r="P31" s="211"/>
      <c r="Q31" s="211"/>
      <c r="R31" s="211"/>
      <c r="S31" s="211"/>
      <c r="T31" s="211"/>
      <c r="U31" s="211"/>
      <c r="V31" s="213"/>
      <c r="W31" s="3"/>
      <c r="X31" s="3"/>
      <c r="Y31" s="3"/>
      <c r="Z31" s="3"/>
    </row>
    <row r="32" spans="1:26" ht="13.5" thickBot="1" x14ac:dyDescent="0.25">
      <c r="A32" s="217"/>
      <c r="B32" s="218"/>
      <c r="C32" s="218"/>
      <c r="D32" s="218"/>
      <c r="E32" s="218"/>
      <c r="F32" s="218"/>
      <c r="G32" s="218"/>
      <c r="H32" s="218"/>
      <c r="I32" s="218"/>
      <c r="J32" s="218"/>
      <c r="K32" s="218"/>
      <c r="L32" s="218"/>
      <c r="M32" s="218"/>
      <c r="N32" s="218"/>
      <c r="O32" s="218"/>
      <c r="P32" s="218"/>
      <c r="Q32" s="218"/>
      <c r="R32" s="218"/>
      <c r="S32" s="218"/>
      <c r="T32" s="218"/>
      <c r="U32" s="218"/>
      <c r="V32" s="218"/>
      <c r="W32" s="3"/>
      <c r="X32" s="3"/>
      <c r="Y32" s="3"/>
      <c r="Z32" s="3"/>
    </row>
    <row r="33" spans="1:26" ht="16.5" thickBot="1" x14ac:dyDescent="0.3">
      <c r="A33" s="256"/>
      <c r="B33" s="256"/>
      <c r="C33" s="257" t="s">
        <v>331</v>
      </c>
      <c r="D33" s="256"/>
      <c r="E33" s="256"/>
      <c r="F33" s="256"/>
      <c r="G33" s="256"/>
      <c r="H33" s="256"/>
      <c r="I33" s="256"/>
      <c r="J33" s="257" t="s">
        <v>332</v>
      </c>
      <c r="K33" s="256"/>
      <c r="L33" s="256"/>
      <c r="M33" s="135"/>
      <c r="N33" s="135"/>
      <c r="O33" s="135"/>
      <c r="P33" s="135"/>
      <c r="Q33" s="135"/>
      <c r="R33" s="135"/>
      <c r="S33" s="135"/>
      <c r="T33" s="135"/>
      <c r="U33" s="135"/>
      <c r="V33" s="433"/>
      <c r="W33" s="3"/>
      <c r="X33" s="3"/>
      <c r="Y33" s="3"/>
      <c r="Z33" s="3"/>
    </row>
    <row r="34" spans="1:26" x14ac:dyDescent="0.2">
      <c r="A34" s="3"/>
      <c r="B34" s="3"/>
      <c r="C34" s="3"/>
      <c r="D34" s="3"/>
      <c r="E34" s="3"/>
      <c r="F34" s="3"/>
      <c r="G34" s="3"/>
      <c r="H34" s="3"/>
      <c r="I34" s="3"/>
      <c r="J34" s="3"/>
      <c r="K34" s="3" t="s">
        <v>37</v>
      </c>
      <c r="L34" s="3"/>
      <c r="M34" s="3"/>
      <c r="N34" s="3"/>
      <c r="O34" s="3"/>
      <c r="P34" s="3"/>
      <c r="Q34" s="3"/>
      <c r="R34" s="3"/>
      <c r="S34" s="3"/>
      <c r="T34" s="3"/>
      <c r="U34" s="3"/>
      <c r="V34" s="3"/>
      <c r="W34" s="3"/>
      <c r="X34" s="3"/>
      <c r="Y34" s="3"/>
      <c r="Z34" s="3"/>
    </row>
    <row r="35" spans="1:26" ht="15.75" x14ac:dyDescent="0.25">
      <c r="A35" s="203" t="s">
        <v>330</v>
      </c>
      <c r="B35" s="204"/>
      <c r="C35" s="204"/>
      <c r="D35" s="205"/>
      <c r="E35" s="3"/>
      <c r="F35" s="3"/>
      <c r="G35" s="3"/>
      <c r="H35" s="3"/>
      <c r="I35" s="3"/>
      <c r="J35" s="3"/>
      <c r="K35" s="3"/>
      <c r="L35" s="3"/>
      <c r="M35" s="3"/>
      <c r="N35" s="3"/>
      <c r="O35" s="3"/>
      <c r="P35" s="3"/>
      <c r="Q35" s="3"/>
      <c r="R35" s="3"/>
      <c r="S35" s="3"/>
      <c r="T35" s="3"/>
      <c r="U35" s="3"/>
      <c r="V35" s="3"/>
      <c r="W35" s="3"/>
      <c r="X35" s="3"/>
      <c r="Y35" s="3"/>
      <c r="Z35" s="3"/>
    </row>
    <row r="36" spans="1:26" ht="16.5" thickBot="1" x14ac:dyDescent="0.3">
      <c r="A36" s="3"/>
      <c r="B36" s="3"/>
      <c r="C36" s="3"/>
      <c r="D36" s="3"/>
      <c r="E36" s="3"/>
      <c r="F36" s="3" t="s">
        <v>37</v>
      </c>
      <c r="G36" s="3"/>
      <c r="H36" s="3"/>
      <c r="I36" s="3"/>
      <c r="J36" s="3"/>
      <c r="K36" s="3"/>
      <c r="L36" s="3"/>
      <c r="M36" s="777"/>
      <c r="N36" s="3"/>
      <c r="O36" s="3"/>
      <c r="P36" s="3"/>
      <c r="Q36" s="3"/>
      <c r="R36" s="3"/>
      <c r="S36" s="3"/>
      <c r="T36" s="3"/>
      <c r="U36" s="3"/>
      <c r="V36" s="3"/>
      <c r="W36" s="3"/>
      <c r="X36" s="3"/>
      <c r="Y36" s="3"/>
      <c r="Z36" s="3"/>
    </row>
    <row r="37" spans="1:26" ht="16.5" thickBot="1" x14ac:dyDescent="0.3">
      <c r="A37" s="34"/>
      <c r="B37" s="202" t="s">
        <v>86</v>
      </c>
      <c r="C37" s="209"/>
      <c r="D37" s="195"/>
      <c r="E37" s="195"/>
      <c r="F37" s="195"/>
      <c r="G37" s="195"/>
      <c r="H37" s="195"/>
      <c r="I37" s="195"/>
      <c r="J37" s="195"/>
      <c r="K37" s="195"/>
      <c r="L37" s="196"/>
      <c r="M37" s="4"/>
      <c r="N37" s="793"/>
      <c r="O37" s="793"/>
      <c r="P37" s="805"/>
      <c r="Q37" s="805"/>
      <c r="R37" s="805"/>
      <c r="S37" s="108"/>
      <c r="T37" s="108"/>
      <c r="U37" s="3"/>
      <c r="V37" s="3"/>
      <c r="W37" s="3"/>
      <c r="X37" s="3"/>
      <c r="Y37" s="3"/>
      <c r="Z37" s="3"/>
    </row>
    <row r="38" spans="1:26" x14ac:dyDescent="0.2">
      <c r="A38" s="34"/>
      <c r="B38" s="192"/>
      <c r="C38" s="155"/>
      <c r="D38" s="155"/>
      <c r="E38" s="155" t="s">
        <v>74</v>
      </c>
      <c r="F38" s="258">
        <f>'Orbit &amp; Frequency'!N37</f>
        <v>437.45</v>
      </c>
      <c r="G38" s="155" t="s">
        <v>75</v>
      </c>
      <c r="H38" s="155"/>
      <c r="I38" s="155"/>
      <c r="J38" s="155" t="s">
        <v>318</v>
      </c>
      <c r="K38" s="259">
        <f>299.8/F38</f>
        <v>0.68533546691050407</v>
      </c>
      <c r="L38" s="197" t="s">
        <v>76</v>
      </c>
      <c r="M38" s="3"/>
      <c r="N38" s="795"/>
      <c r="O38" s="793"/>
      <c r="P38" s="793"/>
      <c r="Q38" s="793"/>
      <c r="R38" s="793"/>
      <c r="S38" s="108"/>
      <c r="T38" s="108"/>
      <c r="U38" s="108"/>
      <c r="V38" s="108"/>
      <c r="W38" s="3"/>
      <c r="X38" s="3"/>
      <c r="Y38" s="3"/>
      <c r="Z38" s="3"/>
    </row>
    <row r="39" spans="1:26" x14ac:dyDescent="0.2">
      <c r="A39" s="86"/>
      <c r="B39" s="192"/>
      <c r="C39" s="155"/>
      <c r="D39" s="155"/>
      <c r="E39" s="462"/>
      <c r="F39" s="462"/>
      <c r="G39" s="462"/>
      <c r="H39" s="462"/>
      <c r="I39" s="155"/>
      <c r="J39" s="155"/>
      <c r="K39" s="155"/>
      <c r="L39" s="197"/>
      <c r="M39" s="3"/>
      <c r="N39" s="793"/>
      <c r="O39" s="793"/>
      <c r="P39" s="793"/>
      <c r="Q39" s="793"/>
      <c r="R39" s="793"/>
      <c r="S39" s="3"/>
      <c r="T39" s="3"/>
      <c r="U39" s="3"/>
      <c r="V39" s="3"/>
      <c r="W39" s="3"/>
      <c r="X39" s="3"/>
      <c r="Y39" s="3"/>
      <c r="Z39" s="3"/>
    </row>
    <row r="40" spans="1:26" ht="16.5" thickBot="1" x14ac:dyDescent="0.3">
      <c r="A40" s="86"/>
      <c r="B40" s="193" t="s">
        <v>37</v>
      </c>
      <c r="C40" s="155"/>
      <c r="D40" s="155"/>
      <c r="E40" s="155"/>
      <c r="F40" s="216" t="s">
        <v>338</v>
      </c>
      <c r="G40" s="155"/>
      <c r="H40" s="155"/>
      <c r="I40" s="155"/>
      <c r="J40" s="462"/>
      <c r="K40" s="462"/>
      <c r="L40" s="197"/>
      <c r="M40" s="4"/>
      <c r="N40" s="793"/>
      <c r="O40" s="793"/>
      <c r="P40" s="805"/>
      <c r="Q40" s="805"/>
      <c r="R40" s="805"/>
      <c r="S40" s="3"/>
      <c r="T40" s="3"/>
      <c r="U40" s="3"/>
      <c r="V40" s="3"/>
      <c r="W40" s="3"/>
      <c r="X40" s="3"/>
      <c r="Y40" s="3"/>
      <c r="Z40" s="3"/>
    </row>
    <row r="41" spans="1:26" ht="13.5" thickBot="1" x14ac:dyDescent="0.25">
      <c r="A41" s="86"/>
      <c r="B41" s="193"/>
      <c r="C41" s="155"/>
      <c r="D41" s="155"/>
      <c r="E41" s="763">
        <v>2</v>
      </c>
      <c r="F41" s="338" t="str">
        <f>INDEX(B43:B47,E41,1)</f>
        <v>Dipole</v>
      </c>
      <c r="G41" s="200"/>
      <c r="H41" s="155"/>
      <c r="I41" s="155"/>
      <c r="J41" s="155" t="s">
        <v>291</v>
      </c>
      <c r="K41" s="286" t="s">
        <v>188</v>
      </c>
      <c r="L41" s="197"/>
      <c r="M41" s="4"/>
      <c r="N41" s="795"/>
      <c r="O41" s="793"/>
      <c r="P41" s="793"/>
      <c r="Q41" s="793"/>
      <c r="R41" s="793"/>
      <c r="S41" s="3"/>
      <c r="T41" s="3"/>
      <c r="U41" s="3"/>
      <c r="V41" s="3"/>
      <c r="W41" s="3"/>
      <c r="X41" s="3"/>
      <c r="Y41" s="3"/>
      <c r="Z41" s="3"/>
    </row>
    <row r="42" spans="1:26" ht="13.5" thickBot="1" x14ac:dyDescent="0.25">
      <c r="A42" s="231" t="s">
        <v>336</v>
      </c>
      <c r="B42" s="192"/>
      <c r="C42" s="155"/>
      <c r="D42" s="155"/>
      <c r="E42" s="155"/>
      <c r="F42" s="155" t="s">
        <v>37</v>
      </c>
      <c r="G42" s="155"/>
      <c r="H42" s="155"/>
      <c r="I42" s="155"/>
      <c r="J42" s="155"/>
      <c r="K42" s="155"/>
      <c r="L42" s="197"/>
      <c r="M42" s="3"/>
      <c r="N42" s="3"/>
      <c r="O42" s="3"/>
      <c r="P42" s="3"/>
      <c r="Q42" s="3"/>
      <c r="R42" s="3"/>
      <c r="S42" s="3"/>
      <c r="T42" s="3"/>
      <c r="U42" s="3"/>
      <c r="V42" s="3"/>
      <c r="W42" s="3"/>
      <c r="X42" s="3"/>
      <c r="Y42" s="3"/>
      <c r="Z42" s="3"/>
    </row>
    <row r="43" spans="1:26" ht="36" customHeight="1" x14ac:dyDescent="0.2">
      <c r="A43" s="151">
        <v>1</v>
      </c>
      <c r="B43" s="152" t="s">
        <v>325</v>
      </c>
      <c r="C43" s="152"/>
      <c r="D43" s="152"/>
      <c r="E43" s="152"/>
      <c r="F43" s="152"/>
      <c r="G43" s="152" t="s">
        <v>290</v>
      </c>
      <c r="H43" s="215">
        <v>2.15</v>
      </c>
      <c r="I43" s="152" t="s">
        <v>294</v>
      </c>
      <c r="J43" s="152"/>
      <c r="K43" s="152" t="s">
        <v>292</v>
      </c>
      <c r="L43" s="215">
        <v>156.19999999999999</v>
      </c>
      <c r="M43" s="152" t="s">
        <v>239</v>
      </c>
      <c r="N43" s="152" t="s">
        <v>319</v>
      </c>
      <c r="O43" s="152"/>
      <c r="P43" s="152"/>
      <c r="Q43" s="152"/>
      <c r="R43" s="152"/>
      <c r="S43" s="152"/>
      <c r="T43" s="152"/>
      <c r="U43" s="152"/>
      <c r="V43" s="153"/>
      <c r="W43" s="3"/>
      <c r="X43" s="3"/>
      <c r="Y43" s="3"/>
      <c r="Z43" s="3"/>
    </row>
    <row r="44" spans="1:26" ht="36" customHeight="1" x14ac:dyDescent="0.2">
      <c r="A44" s="154">
        <v>2</v>
      </c>
      <c r="B44" s="155" t="s">
        <v>326</v>
      </c>
      <c r="C44" s="155"/>
      <c r="D44" s="155"/>
      <c r="E44" s="155"/>
      <c r="F44" s="155"/>
      <c r="G44" s="155" t="s">
        <v>290</v>
      </c>
      <c r="H44" s="206">
        <v>2.15</v>
      </c>
      <c r="I44" s="155" t="s">
        <v>294</v>
      </c>
      <c r="J44" s="155"/>
      <c r="K44" s="155" t="s">
        <v>292</v>
      </c>
      <c r="L44" s="206">
        <v>156.19999999999999</v>
      </c>
      <c r="M44" s="155" t="s">
        <v>239</v>
      </c>
      <c r="N44" s="155" t="s">
        <v>301</v>
      </c>
      <c r="O44" s="155"/>
      <c r="P44" s="155"/>
      <c r="Q44" s="155"/>
      <c r="R44" s="155"/>
      <c r="S44" s="155"/>
      <c r="T44" s="155"/>
      <c r="U44" s="155"/>
      <c r="V44" s="157"/>
      <c r="W44" s="3"/>
      <c r="X44" s="3"/>
      <c r="Y44" s="3"/>
      <c r="Z44" s="3"/>
    </row>
    <row r="45" spans="1:26" ht="36" customHeight="1" x14ac:dyDescent="0.2">
      <c r="A45" s="158">
        <v>3</v>
      </c>
      <c r="B45" s="105" t="s">
        <v>327</v>
      </c>
      <c r="C45" s="105"/>
      <c r="D45" s="105"/>
      <c r="E45" s="105"/>
      <c r="F45" s="105"/>
      <c r="G45" s="105" t="s">
        <v>290</v>
      </c>
      <c r="H45" s="210">
        <f>IF(K56=K41, 2, 0.5)</f>
        <v>0.5</v>
      </c>
      <c r="I45" s="105" t="s">
        <v>105</v>
      </c>
      <c r="J45" s="105" t="s">
        <v>303</v>
      </c>
      <c r="K45" s="105" t="s">
        <v>292</v>
      </c>
      <c r="L45" s="206">
        <v>180</v>
      </c>
      <c r="M45" s="105" t="s">
        <v>239</v>
      </c>
      <c r="N45" s="105" t="s">
        <v>302</v>
      </c>
      <c r="O45" s="105"/>
      <c r="P45" s="105"/>
      <c r="Q45" s="105"/>
      <c r="R45" s="105"/>
      <c r="S45" s="105"/>
      <c r="T45" s="105"/>
      <c r="U45" s="105"/>
      <c r="V45" s="106"/>
      <c r="W45" s="3"/>
      <c r="X45" s="3"/>
      <c r="Y45" s="3"/>
      <c r="Z45" s="3"/>
    </row>
    <row r="46" spans="1:26" ht="36" customHeight="1" x14ac:dyDescent="0.2">
      <c r="A46" s="154">
        <v>4</v>
      </c>
      <c r="B46" s="155" t="s">
        <v>328</v>
      </c>
      <c r="C46" s="155"/>
      <c r="D46" s="207" t="s">
        <v>298</v>
      </c>
      <c r="E46" s="155" t="s">
        <v>299</v>
      </c>
      <c r="F46" s="155"/>
      <c r="G46" s="155" t="s">
        <v>290</v>
      </c>
      <c r="H46" s="210">
        <v>4</v>
      </c>
      <c r="I46" s="155" t="s">
        <v>105</v>
      </c>
      <c r="J46" s="155"/>
      <c r="K46" s="155" t="s">
        <v>292</v>
      </c>
      <c r="L46" s="206">
        <v>150</v>
      </c>
      <c r="M46" s="155" t="s">
        <v>239</v>
      </c>
      <c r="N46" s="155" t="s">
        <v>300</v>
      </c>
      <c r="O46" s="155"/>
      <c r="P46" s="155"/>
      <c r="Q46" s="155"/>
      <c r="R46" s="155"/>
      <c r="S46" s="155"/>
      <c r="T46" s="155"/>
      <c r="U46" s="155"/>
      <c r="V46" s="157"/>
      <c r="W46" s="3"/>
      <c r="X46" s="3"/>
      <c r="Y46" s="3"/>
      <c r="Z46" s="3"/>
    </row>
    <row r="47" spans="1:26" ht="36" customHeight="1" thickBot="1" x14ac:dyDescent="0.25">
      <c r="A47" s="214">
        <v>5</v>
      </c>
      <c r="B47" s="211" t="s">
        <v>329</v>
      </c>
      <c r="C47" s="211"/>
      <c r="D47" s="310" t="s">
        <v>940</v>
      </c>
      <c r="E47" s="211"/>
      <c r="F47" s="211"/>
      <c r="G47" s="211" t="s">
        <v>290</v>
      </c>
      <c r="H47" s="164">
        <v>10</v>
      </c>
      <c r="I47" s="211" t="s">
        <v>616</v>
      </c>
      <c r="J47" s="211"/>
      <c r="K47" s="211" t="s">
        <v>292</v>
      </c>
      <c r="L47" s="212">
        <v>52</v>
      </c>
      <c r="M47" s="211" t="s">
        <v>239</v>
      </c>
      <c r="N47" s="211" t="s">
        <v>921</v>
      </c>
      <c r="O47" s="211"/>
      <c r="P47" s="211"/>
      <c r="Q47" s="211"/>
      <c r="R47" s="211"/>
      <c r="S47" s="211"/>
      <c r="T47" s="211"/>
      <c r="U47" s="211"/>
      <c r="V47" s="213"/>
      <c r="W47" s="3"/>
      <c r="X47" s="3"/>
      <c r="Y47" s="3"/>
      <c r="Z47" s="3"/>
    </row>
    <row r="48" spans="1:26"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6.5" thickBot="1" x14ac:dyDescent="0.3">
      <c r="A51" s="3"/>
      <c r="B51" s="3"/>
      <c r="C51" s="3"/>
      <c r="D51" s="3"/>
      <c r="E51" s="3"/>
      <c r="F51" s="3"/>
      <c r="G51" s="3"/>
      <c r="H51" s="3"/>
      <c r="I51" s="3"/>
      <c r="J51" s="3"/>
      <c r="K51" s="3"/>
      <c r="L51" s="3"/>
      <c r="M51" s="777"/>
      <c r="N51" s="3"/>
      <c r="O51" s="3"/>
      <c r="P51" s="3"/>
      <c r="Q51" s="3"/>
      <c r="R51" s="3"/>
      <c r="S51" s="3"/>
      <c r="T51" s="3"/>
      <c r="U51" s="3"/>
      <c r="V51" s="3"/>
      <c r="W51" s="3"/>
      <c r="X51" s="3"/>
      <c r="Y51" s="3"/>
      <c r="Z51" s="3"/>
    </row>
    <row r="52" spans="1:26" ht="16.5" thickBot="1" x14ac:dyDescent="0.3">
      <c r="A52" s="3"/>
      <c r="B52" s="202" t="s">
        <v>324</v>
      </c>
      <c r="C52" s="201"/>
      <c r="D52" s="195"/>
      <c r="E52" s="195"/>
      <c r="F52" s="195"/>
      <c r="G52" s="195"/>
      <c r="H52" s="195"/>
      <c r="I52" s="195"/>
      <c r="J52" s="195"/>
      <c r="K52" s="195"/>
      <c r="L52" s="196"/>
      <c r="M52" s="4"/>
      <c r="N52" s="793"/>
      <c r="O52" s="793"/>
      <c r="P52" s="805"/>
      <c r="Q52" s="805"/>
      <c r="R52" s="805"/>
      <c r="S52" s="3"/>
      <c r="T52" s="3"/>
      <c r="U52" s="3"/>
      <c r="V52" s="3"/>
      <c r="W52" s="3"/>
      <c r="X52" s="3"/>
      <c r="Y52" s="3"/>
      <c r="Z52" s="3"/>
    </row>
    <row r="53" spans="1:26" x14ac:dyDescent="0.2">
      <c r="A53" s="255"/>
      <c r="B53" s="228" t="s">
        <v>37</v>
      </c>
      <c r="C53" s="228"/>
      <c r="D53" s="228"/>
      <c r="E53" s="229" t="s">
        <v>74</v>
      </c>
      <c r="F53" s="260">
        <f>F38</f>
        <v>437.45</v>
      </c>
      <c r="G53" s="155" t="s">
        <v>75</v>
      </c>
      <c r="H53" s="155"/>
      <c r="I53" s="155"/>
      <c r="J53" s="155" t="s">
        <v>318</v>
      </c>
      <c r="K53" s="261">
        <f>299.8/F53</f>
        <v>0.68533546691050407</v>
      </c>
      <c r="L53" s="197" t="s">
        <v>76</v>
      </c>
      <c r="M53" s="3"/>
      <c r="N53" s="795"/>
      <c r="O53" s="793"/>
      <c r="P53" s="793"/>
      <c r="Q53" s="793"/>
      <c r="R53" s="793"/>
      <c r="S53" s="3"/>
      <c r="T53" s="3"/>
      <c r="U53" s="3"/>
      <c r="V53" s="3"/>
      <c r="W53" s="3"/>
      <c r="X53" s="3"/>
      <c r="Y53" s="3"/>
      <c r="Z53" s="3"/>
    </row>
    <row r="54" spans="1:26" x14ac:dyDescent="0.2">
      <c r="A54" s="3"/>
      <c r="B54" s="192"/>
      <c r="C54" s="155"/>
      <c r="D54" s="155"/>
      <c r="E54" s="155"/>
      <c r="F54" s="155"/>
      <c r="G54" s="155"/>
      <c r="H54" s="155"/>
      <c r="I54" s="155"/>
      <c r="J54" s="155"/>
      <c r="K54" s="155"/>
      <c r="L54" s="197"/>
      <c r="M54" s="3"/>
      <c r="N54" s="793"/>
      <c r="O54" s="793"/>
      <c r="P54" s="793"/>
      <c r="Q54" s="793"/>
      <c r="R54" s="793"/>
      <c r="S54" s="3"/>
      <c r="T54" s="3"/>
      <c r="U54" s="3"/>
      <c r="V54" s="3"/>
      <c r="W54" s="3"/>
      <c r="X54" s="3"/>
      <c r="Y54" s="3"/>
      <c r="Z54" s="3"/>
    </row>
    <row r="55" spans="1:26" ht="16.5" thickBot="1" x14ac:dyDescent="0.3">
      <c r="A55" s="86"/>
      <c r="B55" s="192"/>
      <c r="C55" s="155"/>
      <c r="D55" s="155"/>
      <c r="E55" s="155"/>
      <c r="F55" s="216" t="s">
        <v>337</v>
      </c>
      <c r="G55" s="155"/>
      <c r="H55" s="155"/>
      <c r="I55" s="155"/>
      <c r="J55" s="155"/>
      <c r="K55" s="155"/>
      <c r="L55" s="197"/>
      <c r="M55" s="4"/>
      <c r="N55" s="793"/>
      <c r="O55" s="793"/>
      <c r="P55" s="805"/>
      <c r="Q55" s="805"/>
      <c r="R55" s="805"/>
      <c r="S55" s="3"/>
      <c r="T55" s="3"/>
      <c r="U55" s="3"/>
      <c r="V55" s="3"/>
      <c r="W55" s="3"/>
      <c r="X55" s="3"/>
      <c r="Y55" s="3"/>
      <c r="Z55" s="3"/>
    </row>
    <row r="56" spans="1:26" ht="13.5" thickBot="1" x14ac:dyDescent="0.25">
      <c r="A56" s="86"/>
      <c r="B56" s="193" t="s">
        <v>37</v>
      </c>
      <c r="C56" s="155"/>
      <c r="D56" s="155"/>
      <c r="E56" s="763">
        <v>2</v>
      </c>
      <c r="F56" s="762" t="str">
        <f>INDEX(B58:B61,E56,1)</f>
        <v>Helix</v>
      </c>
      <c r="G56" s="200"/>
      <c r="H56" s="155"/>
      <c r="I56" s="155"/>
      <c r="J56" s="155" t="s">
        <v>291</v>
      </c>
      <c r="K56" s="286" t="s">
        <v>293</v>
      </c>
      <c r="L56" s="197"/>
      <c r="M56" s="3"/>
      <c r="N56" s="795"/>
      <c r="O56" s="793"/>
      <c r="P56" s="793"/>
      <c r="Q56" s="793"/>
      <c r="R56" s="793"/>
      <c r="S56" s="3"/>
      <c r="T56" s="3"/>
      <c r="U56" s="3"/>
      <c r="V56" s="3"/>
      <c r="W56" s="3"/>
      <c r="X56" s="3"/>
      <c r="Y56" s="3"/>
      <c r="Z56" s="3"/>
    </row>
    <row r="57" spans="1:26" ht="13.5" thickBot="1" x14ac:dyDescent="0.25">
      <c r="A57" s="426" t="s">
        <v>336</v>
      </c>
      <c r="B57" s="252"/>
      <c r="C57" s="253"/>
      <c r="D57" s="253"/>
      <c r="E57" s="253"/>
      <c r="F57" s="253"/>
      <c r="G57" s="253"/>
      <c r="H57" s="253"/>
      <c r="I57" s="253"/>
      <c r="J57" s="253"/>
      <c r="K57" s="253"/>
      <c r="L57" s="254"/>
      <c r="M57" s="3"/>
      <c r="N57" s="3"/>
      <c r="O57" s="3"/>
      <c r="P57" s="3"/>
      <c r="Q57" s="3"/>
      <c r="R57" s="3"/>
      <c r="S57" s="3"/>
      <c r="T57" s="3"/>
      <c r="U57" s="3"/>
      <c r="V57" s="3"/>
      <c r="W57" s="3"/>
      <c r="X57" s="3"/>
      <c r="Y57" s="3"/>
      <c r="Z57" s="3"/>
    </row>
    <row r="58" spans="1:26" ht="36" customHeight="1" x14ac:dyDescent="0.2">
      <c r="A58" s="191">
        <v>1</v>
      </c>
      <c r="B58" s="186" t="s">
        <v>308</v>
      </c>
      <c r="C58" s="186"/>
      <c r="D58" s="187" t="s">
        <v>304</v>
      </c>
      <c r="E58" s="188">
        <v>2</v>
      </c>
      <c r="F58" s="186"/>
      <c r="G58" s="187" t="s">
        <v>306</v>
      </c>
      <c r="H58" s="189">
        <v>12</v>
      </c>
      <c r="I58" s="186" t="s">
        <v>305</v>
      </c>
      <c r="J58" s="190" t="s">
        <v>317</v>
      </c>
      <c r="K58" s="186"/>
      <c r="L58" s="186"/>
      <c r="M58" s="167" t="s">
        <v>307</v>
      </c>
      <c r="N58" s="168">
        <f>IF(E58&lt;$B$70,"too short!",INDEX($F$70:$F$108,MATCH(E58,$B$70:$B$108,1),1))</f>
        <v>14.05</v>
      </c>
      <c r="O58" s="166" t="s">
        <v>105</v>
      </c>
      <c r="P58" s="166" t="s">
        <v>292</v>
      </c>
      <c r="Q58" s="169">
        <f>SQRT(40000/(10^(N58/10)))</f>
        <v>39.676193136730106</v>
      </c>
      <c r="R58" s="166" t="s">
        <v>239</v>
      </c>
      <c r="S58" s="166" t="s">
        <v>320</v>
      </c>
      <c r="T58" s="166"/>
      <c r="U58" s="170">
        <f>K53*E58</f>
        <v>1.3706709338210081</v>
      </c>
      <c r="V58" s="171" t="s">
        <v>76</v>
      </c>
      <c r="W58" s="3"/>
      <c r="X58" s="3"/>
      <c r="Y58" s="3"/>
      <c r="Z58" s="3"/>
    </row>
    <row r="59" spans="1:26" ht="35.25" customHeight="1" x14ac:dyDescent="0.2">
      <c r="A59" s="172">
        <v>2</v>
      </c>
      <c r="B59" s="173" t="s">
        <v>321</v>
      </c>
      <c r="C59" s="173"/>
      <c r="D59" s="173" t="s">
        <v>296</v>
      </c>
      <c r="E59" s="174">
        <v>10</v>
      </c>
      <c r="F59" s="173"/>
      <c r="G59" s="175" t="s">
        <v>297</v>
      </c>
      <c r="H59" s="174">
        <v>0.25</v>
      </c>
      <c r="I59" s="173"/>
      <c r="J59" s="175" t="s">
        <v>295</v>
      </c>
      <c r="K59" s="176">
        <v>1</v>
      </c>
      <c r="L59" s="173"/>
      <c r="M59" s="173" t="s">
        <v>290</v>
      </c>
      <c r="N59" s="177">
        <f>10*LOG10(15*K59^2*E59*H59)</f>
        <v>15.740312677277188</v>
      </c>
      <c r="O59" s="173" t="s">
        <v>105</v>
      </c>
      <c r="P59" s="173" t="s">
        <v>292</v>
      </c>
      <c r="Q59" s="178">
        <f>52.2/(K59*((E59*H59)^0.5))</f>
        <v>33.014178772157877</v>
      </c>
      <c r="R59" s="173" t="s">
        <v>239</v>
      </c>
      <c r="S59" s="416" t="s">
        <v>320</v>
      </c>
      <c r="T59" s="416"/>
      <c r="U59" s="415">
        <f>H59*E59*K53</f>
        <v>1.7133386672762603</v>
      </c>
      <c r="V59" s="179" t="s">
        <v>76</v>
      </c>
      <c r="W59" s="3"/>
      <c r="X59" s="3"/>
      <c r="Y59" s="3"/>
      <c r="Z59" s="3"/>
    </row>
    <row r="60" spans="1:26" ht="36" customHeight="1" x14ac:dyDescent="0.2">
      <c r="A60" s="180">
        <v>3</v>
      </c>
      <c r="B60" s="181" t="s">
        <v>322</v>
      </c>
      <c r="C60" s="181"/>
      <c r="D60" s="181"/>
      <c r="E60" s="181"/>
      <c r="F60" s="181"/>
      <c r="G60" s="182" t="s">
        <v>289</v>
      </c>
      <c r="H60" s="183">
        <v>5.4</v>
      </c>
      <c r="I60" s="181"/>
      <c r="J60" s="182" t="s">
        <v>282</v>
      </c>
      <c r="K60" s="184">
        <v>0.55000000000000004</v>
      </c>
      <c r="L60" s="181"/>
      <c r="M60" s="181" t="s">
        <v>290</v>
      </c>
      <c r="N60" s="177">
        <f>20.4+20*LOG10(H60)+20*LOG10(F53/1000)+10*LOG10(K60)</f>
        <v>25.27007050873846</v>
      </c>
      <c r="O60" s="181" t="s">
        <v>105</v>
      </c>
      <c r="P60" s="181" t="s">
        <v>292</v>
      </c>
      <c r="Q60" s="178">
        <f>21/(F53/1000)*H60</f>
        <v>259.22962624299919</v>
      </c>
      <c r="R60" s="181" t="s">
        <v>239</v>
      </c>
      <c r="S60" s="181"/>
      <c r="T60" s="181"/>
      <c r="U60" s="181"/>
      <c r="V60" s="185"/>
      <c r="W60" s="3"/>
      <c r="X60" s="3"/>
      <c r="Y60" s="3"/>
      <c r="Z60" s="3"/>
    </row>
    <row r="61" spans="1:26" ht="36" customHeight="1" thickBot="1" x14ac:dyDescent="0.25">
      <c r="A61" s="159">
        <v>4</v>
      </c>
      <c r="B61" s="160" t="s">
        <v>323</v>
      </c>
      <c r="C61" s="160"/>
      <c r="D61" s="792" t="s">
        <v>922</v>
      </c>
      <c r="E61" s="778"/>
      <c r="F61" s="778"/>
      <c r="G61" s="742"/>
      <c r="H61" s="779"/>
      <c r="I61" s="160"/>
      <c r="J61" s="161"/>
      <c r="K61" s="162"/>
      <c r="L61" s="160"/>
      <c r="M61" s="160" t="s">
        <v>290</v>
      </c>
      <c r="N61" s="163">
        <f>15.5+2.15</f>
        <v>17.649999999999999</v>
      </c>
      <c r="O61" s="160" t="s">
        <v>105</v>
      </c>
      <c r="P61" s="160" t="s">
        <v>292</v>
      </c>
      <c r="Q61" s="164">
        <v>24</v>
      </c>
      <c r="R61" s="160" t="s">
        <v>239</v>
      </c>
      <c r="S61" s="160" t="s">
        <v>523</v>
      </c>
      <c r="T61" s="160"/>
      <c r="U61" s="780">
        <f>K53*4.39</f>
        <v>3.0086226997371126</v>
      </c>
      <c r="V61" s="165" t="s">
        <v>76</v>
      </c>
      <c r="W61" s="3"/>
      <c r="X61" s="3"/>
      <c r="Y61" s="3"/>
      <c r="Z61" s="3"/>
    </row>
    <row r="62" spans="1:26"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3.5" thickBot="1" x14ac:dyDescent="0.25">
      <c r="A64" s="3"/>
      <c r="B64" s="3"/>
      <c r="C64" s="3"/>
      <c r="D64" s="3" t="s">
        <v>339</v>
      </c>
      <c r="E64" s="3"/>
      <c r="F64" s="3"/>
      <c r="G64" s="3"/>
      <c r="H64" s="3"/>
      <c r="I64" s="3"/>
      <c r="J64" s="3"/>
      <c r="K64" s="3"/>
      <c r="L64" s="3"/>
      <c r="M64" s="3"/>
      <c r="N64" s="3"/>
      <c r="O64" s="3"/>
      <c r="P64" s="3"/>
      <c r="Q64" s="3"/>
      <c r="R64" s="3"/>
      <c r="S64" s="3"/>
      <c r="T64" s="3"/>
      <c r="U64" s="3"/>
      <c r="V64" s="3"/>
      <c r="W64" s="3"/>
      <c r="X64" s="3"/>
      <c r="Y64" s="3"/>
      <c r="Z64" s="3"/>
    </row>
    <row r="65" spans="1:26" ht="16.5" thickBot="1" x14ac:dyDescent="0.3">
      <c r="A65" s="3"/>
      <c r="B65" s="233" t="s">
        <v>310</v>
      </c>
      <c r="C65" s="234"/>
      <c r="D65" s="234"/>
      <c r="E65" s="234"/>
      <c r="F65" s="209"/>
      <c r="G65" s="3"/>
      <c r="H65" s="3"/>
      <c r="I65" s="3"/>
      <c r="J65" s="3"/>
      <c r="K65" s="3"/>
      <c r="L65" s="3"/>
      <c r="M65" s="3"/>
      <c r="N65" s="3"/>
      <c r="O65" s="3"/>
      <c r="P65" s="3"/>
      <c r="Q65" s="3"/>
      <c r="R65" s="3"/>
      <c r="S65" s="3"/>
      <c r="T65" s="3"/>
      <c r="U65" s="3"/>
      <c r="V65" s="3"/>
      <c r="W65" s="3"/>
      <c r="X65" s="3"/>
      <c r="Y65" s="3"/>
      <c r="Z65" s="3"/>
    </row>
    <row r="66" spans="1:26" x14ac:dyDescent="0.2">
      <c r="A66" s="3"/>
      <c r="B66" s="221"/>
      <c r="C66" s="105"/>
      <c r="D66" s="105"/>
      <c r="E66" s="105"/>
      <c r="F66" s="220"/>
      <c r="G66" s="3"/>
      <c r="H66" s="3"/>
      <c r="I66" s="3"/>
      <c r="J66" s="3"/>
      <c r="K66" s="3"/>
      <c r="L66" s="3"/>
      <c r="M66" s="3"/>
      <c r="N66" s="3"/>
      <c r="O66" s="3"/>
      <c r="P66" s="3"/>
      <c r="Q66" s="3"/>
      <c r="R66" s="3"/>
      <c r="S66" s="3"/>
      <c r="T66" s="3"/>
      <c r="U66" s="3"/>
      <c r="V66" s="3"/>
      <c r="W66" s="3"/>
      <c r="X66" s="3"/>
      <c r="Y66" s="3"/>
      <c r="Z66" s="3"/>
    </row>
    <row r="67" spans="1:26" x14ac:dyDescent="0.2">
      <c r="A67" s="3"/>
      <c r="B67" s="219" t="s">
        <v>311</v>
      </c>
      <c r="C67" s="105"/>
      <c r="D67" s="105" t="s">
        <v>313</v>
      </c>
      <c r="E67" s="105"/>
      <c r="F67" s="220" t="s">
        <v>315</v>
      </c>
      <c r="G67" s="3"/>
      <c r="H67" s="3"/>
      <c r="I67" s="3"/>
      <c r="J67" s="3"/>
      <c r="K67" s="3"/>
      <c r="L67" s="3"/>
      <c r="M67" s="3"/>
      <c r="N67" s="3"/>
      <c r="O67" s="3"/>
      <c r="P67" s="3"/>
      <c r="Q67" s="3"/>
      <c r="R67" s="3"/>
      <c r="S67" s="3"/>
      <c r="T67" s="3"/>
      <c r="U67" s="3"/>
      <c r="V67" s="3"/>
      <c r="W67" s="3"/>
      <c r="X67" s="3"/>
      <c r="Y67" s="3"/>
      <c r="Z67" s="3"/>
    </row>
    <row r="68" spans="1:26" x14ac:dyDescent="0.2">
      <c r="A68" s="3"/>
      <c r="B68" s="219" t="s">
        <v>312</v>
      </c>
      <c r="C68" s="105"/>
      <c r="D68" s="105" t="s">
        <v>314</v>
      </c>
      <c r="E68" s="105"/>
      <c r="F68" s="220" t="s">
        <v>316</v>
      </c>
      <c r="G68" s="3"/>
      <c r="H68" s="3"/>
      <c r="I68" s="3"/>
      <c r="J68" s="3"/>
      <c r="K68" s="3"/>
      <c r="L68" s="3"/>
      <c r="M68" s="3"/>
      <c r="N68" s="3"/>
      <c r="O68" s="3"/>
      <c r="P68" s="3"/>
      <c r="Q68" s="3"/>
      <c r="R68" s="3"/>
      <c r="S68" s="3"/>
      <c r="T68" s="3"/>
      <c r="U68" s="3"/>
      <c r="V68" s="3"/>
      <c r="W68" s="3"/>
      <c r="X68" s="3"/>
      <c r="Y68" s="3"/>
      <c r="Z68" s="3"/>
    </row>
    <row r="69" spans="1:26" x14ac:dyDescent="0.2">
      <c r="A69" s="3"/>
      <c r="B69" s="221"/>
      <c r="C69" s="105"/>
      <c r="D69" s="105"/>
      <c r="E69" s="105"/>
      <c r="F69" s="220"/>
      <c r="G69" s="3"/>
      <c r="H69" s="3"/>
      <c r="I69" s="3"/>
      <c r="J69" s="3"/>
      <c r="K69" s="3"/>
      <c r="L69" s="3"/>
      <c r="M69" s="3"/>
      <c r="N69" s="3"/>
      <c r="O69" s="3"/>
      <c r="P69" s="3"/>
      <c r="Q69" s="3"/>
      <c r="R69" s="3"/>
      <c r="S69" s="3"/>
      <c r="T69" s="3"/>
      <c r="U69" s="3"/>
      <c r="V69" s="3"/>
      <c r="W69" s="3"/>
      <c r="X69" s="3"/>
      <c r="Y69" s="3"/>
      <c r="Z69" s="3"/>
    </row>
    <row r="70" spans="1:26" x14ac:dyDescent="0.2">
      <c r="A70" s="3"/>
      <c r="B70" s="222">
        <v>0.35</v>
      </c>
      <c r="C70" s="223"/>
      <c r="D70" s="223">
        <v>3</v>
      </c>
      <c r="E70" s="223"/>
      <c r="F70" s="224">
        <v>9.65</v>
      </c>
      <c r="G70" s="3"/>
      <c r="H70" s="3"/>
      <c r="I70" s="3"/>
      <c r="J70" s="3"/>
      <c r="K70" s="3"/>
      <c r="L70" s="3"/>
      <c r="M70" s="3"/>
      <c r="N70" s="3"/>
      <c r="O70" s="3"/>
      <c r="P70" s="3"/>
      <c r="Q70" s="3"/>
      <c r="R70" s="3"/>
      <c r="S70" s="3"/>
      <c r="T70" s="3"/>
      <c r="U70" s="3"/>
      <c r="V70" s="3"/>
      <c r="W70" s="3"/>
      <c r="X70" s="3"/>
      <c r="Y70" s="3"/>
      <c r="Z70" s="3"/>
    </row>
    <row r="71" spans="1:26" x14ac:dyDescent="0.2">
      <c r="A71" s="3"/>
      <c r="B71" s="222" t="s">
        <v>37</v>
      </c>
      <c r="C71" s="223"/>
      <c r="D71" s="223"/>
      <c r="E71" s="223"/>
      <c r="F71" s="224"/>
      <c r="G71" s="3"/>
      <c r="H71" s="3"/>
      <c r="I71" s="3"/>
      <c r="J71" s="3"/>
      <c r="K71" s="3"/>
      <c r="L71" s="3"/>
      <c r="M71" s="3"/>
      <c r="N71" s="3"/>
      <c r="O71" s="3"/>
      <c r="P71" s="3"/>
      <c r="Q71" s="3"/>
      <c r="R71" s="3"/>
      <c r="S71" s="3"/>
      <c r="T71" s="3"/>
      <c r="U71" s="3"/>
      <c r="V71" s="3"/>
      <c r="W71" s="3"/>
      <c r="X71" s="3"/>
      <c r="Y71" s="3"/>
      <c r="Z71" s="3"/>
    </row>
    <row r="72" spans="1:26" x14ac:dyDescent="0.2">
      <c r="A72" s="3"/>
      <c r="B72" s="222">
        <v>0.55000000000000004</v>
      </c>
      <c r="C72" s="223"/>
      <c r="D72" s="223">
        <v>4</v>
      </c>
      <c r="E72" s="223"/>
      <c r="F72" s="224">
        <v>10.86</v>
      </c>
      <c r="G72" s="3"/>
      <c r="H72" s="3"/>
      <c r="I72" s="3"/>
      <c r="J72" s="3"/>
      <c r="K72" s="3"/>
      <c r="L72" s="3"/>
      <c r="M72" s="3"/>
      <c r="N72" s="3"/>
      <c r="O72" s="3"/>
      <c r="P72" s="3"/>
      <c r="Q72" s="3"/>
      <c r="R72" s="3"/>
      <c r="S72" s="3"/>
      <c r="T72" s="3"/>
      <c r="U72" s="3"/>
      <c r="V72" s="3"/>
      <c r="W72" s="3"/>
      <c r="X72" s="3"/>
      <c r="Y72" s="3"/>
      <c r="Z72" s="3"/>
    </row>
    <row r="73" spans="1:26" x14ac:dyDescent="0.2">
      <c r="A73" s="3"/>
      <c r="B73" s="222"/>
      <c r="C73" s="223"/>
      <c r="D73" s="223"/>
      <c r="E73" s="223"/>
      <c r="F73" s="224"/>
      <c r="G73" s="3"/>
      <c r="H73" s="3"/>
      <c r="I73" s="3"/>
      <c r="J73" s="3"/>
      <c r="K73" s="3"/>
      <c r="L73" s="3"/>
      <c r="M73" s="3"/>
      <c r="N73" s="3"/>
      <c r="O73" s="3"/>
      <c r="P73" s="3"/>
      <c r="Q73" s="3"/>
      <c r="R73" s="3"/>
      <c r="S73" s="3"/>
      <c r="T73" s="3"/>
      <c r="U73" s="3"/>
      <c r="V73" s="3"/>
      <c r="W73" s="3"/>
      <c r="X73" s="3"/>
      <c r="Y73" s="3"/>
      <c r="Z73" s="3"/>
    </row>
    <row r="74" spans="1:26" x14ac:dyDescent="0.2">
      <c r="A74" s="3"/>
      <c r="B74" s="222">
        <v>0.8</v>
      </c>
      <c r="C74" s="223"/>
      <c r="D74" s="223">
        <v>5</v>
      </c>
      <c r="E74" s="223"/>
      <c r="F74" s="224">
        <v>11.85</v>
      </c>
      <c r="G74" s="3"/>
      <c r="H74" s="3"/>
      <c r="I74" s="3"/>
      <c r="J74" s="3"/>
      <c r="K74" s="3"/>
      <c r="L74" s="3"/>
      <c r="M74" s="3"/>
      <c r="N74" s="3"/>
      <c r="O74" s="3"/>
      <c r="P74" s="3"/>
      <c r="Q74" s="3"/>
      <c r="R74" s="3"/>
      <c r="S74" s="3"/>
      <c r="T74" s="3"/>
      <c r="U74" s="3"/>
      <c r="V74" s="3"/>
      <c r="W74" s="3"/>
      <c r="X74" s="3"/>
      <c r="Y74" s="3"/>
      <c r="Z74" s="3"/>
    </row>
    <row r="75" spans="1:26" x14ac:dyDescent="0.2">
      <c r="A75" s="3"/>
      <c r="B75" s="222"/>
      <c r="C75" s="223"/>
      <c r="D75" s="223"/>
      <c r="E75" s="223"/>
      <c r="F75" s="224"/>
      <c r="G75" s="3"/>
      <c r="H75" s="3"/>
      <c r="I75" s="3"/>
      <c r="J75" s="3"/>
      <c r="K75" s="3"/>
      <c r="L75" s="3"/>
      <c r="M75" s="3"/>
      <c r="N75" s="3"/>
      <c r="O75" s="3"/>
      <c r="P75" s="3"/>
      <c r="Q75" s="3"/>
      <c r="R75" s="3"/>
      <c r="S75" s="3"/>
      <c r="T75" s="3"/>
      <c r="U75" s="3"/>
      <c r="V75" s="3"/>
      <c r="W75" s="3"/>
      <c r="X75" s="3"/>
      <c r="Y75" s="3"/>
      <c r="Z75" s="3"/>
    </row>
    <row r="76" spans="1:26" x14ac:dyDescent="0.2">
      <c r="A76" s="3"/>
      <c r="B76" s="222">
        <v>1.1499999999999999</v>
      </c>
      <c r="C76" s="223"/>
      <c r="D76" s="223">
        <v>6</v>
      </c>
      <c r="E76" s="223"/>
      <c r="F76" s="224">
        <v>12.45</v>
      </c>
      <c r="G76" s="3"/>
      <c r="H76" s="3"/>
      <c r="I76" s="3"/>
      <c r="J76" s="3"/>
      <c r="K76" s="3"/>
      <c r="L76" s="3"/>
      <c r="M76" s="3"/>
      <c r="N76" s="3"/>
      <c r="O76" s="3"/>
      <c r="P76" s="3"/>
      <c r="Q76" s="3"/>
      <c r="R76" s="3"/>
      <c r="S76" s="3"/>
      <c r="T76" s="3"/>
      <c r="U76" s="3"/>
      <c r="V76" s="3"/>
      <c r="W76" s="3"/>
      <c r="X76" s="3"/>
      <c r="Y76" s="3"/>
      <c r="Z76" s="3"/>
    </row>
    <row r="77" spans="1:26" x14ac:dyDescent="0.2">
      <c r="A77" s="3"/>
      <c r="B77" s="222"/>
      <c r="C77" s="223"/>
      <c r="D77" s="223"/>
      <c r="E77" s="223"/>
      <c r="F77" s="224"/>
      <c r="G77" s="3"/>
      <c r="H77" s="3"/>
      <c r="I77" s="3"/>
      <c r="J77" s="3"/>
      <c r="K77" s="3"/>
      <c r="L77" s="3"/>
      <c r="M77" s="3"/>
      <c r="N77" s="3"/>
      <c r="O77" s="3"/>
      <c r="P77" s="3"/>
      <c r="Q77" s="3"/>
      <c r="R77" s="3"/>
      <c r="S77" s="3"/>
      <c r="T77" s="3"/>
      <c r="U77" s="3"/>
      <c r="V77" s="3"/>
      <c r="W77" s="3"/>
      <c r="X77" s="3"/>
      <c r="Y77" s="3"/>
      <c r="Z77" s="3"/>
    </row>
    <row r="78" spans="1:26" x14ac:dyDescent="0.2">
      <c r="A78" s="3"/>
      <c r="B78" s="222">
        <v>1.45</v>
      </c>
      <c r="C78" s="223"/>
      <c r="D78" s="223">
        <v>7</v>
      </c>
      <c r="E78" s="223"/>
      <c r="F78" s="224">
        <v>13.35</v>
      </c>
      <c r="G78" s="3"/>
      <c r="H78" s="3"/>
      <c r="I78" s="3"/>
      <c r="J78" s="3"/>
      <c r="K78" s="3"/>
      <c r="L78" s="3"/>
      <c r="M78" s="3"/>
      <c r="N78" s="3"/>
      <c r="O78" s="3"/>
      <c r="P78" s="3"/>
      <c r="Q78" s="3"/>
      <c r="R78" s="3"/>
      <c r="S78" s="3"/>
      <c r="T78" s="3"/>
      <c r="U78" s="3"/>
      <c r="V78" s="3"/>
      <c r="W78" s="3"/>
      <c r="X78" s="3"/>
      <c r="Y78" s="3"/>
      <c r="Z78" s="3"/>
    </row>
    <row r="79" spans="1:26" x14ac:dyDescent="0.2">
      <c r="A79" s="3"/>
      <c r="B79" s="222"/>
      <c r="C79" s="223"/>
      <c r="D79" s="223"/>
      <c r="E79" s="223"/>
      <c r="F79" s="224"/>
      <c r="G79" s="3"/>
      <c r="H79" s="3"/>
      <c r="I79" s="3"/>
      <c r="J79" s="3"/>
      <c r="K79" s="3"/>
      <c r="L79" s="3"/>
      <c r="M79" s="3"/>
      <c r="N79" s="3"/>
      <c r="O79" s="3"/>
      <c r="P79" s="3"/>
      <c r="Q79" s="3"/>
      <c r="R79" s="3"/>
      <c r="S79" s="3"/>
      <c r="T79" s="3"/>
      <c r="U79" s="3"/>
      <c r="V79" s="3"/>
      <c r="W79" s="3"/>
      <c r="X79" s="3"/>
      <c r="Y79" s="3"/>
      <c r="Z79" s="3"/>
    </row>
    <row r="80" spans="1:26" x14ac:dyDescent="0.2">
      <c r="A80" s="3"/>
      <c r="B80" s="222">
        <v>1.8</v>
      </c>
      <c r="C80" s="223"/>
      <c r="D80" s="223">
        <v>8</v>
      </c>
      <c r="E80" s="223"/>
      <c r="F80" s="224">
        <v>14.05</v>
      </c>
      <c r="G80" s="3"/>
      <c r="H80" s="3"/>
      <c r="I80" s="3"/>
      <c r="J80" s="3"/>
      <c r="K80" s="3"/>
      <c r="L80" s="3"/>
      <c r="M80" s="3"/>
      <c r="N80" s="3"/>
      <c r="O80" s="3"/>
      <c r="P80" s="3"/>
      <c r="Q80" s="3"/>
      <c r="R80" s="3"/>
      <c r="S80" s="3"/>
      <c r="T80" s="3"/>
      <c r="U80" s="3"/>
      <c r="V80" s="3"/>
      <c r="W80" s="3"/>
      <c r="X80" s="3"/>
      <c r="Y80" s="3"/>
      <c r="Z80" s="3"/>
    </row>
    <row r="81" spans="1:26" x14ac:dyDescent="0.2">
      <c r="A81" s="3"/>
      <c r="B81" s="222"/>
      <c r="C81" s="223"/>
      <c r="D81" s="223"/>
      <c r="E81" s="223"/>
      <c r="F81" s="224"/>
      <c r="G81" s="3"/>
      <c r="H81" s="3"/>
      <c r="I81" s="3"/>
      <c r="J81" s="3"/>
      <c r="K81" s="3"/>
      <c r="L81" s="3"/>
      <c r="M81" s="3"/>
      <c r="N81" s="3"/>
      <c r="O81" s="3"/>
      <c r="P81" s="3"/>
      <c r="Q81" s="3"/>
      <c r="R81" s="3"/>
      <c r="S81" s="3"/>
      <c r="T81" s="3"/>
      <c r="U81" s="3"/>
      <c r="V81" s="3"/>
      <c r="W81" s="3"/>
      <c r="X81" s="3"/>
      <c r="Y81" s="3"/>
      <c r="Z81" s="3"/>
    </row>
    <row r="82" spans="1:26" x14ac:dyDescent="0.2">
      <c r="A82" s="3"/>
      <c r="B82" s="222">
        <v>2.1</v>
      </c>
      <c r="C82" s="223"/>
      <c r="D82" s="223">
        <v>9</v>
      </c>
      <c r="E82" s="223"/>
      <c r="F82" s="224">
        <v>14.4</v>
      </c>
      <c r="G82" s="3"/>
      <c r="H82" s="3"/>
      <c r="I82" s="3"/>
      <c r="J82" s="3"/>
      <c r="K82" s="3"/>
      <c r="L82" s="3"/>
      <c r="M82" s="3"/>
      <c r="N82" s="3"/>
      <c r="O82" s="3"/>
      <c r="P82" s="3"/>
      <c r="Q82" s="3"/>
      <c r="R82" s="3"/>
      <c r="S82" s="3"/>
      <c r="T82" s="3"/>
      <c r="U82" s="3"/>
      <c r="V82" s="3"/>
      <c r="W82" s="3"/>
      <c r="X82" s="3"/>
      <c r="Y82" s="3"/>
      <c r="Z82" s="3"/>
    </row>
    <row r="83" spans="1:26" x14ac:dyDescent="0.2">
      <c r="A83" s="3"/>
      <c r="B83" s="222"/>
      <c r="C83" s="223"/>
      <c r="D83" s="223"/>
      <c r="E83" s="223"/>
      <c r="F83" s="224"/>
      <c r="G83" s="3"/>
      <c r="H83" s="3"/>
      <c r="I83" s="3"/>
      <c r="J83" s="3"/>
      <c r="K83" s="3"/>
      <c r="L83" s="3"/>
      <c r="M83" s="3"/>
      <c r="N83" s="3"/>
      <c r="O83" s="3"/>
      <c r="P83" s="3"/>
      <c r="Q83" s="3"/>
      <c r="R83" s="3"/>
      <c r="S83" s="3"/>
      <c r="T83" s="3"/>
      <c r="U83" s="3"/>
      <c r="V83" s="3"/>
      <c r="W83" s="3"/>
      <c r="X83" s="3"/>
      <c r="Y83" s="3"/>
      <c r="Z83" s="3"/>
    </row>
    <row r="84" spans="1:26" x14ac:dyDescent="0.2">
      <c r="A84" s="3"/>
      <c r="B84" s="222">
        <v>2.4500000000000002</v>
      </c>
      <c r="C84" s="223"/>
      <c r="D84" s="223">
        <v>10</v>
      </c>
      <c r="E84" s="223"/>
      <c r="F84" s="224">
        <v>15.25</v>
      </c>
      <c r="G84" s="3"/>
      <c r="H84" s="3"/>
      <c r="I84" s="3"/>
      <c r="J84" s="3"/>
      <c r="K84" s="3"/>
      <c r="L84" s="3"/>
      <c r="M84" s="3"/>
      <c r="N84" s="3"/>
      <c r="O84" s="3"/>
      <c r="P84" s="3"/>
      <c r="Q84" s="3"/>
      <c r="R84" s="3"/>
      <c r="S84" s="3"/>
      <c r="T84" s="3"/>
      <c r="U84" s="3"/>
      <c r="V84" s="3"/>
      <c r="W84" s="3"/>
      <c r="X84" s="3"/>
      <c r="Y84" s="3"/>
      <c r="Z84" s="3"/>
    </row>
    <row r="85" spans="1:26" x14ac:dyDescent="0.2">
      <c r="A85" s="3"/>
      <c r="B85" s="222"/>
      <c r="C85" s="223"/>
      <c r="D85" s="223"/>
      <c r="E85" s="223"/>
      <c r="F85" s="224"/>
      <c r="G85" s="3"/>
      <c r="H85" s="3"/>
      <c r="I85" s="3"/>
      <c r="J85" s="3"/>
      <c r="K85" s="3"/>
      <c r="L85" s="3"/>
      <c r="M85" s="3"/>
      <c r="N85" s="3"/>
      <c r="O85" s="3"/>
      <c r="P85" s="3"/>
      <c r="Q85" s="3"/>
      <c r="R85" s="3"/>
      <c r="S85" s="3"/>
      <c r="T85" s="3"/>
      <c r="U85" s="3"/>
      <c r="V85" s="3"/>
      <c r="W85" s="3"/>
      <c r="X85" s="3"/>
      <c r="Y85" s="3"/>
      <c r="Z85" s="3"/>
    </row>
    <row r="86" spans="1:26" x14ac:dyDescent="0.2">
      <c r="A86" s="3"/>
      <c r="B86" s="222">
        <v>2.8</v>
      </c>
      <c r="C86" s="223"/>
      <c r="D86" s="223">
        <v>11</v>
      </c>
      <c r="E86" s="223"/>
      <c r="F86" s="224">
        <v>15.95</v>
      </c>
      <c r="G86" s="3"/>
      <c r="H86" s="3"/>
      <c r="I86" s="3"/>
      <c r="J86" s="3"/>
      <c r="K86" s="3"/>
      <c r="L86" s="3"/>
      <c r="M86" s="3"/>
      <c r="N86" s="3"/>
      <c r="O86" s="3"/>
      <c r="P86" s="3"/>
      <c r="Q86" s="3"/>
      <c r="R86" s="3"/>
      <c r="S86" s="3"/>
      <c r="T86" s="3"/>
      <c r="U86" s="3"/>
      <c r="V86" s="3"/>
      <c r="W86" s="3"/>
      <c r="X86" s="3"/>
      <c r="Y86" s="3"/>
      <c r="Z86" s="3"/>
    </row>
    <row r="87" spans="1:26" x14ac:dyDescent="0.2">
      <c r="A87" s="3"/>
      <c r="B87" s="222"/>
      <c r="C87" s="223"/>
      <c r="D87" s="223"/>
      <c r="E87" s="223"/>
      <c r="F87" s="224"/>
      <c r="G87" s="3"/>
      <c r="H87" s="3"/>
      <c r="I87" s="3"/>
      <c r="J87" s="3"/>
      <c r="K87" s="3"/>
      <c r="L87" s="3"/>
      <c r="M87" s="3"/>
      <c r="N87" s="3"/>
      <c r="O87" s="3"/>
      <c r="P87" s="3"/>
      <c r="Q87" s="3"/>
      <c r="R87" s="3"/>
      <c r="S87" s="3"/>
      <c r="T87" s="3"/>
      <c r="U87" s="3"/>
      <c r="V87" s="3"/>
      <c r="W87" s="3"/>
      <c r="X87" s="3"/>
      <c r="Y87" s="3"/>
      <c r="Z87" s="3"/>
    </row>
    <row r="88" spans="1:26" x14ac:dyDescent="0.2">
      <c r="A88" s="3"/>
      <c r="B88" s="222">
        <v>3.15</v>
      </c>
      <c r="C88" s="223"/>
      <c r="D88" s="223">
        <v>12</v>
      </c>
      <c r="E88" s="223"/>
      <c r="F88" s="224">
        <v>16.3</v>
      </c>
      <c r="G88" s="3"/>
      <c r="H88" s="3"/>
      <c r="I88" s="3"/>
      <c r="J88" s="3"/>
      <c r="K88" s="3"/>
      <c r="L88" s="3"/>
      <c r="M88" s="3"/>
      <c r="N88" s="3"/>
      <c r="O88" s="3"/>
      <c r="P88" s="3"/>
      <c r="Q88" s="3"/>
      <c r="R88" s="3"/>
      <c r="S88" s="3"/>
      <c r="T88" s="3"/>
      <c r="U88" s="3"/>
      <c r="V88" s="3"/>
      <c r="W88" s="3"/>
      <c r="X88" s="3"/>
      <c r="Y88" s="3"/>
      <c r="Z88" s="3"/>
    </row>
    <row r="89" spans="1:26" x14ac:dyDescent="0.2">
      <c r="A89" s="3"/>
      <c r="B89" s="222"/>
      <c r="C89" s="223"/>
      <c r="D89" s="223"/>
      <c r="E89" s="223"/>
      <c r="F89" s="224"/>
      <c r="G89" s="3"/>
      <c r="H89" s="3"/>
      <c r="I89" s="3"/>
      <c r="J89" s="3"/>
      <c r="K89" s="3"/>
      <c r="L89" s="3"/>
      <c r="M89" s="3"/>
      <c r="N89" s="3"/>
      <c r="O89" s="3"/>
      <c r="P89" s="3"/>
      <c r="Q89" s="3"/>
      <c r="R89" s="3"/>
      <c r="S89" s="3"/>
      <c r="T89" s="3"/>
      <c r="U89" s="3"/>
      <c r="V89" s="3"/>
      <c r="W89" s="3"/>
      <c r="X89" s="3"/>
      <c r="Y89" s="3"/>
      <c r="Z89" s="3"/>
    </row>
    <row r="90" spans="1:26" x14ac:dyDescent="0.2">
      <c r="A90" s="3"/>
      <c r="B90" s="222">
        <v>3.55</v>
      </c>
      <c r="C90" s="223"/>
      <c r="D90" s="223">
        <v>13</v>
      </c>
      <c r="E90" s="223"/>
      <c r="F90" s="224">
        <v>16.95</v>
      </c>
      <c r="G90" s="3"/>
      <c r="H90" s="3"/>
      <c r="I90" s="3"/>
      <c r="J90" s="3"/>
      <c r="K90" s="3"/>
      <c r="L90" s="3"/>
      <c r="M90" s="3"/>
      <c r="N90" s="3"/>
      <c r="O90" s="3"/>
      <c r="P90" s="3"/>
      <c r="Q90" s="3"/>
      <c r="R90" s="3"/>
      <c r="S90" s="3"/>
      <c r="T90" s="3"/>
      <c r="U90" s="3"/>
      <c r="V90" s="3"/>
      <c r="W90" s="3"/>
      <c r="X90" s="3"/>
      <c r="Y90" s="3"/>
      <c r="Z90" s="3"/>
    </row>
    <row r="91" spans="1:26" x14ac:dyDescent="0.2">
      <c r="A91" s="3"/>
      <c r="B91" s="222"/>
      <c r="C91" s="223"/>
      <c r="D91" s="223"/>
      <c r="E91" s="223"/>
      <c r="F91" s="224"/>
      <c r="G91" s="3"/>
      <c r="H91" s="3"/>
      <c r="I91" s="3"/>
      <c r="J91" s="3"/>
      <c r="K91" s="3"/>
      <c r="L91" s="3"/>
      <c r="M91" s="3"/>
      <c r="N91" s="3"/>
      <c r="O91" s="3"/>
      <c r="P91" s="3"/>
      <c r="Q91" s="3"/>
      <c r="R91" s="3"/>
      <c r="S91" s="3"/>
      <c r="T91" s="3"/>
      <c r="U91" s="3"/>
      <c r="V91" s="3"/>
      <c r="W91" s="3"/>
      <c r="X91" s="3"/>
      <c r="Y91" s="3"/>
      <c r="Z91" s="3"/>
    </row>
    <row r="92" spans="1:26" x14ac:dyDescent="0.2">
      <c r="A92" s="3"/>
      <c r="B92" s="222">
        <v>4</v>
      </c>
      <c r="C92" s="223"/>
      <c r="D92" s="223">
        <v>14</v>
      </c>
      <c r="E92" s="223"/>
      <c r="F92" s="224">
        <v>17.45</v>
      </c>
      <c r="G92" s="3"/>
      <c r="H92" s="3"/>
      <c r="I92" s="3"/>
      <c r="J92" s="3"/>
      <c r="K92" s="3"/>
      <c r="L92" s="3"/>
      <c r="M92" s="3"/>
      <c r="N92" s="3"/>
      <c r="O92" s="3"/>
      <c r="P92" s="3"/>
      <c r="Q92" s="3"/>
      <c r="R92" s="3"/>
      <c r="S92" s="3"/>
      <c r="T92" s="3"/>
      <c r="U92" s="3"/>
      <c r="V92" s="3"/>
      <c r="W92" s="3"/>
      <c r="X92" s="3"/>
      <c r="Y92" s="3"/>
      <c r="Z92" s="3"/>
    </row>
    <row r="93" spans="1:26" x14ac:dyDescent="0.2">
      <c r="A93" s="3"/>
      <c r="B93" s="222"/>
      <c r="C93" s="223"/>
      <c r="D93" s="223"/>
      <c r="E93" s="223"/>
      <c r="F93" s="224"/>
      <c r="G93" s="3"/>
      <c r="H93" s="3"/>
      <c r="I93" s="3"/>
      <c r="J93" s="3"/>
      <c r="K93" s="3"/>
      <c r="L93" s="3"/>
      <c r="M93" s="3"/>
      <c r="N93" s="3"/>
      <c r="O93" s="3"/>
      <c r="P93" s="3"/>
      <c r="Q93" s="3"/>
      <c r="R93" s="3"/>
      <c r="S93" s="3"/>
      <c r="T93" s="3"/>
      <c r="U93" s="3"/>
      <c r="V93" s="3"/>
      <c r="W93" s="3"/>
      <c r="X93" s="3"/>
      <c r="Y93" s="3"/>
      <c r="Z93" s="3"/>
    </row>
    <row r="94" spans="1:26" x14ac:dyDescent="0.2">
      <c r="A94" s="3"/>
      <c r="B94" s="222">
        <v>4.4000000000000004</v>
      </c>
      <c r="C94" s="223"/>
      <c r="D94" s="223">
        <v>15</v>
      </c>
      <c r="E94" s="223"/>
      <c r="F94" s="224">
        <v>18.149999999999999</v>
      </c>
      <c r="G94" s="3"/>
      <c r="H94" s="3"/>
      <c r="I94" s="3"/>
      <c r="J94" s="3"/>
      <c r="K94" s="3"/>
      <c r="L94" s="3"/>
      <c r="M94" s="3"/>
      <c r="N94" s="3"/>
      <c r="O94" s="3"/>
      <c r="P94" s="3"/>
      <c r="Q94" s="3"/>
      <c r="R94" s="3"/>
      <c r="S94" s="3"/>
      <c r="T94" s="3"/>
      <c r="U94" s="3"/>
      <c r="V94" s="3"/>
      <c r="W94" s="3"/>
      <c r="X94" s="3"/>
      <c r="Y94" s="3"/>
      <c r="Z94" s="3"/>
    </row>
    <row r="95" spans="1:26" x14ac:dyDescent="0.2">
      <c r="A95" s="3"/>
      <c r="B95" s="222"/>
      <c r="C95" s="223"/>
      <c r="D95" s="223"/>
      <c r="E95" s="223"/>
      <c r="F95" s="224"/>
      <c r="G95" s="3"/>
      <c r="H95" s="3"/>
      <c r="I95" s="3"/>
      <c r="J95" s="3"/>
      <c r="K95" s="3"/>
      <c r="L95" s="3"/>
      <c r="M95" s="3"/>
      <c r="N95" s="3"/>
      <c r="O95" s="3"/>
      <c r="P95" s="3"/>
      <c r="Q95" s="3"/>
      <c r="R95" s="3"/>
      <c r="S95" s="3"/>
      <c r="T95" s="3"/>
      <c r="U95" s="3"/>
      <c r="V95" s="3"/>
      <c r="W95" s="3"/>
      <c r="X95" s="3"/>
      <c r="Y95" s="3"/>
      <c r="Z95" s="3"/>
    </row>
    <row r="96" spans="1:26" x14ac:dyDescent="0.2">
      <c r="A96" s="3"/>
      <c r="B96" s="222">
        <v>4.75</v>
      </c>
      <c r="C96" s="223"/>
      <c r="D96" s="223">
        <v>16</v>
      </c>
      <c r="E96" s="223"/>
      <c r="F96" s="224">
        <v>18.649999999999999</v>
      </c>
      <c r="G96" s="3"/>
      <c r="H96" s="3"/>
      <c r="I96" s="3"/>
      <c r="J96" s="3"/>
      <c r="K96" s="3"/>
      <c r="L96" s="3"/>
      <c r="M96" s="3"/>
      <c r="N96" s="3"/>
      <c r="O96" s="3"/>
      <c r="P96" s="3"/>
      <c r="Q96" s="3"/>
      <c r="R96" s="3"/>
      <c r="S96" s="3"/>
      <c r="T96" s="3"/>
      <c r="U96" s="3"/>
      <c r="V96" s="3"/>
      <c r="W96" s="3"/>
      <c r="X96" s="3"/>
      <c r="Y96" s="3"/>
      <c r="Z96" s="3"/>
    </row>
    <row r="97" spans="1:26" x14ac:dyDescent="0.2">
      <c r="A97" s="3"/>
      <c r="B97" s="222"/>
      <c r="C97" s="223"/>
      <c r="D97" s="223"/>
      <c r="E97" s="223"/>
      <c r="F97" s="224"/>
      <c r="G97" s="3"/>
      <c r="H97" s="3"/>
      <c r="I97" s="3"/>
      <c r="J97" s="3"/>
      <c r="K97" s="3"/>
      <c r="L97" s="3"/>
      <c r="M97" s="3"/>
      <c r="N97" s="3"/>
      <c r="O97" s="3"/>
      <c r="P97" s="3"/>
      <c r="Q97" s="3"/>
      <c r="R97" s="3"/>
      <c r="S97" s="3"/>
      <c r="T97" s="3"/>
      <c r="U97" s="3"/>
      <c r="V97" s="3"/>
      <c r="W97" s="3"/>
      <c r="X97" s="3"/>
      <c r="Y97" s="3"/>
      <c r="Z97" s="3"/>
    </row>
    <row r="98" spans="1:26" x14ac:dyDescent="0.2">
      <c r="A98" s="3"/>
      <c r="B98" s="222">
        <v>5.2</v>
      </c>
      <c r="C98" s="105"/>
      <c r="D98" s="223">
        <v>17</v>
      </c>
      <c r="E98" s="105"/>
      <c r="F98" s="224">
        <v>19.350000000000001</v>
      </c>
      <c r="G98" s="3"/>
      <c r="H98" s="3"/>
      <c r="I98" s="3"/>
      <c r="J98" s="3"/>
      <c r="K98" s="3"/>
      <c r="L98" s="3"/>
      <c r="M98" s="3"/>
      <c r="N98" s="3"/>
      <c r="O98" s="3"/>
      <c r="P98" s="3"/>
      <c r="Q98" s="3"/>
      <c r="R98" s="3"/>
      <c r="S98" s="3"/>
      <c r="T98" s="3"/>
      <c r="U98" s="3"/>
      <c r="V98" s="3"/>
      <c r="W98" s="3"/>
      <c r="X98" s="3"/>
      <c r="Y98" s="3"/>
      <c r="Z98" s="3"/>
    </row>
    <row r="99" spans="1:26" x14ac:dyDescent="0.2">
      <c r="A99" s="3"/>
      <c r="B99" s="222"/>
      <c r="C99" s="105"/>
      <c r="D99" s="223"/>
      <c r="E99" s="105"/>
      <c r="F99" s="224"/>
      <c r="G99" s="3"/>
      <c r="H99" s="3"/>
      <c r="I99" s="3"/>
      <c r="J99" s="3"/>
      <c r="K99" s="3"/>
      <c r="L99" s="3"/>
      <c r="M99" s="3"/>
      <c r="N99" s="3"/>
      <c r="O99" s="3"/>
      <c r="P99" s="3"/>
      <c r="Q99" s="3"/>
      <c r="R99" s="3"/>
      <c r="S99" s="3"/>
      <c r="T99" s="3"/>
      <c r="U99" s="3"/>
      <c r="V99" s="3"/>
      <c r="W99" s="3"/>
      <c r="X99" s="3"/>
      <c r="Y99" s="3"/>
      <c r="Z99" s="3"/>
    </row>
    <row r="100" spans="1:26" x14ac:dyDescent="0.2">
      <c r="A100" s="3"/>
      <c r="B100" s="222">
        <v>5.55</v>
      </c>
      <c r="C100" s="105"/>
      <c r="D100" s="223">
        <v>18</v>
      </c>
      <c r="E100" s="105"/>
      <c r="F100" s="224">
        <v>19.850000000000001</v>
      </c>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222"/>
      <c r="C101" s="105"/>
      <c r="D101" s="223"/>
      <c r="E101" s="105"/>
      <c r="F101" s="224"/>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222">
        <v>6</v>
      </c>
      <c r="C102" s="105"/>
      <c r="D102" s="223">
        <v>19</v>
      </c>
      <c r="E102" s="105"/>
      <c r="F102" s="224">
        <v>20.25</v>
      </c>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222"/>
      <c r="C103" s="105"/>
      <c r="D103" s="223"/>
      <c r="E103" s="105"/>
      <c r="F103" s="224"/>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222">
        <v>6.5</v>
      </c>
      <c r="C104" s="105"/>
      <c r="D104" s="223">
        <v>20</v>
      </c>
      <c r="E104" s="105"/>
      <c r="F104" s="224">
        <v>20.75</v>
      </c>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222"/>
      <c r="C105" s="105"/>
      <c r="D105" s="223"/>
      <c r="E105" s="105"/>
      <c r="F105" s="224"/>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222">
        <v>7</v>
      </c>
      <c r="C106" s="105"/>
      <c r="D106" s="223">
        <v>21</v>
      </c>
      <c r="E106" s="105"/>
      <c r="F106" s="224">
        <v>21.35</v>
      </c>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222"/>
      <c r="C107" s="105"/>
      <c r="D107" s="223"/>
      <c r="E107" s="105"/>
      <c r="F107" s="224"/>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222">
        <v>7.5</v>
      </c>
      <c r="C108" s="105"/>
      <c r="D108" s="223">
        <v>22</v>
      </c>
      <c r="E108" s="105"/>
      <c r="F108" s="224">
        <v>21.65</v>
      </c>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225"/>
      <c r="C109" s="186"/>
      <c r="D109" s="186"/>
      <c r="E109" s="186"/>
      <c r="F109" s="226"/>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t="s">
        <v>859</v>
      </c>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sheetData>
  <mergeCells count="8">
    <mergeCell ref="P37:R37"/>
    <mergeCell ref="P40:R40"/>
    <mergeCell ref="P52:R52"/>
    <mergeCell ref="P55:R55"/>
    <mergeCell ref="P7:R7"/>
    <mergeCell ref="P10:R10"/>
    <mergeCell ref="P21:R21"/>
    <mergeCell ref="P24:R24"/>
  </mergeCells>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Z122"/>
  <sheetViews>
    <sheetView topLeftCell="A78" workbookViewId="0">
      <selection activeCell="K98" sqref="K98"/>
    </sheetView>
  </sheetViews>
  <sheetFormatPr defaultRowHeight="12.75" x14ac:dyDescent="0.2"/>
  <cols>
    <col min="5" max="5" width="9.85546875" customWidth="1"/>
    <col min="9" max="9" width="10.7109375" customWidth="1"/>
    <col min="10" max="10" width="10.85546875" customWidth="1"/>
    <col min="13" max="13" width="12.5703125" customWidth="1"/>
    <col min="14" max="14" width="10.7109375" customWidth="1"/>
    <col min="15" max="15" width="17.85546875" customWidth="1"/>
    <col min="18" max="18" width="9.5703125" bestFit="1" customWidth="1"/>
  </cols>
  <sheetData>
    <row r="1" spans="1:50" ht="18.75" thickBot="1" x14ac:dyDescent="0.3">
      <c r="A1" s="133" t="s">
        <v>528</v>
      </c>
      <c r="B1" s="135"/>
      <c r="C1" s="135"/>
      <c r="D1" s="135"/>
      <c r="E1" s="135"/>
      <c r="F1" s="135"/>
      <c r="G1" s="726" t="str">
        <f>'Title Page'!F3</f>
        <v>CougSat-1</v>
      </c>
      <c r="H1" s="135"/>
      <c r="I1" s="135"/>
      <c r="J1" s="135"/>
      <c r="K1" s="725" t="str">
        <f>'Title Page'!F25</f>
        <v>2020 January 17</v>
      </c>
      <c r="L1" s="135"/>
      <c r="M1" s="135"/>
      <c r="N1" s="135"/>
      <c r="O1" s="135"/>
      <c r="P1" s="135"/>
      <c r="Q1" s="135"/>
      <c r="R1" s="135"/>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row>
    <row r="2" spans="1:50" ht="12.75" customHeight="1" x14ac:dyDescent="0.25">
      <c r="A2" s="311"/>
      <c r="B2" s="93"/>
      <c r="C2" s="93"/>
      <c r="D2" s="93"/>
      <c r="E2" s="93"/>
      <c r="F2" s="93"/>
      <c r="G2" s="93"/>
      <c r="H2" s="93"/>
      <c r="I2" s="312"/>
      <c r="J2" s="108"/>
      <c r="K2" s="108"/>
      <c r="L2" s="108"/>
      <c r="M2" s="108"/>
      <c r="N2" s="108"/>
      <c r="O2" s="108"/>
      <c r="P2" s="108"/>
      <c r="Q2" s="108"/>
      <c r="R2" s="108"/>
      <c r="S2" s="108"/>
      <c r="T2" s="108"/>
      <c r="U2" s="108"/>
      <c r="V2" s="108"/>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x14ac:dyDescent="0.2">
      <c r="A3" s="250"/>
      <c r="B3" s="376" t="s">
        <v>370</v>
      </c>
      <c r="C3" s="262" t="s">
        <v>79</v>
      </c>
      <c r="D3" s="250"/>
      <c r="E3" s="250"/>
      <c r="F3" s="250"/>
      <c r="G3" s="262" t="s">
        <v>80</v>
      </c>
      <c r="H3" s="250"/>
      <c r="I3" s="94"/>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x14ac:dyDescent="0.2">
      <c r="A4" s="250"/>
      <c r="B4" s="250"/>
      <c r="C4" s="250"/>
      <c r="D4" s="250"/>
      <c r="E4" s="250"/>
      <c r="F4" s="250"/>
      <c r="G4" s="250"/>
      <c r="H4" s="250"/>
      <c r="I4" s="94"/>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x14ac:dyDescent="0.2">
      <c r="A5" s="250"/>
      <c r="B5" s="250"/>
      <c r="C5" s="250"/>
      <c r="D5" s="250"/>
      <c r="E5" s="250"/>
      <c r="F5" s="250"/>
      <c r="G5" s="250"/>
      <c r="H5" s="250"/>
      <c r="I5" s="94"/>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x14ac:dyDescent="0.2">
      <c r="A6" s="250"/>
      <c r="B6" s="250"/>
      <c r="C6" s="250"/>
      <c r="D6" s="250"/>
      <c r="E6" s="250" t="s">
        <v>360</v>
      </c>
      <c r="F6" s="250"/>
      <c r="G6" s="250"/>
      <c r="H6" s="250"/>
      <c r="I6" s="94"/>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x14ac:dyDescent="0.2">
      <c r="A7" s="250"/>
      <c r="B7" s="250"/>
      <c r="C7" s="250"/>
      <c r="D7" s="250"/>
      <c r="E7" s="262" t="s">
        <v>361</v>
      </c>
      <c r="F7" s="250"/>
      <c r="G7" s="250"/>
      <c r="H7" s="250"/>
      <c r="I7" s="94"/>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x14ac:dyDescent="0.2">
      <c r="A8" s="250"/>
      <c r="B8" s="250"/>
      <c r="C8" s="250"/>
      <c r="D8" s="250"/>
      <c r="E8" s="262" t="s">
        <v>540</v>
      </c>
      <c r="F8" s="250"/>
      <c r="G8" s="250"/>
      <c r="H8" s="250"/>
      <c r="I8" s="94"/>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x14ac:dyDescent="0.2">
      <c r="A9" s="250"/>
      <c r="B9" s="250"/>
      <c r="C9" s="250"/>
      <c r="D9" s="250"/>
      <c r="E9" s="250"/>
      <c r="F9" s="250"/>
      <c r="G9" s="250"/>
      <c r="H9" s="250"/>
      <c r="I9" s="94"/>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x14ac:dyDescent="0.2">
      <c r="A10" s="250"/>
      <c r="B10" s="250"/>
      <c r="C10" s="250"/>
      <c r="D10" s="250"/>
      <c r="E10" s="250"/>
      <c r="F10" s="250"/>
      <c r="G10" s="250"/>
      <c r="H10" s="250"/>
      <c r="I10" s="94"/>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x14ac:dyDescent="0.2">
      <c r="A11" s="250"/>
      <c r="B11" s="250"/>
      <c r="C11" s="250"/>
      <c r="D11" s="250"/>
      <c r="E11" s="250"/>
      <c r="F11" s="250"/>
      <c r="G11" s="250"/>
      <c r="H11" s="250"/>
      <c r="I11" s="94"/>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x14ac:dyDescent="0.2">
      <c r="A12" s="250"/>
      <c r="B12" s="250"/>
      <c r="C12" s="250"/>
      <c r="D12" s="250"/>
      <c r="E12" s="250"/>
      <c r="F12" s="250"/>
      <c r="G12" s="250"/>
      <c r="H12" s="250"/>
      <c r="I12" s="94"/>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x14ac:dyDescent="0.2">
      <c r="A13" s="250"/>
      <c r="B13" s="250"/>
      <c r="C13" s="250"/>
      <c r="D13" s="250"/>
      <c r="E13" s="250"/>
      <c r="F13" s="250"/>
      <c r="G13" s="250"/>
      <c r="H13" s="250"/>
      <c r="I13" s="94"/>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x14ac:dyDescent="0.2">
      <c r="A14" s="250"/>
      <c r="B14" s="250"/>
      <c r="C14" s="250"/>
      <c r="D14" s="250"/>
      <c r="E14" s="250"/>
      <c r="F14" s="250"/>
      <c r="G14" s="250"/>
      <c r="H14" s="250"/>
      <c r="I14" s="94"/>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x14ac:dyDescent="0.2">
      <c r="A15" s="250"/>
      <c r="B15" s="250"/>
      <c r="C15" s="250"/>
      <c r="D15" s="250"/>
      <c r="E15" s="250"/>
      <c r="F15" s="250"/>
      <c r="G15" s="250"/>
      <c r="H15" s="250"/>
      <c r="I15" s="94"/>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x14ac:dyDescent="0.2">
      <c r="A16" s="250"/>
      <c r="B16" s="250"/>
      <c r="C16" s="250"/>
      <c r="D16" s="250"/>
      <c r="E16" s="250"/>
      <c r="F16" s="250"/>
      <c r="G16" s="250"/>
      <c r="H16" s="250"/>
      <c r="I16" s="94"/>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x14ac:dyDescent="0.2">
      <c r="A17" s="250"/>
      <c r="B17" s="250"/>
      <c r="C17" s="250"/>
      <c r="D17" s="250"/>
      <c r="E17" s="250"/>
      <c r="F17" s="250"/>
      <c r="G17" s="250"/>
      <c r="H17" s="250"/>
      <c r="I17" s="94"/>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x14ac:dyDescent="0.2">
      <c r="A18" s="250"/>
      <c r="B18" s="250"/>
      <c r="C18" s="250"/>
      <c r="D18" s="250"/>
      <c r="E18" s="250"/>
      <c r="F18" s="250"/>
      <c r="G18" s="250"/>
      <c r="H18" s="250"/>
      <c r="I18" s="94"/>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x14ac:dyDescent="0.2">
      <c r="A19" s="250"/>
      <c r="B19" s="250"/>
      <c r="C19" s="250"/>
      <c r="D19" s="250"/>
      <c r="E19" s="250"/>
      <c r="F19" s="250"/>
      <c r="G19" s="250"/>
      <c r="H19" s="250"/>
      <c r="I19" s="94"/>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x14ac:dyDescent="0.2">
      <c r="A20" s="250"/>
      <c r="B20" s="250"/>
      <c r="C20" s="250"/>
      <c r="D20" s="250"/>
      <c r="E20" s="250"/>
      <c r="F20" s="250"/>
      <c r="G20" s="250"/>
      <c r="H20" s="250"/>
      <c r="I20" s="94"/>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x14ac:dyDescent="0.2">
      <c r="A21" s="250"/>
      <c r="B21" s="250"/>
      <c r="C21" s="250"/>
      <c r="D21" s="250"/>
      <c r="E21" s="262" t="s">
        <v>362</v>
      </c>
      <c r="F21" s="250"/>
      <c r="G21" s="250"/>
      <c r="H21" s="250"/>
      <c r="I21" s="94"/>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x14ac:dyDescent="0.2">
      <c r="A22" s="250"/>
      <c r="B22" s="250"/>
      <c r="C22" s="250"/>
      <c r="D22" s="250"/>
      <c r="E22" s="250" t="s">
        <v>361</v>
      </c>
      <c r="F22" s="250"/>
      <c r="G22" s="250"/>
      <c r="H22" s="250"/>
      <c r="I22" s="94"/>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x14ac:dyDescent="0.2">
      <c r="A23" s="250"/>
      <c r="B23" s="250"/>
      <c r="C23" s="250"/>
      <c r="D23" s="250"/>
      <c r="E23" s="262" t="s">
        <v>366</v>
      </c>
      <c r="F23" s="250"/>
      <c r="G23" s="250"/>
      <c r="H23" s="250"/>
      <c r="I23" s="94"/>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x14ac:dyDescent="0.2">
      <c r="A24" s="250"/>
      <c r="B24" s="250"/>
      <c r="C24" s="250"/>
      <c r="D24" s="250"/>
      <c r="E24" s="250"/>
      <c r="F24" s="250"/>
      <c r="G24" s="250"/>
      <c r="H24" s="250"/>
      <c r="I24" s="94"/>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x14ac:dyDescent="0.2">
      <c r="A25" s="250"/>
      <c r="B25" s="250"/>
      <c r="C25" s="434" t="s">
        <v>538</v>
      </c>
      <c r="D25" s="250"/>
      <c r="E25" s="250"/>
      <c r="F25" s="250"/>
      <c r="G25" s="434" t="s">
        <v>539</v>
      </c>
      <c r="H25" s="250"/>
      <c r="I25" s="94"/>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75" thickBot="1" x14ac:dyDescent="0.3">
      <c r="A26" s="133" t="s">
        <v>872</v>
      </c>
      <c r="B26" s="135"/>
      <c r="C26" s="135"/>
      <c r="D26" s="135"/>
      <c r="E26" s="135"/>
      <c r="F26" s="135"/>
      <c r="G26" s="135"/>
      <c r="H26" s="135"/>
      <c r="I26" s="313"/>
      <c r="J26" s="135"/>
      <c r="K26" s="135"/>
      <c r="L26" s="135"/>
      <c r="M26" s="135"/>
      <c r="N26" s="135"/>
      <c r="O26" s="135"/>
      <c r="P26" s="135"/>
      <c r="Q26" s="135"/>
      <c r="R26" s="135"/>
      <c r="S26" s="135"/>
      <c r="T26" s="135"/>
      <c r="U26" s="135"/>
      <c r="V26" s="135"/>
      <c r="W26" s="135"/>
      <c r="X26" s="440" t="s">
        <v>548</v>
      </c>
      <c r="Y26" s="135"/>
      <c r="Z26" s="135"/>
      <c r="AA26" s="135"/>
      <c r="AB26" s="135"/>
      <c r="AC26" s="135"/>
      <c r="AD26" s="135"/>
      <c r="AE26" s="135"/>
      <c r="AF26" s="135"/>
      <c r="AG26" s="135"/>
      <c r="AH26" s="135"/>
      <c r="AI26" s="135"/>
      <c r="AJ26" s="135"/>
      <c r="AK26" s="135"/>
      <c r="AL26" s="135"/>
      <c r="AM26" s="135"/>
      <c r="AN26" s="135"/>
      <c r="AO26" s="135"/>
      <c r="AP26" s="135"/>
      <c r="AQ26" s="135"/>
      <c r="AR26" s="135"/>
      <c r="AS26" s="135"/>
      <c r="AT26" s="135"/>
      <c r="AU26" s="135"/>
      <c r="AV26" s="135"/>
      <c r="AW26" s="135"/>
      <c r="AX26" s="135"/>
    </row>
    <row r="27" spans="1:50" x14ac:dyDescent="0.2">
      <c r="A27" s="3"/>
      <c r="B27" s="3"/>
      <c r="C27" s="3"/>
      <c r="D27" s="3"/>
      <c r="E27" s="3"/>
      <c r="F27" s="3"/>
      <c r="G27" s="3"/>
      <c r="H27" s="3"/>
      <c r="I27" s="3"/>
      <c r="J27" s="3"/>
      <c r="K27" s="3"/>
      <c r="L27" s="3"/>
      <c r="M27" s="3"/>
      <c r="N27" s="3"/>
      <c r="O27" s="3"/>
      <c r="P27" s="3"/>
      <c r="Q27" s="3"/>
      <c r="R27" s="3" t="s">
        <v>37</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75" x14ac:dyDescent="0.25">
      <c r="A28" s="294" t="s">
        <v>288</v>
      </c>
      <c r="B28" s="204"/>
      <c r="C28" s="205"/>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75" x14ac:dyDescent="0.25">
      <c r="A29" s="666"/>
      <c r="B29" s="108"/>
      <c r="C29" s="108"/>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75" x14ac:dyDescent="0.25">
      <c r="A30" s="666"/>
      <c r="B30" s="376" t="s">
        <v>370</v>
      </c>
      <c r="C30" s="108"/>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5" thickBo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6.5" thickBot="1" x14ac:dyDescent="0.3">
      <c r="A32" s="3"/>
      <c r="B32" s="202" t="s">
        <v>324</v>
      </c>
      <c r="C32" s="209"/>
      <c r="D32" s="195"/>
      <c r="E32" s="195"/>
      <c r="F32" s="195"/>
      <c r="G32" s="195" t="s">
        <v>37</v>
      </c>
      <c r="H32" s="195"/>
      <c r="I32" s="195"/>
      <c r="J32" s="195" t="s">
        <v>37</v>
      </c>
      <c r="K32" s="195"/>
      <c r="L32" s="196"/>
      <c r="M32" s="777"/>
      <c r="N32" s="793"/>
      <c r="O32" s="793"/>
      <c r="P32" s="793"/>
      <c r="Q32" s="3"/>
      <c r="R32" s="3"/>
      <c r="S32" s="431" t="s">
        <v>370</v>
      </c>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5.75" x14ac:dyDescent="0.25">
      <c r="A33" s="3"/>
      <c r="B33" s="193" t="s">
        <v>37</v>
      </c>
      <c r="C33" s="228"/>
      <c r="D33" s="230" t="s">
        <v>334</v>
      </c>
      <c r="E33" s="229" t="s">
        <v>74</v>
      </c>
      <c r="F33" s="260">
        <f>'Antenna Gain'!F8</f>
        <v>437.5</v>
      </c>
      <c r="G33" s="155" t="s">
        <v>75</v>
      </c>
      <c r="H33" s="155"/>
      <c r="I33" s="155"/>
      <c r="J33" s="155" t="s">
        <v>318</v>
      </c>
      <c r="K33" s="261">
        <f>'Antenna Gain'!K8</f>
        <v>0.6852571428571429</v>
      </c>
      <c r="L33" s="197" t="s">
        <v>76</v>
      </c>
      <c r="M33" s="4"/>
      <c r="N33" s="793"/>
      <c r="O33" s="805"/>
      <c r="P33" s="805"/>
      <c r="Q33" s="785"/>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x14ac:dyDescent="0.2">
      <c r="A34" s="3"/>
      <c r="B34" s="192"/>
      <c r="C34" s="155"/>
      <c r="D34" s="155"/>
      <c r="E34" s="155"/>
      <c r="F34" s="155"/>
      <c r="G34" s="155"/>
      <c r="H34" s="155"/>
      <c r="I34" s="155"/>
      <c r="J34" s="155"/>
      <c r="K34" s="155"/>
      <c r="L34" s="197"/>
      <c r="M34" s="3"/>
      <c r="N34" s="795"/>
      <c r="O34" s="793"/>
      <c r="P34" s="793"/>
      <c r="Q34" s="108"/>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5" thickBot="1" x14ac:dyDescent="0.25">
      <c r="A35" s="3"/>
      <c r="B35" s="192"/>
      <c r="C35" s="155"/>
      <c r="D35" s="155"/>
      <c r="E35" s="155"/>
      <c r="F35" s="216" t="s">
        <v>536</v>
      </c>
      <c r="G35" s="155"/>
      <c r="H35" s="155"/>
      <c r="I35" s="155"/>
      <c r="J35" s="155"/>
      <c r="K35" s="155"/>
      <c r="L35" s="197"/>
      <c r="M35" s="3"/>
      <c r="N35" s="793"/>
      <c r="O35" s="793"/>
      <c r="P35" s="793"/>
      <c r="Q35" s="108"/>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6.5" thickBot="1" x14ac:dyDescent="0.3">
      <c r="A36" s="3"/>
      <c r="B36" s="193" t="s">
        <v>37</v>
      </c>
      <c r="C36" s="155"/>
      <c r="D36" s="155"/>
      <c r="E36" s="301">
        <f>'Antenna Gain'!E11</f>
        <v>2</v>
      </c>
      <c r="F36" s="199" t="str">
        <f>'Antenna Gain'!F11</f>
        <v>Helix</v>
      </c>
      <c r="G36" s="200"/>
      <c r="H36" s="155"/>
      <c r="I36" s="155"/>
      <c r="J36" s="155" t="s">
        <v>291</v>
      </c>
      <c r="K36" s="302" t="str">
        <f>'Antenna Gain'!K11</f>
        <v>RHCP</v>
      </c>
      <c r="L36" s="197"/>
      <c r="M36" s="4"/>
      <c r="N36" s="793"/>
      <c r="O36" s="805"/>
      <c r="P36" s="805"/>
      <c r="Q36" s="785"/>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5" thickBot="1" x14ac:dyDescent="0.25">
      <c r="A37" s="3"/>
      <c r="B37" s="194"/>
      <c r="C37" s="160"/>
      <c r="D37" s="160"/>
      <c r="E37" s="160"/>
      <c r="F37" s="160"/>
      <c r="G37" s="160"/>
      <c r="H37" s="160"/>
      <c r="I37" s="160"/>
      <c r="J37" s="160"/>
      <c r="K37" s="160"/>
      <c r="L37" s="198"/>
      <c r="M37" s="4"/>
      <c r="N37" s="795"/>
      <c r="O37" s="793"/>
      <c r="P37" s="79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x14ac:dyDescent="0.2">
      <c r="A38" s="3"/>
      <c r="B38" s="291">
        <v>1</v>
      </c>
      <c r="C38" s="166" t="s">
        <v>308</v>
      </c>
      <c r="D38" s="287"/>
      <c r="E38" s="166"/>
      <c r="F38" s="290" t="s">
        <v>307</v>
      </c>
      <c r="G38" s="299">
        <f>'Antenna Gain'!N13</f>
        <v>16.3</v>
      </c>
      <c r="H38" s="166" t="s">
        <v>105</v>
      </c>
      <c r="I38" s="287" t="s">
        <v>292</v>
      </c>
      <c r="J38" s="295">
        <f>'Antenna Gain'!Q13</f>
        <v>30.621749233640596</v>
      </c>
      <c r="K38" s="166" t="s">
        <v>239</v>
      </c>
      <c r="L38" s="171"/>
      <c r="M38" s="3"/>
      <c r="N38" s="3"/>
      <c r="O38" s="3"/>
      <c r="P38" s="3"/>
      <c r="Q38" s="3"/>
      <c r="R38" s="432">
        <f>2*(F43*(79.76/INDEX(J38:J41,E36,1)))</f>
        <v>24.159316683431989</v>
      </c>
      <c r="S38" s="288"/>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x14ac:dyDescent="0.2">
      <c r="A39" s="3"/>
      <c r="B39" s="292">
        <v>2</v>
      </c>
      <c r="C39" s="173" t="s">
        <v>321</v>
      </c>
      <c r="D39" s="288"/>
      <c r="E39" s="173"/>
      <c r="F39" s="288" t="s">
        <v>290</v>
      </c>
      <c r="G39" s="298">
        <f>'Antenna Gain'!N14</f>
        <v>15.740312677277188</v>
      </c>
      <c r="H39" s="173" t="s">
        <v>105</v>
      </c>
      <c r="I39" s="288" t="s">
        <v>292</v>
      </c>
      <c r="J39" s="297">
        <f>'Antenna Gain'!Q14</f>
        <v>33.014178772157877</v>
      </c>
      <c r="K39" s="173" t="s">
        <v>239</v>
      </c>
      <c r="L39" s="179"/>
      <c r="M39" s="3"/>
      <c r="N39" s="3"/>
      <c r="O39" s="3"/>
      <c r="P39" s="3"/>
      <c r="Q39" s="3"/>
      <c r="R39" s="781"/>
      <c r="S39" s="782"/>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x14ac:dyDescent="0.2">
      <c r="A40" s="3"/>
      <c r="B40" s="293">
        <v>3</v>
      </c>
      <c r="C40" s="181" t="s">
        <v>322</v>
      </c>
      <c r="D40" s="289"/>
      <c r="E40" s="181"/>
      <c r="F40" s="289" t="s">
        <v>290</v>
      </c>
      <c r="G40" s="300">
        <f>'Antenna Gain'!N15</f>
        <v>25.271063238568452</v>
      </c>
      <c r="H40" s="181" t="s">
        <v>105</v>
      </c>
      <c r="I40" s="289" t="s">
        <v>292</v>
      </c>
      <c r="J40" s="296">
        <f>'Antenna Gain'!Q15</f>
        <v>8.8888888888888875</v>
      </c>
      <c r="K40" s="181" t="s">
        <v>239</v>
      </c>
      <c r="L40" s="185"/>
      <c r="M40" s="3"/>
      <c r="N40" s="3"/>
      <c r="O40" s="3"/>
      <c r="P40" s="3"/>
      <c r="Q40" s="3"/>
      <c r="R40" s="783"/>
      <c r="S40" s="784"/>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x14ac:dyDescent="0.2">
      <c r="A41" s="3"/>
      <c r="B41" s="303">
        <v>4</v>
      </c>
      <c r="C41" s="155" t="s">
        <v>323</v>
      </c>
      <c r="D41" s="196"/>
      <c r="E41" s="155"/>
      <c r="F41" s="197" t="s">
        <v>290</v>
      </c>
      <c r="G41" s="304">
        <f>'Antenna Gain'!N16</f>
        <v>16.149999999999999</v>
      </c>
      <c r="H41" s="155" t="s">
        <v>105</v>
      </c>
      <c r="I41" s="197" t="s">
        <v>292</v>
      </c>
      <c r="J41" s="305">
        <f>'Antenna Gain'!Q16</f>
        <v>30</v>
      </c>
      <c r="K41" s="155" t="s">
        <v>239</v>
      </c>
      <c r="L41" s="306"/>
      <c r="M41" s="3"/>
      <c r="N41" s="3"/>
      <c r="O41" s="3"/>
      <c r="P41" s="3"/>
      <c r="Q41" s="3"/>
      <c r="R41" s="92"/>
      <c r="S41" s="94"/>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x14ac:dyDescent="0.2">
      <c r="A42" s="3"/>
      <c r="B42" s="314"/>
      <c r="C42" s="315"/>
      <c r="D42" s="315"/>
      <c r="E42" s="315"/>
      <c r="F42" s="315"/>
      <c r="G42" s="315"/>
      <c r="H42" s="315"/>
      <c r="I42" s="315"/>
      <c r="J42" s="315"/>
      <c r="K42" s="315"/>
      <c r="L42" s="316"/>
      <c r="M42" s="3"/>
      <c r="N42" s="3"/>
      <c r="O42" s="3"/>
      <c r="P42" s="3"/>
      <c r="Q42" s="3"/>
      <c r="R42" s="92"/>
      <c r="S42" s="94"/>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x14ac:dyDescent="0.2">
      <c r="A43" s="3"/>
      <c r="B43" s="317" t="s">
        <v>37</v>
      </c>
      <c r="C43" s="318" t="s">
        <v>364</v>
      </c>
      <c r="D43" s="319"/>
      <c r="E43" s="319"/>
      <c r="F43" s="308">
        <v>5</v>
      </c>
      <c r="G43" s="309" t="s">
        <v>365</v>
      </c>
      <c r="H43" s="318" t="s">
        <v>363</v>
      </c>
      <c r="I43" s="319"/>
      <c r="J43" s="319"/>
      <c r="K43" s="307">
        <f>-10*LOG10(3282.81*((SIN(RADIANS(R38))^2/(R38^2))))</f>
        <v>0.25892532851375871</v>
      </c>
      <c r="L43" s="200" t="s">
        <v>78</v>
      </c>
      <c r="M43" s="3"/>
      <c r="N43" s="3"/>
      <c r="O43" s="3"/>
      <c r="P43" s="3"/>
      <c r="Q43" s="3"/>
      <c r="R43" s="92"/>
      <c r="S43" s="94"/>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x14ac:dyDescent="0.2">
      <c r="A44" s="3"/>
      <c r="B44" s="320"/>
      <c r="C44" s="321"/>
      <c r="D44" s="321"/>
      <c r="E44" s="321"/>
      <c r="F44" s="321"/>
      <c r="G44" s="321"/>
      <c r="H44" s="321"/>
      <c r="I44" s="321"/>
      <c r="J44" s="321"/>
      <c r="K44" s="321"/>
      <c r="L44" s="322"/>
      <c r="M44" s="3"/>
      <c r="N44" s="3"/>
      <c r="O44" s="3"/>
      <c r="P44" s="3"/>
      <c r="Q44" s="3"/>
      <c r="R44" s="92"/>
      <c r="S44" s="94"/>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x14ac:dyDescent="0.2">
      <c r="A45" s="3"/>
      <c r="B45" s="3"/>
      <c r="C45" s="3"/>
      <c r="D45" s="3"/>
      <c r="E45" s="3"/>
      <c r="F45" s="3"/>
      <c r="G45" s="3"/>
      <c r="H45" s="3" t="s">
        <v>37</v>
      </c>
      <c r="I45" s="3"/>
      <c r="J45" s="3"/>
      <c r="K45" s="3"/>
      <c r="L45" s="3"/>
      <c r="M45" s="3"/>
      <c r="N45" s="3"/>
      <c r="O45" s="3"/>
      <c r="P45" s="3"/>
      <c r="Q45" s="3"/>
      <c r="R45" s="92"/>
      <c r="S45" s="94"/>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ht="15.75" x14ac:dyDescent="0.25">
      <c r="A46" s="3"/>
      <c r="B46" s="3"/>
      <c r="C46" s="3"/>
      <c r="D46" s="3"/>
      <c r="E46" s="3"/>
      <c r="F46" s="3"/>
      <c r="G46" s="3"/>
      <c r="H46" s="3"/>
      <c r="I46" s="3"/>
      <c r="J46" s="3"/>
      <c r="K46" s="3"/>
      <c r="L46" s="3"/>
      <c r="M46" s="777"/>
      <c r="N46" s="3"/>
      <c r="O46" s="3"/>
      <c r="P46" s="3"/>
      <c r="Q46" s="3"/>
      <c r="R46" s="92"/>
      <c r="S46" s="94"/>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ht="15.75" x14ac:dyDescent="0.25">
      <c r="A47" s="3"/>
      <c r="B47" s="3"/>
      <c r="C47" s="3"/>
      <c r="D47" s="3"/>
      <c r="E47" s="3"/>
      <c r="F47" s="3"/>
      <c r="G47" s="3"/>
      <c r="H47" s="3"/>
      <c r="I47" s="3"/>
      <c r="J47" s="3"/>
      <c r="K47" s="3"/>
      <c r="L47" s="3"/>
      <c r="M47" s="4"/>
      <c r="N47" s="793"/>
      <c r="O47" s="805"/>
      <c r="P47" s="805"/>
      <c r="Q47" s="3"/>
      <c r="R47" s="92"/>
      <c r="S47" s="94"/>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5" thickBot="1" x14ac:dyDescent="0.25">
      <c r="A48" s="3"/>
      <c r="B48" s="3"/>
      <c r="C48" s="3"/>
      <c r="D48" s="3"/>
      <c r="E48" s="3"/>
      <c r="F48" s="3"/>
      <c r="G48" s="3"/>
      <c r="H48" s="3"/>
      <c r="I48" s="3"/>
      <c r="J48" s="3"/>
      <c r="K48" s="3"/>
      <c r="L48" s="3"/>
      <c r="M48" s="3"/>
      <c r="N48" s="795"/>
      <c r="O48" s="793"/>
      <c r="P48" s="793"/>
      <c r="Q48" s="3"/>
      <c r="R48" s="95"/>
      <c r="S48" s="97"/>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x14ac:dyDescent="0.25">
      <c r="A49" s="3"/>
      <c r="B49" s="202" t="s">
        <v>333</v>
      </c>
      <c r="C49" s="209"/>
      <c r="D49" s="195"/>
      <c r="E49" s="195"/>
      <c r="F49" s="195"/>
      <c r="G49" s="195"/>
      <c r="H49" s="195"/>
      <c r="I49" s="195"/>
      <c r="J49" s="195"/>
      <c r="K49" s="195"/>
      <c r="L49" s="196"/>
      <c r="M49" s="3"/>
      <c r="N49" s="793"/>
      <c r="O49" s="793"/>
      <c r="P49" s="793"/>
      <c r="Q49" s="3"/>
      <c r="R49" s="343"/>
      <c r="S49" s="196"/>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ht="15.75" x14ac:dyDescent="0.25">
      <c r="A50" s="3"/>
      <c r="B50" s="192"/>
      <c r="C50" s="155"/>
      <c r="D50" s="156" t="s">
        <v>334</v>
      </c>
      <c r="E50" s="155" t="s">
        <v>74</v>
      </c>
      <c r="F50" s="258">
        <f>'Antenna Gain'!F22</f>
        <v>437.5</v>
      </c>
      <c r="G50" s="155" t="s">
        <v>75</v>
      </c>
      <c r="H50" s="155"/>
      <c r="I50" s="155"/>
      <c r="J50" s="155" t="s">
        <v>318</v>
      </c>
      <c r="K50" s="259">
        <f>'Antenna Gain'!K22</f>
        <v>0.6852571428571429</v>
      </c>
      <c r="L50" s="197" t="s">
        <v>76</v>
      </c>
      <c r="M50" s="4"/>
      <c r="N50" s="793"/>
      <c r="O50" s="805"/>
      <c r="P50" s="805"/>
      <c r="Q50" s="3"/>
      <c r="R50" s="428" t="s">
        <v>372</v>
      </c>
      <c r="S50" s="348"/>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5" thickBot="1" x14ac:dyDescent="0.25">
      <c r="A51" s="3"/>
      <c r="B51" s="192"/>
      <c r="C51" s="155"/>
      <c r="D51" s="155" t="s">
        <v>37</v>
      </c>
      <c r="E51" s="155" t="s">
        <v>37</v>
      </c>
      <c r="F51" s="216" t="s">
        <v>536</v>
      </c>
      <c r="G51" s="155"/>
      <c r="H51" s="155"/>
      <c r="I51" s="155"/>
      <c r="J51" s="155"/>
      <c r="K51" s="155"/>
      <c r="L51" s="197"/>
      <c r="M51" s="4"/>
      <c r="N51" s="795"/>
      <c r="O51" s="3"/>
      <c r="P51" s="3"/>
      <c r="Q51" s="3"/>
      <c r="R51" s="347"/>
      <c r="S51" s="348"/>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x14ac:dyDescent="0.25">
      <c r="A52" s="3"/>
      <c r="B52" s="193" t="s">
        <v>37</v>
      </c>
      <c r="C52" s="155"/>
      <c r="D52" s="155"/>
      <c r="E52" s="340">
        <f>'Antenna Gain'!E25</f>
        <v>2</v>
      </c>
      <c r="F52" s="338" t="str">
        <f>'Antenna Gain'!F25</f>
        <v>Dipole</v>
      </c>
      <c r="G52" s="200"/>
      <c r="H52" s="155"/>
      <c r="I52" s="155"/>
      <c r="J52" s="155" t="s">
        <v>291</v>
      </c>
      <c r="K52" s="302" t="str">
        <f>'Antenna Gain'!K25</f>
        <v>Linear</v>
      </c>
      <c r="L52" s="197"/>
      <c r="M52" s="3"/>
      <c r="N52" s="3"/>
      <c r="O52" s="438" t="s">
        <v>546</v>
      </c>
      <c r="P52" s="3"/>
      <c r="Q52" s="3"/>
      <c r="R52" s="428" t="s">
        <v>371</v>
      </c>
      <c r="S52" s="348"/>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5" thickBot="1" x14ac:dyDescent="0.25">
      <c r="A53" s="3"/>
      <c r="B53" s="192"/>
      <c r="C53" s="155"/>
      <c r="D53" s="155"/>
      <c r="E53" s="155"/>
      <c r="F53" s="155" t="s">
        <v>37</v>
      </c>
      <c r="G53" s="155"/>
      <c r="H53" s="155"/>
      <c r="I53" s="155"/>
      <c r="J53" s="155"/>
      <c r="K53" s="155"/>
      <c r="L53" s="197"/>
      <c r="M53" s="3"/>
      <c r="N53" s="3"/>
      <c r="O53" s="439" t="s">
        <v>547</v>
      </c>
      <c r="P53" s="3"/>
      <c r="Q53" s="3"/>
      <c r="R53" s="252" t="s">
        <v>37</v>
      </c>
      <c r="S53" s="254"/>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x14ac:dyDescent="0.2">
      <c r="A54" s="3"/>
      <c r="B54" s="151">
        <v>1</v>
      </c>
      <c r="C54" s="152" t="s">
        <v>325</v>
      </c>
      <c r="D54" s="152"/>
      <c r="E54" s="152"/>
      <c r="F54" s="152"/>
      <c r="G54" s="152" t="s">
        <v>290</v>
      </c>
      <c r="H54" s="152">
        <v>2.15</v>
      </c>
      <c r="I54" s="152" t="s">
        <v>294</v>
      </c>
      <c r="J54" s="152" t="s">
        <v>292</v>
      </c>
      <c r="K54" s="152">
        <v>156.19999999999999</v>
      </c>
      <c r="L54" s="152" t="s">
        <v>239</v>
      </c>
      <c r="M54" s="130"/>
      <c r="N54" s="132"/>
      <c r="O54" s="437" t="s">
        <v>541</v>
      </c>
      <c r="P54" s="130" t="s">
        <v>841</v>
      </c>
      <c r="Q54" s="132"/>
      <c r="R54" s="345">
        <f>IF(G61&lt;100,-10*LOG10(COS(RADIANS(90-G61))),"No Signal")</f>
        <v>3.0102999566398108</v>
      </c>
      <c r="S54" s="346" t="s">
        <v>78</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x14ac:dyDescent="0.2">
      <c r="A55" s="3"/>
      <c r="B55" s="154">
        <v>2</v>
      </c>
      <c r="C55" s="155" t="s">
        <v>326</v>
      </c>
      <c r="D55" s="155"/>
      <c r="E55" s="155"/>
      <c r="F55" s="155"/>
      <c r="G55" s="155" t="s">
        <v>290</v>
      </c>
      <c r="H55" s="155">
        <v>2.15</v>
      </c>
      <c r="I55" s="155" t="s">
        <v>294</v>
      </c>
      <c r="J55" s="155" t="s">
        <v>292</v>
      </c>
      <c r="K55" s="155">
        <v>156.19999999999999</v>
      </c>
      <c r="L55" s="155" t="s">
        <v>239</v>
      </c>
      <c r="M55" s="130"/>
      <c r="N55" s="132"/>
      <c r="O55" s="436" t="s">
        <v>542</v>
      </c>
      <c r="P55" s="130" t="s">
        <v>842</v>
      </c>
      <c r="Q55" s="132"/>
      <c r="R55" s="341">
        <f>IF(G61&lt;90.001,-10*LOG10(COS(RADIANS($G$61))),-10*LOG(-COS(RADIANS($G$61))))</f>
        <v>0.62469368304149941</v>
      </c>
      <c r="S55" s="197" t="s">
        <v>78</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x14ac:dyDescent="0.2">
      <c r="A56" s="3"/>
      <c r="B56" s="158">
        <v>3</v>
      </c>
      <c r="C56" s="105" t="s">
        <v>327</v>
      </c>
      <c r="D56" s="105"/>
      <c r="E56" s="105"/>
      <c r="F56" s="105"/>
      <c r="G56" s="105" t="s">
        <v>290</v>
      </c>
      <c r="H56" s="323">
        <v>2</v>
      </c>
      <c r="I56" s="105" t="s">
        <v>105</v>
      </c>
      <c r="J56" s="105" t="s">
        <v>292</v>
      </c>
      <c r="K56" s="105">
        <v>180</v>
      </c>
      <c r="L56" s="105" t="s">
        <v>239</v>
      </c>
      <c r="M56" s="130"/>
      <c r="N56" s="132"/>
      <c r="O56" s="435" t="s">
        <v>545</v>
      </c>
      <c r="P56" s="130" t="s">
        <v>843</v>
      </c>
      <c r="Q56" s="132"/>
      <c r="R56" s="441">
        <f>IF(K52=K36,0.00075*(G61)^2, 0.00075*(180-G61)^2)</f>
        <v>16.875</v>
      </c>
      <c r="S56" s="220" t="s">
        <v>78</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x14ac:dyDescent="0.2">
      <c r="A57" s="3"/>
      <c r="B57" s="154">
        <v>4</v>
      </c>
      <c r="C57" s="155" t="s">
        <v>328</v>
      </c>
      <c r="D57" s="155"/>
      <c r="E57" s="207" t="s">
        <v>298</v>
      </c>
      <c r="F57" s="155" t="s">
        <v>299</v>
      </c>
      <c r="G57" s="155" t="s">
        <v>290</v>
      </c>
      <c r="H57" s="324">
        <v>4</v>
      </c>
      <c r="I57" s="155" t="s">
        <v>105</v>
      </c>
      <c r="J57" s="155" t="s">
        <v>292</v>
      </c>
      <c r="K57" s="155">
        <v>150</v>
      </c>
      <c r="L57" s="155" t="s">
        <v>239</v>
      </c>
      <c r="M57" s="130"/>
      <c r="N57" s="132"/>
      <c r="O57" s="436" t="s">
        <v>543</v>
      </c>
      <c r="P57" s="130" t="s">
        <v>844</v>
      </c>
      <c r="Q57" s="132"/>
      <c r="R57" s="342">
        <f>-1.5*(-(4-10*LOG10(1.256*(1+COS(RADIANS(G61))))))</f>
        <v>0.45139213094166664</v>
      </c>
      <c r="S57" s="254" t="s">
        <v>78</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thickBot="1" x14ac:dyDescent="0.25">
      <c r="A58" s="3"/>
      <c r="B58" s="214">
        <v>5</v>
      </c>
      <c r="C58" s="327" t="s">
        <v>329</v>
      </c>
      <c r="D58" s="211"/>
      <c r="E58" s="325" t="str">
        <f>'Antenna Gain'!D31</f>
        <v>Isotropic</v>
      </c>
      <c r="F58" s="211"/>
      <c r="G58" s="211" t="s">
        <v>290</v>
      </c>
      <c r="H58" s="326">
        <f>'Antenna Gain'!H31</f>
        <v>0</v>
      </c>
      <c r="I58" s="211" t="s">
        <v>266</v>
      </c>
      <c r="J58" s="211" t="s">
        <v>292</v>
      </c>
      <c r="K58" s="327">
        <f>'Antenna Gain'!L31</f>
        <v>360</v>
      </c>
      <c r="L58" s="211" t="s">
        <v>239</v>
      </c>
      <c r="M58" s="125"/>
      <c r="N58" s="127"/>
      <c r="O58" s="435" t="s">
        <v>544</v>
      </c>
      <c r="P58" s="130" t="str">
        <f>E58</f>
        <v>Isotropic</v>
      </c>
      <c r="Q58" s="132"/>
      <c r="R58" s="407">
        <v>0</v>
      </c>
      <c r="S58" s="309" t="s">
        <v>78</v>
      </c>
      <c r="T58" s="3"/>
      <c r="U58" s="3"/>
      <c r="V58" s="3"/>
      <c r="W58" s="3"/>
      <c r="X58" s="3" t="s">
        <v>37</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x14ac:dyDescent="0.2">
      <c r="A59" s="3"/>
      <c r="B59" s="329"/>
      <c r="C59" s="330"/>
      <c r="D59" s="330"/>
      <c r="E59" s="330"/>
      <c r="F59" s="330"/>
      <c r="G59" s="330"/>
      <c r="H59" s="330"/>
      <c r="I59" s="330"/>
      <c r="J59" s="330"/>
      <c r="K59" s="330"/>
      <c r="L59" s="331"/>
      <c r="M59" s="3"/>
      <c r="N59" s="3"/>
      <c r="O59" s="3"/>
      <c r="P59" s="3"/>
      <c r="Q59" s="3"/>
      <c r="R59" s="89"/>
      <c r="S59" s="91"/>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x14ac:dyDescent="0.2">
      <c r="A60" s="3"/>
      <c r="B60" s="332"/>
      <c r="C60" s="318" t="s">
        <v>367</v>
      </c>
      <c r="D60" s="318"/>
      <c r="E60" s="318"/>
      <c r="F60" s="318"/>
      <c r="G60" s="319"/>
      <c r="H60" s="319"/>
      <c r="I60" s="333" t="s">
        <v>368</v>
      </c>
      <c r="J60" s="333"/>
      <c r="K60" s="319"/>
      <c r="L60" s="334"/>
      <c r="M60" s="3"/>
      <c r="N60" s="3"/>
      <c r="O60" s="3"/>
      <c r="P60" s="3"/>
      <c r="Q60" s="3"/>
      <c r="R60" s="92"/>
      <c r="S60" s="94"/>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x14ac:dyDescent="0.2">
      <c r="A61" s="3"/>
      <c r="B61" s="332"/>
      <c r="C61" s="318" t="s">
        <v>373</v>
      </c>
      <c r="D61" s="318"/>
      <c r="E61" s="318"/>
      <c r="F61" s="318"/>
      <c r="G61" s="344">
        <v>30</v>
      </c>
      <c r="H61" s="309" t="s">
        <v>239</v>
      </c>
      <c r="I61" s="333" t="s">
        <v>369</v>
      </c>
      <c r="J61" s="333"/>
      <c r="K61" s="307">
        <f>INDEX(R54:R58,E52, 1)</f>
        <v>0.62469368304149941</v>
      </c>
      <c r="L61" s="328" t="s">
        <v>78</v>
      </c>
      <c r="M61" s="3"/>
      <c r="N61" s="3"/>
      <c r="O61" s="3"/>
      <c r="P61" s="3"/>
      <c r="Q61" s="3"/>
      <c r="R61" s="92"/>
      <c r="S61" s="94"/>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5" thickBot="1" x14ac:dyDescent="0.25">
      <c r="A62" s="3"/>
      <c r="B62" s="335"/>
      <c r="C62" s="336"/>
      <c r="D62" s="336"/>
      <c r="E62" s="336"/>
      <c r="F62" s="336"/>
      <c r="G62" s="339"/>
      <c r="H62" s="336"/>
      <c r="I62" s="336"/>
      <c r="J62" s="336"/>
      <c r="K62" s="336"/>
      <c r="L62" s="337"/>
      <c r="M62" s="3"/>
      <c r="N62" s="3" t="s">
        <v>37</v>
      </c>
      <c r="O62" s="3"/>
      <c r="P62" s="3"/>
      <c r="Q62" s="3"/>
      <c r="R62" s="92"/>
      <c r="S62" s="94"/>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x14ac:dyDescent="0.2">
      <c r="A63" s="3"/>
      <c r="B63" s="3"/>
      <c r="C63" s="3"/>
      <c r="D63" s="3"/>
      <c r="E63" s="3"/>
      <c r="F63" s="3"/>
      <c r="G63" s="3"/>
      <c r="H63" s="3"/>
      <c r="I63" s="3"/>
      <c r="J63" s="3"/>
      <c r="K63" s="3"/>
      <c r="L63" s="3"/>
      <c r="M63" s="3"/>
      <c r="N63" s="3"/>
      <c r="O63" s="3"/>
      <c r="P63" s="3"/>
      <c r="Q63" s="3"/>
      <c r="R63" s="92"/>
      <c r="S63" s="94"/>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x14ac:dyDescent="0.2">
      <c r="A64" s="3"/>
      <c r="B64" s="3"/>
      <c r="C64" s="3"/>
      <c r="D64" s="3"/>
      <c r="E64" s="3"/>
      <c r="F64" s="3"/>
      <c r="G64" s="3"/>
      <c r="H64" s="3"/>
      <c r="I64" s="3"/>
      <c r="J64" s="3"/>
      <c r="K64" s="3"/>
      <c r="L64" s="3"/>
      <c r="M64" s="3"/>
      <c r="N64" s="3"/>
      <c r="O64" s="3"/>
      <c r="P64" s="3"/>
      <c r="Q64" s="3"/>
      <c r="R64" s="92"/>
      <c r="S64" s="94"/>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ht="15.75" x14ac:dyDescent="0.25">
      <c r="A65" s="42"/>
      <c r="B65" s="42"/>
      <c r="C65" s="429" t="s">
        <v>331</v>
      </c>
      <c r="D65" s="42"/>
      <c r="E65" s="42"/>
      <c r="F65" s="42"/>
      <c r="G65" s="42"/>
      <c r="H65" s="42"/>
      <c r="I65" s="42"/>
      <c r="J65" s="429" t="s">
        <v>332</v>
      </c>
      <c r="K65" s="42"/>
      <c r="L65" s="42"/>
      <c r="M65" s="42"/>
      <c r="N65" s="42"/>
      <c r="O65" s="42"/>
      <c r="P65" s="42"/>
      <c r="Q65" s="42"/>
      <c r="R65" s="92"/>
      <c r="S65" s="94"/>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144"/>
      <c r="AZ65" s="144"/>
    </row>
    <row r="66" spans="1:52" ht="15.75" x14ac:dyDescent="0.25">
      <c r="A66" s="3"/>
      <c r="B66" s="3"/>
      <c r="C66" s="3"/>
      <c r="D66" s="3"/>
      <c r="E66" s="3"/>
      <c r="F66" s="3"/>
      <c r="G66" s="3"/>
      <c r="H66" s="3"/>
      <c r="I66" s="3"/>
      <c r="J66" s="3"/>
      <c r="K66" s="3"/>
      <c r="L66" s="3"/>
      <c r="M66" s="777"/>
      <c r="N66" s="3"/>
      <c r="O66" s="3"/>
      <c r="P66" s="3"/>
      <c r="Q66" s="3"/>
      <c r="R66" s="92"/>
      <c r="S66" s="94"/>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row>
    <row r="67" spans="1:52" ht="15.75" x14ac:dyDescent="0.25">
      <c r="A67" s="294" t="s">
        <v>530</v>
      </c>
      <c r="B67" s="204"/>
      <c r="C67" s="204"/>
      <c r="D67" s="205"/>
      <c r="E67" s="3"/>
      <c r="F67" s="3"/>
      <c r="G67" s="3"/>
      <c r="H67" s="3"/>
      <c r="I67" s="3"/>
      <c r="J67" s="3"/>
      <c r="K67" s="3"/>
      <c r="L67" s="3"/>
      <c r="M67" s="4"/>
      <c r="N67" s="793"/>
      <c r="O67" s="805"/>
      <c r="P67" s="805"/>
      <c r="Q67" s="3"/>
      <c r="R67" s="92"/>
      <c r="S67" s="94"/>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row>
    <row r="68" spans="1:52" ht="13.5" thickBot="1" x14ac:dyDescent="0.25">
      <c r="A68" s="3"/>
      <c r="B68" s="3"/>
      <c r="C68" s="3"/>
      <c r="D68" s="3"/>
      <c r="E68" s="3"/>
      <c r="F68" s="3"/>
      <c r="G68" s="3"/>
      <c r="H68" s="3"/>
      <c r="I68" s="3"/>
      <c r="J68" s="3"/>
      <c r="K68" s="3"/>
      <c r="L68" s="3"/>
      <c r="M68" s="3"/>
      <c r="N68" s="795"/>
      <c r="O68" s="793"/>
      <c r="P68" s="793"/>
      <c r="Q68" s="3"/>
      <c r="R68" s="95"/>
      <c r="S68" s="9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3.5" thickBot="1" x14ac:dyDescent="0.25">
      <c r="A69" s="3"/>
      <c r="B69" s="202" t="s">
        <v>333</v>
      </c>
      <c r="C69" s="209"/>
      <c r="D69" s="195"/>
      <c r="E69" s="195"/>
      <c r="F69" s="195"/>
      <c r="G69" s="195"/>
      <c r="H69" s="195"/>
      <c r="I69" s="195"/>
      <c r="J69" s="195"/>
      <c r="K69" s="195"/>
      <c r="L69" s="196"/>
      <c r="M69" s="3"/>
      <c r="N69" s="793"/>
      <c r="O69" s="793"/>
      <c r="P69" s="793"/>
      <c r="Q69" s="3"/>
      <c r="R69" s="343"/>
      <c r="S69" s="196"/>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5.75" x14ac:dyDescent="0.25">
      <c r="A70" s="3"/>
      <c r="B70" s="192"/>
      <c r="C70" s="155"/>
      <c r="D70" s="156" t="s">
        <v>335</v>
      </c>
      <c r="E70" s="155" t="s">
        <v>74</v>
      </c>
      <c r="F70" s="258">
        <f>'Antenna Gain'!F38</f>
        <v>437.45</v>
      </c>
      <c r="G70" s="155" t="s">
        <v>75</v>
      </c>
      <c r="H70" s="155"/>
      <c r="I70" s="155"/>
      <c r="J70" s="155" t="s">
        <v>318</v>
      </c>
      <c r="K70" s="259">
        <f>'Antenna Gain'!K38</f>
        <v>0.68533546691050407</v>
      </c>
      <c r="L70" s="197" t="s">
        <v>76</v>
      </c>
      <c r="M70" s="4"/>
      <c r="N70" s="793"/>
      <c r="O70" s="805"/>
      <c r="P70" s="805"/>
      <c r="Q70" s="3"/>
      <c r="R70" s="428" t="s">
        <v>372</v>
      </c>
      <c r="S70" s="348"/>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x14ac:dyDescent="0.25">
      <c r="A71" s="3"/>
      <c r="B71" s="192"/>
      <c r="C71" s="155"/>
      <c r="D71" s="155" t="s">
        <v>37</v>
      </c>
      <c r="E71" s="155" t="s">
        <v>37</v>
      </c>
      <c r="F71" s="216" t="s">
        <v>536</v>
      </c>
      <c r="G71" s="155"/>
      <c r="H71" s="155"/>
      <c r="I71" s="155"/>
      <c r="J71" s="155"/>
      <c r="K71" s="155"/>
      <c r="L71" s="197"/>
      <c r="M71" s="4"/>
      <c r="N71" s="795"/>
      <c r="O71" s="3"/>
      <c r="P71" s="3"/>
      <c r="Q71" s="3"/>
      <c r="R71" s="347"/>
      <c r="S71" s="348"/>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ht="13.5" thickBot="1" x14ac:dyDescent="0.25">
      <c r="A72" s="3"/>
      <c r="B72" s="193" t="s">
        <v>37</v>
      </c>
      <c r="C72" s="155"/>
      <c r="D72" s="155"/>
      <c r="E72" s="340">
        <f>'Antenna Gain'!E41</f>
        <v>2</v>
      </c>
      <c r="F72" s="338" t="str">
        <f>'Antenna Gain'!F41</f>
        <v>Dipole</v>
      </c>
      <c r="G72" s="200"/>
      <c r="H72" s="155"/>
      <c r="I72" s="155"/>
      <c r="J72" s="155" t="s">
        <v>291</v>
      </c>
      <c r="K72" s="302" t="str">
        <f>'Antenna Gain'!K41</f>
        <v>Linear</v>
      </c>
      <c r="L72" s="197"/>
      <c r="M72" s="3"/>
      <c r="N72" s="3"/>
      <c r="O72" s="438" t="s">
        <v>546</v>
      </c>
      <c r="P72" s="3"/>
      <c r="Q72" s="3"/>
      <c r="R72" s="428" t="s">
        <v>371</v>
      </c>
      <c r="S72" s="348"/>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5" thickBot="1" x14ac:dyDescent="0.25">
      <c r="A73" s="3"/>
      <c r="B73" s="192"/>
      <c r="C73" s="155"/>
      <c r="D73" s="155"/>
      <c r="E73" s="155"/>
      <c r="F73" s="155" t="s">
        <v>37</v>
      </c>
      <c r="G73" s="155"/>
      <c r="H73" s="155"/>
      <c r="I73" s="155"/>
      <c r="J73" s="155"/>
      <c r="K73" s="155"/>
      <c r="L73" s="197"/>
      <c r="M73" s="3"/>
      <c r="N73" s="3"/>
      <c r="O73" s="439" t="s">
        <v>547</v>
      </c>
      <c r="P73" s="3"/>
      <c r="Q73" s="3"/>
      <c r="R73" s="252" t="s">
        <v>37</v>
      </c>
      <c r="S73" s="254"/>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24.75" customHeight="1" x14ac:dyDescent="0.2">
      <c r="A74" s="3"/>
      <c r="B74" s="151">
        <v>1</v>
      </c>
      <c r="C74" s="152" t="s">
        <v>325</v>
      </c>
      <c r="D74" s="152"/>
      <c r="E74" s="152"/>
      <c r="F74" s="152"/>
      <c r="G74" s="152" t="s">
        <v>290</v>
      </c>
      <c r="H74" s="152">
        <v>2.15</v>
      </c>
      <c r="I74" s="152" t="s">
        <v>294</v>
      </c>
      <c r="J74" s="152" t="s">
        <v>292</v>
      </c>
      <c r="K74" s="152">
        <v>156.19999999999999</v>
      </c>
      <c r="L74" s="153" t="s">
        <v>239</v>
      </c>
      <c r="M74" s="130"/>
      <c r="N74" s="132"/>
      <c r="O74" s="437" t="s">
        <v>553</v>
      </c>
      <c r="P74" s="646" t="s">
        <v>841</v>
      </c>
      <c r="Q74" s="647"/>
      <c r="R74" s="345">
        <f>IF(G81&lt;100,-10*LOG10(COS(RADIANS(90-G81))),"No Signal")</f>
        <v>3.0102999566398108</v>
      </c>
      <c r="S74" s="346" t="s">
        <v>78</v>
      </c>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24.75" customHeight="1" x14ac:dyDescent="0.2">
      <c r="A75" s="3"/>
      <c r="B75" s="154">
        <v>2</v>
      </c>
      <c r="C75" s="155" t="s">
        <v>326</v>
      </c>
      <c r="D75" s="155"/>
      <c r="E75" s="155"/>
      <c r="F75" s="155"/>
      <c r="G75" s="155" t="s">
        <v>290</v>
      </c>
      <c r="H75" s="155">
        <v>2.15</v>
      </c>
      <c r="I75" s="155" t="s">
        <v>294</v>
      </c>
      <c r="J75" s="155" t="s">
        <v>292</v>
      </c>
      <c r="K75" s="155">
        <v>156.19999999999999</v>
      </c>
      <c r="L75" s="157" t="s">
        <v>239</v>
      </c>
      <c r="M75" s="130"/>
      <c r="N75" s="132"/>
      <c r="O75" s="436" t="s">
        <v>552</v>
      </c>
      <c r="P75" s="646" t="s">
        <v>842</v>
      </c>
      <c r="Q75" s="647"/>
      <c r="R75" s="341">
        <f>IF(G81&lt;90.001,-10*LOG10(COS(RADIANS(G81))),-10*LOG(-COS(RADIANS(G81))))</f>
        <v>0.62469368304149941</v>
      </c>
      <c r="S75" s="197" t="s">
        <v>78</v>
      </c>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 customHeight="1" x14ac:dyDescent="0.2">
      <c r="A76" s="3"/>
      <c r="B76" s="158">
        <v>3</v>
      </c>
      <c r="C76" s="105" t="s">
        <v>327</v>
      </c>
      <c r="D76" s="105"/>
      <c r="E76" s="105"/>
      <c r="F76" s="105"/>
      <c r="G76" s="105" t="s">
        <v>290</v>
      </c>
      <c r="H76" s="323">
        <v>2</v>
      </c>
      <c r="I76" s="105" t="s">
        <v>105</v>
      </c>
      <c r="J76" s="105" t="s">
        <v>292</v>
      </c>
      <c r="K76" s="105">
        <v>180</v>
      </c>
      <c r="L76" s="106" t="s">
        <v>239</v>
      </c>
      <c r="M76" s="130"/>
      <c r="N76" s="132"/>
      <c r="O76" s="435" t="s">
        <v>549</v>
      </c>
      <c r="P76" s="646" t="s">
        <v>843</v>
      </c>
      <c r="Q76" s="647"/>
      <c r="R76" s="441">
        <f>IF(K72=K91, 0.00075*(G81)^2, 0.00075*(180-G81)^2)</f>
        <v>16.875</v>
      </c>
      <c r="S76" s="220" t="s">
        <v>78</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x14ac:dyDescent="0.2">
      <c r="A77" s="3"/>
      <c r="B77" s="154">
        <v>4</v>
      </c>
      <c r="C77" s="155" t="s">
        <v>328</v>
      </c>
      <c r="D77" s="155"/>
      <c r="E77" s="207" t="s">
        <v>298</v>
      </c>
      <c r="F77" s="155" t="s">
        <v>299</v>
      </c>
      <c r="G77" s="155" t="s">
        <v>290</v>
      </c>
      <c r="H77" s="324">
        <v>4</v>
      </c>
      <c r="I77" s="155" t="s">
        <v>105</v>
      </c>
      <c r="J77" s="155" t="s">
        <v>292</v>
      </c>
      <c r="K77" s="155">
        <v>150</v>
      </c>
      <c r="L77" s="157" t="s">
        <v>239</v>
      </c>
      <c r="M77" s="130"/>
      <c r="N77" s="132"/>
      <c r="O77" s="436" t="s">
        <v>551</v>
      </c>
      <c r="P77" s="646" t="s">
        <v>844</v>
      </c>
      <c r="Q77" s="647"/>
      <c r="R77" s="342">
        <f>1.5*((4-10*LOG10(1.256*(1+COS(RADIANS(G81))))))</f>
        <v>0.45139213094166664</v>
      </c>
      <c r="S77" s="254" t="s">
        <v>78</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75" customHeight="1" thickBot="1" x14ac:dyDescent="0.25">
      <c r="A78" s="3"/>
      <c r="B78" s="214">
        <v>5</v>
      </c>
      <c r="C78" s="211" t="s">
        <v>329</v>
      </c>
      <c r="D78" s="211"/>
      <c r="E78" s="325" t="str">
        <f>'Antenna Gain'!D47</f>
        <v>Helical Antenna</v>
      </c>
      <c r="F78" s="211"/>
      <c r="G78" s="211" t="s">
        <v>290</v>
      </c>
      <c r="H78" s="326">
        <f>'Antenna Gain'!H47</f>
        <v>10</v>
      </c>
      <c r="I78" s="211" t="s">
        <v>266</v>
      </c>
      <c r="J78" s="211" t="s">
        <v>292</v>
      </c>
      <c r="K78" s="327">
        <f>'Antenna Gain'!L47</f>
        <v>52</v>
      </c>
      <c r="L78" s="213" t="s">
        <v>239</v>
      </c>
      <c r="M78" s="125"/>
      <c r="N78" s="127"/>
      <c r="O78" s="435" t="s">
        <v>550</v>
      </c>
      <c r="P78" s="646" t="str">
        <f>E78</f>
        <v>Helical Antenna</v>
      </c>
      <c r="Q78" s="647"/>
      <c r="R78" s="407">
        <v>0.5</v>
      </c>
      <c r="S78" s="309" t="s">
        <v>78</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x14ac:dyDescent="0.2">
      <c r="A79" s="3"/>
      <c r="B79" s="329"/>
      <c r="C79" s="330"/>
      <c r="D79" s="330"/>
      <c r="E79" s="330"/>
      <c r="F79" s="330"/>
      <c r="G79" s="330"/>
      <c r="H79" s="330"/>
      <c r="I79" s="330"/>
      <c r="J79" s="330"/>
      <c r="K79" s="330"/>
      <c r="L79" s="331"/>
      <c r="M79" s="3"/>
      <c r="N79" s="3"/>
      <c r="O79" s="3"/>
      <c r="P79" s="3"/>
      <c r="Q79" s="3"/>
      <c r="R79" s="89"/>
      <c r="S79" s="91"/>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x14ac:dyDescent="0.2">
      <c r="A80" s="3"/>
      <c r="B80" s="332"/>
      <c r="C80" s="318" t="s">
        <v>367</v>
      </c>
      <c r="D80" s="318"/>
      <c r="E80" s="318"/>
      <c r="F80" s="318"/>
      <c r="G80" s="319"/>
      <c r="H80" s="319"/>
      <c r="I80" s="333" t="s">
        <v>368</v>
      </c>
      <c r="J80" s="333"/>
      <c r="K80" s="319"/>
      <c r="L80" s="334"/>
      <c r="M80" s="3"/>
      <c r="N80" s="3"/>
      <c r="O80" s="3"/>
      <c r="P80" s="3"/>
      <c r="Q80" s="3"/>
      <c r="R80" s="92"/>
      <c r="S80" s="94"/>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x14ac:dyDescent="0.2">
      <c r="A81" s="3"/>
      <c r="B81" s="332"/>
      <c r="C81" s="318" t="s">
        <v>534</v>
      </c>
      <c r="D81" s="318"/>
      <c r="E81" s="318"/>
      <c r="F81" s="318"/>
      <c r="G81" s="344">
        <v>30</v>
      </c>
      <c r="H81" s="309" t="s">
        <v>239</v>
      </c>
      <c r="I81" s="333" t="s">
        <v>369</v>
      </c>
      <c r="J81" s="333"/>
      <c r="K81" s="307">
        <f>INDEX(R74:R78,E72, 1)</f>
        <v>0.62469368304149941</v>
      </c>
      <c r="L81" s="328" t="s">
        <v>78</v>
      </c>
      <c r="M81" s="3"/>
      <c r="N81" s="3"/>
      <c r="O81" s="3"/>
      <c r="P81" s="3" t="s">
        <v>37</v>
      </c>
      <c r="Q81" s="3"/>
      <c r="R81" s="92"/>
      <c r="S81" s="94"/>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13.5" thickBot="1" x14ac:dyDescent="0.25">
      <c r="A82" s="3"/>
      <c r="B82" s="335"/>
      <c r="C82" s="336"/>
      <c r="D82" s="336"/>
      <c r="E82" s="336"/>
      <c r="F82" s="336"/>
      <c r="G82" s="339"/>
      <c r="H82" s="336"/>
      <c r="I82" s="336"/>
      <c r="J82" s="336"/>
      <c r="K82" s="336"/>
      <c r="L82" s="337"/>
      <c r="M82" s="3"/>
      <c r="N82" s="3" t="s">
        <v>37</v>
      </c>
      <c r="O82" s="3"/>
      <c r="P82" s="3"/>
      <c r="Q82" s="3"/>
      <c r="R82" s="92"/>
      <c r="S82" s="94"/>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x14ac:dyDescent="0.2">
      <c r="A83" s="3"/>
      <c r="B83" s="3"/>
      <c r="C83" s="3"/>
      <c r="D83" s="3"/>
      <c r="E83" s="3"/>
      <c r="F83" s="3"/>
      <c r="G83" s="3"/>
      <c r="H83" s="3"/>
      <c r="I83" s="3"/>
      <c r="J83" s="3"/>
      <c r="K83" s="3"/>
      <c r="L83" s="3"/>
      <c r="M83" s="3"/>
      <c r="N83" s="3"/>
      <c r="O83" s="3"/>
      <c r="P83" s="3"/>
      <c r="Q83" s="3"/>
      <c r="R83" s="92"/>
      <c r="S83" s="9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x14ac:dyDescent="0.2">
      <c r="A84" s="3"/>
      <c r="B84" s="3"/>
      <c r="C84" s="3"/>
      <c r="D84" s="3"/>
      <c r="E84" s="3"/>
      <c r="F84" s="3"/>
      <c r="G84" s="3"/>
      <c r="H84" s="3"/>
      <c r="I84" s="3"/>
      <c r="J84" s="3"/>
      <c r="K84" s="3"/>
      <c r="L84" s="3"/>
      <c r="M84" s="3"/>
      <c r="N84" s="3"/>
      <c r="O84" s="3"/>
      <c r="P84" s="3"/>
      <c r="Q84" s="3"/>
      <c r="R84" s="92"/>
      <c r="S84" s="94"/>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x14ac:dyDescent="0.2">
      <c r="A85" s="3"/>
      <c r="B85" s="3" t="s">
        <v>37</v>
      </c>
      <c r="C85" s="3"/>
      <c r="D85" s="3"/>
      <c r="E85" s="3"/>
      <c r="F85" s="3"/>
      <c r="G85" s="3"/>
      <c r="H85" s="3"/>
      <c r="I85" s="3"/>
      <c r="J85" s="3"/>
      <c r="K85" s="3"/>
      <c r="L85" s="3"/>
      <c r="M85" s="3"/>
      <c r="N85" s="3"/>
      <c r="O85" s="3"/>
      <c r="P85" s="3"/>
      <c r="Q85" s="3"/>
      <c r="R85" s="92"/>
      <c r="S85" s="94"/>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5" thickBot="1" x14ac:dyDescent="0.25">
      <c r="A86" s="3"/>
      <c r="B86" s="3"/>
      <c r="C86" s="3"/>
      <c r="D86" s="3"/>
      <c r="E86" s="3"/>
      <c r="F86" s="3"/>
      <c r="G86" s="3"/>
      <c r="H86" s="3"/>
      <c r="I86" s="3"/>
      <c r="J86" s="3"/>
      <c r="K86" s="3"/>
      <c r="L86" s="3"/>
      <c r="M86" s="3"/>
      <c r="N86" s="3"/>
      <c r="O86" s="3"/>
      <c r="P86" s="3"/>
      <c r="Q86" s="3"/>
      <c r="R86" s="92"/>
      <c r="S86" s="94"/>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ht="16.5" thickBot="1" x14ac:dyDescent="0.3">
      <c r="A87" s="3"/>
      <c r="B87" s="202" t="s">
        <v>324</v>
      </c>
      <c r="C87" s="209"/>
      <c r="D87" s="195"/>
      <c r="E87" s="195"/>
      <c r="F87" s="195"/>
      <c r="G87" s="195" t="s">
        <v>37</v>
      </c>
      <c r="H87" s="195"/>
      <c r="I87" s="195"/>
      <c r="J87" s="195" t="s">
        <v>37</v>
      </c>
      <c r="K87" s="195"/>
      <c r="L87" s="196"/>
      <c r="M87" s="777"/>
      <c r="N87" s="793"/>
      <c r="O87" s="793"/>
      <c r="P87" s="793"/>
      <c r="Q87" s="3"/>
      <c r="R87" s="430"/>
      <c r="S87" s="94"/>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ht="15.75" x14ac:dyDescent="0.25">
      <c r="A88" s="3"/>
      <c r="B88" s="193" t="s">
        <v>37</v>
      </c>
      <c r="C88" s="228"/>
      <c r="D88" s="230" t="s">
        <v>335</v>
      </c>
      <c r="E88" s="229" t="s">
        <v>74</v>
      </c>
      <c r="F88" s="260">
        <f>'Antenna Gain'!F53</f>
        <v>437.45</v>
      </c>
      <c r="G88" s="155" t="s">
        <v>75</v>
      </c>
      <c r="H88" s="155"/>
      <c r="I88" s="155"/>
      <c r="J88" s="155" t="s">
        <v>318</v>
      </c>
      <c r="K88" s="261">
        <f>'Antenna Gain'!K53</f>
        <v>0.68533546691050407</v>
      </c>
      <c r="L88" s="197" t="s">
        <v>76</v>
      </c>
      <c r="M88" s="4"/>
      <c r="N88" s="793"/>
      <c r="O88" s="805"/>
      <c r="P88" s="805"/>
      <c r="Q88" s="3"/>
      <c r="R88" s="92"/>
      <c r="S88" s="94"/>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x14ac:dyDescent="0.2">
      <c r="A89" s="3"/>
      <c r="B89" s="192"/>
      <c r="C89" s="155"/>
      <c r="D89" s="155"/>
      <c r="E89" s="155"/>
      <c r="F89" s="155"/>
      <c r="G89" s="155"/>
      <c r="H89" s="155"/>
      <c r="I89" s="155"/>
      <c r="J89" s="155"/>
      <c r="K89" s="155"/>
      <c r="L89" s="197"/>
      <c r="M89" s="3"/>
      <c r="N89" s="795"/>
      <c r="O89" s="793"/>
      <c r="P89" s="793"/>
      <c r="Q89" s="3"/>
      <c r="R89" s="92"/>
      <c r="S89" s="94"/>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5" thickBot="1" x14ac:dyDescent="0.25">
      <c r="A90" s="3"/>
      <c r="B90" s="192"/>
      <c r="C90" s="155"/>
      <c r="D90" s="155"/>
      <c r="E90" s="155"/>
      <c r="F90" s="216" t="s">
        <v>537</v>
      </c>
      <c r="G90" s="155"/>
      <c r="H90" s="155"/>
      <c r="I90" s="155"/>
      <c r="J90" s="155"/>
      <c r="K90" s="155"/>
      <c r="L90" s="197"/>
      <c r="M90" s="3"/>
      <c r="N90" s="793"/>
      <c r="O90" s="793"/>
      <c r="P90" s="793"/>
      <c r="Q90" s="3"/>
      <c r="R90" s="92"/>
      <c r="S90" s="94"/>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6.5" thickBot="1" x14ac:dyDescent="0.3">
      <c r="A91" s="3"/>
      <c r="B91" s="193" t="s">
        <v>37</v>
      </c>
      <c r="C91" s="155"/>
      <c r="D91" s="155"/>
      <c r="E91" s="301">
        <f>'Antenna Gain'!E56</f>
        <v>2</v>
      </c>
      <c r="F91" s="199" t="str">
        <f>'Antenna Gain'!F56</f>
        <v>Helix</v>
      </c>
      <c r="G91" s="200"/>
      <c r="H91" s="155"/>
      <c r="I91" s="155"/>
      <c r="J91" s="155" t="s">
        <v>291</v>
      </c>
      <c r="K91" s="302" t="str">
        <f>'Antenna Gain'!K56</f>
        <v>RHCP</v>
      </c>
      <c r="L91" s="197"/>
      <c r="M91" s="4"/>
      <c r="N91" s="793"/>
      <c r="O91" s="805"/>
      <c r="P91" s="805"/>
      <c r="Q91" s="3"/>
      <c r="R91" s="92"/>
      <c r="S91" s="94"/>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5" thickBot="1" x14ac:dyDescent="0.25">
      <c r="A92" s="3"/>
      <c r="B92" s="194"/>
      <c r="C92" s="160"/>
      <c r="D92" s="160"/>
      <c r="E92" s="160"/>
      <c r="F92" s="160"/>
      <c r="G92" s="160"/>
      <c r="H92" s="160"/>
      <c r="I92" s="160"/>
      <c r="J92" s="160"/>
      <c r="K92" s="160"/>
      <c r="L92" s="198"/>
      <c r="M92" s="4"/>
      <c r="N92" s="795"/>
      <c r="O92" s="793"/>
      <c r="P92" s="793"/>
      <c r="Q92" s="3"/>
      <c r="R92" s="95"/>
      <c r="S92" s="9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ht="36" customHeight="1" x14ac:dyDescent="0.2">
      <c r="A93" s="3"/>
      <c r="B93" s="291">
        <v>1</v>
      </c>
      <c r="C93" s="166" t="s">
        <v>308</v>
      </c>
      <c r="D93" s="287"/>
      <c r="E93" s="166"/>
      <c r="F93" s="290" t="s">
        <v>307</v>
      </c>
      <c r="G93" s="299">
        <f>'Antenna Gain'!N58</f>
        <v>14.05</v>
      </c>
      <c r="H93" s="166" t="s">
        <v>105</v>
      </c>
      <c r="I93" s="287" t="s">
        <v>292</v>
      </c>
      <c r="J93" s="295">
        <f>'Antenna Gain'!Q58</f>
        <v>39.676193136730106</v>
      </c>
      <c r="K93" s="166" t="s">
        <v>239</v>
      </c>
      <c r="L93" s="171"/>
      <c r="M93" s="3"/>
      <c r="N93" s="3"/>
      <c r="O93" s="3"/>
      <c r="P93" s="3"/>
      <c r="Q93" s="3"/>
      <c r="R93" s="432">
        <f>2*(F98*(79.76/INDEX(J93:J96,E91,1)))</f>
        <v>24.159316683431989</v>
      </c>
      <c r="S93" s="288"/>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36" customHeight="1" x14ac:dyDescent="0.2">
      <c r="A94" s="3"/>
      <c r="B94" s="292">
        <v>2</v>
      </c>
      <c r="C94" s="173" t="s">
        <v>321</v>
      </c>
      <c r="D94" s="288"/>
      <c r="E94" s="173"/>
      <c r="F94" s="288" t="s">
        <v>290</v>
      </c>
      <c r="G94" s="298">
        <f>'Antenna Gain'!N59</f>
        <v>15.740312677277188</v>
      </c>
      <c r="H94" s="173" t="s">
        <v>105</v>
      </c>
      <c r="I94" s="288" t="s">
        <v>292</v>
      </c>
      <c r="J94" s="297">
        <f>'Antenna Gain'!Q59</f>
        <v>33.014178772157877</v>
      </c>
      <c r="K94" s="173" t="s">
        <v>239</v>
      </c>
      <c r="L94" s="179"/>
      <c r="M94" s="3"/>
      <c r="N94" s="3"/>
      <c r="O94" s="3"/>
      <c r="P94" s="3"/>
      <c r="Q94" s="3"/>
      <c r="R94" s="108"/>
      <c r="S94" s="108"/>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36" customHeight="1" x14ac:dyDescent="0.2">
      <c r="A95" s="3"/>
      <c r="B95" s="293">
        <v>3</v>
      </c>
      <c r="C95" s="181" t="s">
        <v>322</v>
      </c>
      <c r="D95" s="289"/>
      <c r="E95" s="181"/>
      <c r="F95" s="289" t="s">
        <v>290</v>
      </c>
      <c r="G95" s="300">
        <f>'Antenna Gain'!N60</f>
        <v>25.27007050873846</v>
      </c>
      <c r="H95" s="181" t="s">
        <v>105</v>
      </c>
      <c r="I95" s="289" t="s">
        <v>292</v>
      </c>
      <c r="J95" s="296">
        <f>'Antenna Gain'!Q60</f>
        <v>259.22962624299919</v>
      </c>
      <c r="K95" s="181" t="s">
        <v>239</v>
      </c>
      <c r="L95" s="185"/>
      <c r="M95" s="3"/>
      <c r="N95" s="3"/>
      <c r="O95" s="3"/>
      <c r="P95" s="3"/>
      <c r="Q95" s="3"/>
      <c r="R95" s="108"/>
      <c r="S95" s="108"/>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36" customHeight="1" x14ac:dyDescent="0.2">
      <c r="A96" s="3"/>
      <c r="B96" s="303">
        <v>4</v>
      </c>
      <c r="C96" s="155" t="s">
        <v>323</v>
      </c>
      <c r="D96" s="196"/>
      <c r="E96" s="155"/>
      <c r="F96" s="197" t="s">
        <v>290</v>
      </c>
      <c r="G96" s="304">
        <f>'Antenna Gain'!N61</f>
        <v>17.649999999999999</v>
      </c>
      <c r="H96" s="155" t="s">
        <v>105</v>
      </c>
      <c r="I96" s="197" t="s">
        <v>292</v>
      </c>
      <c r="J96" s="305">
        <f>'Antenna Gain'!Q61</f>
        <v>24</v>
      </c>
      <c r="K96" s="155" t="s">
        <v>239</v>
      </c>
      <c r="L96" s="306"/>
      <c r="M96" s="3"/>
      <c r="N96" s="3"/>
      <c r="O96" s="3"/>
      <c r="P96" s="3"/>
      <c r="Q96" s="3"/>
      <c r="R96" s="108"/>
      <c r="S96" s="108"/>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x14ac:dyDescent="0.2">
      <c r="A97" s="3"/>
      <c r="B97" s="314"/>
      <c r="C97" s="315"/>
      <c r="D97" s="315"/>
      <c r="E97" s="315"/>
      <c r="F97" s="315"/>
      <c r="G97" s="315"/>
      <c r="H97" s="315"/>
      <c r="I97" s="315"/>
      <c r="J97" s="315"/>
      <c r="K97" s="315"/>
      <c r="L97" s="316"/>
      <c r="M97" s="3"/>
      <c r="N97" s="3"/>
      <c r="O97" s="3"/>
      <c r="P97" s="3"/>
      <c r="Q97" s="3"/>
      <c r="R97" s="108"/>
      <c r="S97" s="108"/>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x14ac:dyDescent="0.2">
      <c r="A98" s="3"/>
      <c r="B98" s="317" t="s">
        <v>37</v>
      </c>
      <c r="C98" s="318" t="s">
        <v>535</v>
      </c>
      <c r="D98" s="319"/>
      <c r="E98" s="319"/>
      <c r="F98" s="308">
        <v>5</v>
      </c>
      <c r="G98" s="309" t="s">
        <v>365</v>
      </c>
      <c r="H98" s="318" t="s">
        <v>363</v>
      </c>
      <c r="I98" s="319"/>
      <c r="J98" s="319"/>
      <c r="K98" s="307">
        <f>-10*LOG10(3282.81*((SIN(RADIANS(R93))^2/(R93^2))))</f>
        <v>0.25892532851375871</v>
      </c>
      <c r="L98" s="200" t="s">
        <v>78</v>
      </c>
      <c r="M98" s="3"/>
      <c r="N98" s="3"/>
      <c r="O98" s="3"/>
      <c r="P98" s="3"/>
      <c r="Q98" s="3"/>
      <c r="R98" s="108"/>
      <c r="S98" s="108"/>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x14ac:dyDescent="0.2">
      <c r="A99" s="3"/>
      <c r="B99" s="320"/>
      <c r="C99" s="321"/>
      <c r="D99" s="321"/>
      <c r="E99" s="321"/>
      <c r="F99" s="321"/>
      <c r="G99" s="321"/>
      <c r="H99" s="321"/>
      <c r="I99" s="321"/>
      <c r="J99" s="321"/>
      <c r="K99" s="321"/>
      <c r="L99" s="322"/>
      <c r="M99" s="3"/>
      <c r="N99" s="3"/>
      <c r="O99" s="3"/>
      <c r="P99" s="3"/>
      <c r="Q99" s="3"/>
      <c r="R99" s="108"/>
      <c r="S99" s="108"/>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sheetData>
  <mergeCells count="8">
    <mergeCell ref="O67:P67"/>
    <mergeCell ref="O70:P70"/>
    <mergeCell ref="O88:P88"/>
    <mergeCell ref="O91:P91"/>
    <mergeCell ref="O33:P33"/>
    <mergeCell ref="O36:P36"/>
    <mergeCell ref="O47:P47"/>
    <mergeCell ref="O50:P50"/>
  </mergeCells>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115"/>
  <sheetViews>
    <sheetView topLeftCell="A34" workbookViewId="0">
      <selection activeCell="F56" sqref="F56"/>
    </sheetView>
  </sheetViews>
  <sheetFormatPr defaultRowHeight="12.75" x14ac:dyDescent="0.2"/>
  <cols>
    <col min="6" max="6" width="12.140625" bestFit="1" customWidth="1"/>
    <col min="7" max="7" width="9.28515625" customWidth="1"/>
    <col min="10" max="10" width="9.85546875" customWidth="1"/>
    <col min="15" max="15" width="11.28515625" customWidth="1"/>
  </cols>
  <sheetData>
    <row r="1" spans="1:22" ht="18.75" thickBot="1" x14ac:dyDescent="0.3">
      <c r="A1" s="133" t="s">
        <v>527</v>
      </c>
      <c r="B1" s="133"/>
      <c r="C1" s="134"/>
      <c r="D1" s="134"/>
      <c r="E1" s="134"/>
      <c r="F1" s="134"/>
      <c r="G1" s="134"/>
      <c r="H1" s="135"/>
      <c r="I1" s="135"/>
      <c r="J1" s="726" t="str">
        <f>'Title Page'!F3</f>
        <v>CougSat-1</v>
      </c>
      <c r="K1" s="135"/>
      <c r="L1" s="135"/>
      <c r="M1" s="135"/>
      <c r="N1" s="725" t="str">
        <f>'Title Page'!F25</f>
        <v>2020 January 17</v>
      </c>
      <c r="O1" s="135"/>
      <c r="P1" s="135"/>
      <c r="Q1" s="135"/>
      <c r="R1" s="135"/>
      <c r="S1" s="135"/>
      <c r="T1" s="135"/>
      <c r="U1" s="135"/>
      <c r="V1" s="135"/>
    </row>
    <row r="2" spans="1:22" x14ac:dyDescent="0.2">
      <c r="A2" s="3"/>
      <c r="B2" s="3"/>
      <c r="C2" s="3"/>
      <c r="D2" s="3"/>
      <c r="E2" s="3"/>
      <c r="F2" s="3"/>
      <c r="G2" s="3"/>
      <c r="H2" s="3"/>
      <c r="I2" s="3"/>
      <c r="J2" s="3"/>
      <c r="K2" s="3"/>
      <c r="L2" s="3"/>
      <c r="M2" s="3"/>
      <c r="N2" s="3"/>
      <c r="O2" s="3"/>
      <c r="P2" s="3"/>
      <c r="Q2" s="3"/>
      <c r="R2" s="3"/>
      <c r="S2" s="3"/>
      <c r="T2" s="3"/>
      <c r="U2" s="3"/>
      <c r="V2" s="3"/>
    </row>
    <row r="3" spans="1:22" x14ac:dyDescent="0.2">
      <c r="A3" s="3"/>
      <c r="B3" s="3"/>
      <c r="C3" s="3"/>
      <c r="D3" s="3"/>
      <c r="E3" s="129" t="s">
        <v>200</v>
      </c>
      <c r="F3" s="3"/>
      <c r="G3" s="3"/>
      <c r="H3" s="3"/>
      <c r="I3" s="3"/>
      <c r="J3" s="3"/>
      <c r="K3" s="3"/>
      <c r="L3" s="568" t="s">
        <v>37</v>
      </c>
      <c r="M3" s="3"/>
      <c r="N3" s="3"/>
      <c r="O3" s="3"/>
      <c r="P3" s="3"/>
      <c r="Q3" s="3"/>
      <c r="R3" s="3"/>
      <c r="S3" s="3"/>
      <c r="T3" s="3"/>
      <c r="U3" s="3"/>
      <c r="V3" s="3"/>
    </row>
    <row r="4" spans="1:22" x14ac:dyDescent="0.2">
      <c r="A4" s="3"/>
      <c r="B4" s="101" t="s">
        <v>202</v>
      </c>
      <c r="C4" s="3"/>
      <c r="D4" s="3"/>
      <c r="E4" s="3"/>
      <c r="F4" s="3"/>
      <c r="G4" s="3"/>
      <c r="H4" s="3"/>
      <c r="I4" s="3"/>
      <c r="J4" s="3"/>
      <c r="K4" s="3"/>
      <c r="L4" s="3"/>
      <c r="M4" s="3"/>
      <c r="N4" s="3"/>
      <c r="O4" s="3"/>
      <c r="P4" s="3"/>
      <c r="Q4" s="3"/>
      <c r="R4" s="3"/>
      <c r="S4" s="3"/>
      <c r="T4" s="3"/>
      <c r="U4" s="3"/>
      <c r="V4" s="3"/>
    </row>
    <row r="5" spans="1:22" x14ac:dyDescent="0.2">
      <c r="A5" s="3"/>
      <c r="B5" s="3"/>
      <c r="C5" s="3"/>
      <c r="D5" s="3"/>
      <c r="E5" s="129" t="s">
        <v>201</v>
      </c>
      <c r="F5" s="3"/>
      <c r="G5" s="3"/>
      <c r="H5" s="3"/>
      <c r="I5" s="3"/>
      <c r="J5" s="3"/>
      <c r="K5" s="4" t="s">
        <v>199</v>
      </c>
      <c r="L5" s="3"/>
      <c r="M5" s="3"/>
      <c r="N5" s="4" t="s">
        <v>193</v>
      </c>
      <c r="O5" s="3"/>
      <c r="P5" s="3"/>
      <c r="Q5" s="4" t="s">
        <v>194</v>
      </c>
      <c r="R5" s="3"/>
      <c r="S5" s="3"/>
      <c r="T5" s="3"/>
      <c r="U5" s="3"/>
      <c r="V5" s="3"/>
    </row>
    <row r="6" spans="1:22" x14ac:dyDescent="0.2">
      <c r="A6" s="3"/>
      <c r="B6" s="376" t="s">
        <v>370</v>
      </c>
      <c r="C6" s="3"/>
      <c r="D6" s="3"/>
      <c r="E6" s="3"/>
      <c r="F6" s="3"/>
      <c r="G6" s="3"/>
      <c r="H6" s="3"/>
      <c r="I6" s="3"/>
      <c r="J6" s="3"/>
      <c r="K6" s="3" t="s">
        <v>217</v>
      </c>
      <c r="L6" s="3"/>
      <c r="M6" s="3"/>
      <c r="N6" s="3" t="s">
        <v>217</v>
      </c>
      <c r="O6" s="3"/>
      <c r="P6" s="3"/>
      <c r="Q6" s="3" t="s">
        <v>218</v>
      </c>
      <c r="R6" s="3"/>
      <c r="S6" s="3"/>
      <c r="T6" s="3"/>
      <c r="U6" s="3"/>
      <c r="V6" s="3"/>
    </row>
    <row r="7" spans="1:22" x14ac:dyDescent="0.2">
      <c r="A7" s="3"/>
      <c r="B7" s="3"/>
      <c r="C7" s="3"/>
      <c r="D7" s="3"/>
      <c r="E7" s="3"/>
      <c r="F7" s="3"/>
      <c r="G7" s="3"/>
      <c r="H7" s="3"/>
      <c r="I7" s="3"/>
      <c r="J7" s="3"/>
      <c r="K7" s="3"/>
      <c r="L7" s="3"/>
      <c r="M7" s="3"/>
      <c r="N7" s="3" t="s">
        <v>37</v>
      </c>
      <c r="O7" s="3"/>
      <c r="P7" s="3"/>
      <c r="Q7" s="3"/>
      <c r="R7" s="3"/>
      <c r="S7" s="3"/>
      <c r="T7" s="3"/>
      <c r="U7" s="3"/>
      <c r="V7" s="3"/>
    </row>
    <row r="8" spans="1:22" x14ac:dyDescent="0.2">
      <c r="A8" s="3"/>
      <c r="B8" s="3"/>
      <c r="C8" s="3"/>
      <c r="D8" s="3"/>
      <c r="E8" s="3"/>
      <c r="F8" s="3"/>
      <c r="G8" s="3"/>
      <c r="H8" s="3"/>
      <c r="I8" s="3"/>
      <c r="J8" s="3"/>
      <c r="K8" s="3"/>
      <c r="L8" s="3"/>
      <c r="M8" s="3"/>
      <c r="N8" s="3"/>
      <c r="O8" s="3"/>
      <c r="P8" s="3"/>
      <c r="Q8" s="3"/>
      <c r="R8" s="3"/>
      <c r="S8" s="3"/>
      <c r="T8" s="3"/>
      <c r="U8" s="3"/>
      <c r="V8" s="3"/>
    </row>
    <row r="9" spans="1:22" ht="12.75" customHeight="1" x14ac:dyDescent="0.2">
      <c r="A9" s="3"/>
      <c r="B9" s="3"/>
      <c r="C9" s="3"/>
      <c r="D9" s="3"/>
      <c r="E9" s="3"/>
      <c r="F9" s="3"/>
      <c r="G9" s="3"/>
      <c r="H9" s="3"/>
      <c r="I9" s="3"/>
      <c r="J9" s="3"/>
      <c r="K9" s="3"/>
      <c r="L9" s="3"/>
      <c r="M9" s="3"/>
      <c r="N9" s="3"/>
      <c r="O9" s="3"/>
      <c r="P9" s="3"/>
      <c r="Q9" s="3"/>
      <c r="R9" s="3"/>
      <c r="S9" s="3"/>
      <c r="T9" s="3"/>
      <c r="U9" s="3"/>
      <c r="V9" s="3"/>
    </row>
    <row r="10" spans="1:22" ht="12.75" customHeight="1" x14ac:dyDescent="0.25">
      <c r="A10" s="3"/>
      <c r="B10" s="3"/>
      <c r="C10" s="3"/>
      <c r="D10" s="3"/>
      <c r="E10" s="3"/>
      <c r="F10" s="3"/>
      <c r="G10" s="3"/>
      <c r="H10" s="3"/>
      <c r="I10" s="3"/>
      <c r="J10" s="3"/>
      <c r="K10" s="3"/>
      <c r="L10" s="3"/>
      <c r="M10" s="3"/>
      <c r="N10" s="3"/>
      <c r="O10" s="3"/>
      <c r="P10" s="3"/>
      <c r="Q10" s="3" t="s">
        <v>197</v>
      </c>
      <c r="R10" s="3"/>
      <c r="S10" s="3"/>
      <c r="T10" s="3"/>
      <c r="U10" s="3"/>
      <c r="V10" s="3"/>
    </row>
    <row r="11" spans="1:22" x14ac:dyDescent="0.2">
      <c r="A11" s="3"/>
      <c r="B11" s="3"/>
      <c r="C11" s="3"/>
      <c r="D11" s="3"/>
      <c r="E11" s="3"/>
      <c r="F11" s="3"/>
      <c r="G11" s="3"/>
      <c r="H11" s="4" t="s">
        <v>195</v>
      </c>
      <c r="I11" s="3"/>
      <c r="J11" s="3"/>
      <c r="K11" s="3"/>
      <c r="L11" s="3"/>
      <c r="M11" s="3"/>
      <c r="N11" s="3"/>
      <c r="O11" s="3"/>
      <c r="P11" s="3"/>
      <c r="Q11" s="3"/>
      <c r="R11" s="3"/>
      <c r="S11" s="3"/>
      <c r="T11" s="3"/>
      <c r="U11" s="3"/>
      <c r="V11" s="3"/>
    </row>
    <row r="12" spans="1:22" x14ac:dyDescent="0.2">
      <c r="A12" s="3"/>
      <c r="B12" s="3"/>
      <c r="C12" s="3"/>
      <c r="D12" s="3"/>
      <c r="E12" s="3"/>
      <c r="F12" s="3"/>
      <c r="G12" s="3"/>
      <c r="H12" s="3"/>
      <c r="I12" s="3"/>
      <c r="J12" s="3"/>
      <c r="K12" s="3"/>
      <c r="L12" s="3"/>
      <c r="M12" s="3"/>
      <c r="N12" s="3"/>
      <c r="O12" s="3"/>
      <c r="P12" s="3"/>
      <c r="Q12" s="3"/>
      <c r="R12" s="3"/>
      <c r="S12" s="3"/>
      <c r="T12" s="3"/>
      <c r="U12" s="3"/>
      <c r="V12" s="3"/>
    </row>
    <row r="13" spans="1:22" x14ac:dyDescent="0.2">
      <c r="A13" s="3"/>
      <c r="B13" s="3"/>
      <c r="C13" s="3"/>
      <c r="D13" s="3"/>
      <c r="E13" s="3"/>
      <c r="F13" s="3"/>
      <c r="G13" s="3"/>
      <c r="H13" s="3"/>
      <c r="I13" s="3"/>
      <c r="J13" s="3"/>
      <c r="K13" s="3"/>
      <c r="L13" s="3"/>
      <c r="M13" s="3"/>
      <c r="N13" s="3"/>
      <c r="O13" s="3"/>
      <c r="P13" s="3"/>
      <c r="Q13" s="3"/>
      <c r="R13" s="3"/>
      <c r="S13" s="3"/>
      <c r="T13" s="3"/>
      <c r="U13" s="3"/>
      <c r="V13" s="3"/>
    </row>
    <row r="14" spans="1:22" x14ac:dyDescent="0.2">
      <c r="A14" s="3"/>
      <c r="B14" s="3"/>
      <c r="C14" s="3"/>
      <c r="D14" s="3"/>
      <c r="E14" s="3"/>
      <c r="F14" s="3"/>
      <c r="G14" s="3"/>
      <c r="H14" s="3"/>
      <c r="I14" s="3"/>
      <c r="J14" s="3"/>
      <c r="K14" s="3"/>
      <c r="L14" s="3"/>
      <c r="M14" s="3"/>
      <c r="N14" s="3"/>
      <c r="O14" s="3"/>
      <c r="P14" s="3"/>
      <c r="Q14" s="3"/>
      <c r="R14" s="3"/>
      <c r="S14" s="3"/>
      <c r="T14" s="3"/>
      <c r="U14" s="3"/>
      <c r="V14" s="3"/>
    </row>
    <row r="15" spans="1:22" x14ac:dyDescent="0.2">
      <c r="A15" s="3"/>
      <c r="B15" s="3"/>
      <c r="C15" s="3"/>
      <c r="D15" s="3"/>
      <c r="E15" s="3"/>
      <c r="F15" s="3"/>
      <c r="G15" s="3"/>
      <c r="H15" s="3"/>
      <c r="I15" s="3"/>
      <c r="J15" s="3"/>
      <c r="K15" s="3"/>
      <c r="L15" s="3"/>
      <c r="M15" s="3"/>
      <c r="N15" s="3"/>
      <c r="O15" s="3"/>
      <c r="P15" s="3"/>
      <c r="Q15" s="3"/>
      <c r="R15" s="3"/>
      <c r="S15" s="3"/>
      <c r="T15" s="3"/>
      <c r="U15" s="3"/>
      <c r="V15" s="3"/>
    </row>
    <row r="16" spans="1:22" x14ac:dyDescent="0.2">
      <c r="A16" s="3"/>
      <c r="B16" s="3"/>
      <c r="C16" s="3"/>
      <c r="D16" s="3"/>
      <c r="E16" s="3"/>
      <c r="F16" s="3"/>
      <c r="G16" s="3"/>
      <c r="H16" s="3"/>
      <c r="I16" s="3"/>
      <c r="J16" s="3"/>
      <c r="K16" s="3"/>
      <c r="L16" s="3"/>
      <c r="M16" s="3"/>
      <c r="N16" s="3"/>
      <c r="O16" s="3"/>
      <c r="P16" s="3"/>
      <c r="Q16" s="3"/>
      <c r="R16" s="3"/>
      <c r="S16" s="3"/>
      <c r="T16" s="3"/>
      <c r="U16" s="3"/>
      <c r="V16" s="3"/>
    </row>
    <row r="17" spans="1:22" x14ac:dyDescent="0.2">
      <c r="A17" s="3"/>
      <c r="B17" s="3"/>
      <c r="C17" s="3"/>
      <c r="D17" s="3"/>
      <c r="E17" s="3"/>
      <c r="F17" s="3"/>
      <c r="G17" s="3"/>
      <c r="H17" s="3"/>
      <c r="I17" s="3"/>
      <c r="J17" s="3"/>
      <c r="K17" s="3"/>
      <c r="L17" s="3"/>
      <c r="M17" s="3"/>
      <c r="N17" s="3"/>
      <c r="O17" s="3"/>
      <c r="P17" s="3"/>
      <c r="Q17" s="3"/>
      <c r="R17" s="3"/>
      <c r="S17" s="3"/>
      <c r="T17" s="3"/>
      <c r="U17" s="3"/>
      <c r="V17" s="3"/>
    </row>
    <row r="18" spans="1:22" x14ac:dyDescent="0.2">
      <c r="A18" s="3"/>
      <c r="B18" s="3"/>
      <c r="C18" s="3"/>
      <c r="D18" s="3"/>
      <c r="E18" s="3"/>
      <c r="F18" s="3"/>
      <c r="G18" s="3"/>
      <c r="H18" s="3"/>
      <c r="I18" s="3"/>
      <c r="J18" s="3"/>
      <c r="K18" s="3"/>
      <c r="L18" s="3"/>
      <c r="M18" s="3"/>
      <c r="N18" s="3"/>
      <c r="O18" s="3"/>
      <c r="P18" s="3"/>
      <c r="Q18" s="3"/>
      <c r="R18" s="3"/>
      <c r="S18" s="3"/>
      <c r="T18" s="3"/>
      <c r="U18" s="3"/>
      <c r="V18" s="3"/>
    </row>
    <row r="19" spans="1:22" x14ac:dyDescent="0.2">
      <c r="A19" s="3"/>
      <c r="B19" s="3"/>
      <c r="C19" s="3"/>
      <c r="D19" s="3"/>
      <c r="E19" s="3"/>
      <c r="F19" s="3"/>
      <c r="G19" s="3"/>
      <c r="H19" s="3"/>
      <c r="I19" s="3"/>
      <c r="J19" s="3"/>
      <c r="K19" s="3"/>
      <c r="L19" s="3"/>
      <c r="M19" s="3"/>
      <c r="N19" s="3"/>
      <c r="O19" s="3"/>
      <c r="P19" s="3"/>
      <c r="Q19" s="3"/>
      <c r="R19" s="3"/>
      <c r="S19" s="3"/>
      <c r="T19" s="3"/>
      <c r="U19" s="3"/>
      <c r="V19" s="3"/>
    </row>
    <row r="20" spans="1:22" ht="12.75" customHeight="1" x14ac:dyDescent="0.25">
      <c r="A20" s="3"/>
      <c r="B20" s="3"/>
      <c r="C20" s="3"/>
      <c r="D20" s="3"/>
      <c r="E20" s="3"/>
      <c r="F20" s="3"/>
      <c r="G20" s="3"/>
      <c r="H20" s="3"/>
      <c r="I20" s="3"/>
      <c r="J20" s="3"/>
      <c r="K20" s="3"/>
      <c r="L20" s="3"/>
      <c r="M20" s="3"/>
      <c r="N20" s="3"/>
      <c r="O20" s="3"/>
      <c r="P20" s="3"/>
      <c r="Q20" s="3" t="s">
        <v>198</v>
      </c>
      <c r="R20" s="3"/>
      <c r="S20" s="3"/>
      <c r="T20" s="3"/>
      <c r="U20" s="3"/>
      <c r="V20" s="3"/>
    </row>
    <row r="21" spans="1:22" x14ac:dyDescent="0.2">
      <c r="A21" s="3"/>
      <c r="B21" s="3"/>
      <c r="C21" s="3"/>
      <c r="D21" s="3"/>
      <c r="E21" s="3"/>
      <c r="F21" s="3"/>
      <c r="G21" s="3"/>
      <c r="H21" s="4" t="s">
        <v>196</v>
      </c>
      <c r="I21" s="3"/>
      <c r="J21" s="3"/>
      <c r="K21" s="3"/>
      <c r="L21" s="3"/>
      <c r="M21" s="3"/>
      <c r="N21" s="3"/>
      <c r="O21" s="3"/>
      <c r="P21" s="3"/>
      <c r="Q21" s="3"/>
      <c r="R21" s="3"/>
      <c r="S21" s="3"/>
      <c r="T21" s="3"/>
      <c r="U21" s="3"/>
      <c r="V21" s="3"/>
    </row>
    <row r="22" spans="1:22" x14ac:dyDescent="0.2">
      <c r="A22" s="3"/>
      <c r="B22" s="3"/>
      <c r="C22" s="3"/>
      <c r="D22" s="3"/>
      <c r="E22" s="3"/>
      <c r="F22" s="3"/>
      <c r="G22" s="3"/>
      <c r="H22" s="3"/>
      <c r="I22" s="3"/>
      <c r="J22" s="3"/>
      <c r="K22" s="3"/>
      <c r="L22" s="3"/>
      <c r="M22" s="3"/>
      <c r="N22" s="3"/>
      <c r="O22" s="3"/>
      <c r="P22" s="3"/>
      <c r="Q22" s="3"/>
      <c r="R22" s="3"/>
      <c r="S22" s="3"/>
      <c r="T22" s="3"/>
      <c r="U22" s="3"/>
      <c r="V22" s="3"/>
    </row>
    <row r="23" spans="1:22" x14ac:dyDescent="0.2">
      <c r="A23" s="3"/>
      <c r="B23" s="3"/>
      <c r="C23" s="3"/>
      <c r="D23" s="3"/>
      <c r="E23" s="3"/>
      <c r="F23" s="3"/>
      <c r="G23" s="3"/>
      <c r="H23" s="3"/>
      <c r="I23" s="3"/>
      <c r="J23" s="3"/>
      <c r="K23" s="3"/>
      <c r="L23" s="3"/>
      <c r="M23" s="3"/>
      <c r="N23" s="3"/>
      <c r="O23" s="3"/>
      <c r="P23" s="3"/>
      <c r="Q23" s="3"/>
      <c r="R23" s="3"/>
      <c r="S23" s="3"/>
      <c r="T23" s="3"/>
      <c r="U23" s="3"/>
      <c r="V23" s="3"/>
    </row>
    <row r="24" spans="1:22" x14ac:dyDescent="0.2">
      <c r="A24" s="3"/>
      <c r="B24" s="3"/>
      <c r="C24" s="3"/>
      <c r="D24" s="3"/>
      <c r="E24" s="3"/>
      <c r="F24" s="3"/>
      <c r="G24" s="3"/>
      <c r="H24" s="3"/>
      <c r="I24" s="3"/>
      <c r="J24" s="3"/>
      <c r="K24" s="3"/>
      <c r="L24" s="3"/>
      <c r="M24" s="3"/>
      <c r="N24" s="3"/>
      <c r="O24" s="3"/>
      <c r="P24" s="3"/>
      <c r="Q24" s="3"/>
      <c r="R24" s="3"/>
      <c r="S24" s="3"/>
      <c r="T24" s="3"/>
      <c r="U24" s="3"/>
      <c r="V24" s="3"/>
    </row>
    <row r="25" spans="1:22" x14ac:dyDescent="0.2">
      <c r="A25" s="3"/>
      <c r="B25" s="3"/>
      <c r="C25" s="3"/>
      <c r="D25" s="3"/>
      <c r="E25" s="3"/>
      <c r="F25" s="3"/>
      <c r="G25" s="3"/>
      <c r="H25" s="3"/>
      <c r="I25" s="3"/>
      <c r="J25" s="3"/>
      <c r="K25" s="3"/>
      <c r="L25" s="3"/>
      <c r="M25" s="3"/>
      <c r="N25" s="3"/>
      <c r="O25" s="3"/>
      <c r="P25" s="3"/>
      <c r="Q25" s="3"/>
      <c r="R25" s="3"/>
      <c r="S25" s="3"/>
      <c r="T25" s="3"/>
      <c r="U25" s="3"/>
      <c r="V25" s="3"/>
    </row>
    <row r="26" spans="1:22" x14ac:dyDescent="0.2">
      <c r="A26" s="3"/>
      <c r="B26" s="3"/>
      <c r="C26" s="3"/>
      <c r="D26" s="3"/>
      <c r="E26" s="3"/>
      <c r="F26" s="3"/>
      <c r="G26" s="3"/>
      <c r="H26" s="3"/>
      <c r="I26" s="3"/>
      <c r="J26" s="3"/>
      <c r="K26" s="3"/>
      <c r="L26" s="3"/>
      <c r="M26" s="3"/>
      <c r="N26" s="3"/>
      <c r="O26" s="3"/>
      <c r="P26" s="3"/>
      <c r="Q26" s="3"/>
      <c r="R26" s="3"/>
      <c r="S26" s="3"/>
      <c r="T26" s="3"/>
      <c r="U26" s="3"/>
      <c r="V26" s="3"/>
    </row>
    <row r="27" spans="1:22" x14ac:dyDescent="0.2">
      <c r="A27" s="3"/>
      <c r="B27" s="376" t="s">
        <v>370</v>
      </c>
      <c r="C27" s="3"/>
      <c r="D27" s="3"/>
      <c r="E27" s="3"/>
      <c r="F27" s="3"/>
      <c r="G27" s="3"/>
      <c r="H27" s="3"/>
      <c r="I27" s="3"/>
      <c r="J27" s="3"/>
      <c r="K27" s="3"/>
      <c r="L27" s="3"/>
      <c r="M27" s="3"/>
      <c r="N27" s="3"/>
      <c r="O27" s="3"/>
      <c r="P27" s="3"/>
      <c r="Q27" s="3"/>
      <c r="R27" s="3"/>
      <c r="S27" s="3"/>
      <c r="T27" s="3"/>
      <c r="U27" s="3"/>
      <c r="V27" s="3"/>
    </row>
    <row r="28" spans="1:22" ht="13.5" thickBot="1" x14ac:dyDescent="0.25">
      <c r="A28" s="3"/>
      <c r="B28" s="3"/>
      <c r="C28" s="3"/>
      <c r="D28" s="3"/>
      <c r="E28" s="3"/>
      <c r="F28" s="3"/>
      <c r="G28" s="3"/>
      <c r="H28" s="3"/>
      <c r="I28" s="3"/>
      <c r="J28" s="3"/>
      <c r="K28" s="89"/>
      <c r="L28" s="90"/>
      <c r="M28" s="90"/>
      <c r="N28" s="91"/>
      <c r="O28" s="3"/>
      <c r="P28" s="3"/>
      <c r="Q28" s="3"/>
      <c r="R28" s="3"/>
      <c r="S28" s="3"/>
      <c r="T28" s="3"/>
      <c r="U28" s="3"/>
      <c r="V28" s="3"/>
    </row>
    <row r="29" spans="1:22" ht="13.5" thickBot="1" x14ac:dyDescent="0.25">
      <c r="A29" s="3"/>
      <c r="B29" s="246" t="s">
        <v>348</v>
      </c>
      <c r="C29" s="249" t="s">
        <v>354</v>
      </c>
      <c r="D29" s="3"/>
      <c r="E29" s="3"/>
      <c r="F29" s="3"/>
      <c r="G29" s="3"/>
      <c r="H29" s="3"/>
      <c r="I29" s="3"/>
      <c r="J29" s="3"/>
      <c r="K29" s="92"/>
      <c r="L29" s="93"/>
      <c r="M29" s="93"/>
      <c r="N29" s="94"/>
      <c r="O29" s="3"/>
      <c r="P29" s="3"/>
      <c r="Q29" s="3"/>
      <c r="R29" s="3"/>
      <c r="S29" s="3"/>
      <c r="T29" s="3"/>
      <c r="U29" s="3"/>
      <c r="V29" s="3"/>
    </row>
    <row r="30" spans="1:22" x14ac:dyDescent="0.2">
      <c r="A30" s="3"/>
      <c r="B30" s="417" t="s">
        <v>37</v>
      </c>
      <c r="C30" s="102" t="s">
        <v>216</v>
      </c>
      <c r="D30" s="102"/>
      <c r="E30" s="87"/>
      <c r="F30" s="87"/>
      <c r="G30" s="103"/>
      <c r="H30" s="3"/>
      <c r="I30" s="3"/>
      <c r="J30" s="3"/>
      <c r="K30" s="92"/>
      <c r="L30" s="93"/>
      <c r="M30" s="93"/>
      <c r="N30" s="94"/>
      <c r="O30" s="3"/>
      <c r="P30" s="3"/>
      <c r="Q30" s="3"/>
      <c r="R30" s="3"/>
      <c r="S30" s="3"/>
      <c r="T30" s="3"/>
      <c r="U30" s="3"/>
      <c r="V30" s="3"/>
    </row>
    <row r="31" spans="1:22" x14ac:dyDescent="0.2">
      <c r="A31" s="3"/>
      <c r="B31" s="104" t="s">
        <v>215</v>
      </c>
      <c r="C31" s="105"/>
      <c r="D31" s="105"/>
      <c r="E31" s="105"/>
      <c r="F31" s="105"/>
      <c r="G31" s="106"/>
      <c r="H31" s="3"/>
      <c r="I31" s="3"/>
      <c r="J31" s="3"/>
      <c r="K31" s="92"/>
      <c r="L31" s="93"/>
      <c r="M31" s="93"/>
      <c r="N31" s="94"/>
      <c r="O31" s="3"/>
      <c r="P31" s="3"/>
      <c r="Q31" s="3"/>
      <c r="R31" s="3"/>
      <c r="S31" s="3"/>
      <c r="T31" s="3"/>
      <c r="U31" s="3"/>
      <c r="V31" s="3"/>
    </row>
    <row r="32" spans="1:22" x14ac:dyDescent="0.2">
      <c r="A32" s="3"/>
      <c r="B32" s="107"/>
      <c r="C32" s="108"/>
      <c r="D32" s="108"/>
      <c r="E32" s="109" t="s">
        <v>458</v>
      </c>
      <c r="F32" s="136">
        <v>3</v>
      </c>
      <c r="G32" s="110" t="s">
        <v>182</v>
      </c>
      <c r="H32" s="3"/>
      <c r="I32" s="3"/>
      <c r="J32" s="3"/>
      <c r="K32" s="92"/>
      <c r="L32" s="93"/>
      <c r="M32" s="93"/>
      <c r="N32" s="94"/>
      <c r="O32" s="3"/>
      <c r="P32" s="89" t="s">
        <v>219</v>
      </c>
      <c r="Q32" s="90"/>
      <c r="R32" s="90"/>
      <c r="S32" s="91"/>
      <c r="T32" s="3"/>
      <c r="U32" s="3"/>
      <c r="V32" s="3"/>
    </row>
    <row r="33" spans="1:22" x14ac:dyDescent="0.2">
      <c r="A33" s="3"/>
      <c r="B33" s="107"/>
      <c r="C33" s="108"/>
      <c r="D33" s="108"/>
      <c r="E33" s="109" t="s">
        <v>212</v>
      </c>
      <c r="F33" s="111">
        <f>10^(F32/10)</f>
        <v>1.9952623149688797</v>
      </c>
      <c r="G33" s="110" t="s">
        <v>183</v>
      </c>
      <c r="H33" s="3"/>
      <c r="I33" s="3"/>
      <c r="J33" s="3"/>
      <c r="K33" s="92"/>
      <c r="L33" s="93"/>
      <c r="M33" s="93"/>
      <c r="N33" s="94"/>
      <c r="O33" s="3"/>
      <c r="P33" s="92" t="s">
        <v>220</v>
      </c>
      <c r="Q33" s="93"/>
      <c r="R33" s="93"/>
      <c r="S33" s="94"/>
      <c r="T33" s="3"/>
      <c r="U33" s="3"/>
      <c r="V33" s="3"/>
    </row>
    <row r="34" spans="1:22" x14ac:dyDescent="0.2">
      <c r="A34" s="3"/>
      <c r="B34" s="107"/>
      <c r="C34" s="108"/>
      <c r="D34" s="108"/>
      <c r="E34" s="109" t="s">
        <v>213</v>
      </c>
      <c r="F34" s="136">
        <v>20</v>
      </c>
      <c r="G34" s="110" t="s">
        <v>182</v>
      </c>
      <c r="H34" s="3"/>
      <c r="I34" s="3"/>
      <c r="J34" s="3"/>
      <c r="K34" s="92"/>
      <c r="L34" s="93"/>
      <c r="M34" s="93"/>
      <c r="N34" s="94"/>
      <c r="O34" s="3"/>
      <c r="P34" s="95" t="s">
        <v>235</v>
      </c>
      <c r="Q34" s="96"/>
      <c r="R34" s="96"/>
      <c r="S34" s="97"/>
      <c r="T34" s="3"/>
      <c r="U34" s="3"/>
      <c r="V34" s="3"/>
    </row>
    <row r="35" spans="1:22" x14ac:dyDescent="0.2">
      <c r="A35" s="3"/>
      <c r="B35" s="107"/>
      <c r="C35" s="108"/>
      <c r="D35" s="108"/>
      <c r="E35" s="109" t="s">
        <v>214</v>
      </c>
      <c r="F35" s="111">
        <f>10^(F34/10)</f>
        <v>100</v>
      </c>
      <c r="G35" s="110" t="s">
        <v>183</v>
      </c>
      <c r="H35" s="3"/>
      <c r="I35" s="3"/>
      <c r="J35" s="3"/>
      <c r="K35" s="92"/>
      <c r="L35" s="93"/>
      <c r="M35" s="93"/>
      <c r="N35" s="94"/>
      <c r="O35" s="3"/>
      <c r="P35" s="3"/>
      <c r="Q35" s="3"/>
      <c r="R35" s="3"/>
      <c r="S35" s="3"/>
      <c r="T35" s="3"/>
      <c r="U35" s="3"/>
      <c r="V35" s="3"/>
    </row>
    <row r="36" spans="1:22" x14ac:dyDescent="0.2">
      <c r="A36" s="3"/>
      <c r="B36" s="107"/>
      <c r="C36" s="108"/>
      <c r="D36" s="108"/>
      <c r="E36" s="109" t="s">
        <v>457</v>
      </c>
      <c r="F36" s="137">
        <v>90</v>
      </c>
      <c r="G36" s="110" t="s">
        <v>184</v>
      </c>
      <c r="H36" s="3" t="s">
        <v>924</v>
      </c>
      <c r="I36" s="3"/>
      <c r="J36" s="3"/>
      <c r="K36" s="92"/>
      <c r="L36" s="93"/>
      <c r="M36" s="93"/>
      <c r="N36" s="94"/>
      <c r="O36" s="3"/>
      <c r="P36" s="3" t="s">
        <v>37</v>
      </c>
      <c r="Q36" s="3"/>
      <c r="R36" s="3"/>
      <c r="S36" s="3"/>
      <c r="T36" s="3"/>
      <c r="U36" s="3"/>
      <c r="V36" s="3"/>
    </row>
    <row r="37" spans="1:22" x14ac:dyDescent="0.2">
      <c r="A37" s="3"/>
      <c r="B37" s="107"/>
      <c r="C37" s="108"/>
      <c r="D37" s="108"/>
      <c r="E37" s="109" t="s">
        <v>457</v>
      </c>
      <c r="F37" s="88">
        <f>RADIANS(F36)</f>
        <v>1.5707963267948966</v>
      </c>
      <c r="G37" s="110" t="s">
        <v>185</v>
      </c>
      <c r="H37" s="3"/>
      <c r="I37" s="3"/>
      <c r="J37" s="3"/>
      <c r="K37" s="92"/>
      <c r="L37" s="93"/>
      <c r="M37" s="93"/>
      <c r="N37" s="94"/>
      <c r="O37" s="3"/>
      <c r="P37" s="3"/>
      <c r="Q37" s="3"/>
      <c r="R37" s="3"/>
      <c r="S37" s="3"/>
      <c r="T37" s="3"/>
      <c r="U37" s="3"/>
      <c r="V37" s="3"/>
    </row>
    <row r="38" spans="1:22" x14ac:dyDescent="0.2">
      <c r="A38" s="3"/>
      <c r="B38" s="107"/>
      <c r="C38" s="108"/>
      <c r="D38" s="108"/>
      <c r="E38" s="108"/>
      <c r="F38" s="34"/>
      <c r="G38" s="112"/>
      <c r="H38" s="3"/>
      <c r="I38" s="3"/>
      <c r="J38" s="3"/>
      <c r="K38" s="95"/>
      <c r="L38" s="96"/>
      <c r="M38" s="96"/>
      <c r="N38" s="97"/>
      <c r="O38" s="3"/>
      <c r="P38" s="3"/>
      <c r="Q38" s="3"/>
      <c r="R38" s="3"/>
      <c r="S38" s="3"/>
      <c r="T38" s="3"/>
      <c r="U38" s="3"/>
      <c r="V38" s="3"/>
    </row>
    <row r="39" spans="1:22" ht="13.5" thickBot="1" x14ac:dyDescent="0.25">
      <c r="A39" s="3"/>
      <c r="B39" s="107"/>
      <c r="C39" s="108"/>
      <c r="D39" s="108"/>
      <c r="E39" s="109" t="s">
        <v>186</v>
      </c>
      <c r="F39" s="113">
        <f>0.5*(1+((1-F33^2)*(1-F35^2)*COS(2*F37)+4*F33*F35)/((1+F33^2)*(1+F35^2)))</f>
        <v>0.2088304274722057</v>
      </c>
      <c r="G39" s="110" t="s">
        <v>183</v>
      </c>
      <c r="H39" s="3"/>
      <c r="I39" s="3"/>
      <c r="J39" s="3"/>
      <c r="K39" s="3"/>
      <c r="L39" s="3"/>
      <c r="M39" s="3"/>
      <c r="N39" s="3"/>
      <c r="O39" s="3"/>
      <c r="P39" s="3"/>
      <c r="Q39" s="3"/>
      <c r="R39" s="3"/>
      <c r="S39" s="3"/>
      <c r="T39" s="3"/>
      <c r="U39" s="3"/>
      <c r="V39" s="3"/>
    </row>
    <row r="40" spans="1:22" ht="13.5" thickBot="1" x14ac:dyDescent="0.25">
      <c r="A40" s="3"/>
      <c r="B40" s="107"/>
      <c r="C40" s="108"/>
      <c r="D40" s="108"/>
      <c r="E40" s="109" t="s">
        <v>187</v>
      </c>
      <c r="F40" s="99">
        <f>-10*LOG(F39)</f>
        <v>6.8020622252548657</v>
      </c>
      <c r="G40" s="110" t="s">
        <v>182</v>
      </c>
      <c r="H40" s="3"/>
      <c r="I40" s="3"/>
      <c r="J40" s="3"/>
      <c r="K40" s="3"/>
      <c r="L40" s="4" t="s">
        <v>210</v>
      </c>
      <c r="M40" s="3"/>
      <c r="N40" s="3"/>
      <c r="O40" s="3"/>
      <c r="P40" s="3"/>
      <c r="Q40" s="3"/>
      <c r="R40" s="3"/>
      <c r="S40" s="3"/>
      <c r="T40" s="3"/>
      <c r="U40" s="3"/>
      <c r="V40" s="3"/>
    </row>
    <row r="41" spans="1:22" x14ac:dyDescent="0.2">
      <c r="A41" s="3"/>
      <c r="B41" s="107"/>
      <c r="C41" s="108"/>
      <c r="D41" s="108"/>
      <c r="E41" s="109"/>
      <c r="F41" s="114"/>
      <c r="G41" s="110"/>
      <c r="H41" s="3"/>
      <c r="I41" s="3"/>
      <c r="J41" s="3"/>
      <c r="K41" s="3"/>
      <c r="L41" s="3"/>
      <c r="M41" s="3"/>
      <c r="N41" s="3"/>
      <c r="O41" s="3"/>
      <c r="P41" s="3"/>
      <c r="Q41" s="3"/>
      <c r="R41" s="3"/>
      <c r="S41" s="3"/>
      <c r="T41" s="3"/>
      <c r="U41" s="3"/>
      <c r="V41" s="3"/>
    </row>
    <row r="42" spans="1:22" x14ac:dyDescent="0.2">
      <c r="A42" s="3"/>
      <c r="B42" s="104" t="s">
        <v>221</v>
      </c>
      <c r="C42" s="105"/>
      <c r="D42" s="105"/>
      <c r="E42" s="115"/>
      <c r="F42" s="116"/>
      <c r="G42" s="117"/>
      <c r="H42" s="3"/>
      <c r="I42" s="4" t="s">
        <v>349</v>
      </c>
      <c r="J42" s="247" t="s">
        <v>350</v>
      </c>
      <c r="K42" s="3"/>
      <c r="L42" s="3"/>
      <c r="M42" s="3"/>
      <c r="N42" s="3"/>
      <c r="O42" s="3"/>
      <c r="P42" s="3"/>
      <c r="Q42" s="3"/>
      <c r="R42" s="3"/>
      <c r="S42" s="3"/>
      <c r="T42" s="3"/>
      <c r="U42" s="3"/>
      <c r="V42" s="3"/>
    </row>
    <row r="43" spans="1:22" x14ac:dyDescent="0.2">
      <c r="A43" s="3"/>
      <c r="B43" s="107"/>
      <c r="C43" s="108" t="s">
        <v>203</v>
      </c>
      <c r="D43" s="108"/>
      <c r="E43" s="109"/>
      <c r="F43" s="118">
        <f>1-F39</f>
        <v>0.7911695725277943</v>
      </c>
      <c r="G43" s="110"/>
      <c r="H43" s="3"/>
      <c r="I43" s="3"/>
      <c r="J43" s="3"/>
      <c r="K43" s="3"/>
      <c r="L43" s="3"/>
      <c r="M43" s="3"/>
      <c r="N43" s="3"/>
      <c r="O43" s="3"/>
      <c r="P43" s="3"/>
      <c r="Q43" s="3"/>
      <c r="R43" s="3"/>
      <c r="S43" s="3"/>
      <c r="T43" s="3"/>
      <c r="U43" s="3"/>
      <c r="V43" s="3"/>
    </row>
    <row r="44" spans="1:22" ht="13.5" thickBot="1" x14ac:dyDescent="0.25">
      <c r="A44" s="3"/>
      <c r="B44" s="107"/>
      <c r="C44" s="108" t="s">
        <v>203</v>
      </c>
      <c r="D44" s="108"/>
      <c r="E44" s="108"/>
      <c r="F44" s="111">
        <f>10*LOG10(1-F39)</f>
        <v>-1.0173042355620165</v>
      </c>
      <c r="G44" s="110" t="s">
        <v>182</v>
      </c>
      <c r="H44" s="3"/>
      <c r="I44" s="3"/>
      <c r="J44" s="3"/>
      <c r="K44" s="3"/>
      <c r="L44" s="3"/>
      <c r="M44" s="3"/>
      <c r="N44" s="3"/>
      <c r="O44" s="3"/>
      <c r="P44" s="3"/>
      <c r="Q44" s="3"/>
      <c r="R44" s="3"/>
      <c r="S44" s="3"/>
      <c r="T44" s="3"/>
      <c r="U44" s="3"/>
      <c r="V44" s="3"/>
    </row>
    <row r="45" spans="1:22" ht="13.5" thickBot="1" x14ac:dyDescent="0.25">
      <c r="A45" s="3"/>
      <c r="B45" s="107"/>
      <c r="C45" s="108" t="s">
        <v>204</v>
      </c>
      <c r="D45" s="108"/>
      <c r="E45" s="108"/>
      <c r="F45" s="100">
        <f>F40-F44</f>
        <v>7.819366460816882</v>
      </c>
      <c r="G45" s="110" t="s">
        <v>182</v>
      </c>
      <c r="H45" s="3"/>
      <c r="I45" s="3" t="s">
        <v>37</v>
      </c>
      <c r="J45" s="3"/>
      <c r="K45" s="3"/>
      <c r="L45" s="3"/>
      <c r="M45" s="3"/>
      <c r="N45" s="3"/>
      <c r="O45" s="3"/>
      <c r="P45" s="3"/>
      <c r="Q45" s="3"/>
      <c r="R45" s="3"/>
      <c r="S45" s="3"/>
      <c r="T45" s="3"/>
      <c r="U45" s="3"/>
      <c r="V45" s="3"/>
    </row>
    <row r="46" spans="1:22" ht="13.5" thickBot="1" x14ac:dyDescent="0.25">
      <c r="A46" s="3"/>
      <c r="B46" s="119"/>
      <c r="C46" s="120"/>
      <c r="D46" s="120"/>
      <c r="E46" s="120"/>
      <c r="F46" s="120" t="s">
        <v>37</v>
      </c>
      <c r="G46" s="121"/>
      <c r="H46" s="3"/>
      <c r="I46" s="3"/>
      <c r="J46" s="3"/>
      <c r="K46" s="3"/>
      <c r="L46" s="3"/>
      <c r="M46" s="3"/>
      <c r="N46" s="3"/>
      <c r="O46" s="3"/>
      <c r="P46" s="3"/>
      <c r="Q46" s="3"/>
      <c r="R46" s="3"/>
      <c r="S46" s="3"/>
      <c r="T46" s="3"/>
      <c r="U46" s="3"/>
      <c r="V46" s="3"/>
    </row>
    <row r="47" spans="1:22" ht="15.75" x14ac:dyDescent="0.25">
      <c r="A47" s="3"/>
      <c r="B47" s="3"/>
      <c r="C47" s="3"/>
      <c r="D47" s="3"/>
      <c r="E47" s="3"/>
      <c r="F47" s="3"/>
      <c r="G47" s="3"/>
      <c r="H47" s="3"/>
      <c r="I47" s="3" t="s">
        <v>211</v>
      </c>
      <c r="J47" s="796"/>
      <c r="K47" s="793"/>
      <c r="L47" s="793"/>
      <c r="M47" s="793"/>
      <c r="N47" s="793"/>
      <c r="O47" s="793"/>
      <c r="P47" s="793"/>
      <c r="Q47" s="3"/>
      <c r="R47" s="3"/>
      <c r="S47" s="3"/>
      <c r="T47" s="3"/>
      <c r="U47" s="3"/>
      <c r="V47" s="3"/>
    </row>
    <row r="48" spans="1:22" ht="16.5" thickBot="1" x14ac:dyDescent="0.3">
      <c r="A48" s="3"/>
      <c r="B48" s="3"/>
      <c r="C48" s="3"/>
      <c r="D48" s="3"/>
      <c r="E48" s="3"/>
      <c r="F48" s="3"/>
      <c r="G48" s="3"/>
      <c r="H48" s="3"/>
      <c r="I48" s="3"/>
      <c r="J48" s="797"/>
      <c r="K48" s="793"/>
      <c r="L48" s="793"/>
      <c r="M48" s="805"/>
      <c r="N48" s="805"/>
      <c r="O48" s="805"/>
      <c r="P48" s="793"/>
      <c r="Q48" s="3"/>
      <c r="R48" s="3"/>
      <c r="S48" s="3"/>
      <c r="T48" s="3"/>
      <c r="U48" s="3"/>
      <c r="V48" s="3"/>
    </row>
    <row r="49" spans="1:22" ht="13.5" thickBot="1" x14ac:dyDescent="0.25">
      <c r="A49" s="3"/>
      <c r="B49" s="202" t="s">
        <v>352</v>
      </c>
      <c r="C49" s="201"/>
      <c r="D49" s="249" t="s">
        <v>354</v>
      </c>
      <c r="E49" s="3"/>
      <c r="F49" s="3"/>
      <c r="G49" s="3"/>
      <c r="H49" s="3"/>
      <c r="I49" s="3"/>
      <c r="J49" s="793"/>
      <c r="K49" s="795"/>
      <c r="L49" s="793"/>
      <c r="M49" s="793"/>
      <c r="N49" s="793"/>
      <c r="O49" s="793"/>
      <c r="P49" s="793"/>
      <c r="Q49" s="3"/>
      <c r="R49" s="3"/>
      <c r="S49" s="3"/>
      <c r="T49" s="3"/>
      <c r="U49" s="3"/>
      <c r="V49" s="3"/>
    </row>
    <row r="50" spans="1:22" x14ac:dyDescent="0.2">
      <c r="A50" s="3"/>
      <c r="B50" s="417" t="s">
        <v>37</v>
      </c>
      <c r="C50" s="102" t="s">
        <v>216</v>
      </c>
      <c r="D50" s="102"/>
      <c r="E50" s="87"/>
      <c r="F50" s="87"/>
      <c r="G50" s="103"/>
      <c r="H50" s="3"/>
      <c r="I50" s="3"/>
      <c r="J50" s="793"/>
      <c r="K50" s="793"/>
      <c r="L50" s="793"/>
      <c r="M50" s="793"/>
      <c r="N50" s="793"/>
      <c r="O50" s="793"/>
      <c r="P50" s="793"/>
      <c r="Q50" s="3"/>
      <c r="R50" s="3"/>
      <c r="S50" s="3"/>
      <c r="T50" s="3"/>
      <c r="U50" s="3"/>
      <c r="V50" s="3"/>
    </row>
    <row r="51" spans="1:22" ht="15.75" x14ac:dyDescent="0.25">
      <c r="A51" s="3"/>
      <c r="B51" s="104" t="s">
        <v>215</v>
      </c>
      <c r="C51" s="105"/>
      <c r="D51" s="105"/>
      <c r="E51" s="105"/>
      <c r="F51" s="105"/>
      <c r="G51" s="106"/>
      <c r="H51" s="3"/>
      <c r="I51" s="3"/>
      <c r="J51" s="797"/>
      <c r="K51" s="793"/>
      <c r="L51" s="793"/>
      <c r="M51" s="805"/>
      <c r="N51" s="805"/>
      <c r="O51" s="805"/>
      <c r="P51" s="793"/>
      <c r="Q51" s="3"/>
      <c r="R51" s="3"/>
      <c r="S51" s="3"/>
      <c r="T51" s="3"/>
      <c r="U51" s="3"/>
      <c r="V51" s="3"/>
    </row>
    <row r="52" spans="1:22" x14ac:dyDescent="0.2">
      <c r="A52" s="3"/>
      <c r="B52" s="107"/>
      <c r="C52" s="108"/>
      <c r="D52" s="108"/>
      <c r="E52" s="109" t="s">
        <v>458</v>
      </c>
      <c r="F52" s="136">
        <v>20</v>
      </c>
      <c r="G52" s="110" t="s">
        <v>182</v>
      </c>
      <c r="H52" s="3"/>
      <c r="I52" s="3"/>
      <c r="J52" s="793"/>
      <c r="K52" s="795"/>
      <c r="L52" s="793"/>
      <c r="M52" s="793"/>
      <c r="N52" s="793"/>
      <c r="O52" s="793"/>
      <c r="P52" s="793"/>
      <c r="Q52" s="3"/>
      <c r="R52" s="3"/>
      <c r="S52" s="3"/>
      <c r="T52" s="3"/>
      <c r="U52" s="3"/>
      <c r="V52" s="3"/>
    </row>
    <row r="53" spans="1:22" x14ac:dyDescent="0.2">
      <c r="A53" s="3"/>
      <c r="B53" s="107"/>
      <c r="C53" s="108"/>
      <c r="D53" s="108"/>
      <c r="E53" s="109" t="s">
        <v>212</v>
      </c>
      <c r="F53" s="111">
        <f>10^(F52/10)</f>
        <v>100</v>
      </c>
      <c r="G53" s="110" t="s">
        <v>183</v>
      </c>
      <c r="H53" s="3"/>
      <c r="I53" s="3"/>
      <c r="J53" s="793"/>
      <c r="K53" s="793"/>
      <c r="L53" s="793"/>
      <c r="M53" s="793"/>
      <c r="N53" s="793"/>
      <c r="O53" s="793"/>
      <c r="P53" s="793"/>
      <c r="Q53" s="3"/>
      <c r="R53" s="3"/>
      <c r="S53" s="3"/>
      <c r="T53" s="3"/>
      <c r="U53" s="3"/>
      <c r="V53" s="3"/>
    </row>
    <row r="54" spans="1:22" x14ac:dyDescent="0.2">
      <c r="A54" s="3"/>
      <c r="B54" s="107"/>
      <c r="C54" s="108"/>
      <c r="D54" s="108"/>
      <c r="E54" s="109" t="s">
        <v>213</v>
      </c>
      <c r="F54" s="136">
        <v>3</v>
      </c>
      <c r="G54" s="110" t="s">
        <v>182</v>
      </c>
      <c r="H54" s="3"/>
      <c r="I54" s="3"/>
      <c r="J54" s="793"/>
      <c r="K54" s="793"/>
      <c r="L54" s="793"/>
      <c r="M54" s="793"/>
      <c r="N54" s="793"/>
      <c r="O54" s="793"/>
      <c r="P54" s="793"/>
      <c r="Q54" s="3"/>
      <c r="R54" s="3"/>
      <c r="S54" s="3"/>
      <c r="T54" s="3"/>
      <c r="U54" s="3"/>
      <c r="V54" s="3"/>
    </row>
    <row r="55" spans="1:22" x14ac:dyDescent="0.2">
      <c r="A55" s="3"/>
      <c r="B55" s="107"/>
      <c r="C55" s="108"/>
      <c r="D55" s="108"/>
      <c r="E55" s="109" t="s">
        <v>214</v>
      </c>
      <c r="F55" s="111">
        <f>10^(F54/10)</f>
        <v>1.9952623149688797</v>
      </c>
      <c r="G55" s="110" t="s">
        <v>183</v>
      </c>
      <c r="H55" s="3"/>
      <c r="I55" s="3"/>
      <c r="J55" s="793"/>
      <c r="K55" s="793"/>
      <c r="L55" s="793"/>
      <c r="M55" s="793"/>
      <c r="N55" s="793"/>
      <c r="O55" s="793"/>
      <c r="P55" s="793"/>
      <c r="Q55" s="3"/>
      <c r="R55" s="3"/>
      <c r="S55" s="3"/>
      <c r="T55" s="3"/>
      <c r="U55" s="3"/>
      <c r="V55" s="3"/>
    </row>
    <row r="56" spans="1:22" x14ac:dyDescent="0.2">
      <c r="A56" s="3"/>
      <c r="B56" s="107"/>
      <c r="C56" s="108"/>
      <c r="D56" s="108"/>
      <c r="E56" s="109" t="s">
        <v>457</v>
      </c>
      <c r="F56" s="137">
        <v>90</v>
      </c>
      <c r="G56" s="110" t="s">
        <v>184</v>
      </c>
      <c r="H56" s="3" t="s">
        <v>924</v>
      </c>
      <c r="I56" s="3"/>
      <c r="J56" s="793"/>
      <c r="K56" s="793"/>
      <c r="L56" s="793"/>
      <c r="M56" s="793"/>
      <c r="N56" s="793"/>
      <c r="O56" s="793"/>
      <c r="P56" s="793"/>
      <c r="Q56" s="3"/>
      <c r="R56" s="3"/>
      <c r="S56" s="3"/>
      <c r="T56" s="3"/>
      <c r="U56" s="3"/>
      <c r="V56" s="3"/>
    </row>
    <row r="57" spans="1:22" ht="15.75" x14ac:dyDescent="0.25">
      <c r="A57" s="3"/>
      <c r="B57" s="107"/>
      <c r="C57" s="108"/>
      <c r="D57" s="108"/>
      <c r="E57" s="109" t="s">
        <v>457</v>
      </c>
      <c r="F57" s="88">
        <f>RADIANS(F56)</f>
        <v>1.5707963267948966</v>
      </c>
      <c r="G57" s="110" t="s">
        <v>185</v>
      </c>
      <c r="H57" s="3"/>
      <c r="I57" s="3"/>
      <c r="J57" s="796"/>
      <c r="K57" s="793"/>
      <c r="L57" s="793"/>
      <c r="M57" s="793"/>
      <c r="N57" s="793"/>
      <c r="O57" s="793"/>
      <c r="P57" s="793"/>
      <c r="Q57" s="3"/>
      <c r="R57" s="3"/>
      <c r="S57" s="3"/>
      <c r="T57" s="3"/>
      <c r="U57" s="3"/>
      <c r="V57" s="3"/>
    </row>
    <row r="58" spans="1:22" ht="15.75" x14ac:dyDescent="0.25">
      <c r="A58" s="3"/>
      <c r="B58" s="107"/>
      <c r="C58" s="108"/>
      <c r="D58" s="108"/>
      <c r="E58" s="108"/>
      <c r="F58" s="34"/>
      <c r="G58" s="112"/>
      <c r="H58" s="3"/>
      <c r="I58" s="3"/>
      <c r="J58" s="797"/>
      <c r="K58" s="793"/>
      <c r="L58" s="793"/>
      <c r="M58" s="805"/>
      <c r="N58" s="805"/>
      <c r="O58" s="805"/>
      <c r="P58" s="793"/>
      <c r="Q58" s="3"/>
      <c r="R58" s="3"/>
      <c r="S58" s="3"/>
      <c r="T58" s="3"/>
      <c r="U58" s="3"/>
      <c r="V58" s="3"/>
    </row>
    <row r="59" spans="1:22" ht="13.5" thickBot="1" x14ac:dyDescent="0.25">
      <c r="A59" s="3"/>
      <c r="B59" s="107"/>
      <c r="C59" s="108"/>
      <c r="D59" s="108"/>
      <c r="E59" s="109" t="s">
        <v>186</v>
      </c>
      <c r="F59" s="113">
        <f>0.5*(1+((1-F53^2)*(1-F55^2)*COS(2*F57)+4*F53*F55)/((1+F53^2)*(1+F55^2)))</f>
        <v>0.2088304274722057</v>
      </c>
      <c r="G59" s="110" t="s">
        <v>183</v>
      </c>
      <c r="H59" s="3"/>
      <c r="I59" s="3"/>
      <c r="J59" s="793"/>
      <c r="K59" s="795"/>
      <c r="L59" s="793"/>
      <c r="M59" s="793"/>
      <c r="N59" s="793"/>
      <c r="O59" s="793"/>
      <c r="P59" s="793"/>
      <c r="Q59" s="3"/>
      <c r="R59" s="3"/>
      <c r="S59" s="3"/>
      <c r="T59" s="3"/>
      <c r="U59" s="3"/>
      <c r="V59" s="3"/>
    </row>
    <row r="60" spans="1:22" ht="13.5" thickBot="1" x14ac:dyDescent="0.25">
      <c r="A60" s="3"/>
      <c r="B60" s="107"/>
      <c r="C60" s="108"/>
      <c r="D60" s="108"/>
      <c r="E60" s="109" t="s">
        <v>187</v>
      </c>
      <c r="F60" s="99">
        <f>-10*LOG(F59)</f>
        <v>6.8020622252548657</v>
      </c>
      <c r="G60" s="110" t="s">
        <v>182</v>
      </c>
      <c r="H60" s="3"/>
      <c r="I60" s="3"/>
      <c r="J60" s="793"/>
      <c r="K60" s="793"/>
      <c r="L60" s="793"/>
      <c r="M60" s="793"/>
      <c r="N60" s="793"/>
      <c r="O60" s="793"/>
      <c r="P60" s="793"/>
      <c r="Q60" s="3"/>
      <c r="R60" s="3"/>
      <c r="S60" s="3"/>
      <c r="T60" s="3"/>
      <c r="U60" s="3"/>
      <c r="V60" s="3"/>
    </row>
    <row r="61" spans="1:22" ht="15.75" x14ac:dyDescent="0.25">
      <c r="A61" s="3"/>
      <c r="B61" s="107"/>
      <c r="C61" s="108"/>
      <c r="D61" s="108"/>
      <c r="E61" s="109"/>
      <c r="F61" s="114"/>
      <c r="G61" s="110"/>
      <c r="H61" s="3"/>
      <c r="I61" s="3"/>
      <c r="J61" s="797"/>
      <c r="K61" s="793"/>
      <c r="L61" s="793"/>
      <c r="M61" s="805"/>
      <c r="N61" s="805"/>
      <c r="O61" s="805"/>
      <c r="P61" s="793"/>
      <c r="Q61" s="3"/>
      <c r="R61" s="3"/>
      <c r="S61" s="3"/>
      <c r="T61" s="3"/>
      <c r="U61" s="3"/>
      <c r="V61" s="3"/>
    </row>
    <row r="62" spans="1:22" x14ac:dyDescent="0.2">
      <c r="A62" s="3"/>
      <c r="B62" s="104" t="s">
        <v>221</v>
      </c>
      <c r="C62" s="105"/>
      <c r="D62" s="105"/>
      <c r="E62" s="115"/>
      <c r="F62" s="116"/>
      <c r="G62" s="117"/>
      <c r="H62" s="3"/>
      <c r="I62" s="3"/>
      <c r="J62" s="793"/>
      <c r="K62" s="795"/>
      <c r="L62" s="793"/>
      <c r="M62" s="793"/>
      <c r="N62" s="793"/>
      <c r="O62" s="793"/>
      <c r="P62" s="793"/>
      <c r="Q62" s="3"/>
      <c r="R62" s="3"/>
      <c r="S62" s="3"/>
      <c r="T62" s="3"/>
      <c r="U62" s="3"/>
      <c r="V62" s="3"/>
    </row>
    <row r="63" spans="1:22" x14ac:dyDescent="0.2">
      <c r="A63" s="3"/>
      <c r="B63" s="107"/>
      <c r="C63" s="108" t="s">
        <v>203</v>
      </c>
      <c r="D63" s="108"/>
      <c r="E63" s="109"/>
      <c r="F63" s="118">
        <f>1-F59</f>
        <v>0.7911695725277943</v>
      </c>
      <c r="G63" s="110"/>
      <c r="H63" s="3"/>
      <c r="I63" s="3"/>
      <c r="J63" s="3"/>
      <c r="K63" s="3"/>
      <c r="L63" s="3"/>
      <c r="M63" s="3"/>
      <c r="N63" s="3"/>
      <c r="O63" s="3"/>
      <c r="P63" s="3"/>
      <c r="Q63" s="3"/>
      <c r="R63" s="3"/>
      <c r="S63" s="3"/>
      <c r="T63" s="3"/>
      <c r="U63" s="3"/>
      <c r="V63" s="3"/>
    </row>
    <row r="64" spans="1:22" ht="13.5" thickBot="1" x14ac:dyDescent="0.25">
      <c r="A64" s="3"/>
      <c r="B64" s="107"/>
      <c r="C64" s="108" t="s">
        <v>203</v>
      </c>
      <c r="D64" s="108"/>
      <c r="E64" s="108"/>
      <c r="F64" s="111">
        <f>10*LOG10(1-F59)</f>
        <v>-1.0173042355620165</v>
      </c>
      <c r="G64" s="110" t="s">
        <v>182</v>
      </c>
      <c r="H64" s="3"/>
      <c r="I64" s="3"/>
      <c r="J64" s="3"/>
      <c r="K64" s="3"/>
      <c r="L64" s="3"/>
      <c r="M64" s="3"/>
      <c r="N64" s="3"/>
      <c r="O64" s="3"/>
      <c r="P64" s="3"/>
      <c r="Q64" s="3"/>
      <c r="R64" s="3"/>
      <c r="S64" s="3"/>
      <c r="T64" s="3"/>
      <c r="U64" s="3"/>
      <c r="V64" s="3"/>
    </row>
    <row r="65" spans="1:22" ht="13.5" thickBot="1" x14ac:dyDescent="0.25">
      <c r="A65" s="3"/>
      <c r="B65" s="107"/>
      <c r="C65" s="108" t="s">
        <v>204</v>
      </c>
      <c r="D65" s="108"/>
      <c r="E65" s="108"/>
      <c r="F65" s="100">
        <f>F60-F64</f>
        <v>7.819366460816882</v>
      </c>
      <c r="G65" s="110" t="s">
        <v>182</v>
      </c>
      <c r="H65" s="3"/>
      <c r="I65" s="3"/>
      <c r="J65" s="3"/>
      <c r="K65" s="3"/>
      <c r="L65" s="3"/>
      <c r="M65" s="3"/>
      <c r="N65" s="3"/>
      <c r="O65" s="3"/>
      <c r="P65" s="3"/>
      <c r="Q65" s="3"/>
      <c r="R65" s="3"/>
      <c r="S65" s="3"/>
      <c r="T65" s="3"/>
      <c r="U65" s="3"/>
      <c r="V65" s="3"/>
    </row>
    <row r="66" spans="1:22" ht="13.5" thickBot="1" x14ac:dyDescent="0.25">
      <c r="A66" s="3"/>
      <c r="B66" s="119"/>
      <c r="C66" s="120"/>
      <c r="D66" s="120"/>
      <c r="E66" s="120"/>
      <c r="F66" s="120" t="s">
        <v>37</v>
      </c>
      <c r="G66" s="121"/>
      <c r="H66" s="3"/>
      <c r="I66" s="3"/>
      <c r="J66" s="3"/>
      <c r="K66" s="3"/>
      <c r="L66" s="3"/>
      <c r="M66" s="3"/>
      <c r="N66" s="3"/>
      <c r="O66" s="3"/>
      <c r="P66" s="3"/>
      <c r="Q66" s="3"/>
      <c r="R66" s="3"/>
      <c r="S66" s="3"/>
      <c r="T66" s="3"/>
      <c r="U66" s="3"/>
      <c r="V66" s="3"/>
    </row>
    <row r="67" spans="1:22" x14ac:dyDescent="0.2">
      <c r="A67" s="3"/>
      <c r="B67" s="108"/>
      <c r="C67" s="108"/>
      <c r="D67" s="108"/>
      <c r="E67" s="108"/>
      <c r="F67" s="108"/>
      <c r="G67" s="108"/>
      <c r="H67" s="3"/>
      <c r="I67" s="3"/>
      <c r="J67" s="3"/>
      <c r="K67" s="3"/>
      <c r="L67" s="3"/>
      <c r="M67" s="3"/>
      <c r="N67" s="3"/>
      <c r="O67" s="3"/>
      <c r="P67" s="3"/>
      <c r="Q67" s="3"/>
      <c r="R67" s="3"/>
      <c r="S67" s="3"/>
      <c r="T67" s="3"/>
      <c r="U67" s="3"/>
      <c r="V67" s="3"/>
    </row>
    <row r="68" spans="1:22" x14ac:dyDescent="0.2">
      <c r="A68" s="3"/>
      <c r="B68" s="108"/>
      <c r="C68" s="108"/>
      <c r="D68" s="108"/>
      <c r="E68" s="108"/>
      <c r="F68" s="108"/>
      <c r="G68" s="108"/>
      <c r="H68" s="3"/>
      <c r="I68" s="3"/>
      <c r="J68" s="3"/>
      <c r="K68" s="3"/>
      <c r="L68" s="3"/>
      <c r="M68" s="3"/>
      <c r="N68" s="3"/>
      <c r="O68" s="3"/>
      <c r="P68" s="3"/>
      <c r="Q68" s="3"/>
      <c r="R68" s="3"/>
      <c r="S68" s="3"/>
      <c r="T68" s="3"/>
      <c r="U68" s="3"/>
      <c r="V68" s="3"/>
    </row>
    <row r="69" spans="1:22" x14ac:dyDescent="0.2">
      <c r="A69" s="3"/>
      <c r="B69" s="3"/>
      <c r="C69" s="3"/>
      <c r="D69" s="3"/>
      <c r="E69" s="3"/>
      <c r="F69" s="3"/>
      <c r="G69" s="3"/>
      <c r="H69" s="3"/>
      <c r="I69" s="3"/>
      <c r="J69" s="3"/>
      <c r="K69" s="3"/>
      <c r="L69" s="3"/>
      <c r="M69" s="3"/>
      <c r="N69" s="3"/>
      <c r="O69" s="3"/>
      <c r="P69" s="3"/>
      <c r="Q69" s="3"/>
      <c r="R69" s="3"/>
      <c r="S69" s="3"/>
      <c r="T69" s="3"/>
      <c r="U69" s="3"/>
      <c r="V69" s="3"/>
    </row>
    <row r="70" spans="1:22" x14ac:dyDescent="0.2">
      <c r="A70" s="3"/>
      <c r="B70" s="673"/>
      <c r="C70" s="673"/>
      <c r="D70" s="673"/>
      <c r="E70" s="673"/>
      <c r="F70" s="674" t="s">
        <v>222</v>
      </c>
      <c r="G70" s="675"/>
      <c r="H70" s="675"/>
      <c r="I70" s="675" t="s">
        <v>37</v>
      </c>
      <c r="J70" s="675"/>
      <c r="K70" s="3"/>
      <c r="L70" s="3"/>
      <c r="M70" s="3"/>
      <c r="N70" s="3"/>
      <c r="O70" s="3"/>
      <c r="P70" s="3"/>
      <c r="Q70" s="3"/>
      <c r="R70" s="3"/>
      <c r="S70" s="3"/>
      <c r="T70" s="3"/>
      <c r="U70" s="3"/>
      <c r="V70" s="3"/>
    </row>
    <row r="71" spans="1:22" x14ac:dyDescent="0.2">
      <c r="A71" s="3"/>
      <c r="B71" s="26"/>
      <c r="C71" s="26"/>
      <c r="D71" s="52" t="s">
        <v>223</v>
      </c>
      <c r="E71" s="26"/>
      <c r="F71" s="52" t="s">
        <v>224</v>
      </c>
      <c r="G71" s="26"/>
      <c r="H71" s="671" t="s">
        <v>225</v>
      </c>
      <c r="I71" s="26"/>
      <c r="J71" s="672" t="s">
        <v>207</v>
      </c>
      <c r="K71" s="3"/>
      <c r="L71" s="3"/>
      <c r="M71" s="3"/>
      <c r="N71" s="3"/>
      <c r="O71" s="3"/>
      <c r="P71" s="3"/>
      <c r="Q71" s="3"/>
      <c r="R71" s="3"/>
      <c r="S71" s="3"/>
      <c r="T71" s="3"/>
      <c r="U71" s="3"/>
      <c r="V71" s="3"/>
    </row>
    <row r="72" spans="1:22" x14ac:dyDescent="0.2">
      <c r="A72" s="3"/>
      <c r="B72" s="26"/>
      <c r="C72" s="26"/>
      <c r="D72" s="672" t="s">
        <v>205</v>
      </c>
      <c r="E72" s="672"/>
      <c r="F72" s="672" t="s">
        <v>206</v>
      </c>
      <c r="G72" s="672"/>
      <c r="H72" s="672" t="s">
        <v>209</v>
      </c>
      <c r="I72" s="26"/>
      <c r="J72" s="672" t="s">
        <v>208</v>
      </c>
      <c r="K72" s="3"/>
      <c r="L72" s="3"/>
      <c r="M72" s="3"/>
      <c r="N72" s="3"/>
      <c r="O72" s="3"/>
      <c r="P72" s="3"/>
      <c r="Q72" s="3"/>
      <c r="R72" s="3"/>
      <c r="S72" s="3"/>
      <c r="T72" s="3"/>
      <c r="U72" s="3"/>
      <c r="V72" s="3"/>
    </row>
    <row r="73" spans="1:22" x14ac:dyDescent="0.2">
      <c r="A73" s="3"/>
      <c r="B73" s="26"/>
      <c r="C73" s="26"/>
      <c r="D73" s="672" t="s">
        <v>208</v>
      </c>
      <c r="E73" s="672"/>
      <c r="F73" s="672" t="s">
        <v>208</v>
      </c>
      <c r="G73" s="672"/>
      <c r="H73" s="672"/>
      <c r="I73" s="26"/>
      <c r="J73" s="672"/>
      <c r="K73" s="3"/>
      <c r="L73" s="3"/>
      <c r="M73" s="3"/>
      <c r="N73" s="3"/>
      <c r="O73" s="3"/>
      <c r="P73" s="3"/>
      <c r="Q73" s="3"/>
      <c r="R73" s="3"/>
      <c r="S73" s="3"/>
      <c r="T73" s="3"/>
      <c r="U73" s="3"/>
      <c r="V73" s="3"/>
    </row>
    <row r="74" spans="1:22" x14ac:dyDescent="0.2">
      <c r="A74" s="3"/>
      <c r="B74" s="26"/>
      <c r="C74" s="26"/>
      <c r="D74" s="26"/>
      <c r="E74" s="26"/>
      <c r="F74" s="26"/>
      <c r="G74" s="26"/>
      <c r="H74" s="26"/>
      <c r="I74" s="26"/>
      <c r="J74" s="26"/>
      <c r="K74" s="3"/>
      <c r="L74" s="3"/>
      <c r="M74" s="3"/>
      <c r="N74" s="3"/>
      <c r="O74" s="3"/>
      <c r="P74" s="3"/>
      <c r="Q74" s="3"/>
      <c r="R74" s="3"/>
      <c r="S74" s="3"/>
      <c r="T74" s="3"/>
      <c r="U74" s="3"/>
      <c r="V74" s="3"/>
    </row>
    <row r="75" spans="1:22" x14ac:dyDescent="0.2">
      <c r="A75" s="3"/>
      <c r="B75" s="667" t="s">
        <v>231</v>
      </c>
      <c r="C75" s="668"/>
      <c r="D75" s="300">
        <v>0</v>
      </c>
      <c r="E75" s="300"/>
      <c r="F75" s="300">
        <v>0</v>
      </c>
      <c r="G75" s="300"/>
      <c r="H75" s="300">
        <v>90</v>
      </c>
      <c r="I75" s="300"/>
      <c r="J75" s="300">
        <v>0</v>
      </c>
      <c r="K75" s="3"/>
      <c r="L75" s="3"/>
      <c r="M75" s="3"/>
      <c r="N75" s="3"/>
      <c r="O75" s="3"/>
      <c r="P75" s="3"/>
      <c r="Q75" s="3"/>
      <c r="R75" s="3"/>
      <c r="S75" s="3"/>
      <c r="T75" s="3"/>
      <c r="U75" s="3"/>
      <c r="V75" s="3"/>
    </row>
    <row r="76" spans="1:22" x14ac:dyDescent="0.2">
      <c r="A76" s="3"/>
      <c r="B76" s="667" t="s">
        <v>230</v>
      </c>
      <c r="C76" s="668"/>
      <c r="D76" s="300">
        <v>0</v>
      </c>
      <c r="E76" s="300"/>
      <c r="F76" s="300">
        <v>1</v>
      </c>
      <c r="G76" s="300"/>
      <c r="H76" s="300">
        <v>90</v>
      </c>
      <c r="I76" s="300"/>
      <c r="J76" s="300">
        <v>-0.06</v>
      </c>
      <c r="K76" s="3"/>
      <c r="L76" s="3"/>
      <c r="M76" s="3"/>
      <c r="N76" s="3"/>
      <c r="O76" s="3"/>
      <c r="P76" s="3"/>
      <c r="Q76" s="3"/>
      <c r="R76" s="3"/>
      <c r="S76" s="3"/>
      <c r="T76" s="3"/>
      <c r="U76" s="3"/>
      <c r="V76" s="3"/>
    </row>
    <row r="77" spans="1:22" x14ac:dyDescent="0.2">
      <c r="A77" s="3"/>
      <c r="B77" s="668"/>
      <c r="C77" s="668"/>
      <c r="D77" s="300">
        <v>0</v>
      </c>
      <c r="E77" s="300"/>
      <c r="F77" s="300">
        <v>2</v>
      </c>
      <c r="G77" s="300"/>
      <c r="H77" s="300">
        <v>90</v>
      </c>
      <c r="I77" s="300"/>
      <c r="J77" s="300">
        <v>-0.22</v>
      </c>
      <c r="K77" s="3"/>
      <c r="L77" s="3"/>
      <c r="M77" s="3"/>
      <c r="N77" s="3"/>
      <c r="O77" s="3"/>
      <c r="P77" s="3"/>
      <c r="Q77" s="3"/>
      <c r="R77" s="3"/>
      <c r="S77" s="3"/>
      <c r="T77" s="3"/>
      <c r="U77" s="3"/>
      <c r="V77" s="3"/>
    </row>
    <row r="78" spans="1:22" x14ac:dyDescent="0.2">
      <c r="A78" s="3"/>
      <c r="B78" s="668"/>
      <c r="C78" s="668"/>
      <c r="D78" s="300">
        <v>0</v>
      </c>
      <c r="E78" s="300"/>
      <c r="F78" s="300">
        <v>3</v>
      </c>
      <c r="G78" s="300"/>
      <c r="H78" s="300">
        <v>90</v>
      </c>
      <c r="I78" s="669"/>
      <c r="J78" s="300">
        <v>-0.45</v>
      </c>
      <c r="K78" s="3"/>
      <c r="L78" s="3"/>
      <c r="M78" s="3"/>
      <c r="N78" s="3"/>
      <c r="O78" s="3"/>
      <c r="P78" s="3"/>
      <c r="Q78" s="3"/>
      <c r="R78" s="3"/>
      <c r="S78" s="3"/>
      <c r="T78" s="3"/>
      <c r="U78" s="3"/>
      <c r="V78" s="3"/>
    </row>
    <row r="79" spans="1:22" x14ac:dyDescent="0.2">
      <c r="A79" s="3"/>
      <c r="B79" s="668"/>
      <c r="C79" s="668"/>
      <c r="D79" s="300">
        <v>0</v>
      </c>
      <c r="E79" s="300"/>
      <c r="F79" s="300">
        <v>6</v>
      </c>
      <c r="G79" s="300"/>
      <c r="H79" s="300">
        <v>90</v>
      </c>
      <c r="I79" s="669"/>
      <c r="J79" s="300">
        <v>-1.33</v>
      </c>
      <c r="K79" s="3"/>
      <c r="L79" s="3"/>
      <c r="M79" s="3"/>
      <c r="N79" s="3"/>
      <c r="O79" s="3"/>
      <c r="P79" s="3"/>
      <c r="Q79" s="3"/>
      <c r="R79" s="3"/>
      <c r="S79" s="3"/>
      <c r="T79" s="3"/>
      <c r="U79" s="3"/>
      <c r="V79" s="3"/>
    </row>
    <row r="80" spans="1:22" x14ac:dyDescent="0.2">
      <c r="A80" s="3"/>
      <c r="B80" s="668"/>
      <c r="C80" s="668"/>
      <c r="D80" s="300">
        <v>0</v>
      </c>
      <c r="E80" s="300"/>
      <c r="F80" s="300">
        <v>10</v>
      </c>
      <c r="G80" s="300"/>
      <c r="H80" s="300">
        <v>90</v>
      </c>
      <c r="I80" s="300"/>
      <c r="J80" s="300">
        <v>-2.23</v>
      </c>
      <c r="K80" s="3"/>
      <c r="L80" s="3"/>
      <c r="M80" s="3"/>
      <c r="N80" s="3"/>
      <c r="O80" s="3"/>
      <c r="P80" s="3"/>
      <c r="Q80" s="3"/>
      <c r="R80" s="3"/>
      <c r="S80" s="3"/>
      <c r="T80" s="3"/>
      <c r="U80" s="3"/>
      <c r="V80" s="3"/>
    </row>
    <row r="81" spans="1:22" x14ac:dyDescent="0.2">
      <c r="A81" s="3"/>
      <c r="B81" s="668"/>
      <c r="C81" s="668"/>
      <c r="D81" s="300">
        <v>0</v>
      </c>
      <c r="E81" s="300"/>
      <c r="F81" s="300">
        <v>30</v>
      </c>
      <c r="G81" s="300"/>
      <c r="H81" s="300">
        <v>90</v>
      </c>
      <c r="I81" s="300"/>
      <c r="J81" s="300">
        <v>-3</v>
      </c>
      <c r="K81" s="3"/>
      <c r="L81" s="122" t="s">
        <v>228</v>
      </c>
      <c r="M81" s="123"/>
      <c r="N81" s="123"/>
      <c r="O81" s="124"/>
      <c r="P81" s="3"/>
      <c r="Q81" s="3"/>
      <c r="R81" s="3"/>
      <c r="S81" s="3"/>
      <c r="T81" s="3"/>
      <c r="U81" s="3"/>
      <c r="V81" s="3"/>
    </row>
    <row r="82" spans="1:22" x14ac:dyDescent="0.2">
      <c r="A82" s="3"/>
      <c r="B82" s="668"/>
      <c r="C82" s="668"/>
      <c r="D82" s="300">
        <v>0</v>
      </c>
      <c r="E82" s="300"/>
      <c r="F82" s="300">
        <v>30</v>
      </c>
      <c r="G82" s="300"/>
      <c r="H82" s="300">
        <v>0</v>
      </c>
      <c r="I82" s="300"/>
      <c r="J82" s="300">
        <v>-3</v>
      </c>
      <c r="K82" s="3"/>
      <c r="L82" s="125" t="s">
        <v>227</v>
      </c>
      <c r="M82" s="126"/>
      <c r="N82" s="126"/>
      <c r="O82" s="127"/>
      <c r="P82" s="3"/>
      <c r="Q82" s="3"/>
      <c r="R82" s="3"/>
      <c r="S82" s="3"/>
      <c r="T82" s="3"/>
      <c r="U82" s="3"/>
      <c r="V82" s="3"/>
    </row>
    <row r="83" spans="1:22" x14ac:dyDescent="0.2">
      <c r="A83" s="3"/>
      <c r="B83" s="668"/>
      <c r="C83" s="668"/>
      <c r="D83" s="300"/>
      <c r="E83" s="300"/>
      <c r="F83" s="300"/>
      <c r="G83" s="300"/>
      <c r="H83" s="300"/>
      <c r="I83" s="300"/>
      <c r="J83" s="300"/>
      <c r="K83" s="3"/>
      <c r="L83" s="3"/>
      <c r="M83" s="3"/>
      <c r="N83" s="3"/>
      <c r="O83" s="3"/>
      <c r="P83" s="3"/>
      <c r="Q83" s="3"/>
      <c r="R83" s="3"/>
      <c r="S83" s="3"/>
      <c r="T83" s="3"/>
      <c r="U83" s="3"/>
      <c r="V83" s="3"/>
    </row>
    <row r="84" spans="1:22" x14ac:dyDescent="0.2">
      <c r="A84" s="3"/>
      <c r="B84" s="668"/>
      <c r="C84" s="668"/>
      <c r="D84" s="300"/>
      <c r="E84" s="300"/>
      <c r="F84" s="300"/>
      <c r="G84" s="300"/>
      <c r="H84" s="300"/>
      <c r="I84" s="300" t="s">
        <v>37</v>
      </c>
      <c r="J84" s="300"/>
      <c r="K84" s="3"/>
      <c r="L84" s="3"/>
      <c r="M84" s="3"/>
      <c r="N84" s="3"/>
      <c r="O84" s="3"/>
      <c r="P84" s="3"/>
      <c r="Q84" s="3"/>
      <c r="R84" s="3"/>
      <c r="S84" s="3"/>
      <c r="T84" s="3"/>
      <c r="U84" s="3"/>
      <c r="V84" s="3"/>
    </row>
    <row r="85" spans="1:22" x14ac:dyDescent="0.2">
      <c r="A85" s="3"/>
      <c r="B85" s="667" t="s">
        <v>226</v>
      </c>
      <c r="C85" s="668"/>
      <c r="D85" s="300">
        <v>3</v>
      </c>
      <c r="E85" s="300"/>
      <c r="F85" s="300">
        <v>3</v>
      </c>
      <c r="G85" s="300"/>
      <c r="H85" s="300">
        <v>0</v>
      </c>
      <c r="I85" s="300"/>
      <c r="J85" s="300">
        <v>0</v>
      </c>
      <c r="K85" s="3"/>
      <c r="L85" s="3"/>
      <c r="M85" s="3"/>
      <c r="N85" s="3"/>
      <c r="O85" s="3"/>
      <c r="P85" s="3"/>
      <c r="Q85" s="3"/>
      <c r="R85" s="3"/>
      <c r="S85" s="3"/>
      <c r="T85" s="3"/>
      <c r="U85" s="3"/>
      <c r="V85" s="3"/>
    </row>
    <row r="86" spans="1:22" x14ac:dyDescent="0.2">
      <c r="A86" s="3"/>
      <c r="B86" s="668"/>
      <c r="C86" s="668"/>
      <c r="D86" s="300">
        <v>3</v>
      </c>
      <c r="E86" s="300"/>
      <c r="F86" s="300">
        <v>3</v>
      </c>
      <c r="G86" s="300"/>
      <c r="H86" s="300">
        <v>45</v>
      </c>
      <c r="I86" s="300"/>
      <c r="J86" s="300">
        <v>-0.86</v>
      </c>
      <c r="K86" s="3"/>
      <c r="L86" s="130" t="s">
        <v>234</v>
      </c>
      <c r="M86" s="131"/>
      <c r="N86" s="131"/>
      <c r="O86" s="132"/>
      <c r="P86" s="3"/>
      <c r="Q86" s="3"/>
      <c r="R86" s="3"/>
      <c r="S86" s="3"/>
      <c r="T86" s="3"/>
      <c r="U86" s="3"/>
      <c r="V86" s="3"/>
    </row>
    <row r="87" spans="1:22" x14ac:dyDescent="0.2">
      <c r="A87" s="3"/>
      <c r="B87" s="668"/>
      <c r="C87" s="668"/>
      <c r="D87" s="300">
        <v>3</v>
      </c>
      <c r="E87" s="300"/>
      <c r="F87" s="300">
        <v>3</v>
      </c>
      <c r="G87" s="300"/>
      <c r="H87" s="300">
        <v>90</v>
      </c>
      <c r="I87" s="300"/>
      <c r="J87" s="300">
        <v>-1.93</v>
      </c>
      <c r="K87" s="3"/>
      <c r="L87" s="3"/>
      <c r="M87" s="3"/>
      <c r="N87" s="3"/>
      <c r="O87" s="3"/>
      <c r="P87" s="3"/>
      <c r="Q87" s="3"/>
      <c r="R87" s="3"/>
      <c r="S87" s="3"/>
      <c r="T87" s="3"/>
      <c r="U87" s="3"/>
      <c r="V87" s="3"/>
    </row>
    <row r="88" spans="1:22" x14ac:dyDescent="0.2">
      <c r="A88" s="3"/>
      <c r="B88" s="668"/>
      <c r="C88" s="668"/>
      <c r="D88" s="670"/>
      <c r="E88" s="670"/>
      <c r="F88" s="670"/>
      <c r="G88" s="670"/>
      <c r="H88" s="670"/>
      <c r="I88" s="670"/>
      <c r="J88" s="670"/>
      <c r="K88" s="3"/>
      <c r="L88" s="3"/>
      <c r="M88" s="3"/>
      <c r="N88" s="3"/>
      <c r="O88" s="3"/>
      <c r="P88" s="3"/>
      <c r="Q88" s="3"/>
      <c r="R88" s="3"/>
      <c r="S88" s="3"/>
      <c r="T88" s="3"/>
      <c r="U88" s="3"/>
      <c r="V88" s="3"/>
    </row>
    <row r="89" spans="1:22" x14ac:dyDescent="0.2">
      <c r="A89" s="3"/>
      <c r="B89" s="668"/>
      <c r="C89" s="668"/>
      <c r="D89" s="670"/>
      <c r="E89" s="670"/>
      <c r="F89" s="670"/>
      <c r="G89" s="670"/>
      <c r="H89" s="670"/>
      <c r="I89" s="670"/>
      <c r="J89" s="670"/>
      <c r="K89" s="3"/>
      <c r="L89" s="3"/>
      <c r="M89" s="3"/>
      <c r="N89" s="3"/>
      <c r="O89" s="3"/>
      <c r="P89" s="3"/>
      <c r="Q89" s="3"/>
      <c r="R89" s="3"/>
      <c r="S89" s="3"/>
      <c r="T89" s="3"/>
      <c r="U89" s="3"/>
      <c r="V89" s="3"/>
    </row>
    <row r="90" spans="1:22" x14ac:dyDescent="0.2">
      <c r="A90" s="3"/>
      <c r="B90" s="668" t="s">
        <v>229</v>
      </c>
      <c r="C90" s="668"/>
      <c r="D90" s="300">
        <v>30</v>
      </c>
      <c r="E90" s="300"/>
      <c r="F90" s="300">
        <v>30</v>
      </c>
      <c r="G90" s="300"/>
      <c r="H90" s="300">
        <v>0</v>
      </c>
      <c r="I90" s="300"/>
      <c r="J90" s="300">
        <v>0</v>
      </c>
      <c r="K90" s="3"/>
      <c r="L90" s="3"/>
      <c r="M90" s="3"/>
      <c r="N90" s="3"/>
      <c r="O90" s="3"/>
      <c r="P90" s="3"/>
      <c r="Q90" s="3"/>
      <c r="R90" s="3"/>
      <c r="S90" s="3"/>
      <c r="T90" s="3"/>
      <c r="U90" s="3"/>
      <c r="V90" s="3"/>
    </row>
    <row r="91" spans="1:22" x14ac:dyDescent="0.2">
      <c r="A91" s="3"/>
      <c r="B91" s="668"/>
      <c r="C91" s="668"/>
      <c r="D91" s="300">
        <v>30</v>
      </c>
      <c r="E91" s="300"/>
      <c r="F91" s="300">
        <v>30</v>
      </c>
      <c r="G91" s="300"/>
      <c r="H91" s="300">
        <v>30</v>
      </c>
      <c r="I91" s="300"/>
      <c r="J91" s="300">
        <v>-1.25</v>
      </c>
      <c r="K91" s="3"/>
      <c r="L91" s="3"/>
      <c r="M91" s="3"/>
      <c r="N91" s="3"/>
      <c r="O91" s="3"/>
      <c r="P91" s="3"/>
      <c r="Q91" s="3"/>
      <c r="R91" s="3"/>
      <c r="S91" s="3"/>
      <c r="T91" s="3"/>
      <c r="U91" s="3"/>
      <c r="V91" s="3"/>
    </row>
    <row r="92" spans="1:22" x14ac:dyDescent="0.2">
      <c r="A92" s="3"/>
      <c r="B92" s="668"/>
      <c r="C92" s="668"/>
      <c r="D92" s="300">
        <v>30</v>
      </c>
      <c r="E92" s="300"/>
      <c r="F92" s="300">
        <v>30</v>
      </c>
      <c r="G92" s="300"/>
      <c r="H92" s="300">
        <v>45</v>
      </c>
      <c r="I92" s="300"/>
      <c r="J92" s="300">
        <v>-3.01</v>
      </c>
      <c r="K92" s="3"/>
      <c r="L92" s="3"/>
      <c r="M92" s="3"/>
      <c r="N92" s="3"/>
      <c r="O92" s="3"/>
      <c r="P92" s="3"/>
      <c r="Q92" s="3"/>
      <c r="R92" s="3"/>
      <c r="S92" s="3"/>
      <c r="T92" s="3"/>
      <c r="U92" s="3"/>
      <c r="V92" s="3"/>
    </row>
    <row r="93" spans="1:22" x14ac:dyDescent="0.2">
      <c r="A93" s="3"/>
      <c r="B93" s="668"/>
      <c r="C93" s="668"/>
      <c r="D93" s="300">
        <v>30</v>
      </c>
      <c r="E93" s="300"/>
      <c r="F93" s="300">
        <v>30</v>
      </c>
      <c r="G93" s="300"/>
      <c r="H93" s="300">
        <v>60</v>
      </c>
      <c r="I93" s="300"/>
      <c r="J93" s="300">
        <v>-6.02</v>
      </c>
      <c r="K93" s="3"/>
      <c r="L93" s="3"/>
      <c r="M93" s="3"/>
      <c r="N93" s="3"/>
      <c r="O93" s="3"/>
      <c r="P93" s="3"/>
      <c r="Q93" s="3"/>
      <c r="R93" s="3"/>
      <c r="S93" s="3"/>
      <c r="T93" s="3"/>
      <c r="U93" s="3"/>
      <c r="V93" s="3"/>
    </row>
    <row r="94" spans="1:22" x14ac:dyDescent="0.2">
      <c r="A94" s="3"/>
      <c r="B94" s="668"/>
      <c r="C94" s="668"/>
      <c r="D94" s="300">
        <v>30</v>
      </c>
      <c r="E94" s="300"/>
      <c r="F94" s="300">
        <v>30</v>
      </c>
      <c r="G94" s="300"/>
      <c r="H94" s="300">
        <v>90</v>
      </c>
      <c r="I94" s="300"/>
      <c r="J94" s="300">
        <v>-53.98</v>
      </c>
      <c r="K94" s="3"/>
      <c r="L94" s="3"/>
      <c r="M94" s="3"/>
      <c r="N94" s="3"/>
      <c r="O94" s="3"/>
      <c r="P94" s="3"/>
      <c r="Q94" s="3"/>
      <c r="R94" s="3"/>
      <c r="S94" s="3"/>
      <c r="T94" s="3"/>
      <c r="U94" s="3"/>
      <c r="V94" s="3"/>
    </row>
    <row r="95" spans="1:22" x14ac:dyDescent="0.2">
      <c r="A95" s="3"/>
      <c r="B95" s="668"/>
      <c r="C95" s="668"/>
      <c r="D95" s="300"/>
      <c r="E95" s="300"/>
      <c r="F95" s="300"/>
      <c r="G95" s="300"/>
      <c r="H95" s="300"/>
      <c r="I95" s="300"/>
      <c r="J95" s="300"/>
      <c r="K95" s="3"/>
      <c r="L95" s="3"/>
      <c r="M95" s="3"/>
      <c r="N95" s="3"/>
      <c r="O95" s="3"/>
      <c r="P95" s="3"/>
      <c r="Q95" s="3"/>
      <c r="R95" s="3"/>
      <c r="S95" s="3"/>
      <c r="T95" s="3"/>
      <c r="U95" s="3"/>
      <c r="V95" s="3"/>
    </row>
    <row r="96" spans="1:22" x14ac:dyDescent="0.2">
      <c r="A96" s="3"/>
      <c r="B96" s="667" t="s">
        <v>232</v>
      </c>
      <c r="C96" s="667"/>
      <c r="D96" s="300">
        <v>2</v>
      </c>
      <c r="E96" s="300"/>
      <c r="F96" s="300">
        <v>30</v>
      </c>
      <c r="G96" s="300"/>
      <c r="H96" s="300">
        <v>0</v>
      </c>
      <c r="I96" s="300"/>
      <c r="J96" s="300">
        <v>-1.45</v>
      </c>
      <c r="K96" s="3"/>
      <c r="L96" s="3" t="s">
        <v>37</v>
      </c>
      <c r="M96" s="3"/>
      <c r="N96" s="3"/>
      <c r="O96" s="3"/>
      <c r="P96" s="3"/>
      <c r="Q96" s="3"/>
      <c r="R96" s="3"/>
      <c r="S96" s="3"/>
      <c r="T96" s="3"/>
      <c r="U96" s="3"/>
      <c r="V96" s="3"/>
    </row>
    <row r="97" spans="1:22" x14ac:dyDescent="0.2">
      <c r="A97" s="3"/>
      <c r="B97" s="667" t="s">
        <v>233</v>
      </c>
      <c r="C97" s="667"/>
      <c r="D97" s="300">
        <v>2</v>
      </c>
      <c r="E97" s="300"/>
      <c r="F97" s="300">
        <v>30</v>
      </c>
      <c r="G97" s="300"/>
      <c r="H97" s="300">
        <v>45</v>
      </c>
      <c r="I97" s="300"/>
      <c r="J97" s="300">
        <v>-3</v>
      </c>
      <c r="K97" s="3"/>
      <c r="L97" s="130" t="s">
        <v>353</v>
      </c>
      <c r="M97" s="131"/>
      <c r="N97" s="131"/>
      <c r="O97" s="131"/>
      <c r="P97" s="132"/>
      <c r="Q97" s="3"/>
      <c r="R97" s="3"/>
      <c r="S97" s="3"/>
      <c r="T97" s="3"/>
      <c r="U97" s="3"/>
      <c r="V97" s="3"/>
    </row>
    <row r="98" spans="1:22" x14ac:dyDescent="0.2">
      <c r="A98" s="3"/>
      <c r="B98" s="667"/>
      <c r="C98" s="667"/>
      <c r="D98" s="300">
        <v>2</v>
      </c>
      <c r="E98" s="300"/>
      <c r="F98" s="300">
        <v>30</v>
      </c>
      <c r="G98" s="300"/>
      <c r="H98" s="300">
        <v>90</v>
      </c>
      <c r="I98" s="300"/>
      <c r="J98" s="300">
        <v>-3.98</v>
      </c>
      <c r="K98" s="3"/>
      <c r="L98" s="3"/>
      <c r="M98" s="3"/>
      <c r="N98" s="3"/>
      <c r="O98" s="3"/>
      <c r="P98" s="3"/>
      <c r="Q98" s="3"/>
      <c r="R98" s="3"/>
      <c r="S98" s="3"/>
      <c r="T98" s="3"/>
      <c r="U98" s="3"/>
      <c r="V98" s="3"/>
    </row>
    <row r="99" spans="1:22" x14ac:dyDescent="0.2">
      <c r="A99" s="3"/>
      <c r="B99" s="98"/>
      <c r="C99" s="98"/>
      <c r="D99" s="468"/>
      <c r="E99" s="468"/>
      <c r="F99" s="468"/>
      <c r="G99" s="468"/>
      <c r="H99" s="468"/>
      <c r="I99" s="468"/>
      <c r="J99" s="468"/>
      <c r="K99" s="3"/>
      <c r="L99" s="3"/>
      <c r="M99" s="3"/>
      <c r="N99" s="3"/>
      <c r="O99" s="3"/>
      <c r="P99" s="3"/>
      <c r="Q99" s="3"/>
      <c r="R99" s="3"/>
      <c r="S99" s="3"/>
      <c r="T99" s="3"/>
      <c r="U99" s="3"/>
      <c r="V99" s="3"/>
    </row>
    <row r="100" spans="1:22" x14ac:dyDescent="0.2">
      <c r="A100" s="3"/>
      <c r="B100" s="3"/>
      <c r="C100" s="3"/>
      <c r="D100" s="86"/>
      <c r="E100" s="86"/>
      <c r="F100" s="86"/>
      <c r="G100" s="86"/>
      <c r="H100" s="86"/>
      <c r="I100" s="86"/>
      <c r="J100" s="86"/>
      <c r="K100" s="3"/>
      <c r="L100" s="3"/>
      <c r="M100" s="3"/>
      <c r="N100" s="3"/>
      <c r="O100" s="3"/>
      <c r="P100" s="3"/>
      <c r="Q100" s="3"/>
      <c r="R100" s="3"/>
      <c r="S100" s="3"/>
      <c r="T100" s="3"/>
      <c r="U100" s="3"/>
      <c r="V100" s="3"/>
    </row>
    <row r="101" spans="1:22" x14ac:dyDescent="0.2">
      <c r="A101" s="3"/>
      <c r="B101" s="248"/>
      <c r="C101" s="3"/>
      <c r="D101" s="86"/>
      <c r="E101" s="86"/>
      <c r="F101" s="86"/>
      <c r="G101" s="86"/>
      <c r="H101" s="86"/>
      <c r="I101" s="86"/>
      <c r="J101" s="86"/>
      <c r="K101" s="3"/>
      <c r="L101" s="3"/>
      <c r="M101" s="3"/>
      <c r="N101" s="3"/>
      <c r="O101" s="3"/>
      <c r="P101" s="3"/>
      <c r="Q101" s="3"/>
      <c r="R101" s="3"/>
      <c r="S101" s="3"/>
      <c r="T101" s="3"/>
      <c r="U101" s="3"/>
      <c r="V101" s="3"/>
    </row>
    <row r="102" spans="1:22" x14ac:dyDescent="0.2">
      <c r="A102" s="3"/>
      <c r="B102" s="248"/>
      <c r="C102" s="3"/>
      <c r="D102" s="86"/>
      <c r="E102" s="86"/>
      <c r="F102" s="86"/>
      <c r="G102" s="86"/>
      <c r="H102" s="86"/>
      <c r="I102" s="86"/>
      <c r="J102" s="86"/>
      <c r="K102" s="3"/>
      <c r="L102" s="3"/>
      <c r="M102" s="3"/>
      <c r="N102" s="3"/>
      <c r="O102" s="3"/>
      <c r="P102" s="3"/>
      <c r="Q102" s="3"/>
      <c r="R102" s="3"/>
      <c r="S102" s="3"/>
      <c r="T102" s="3"/>
      <c r="U102" s="3"/>
      <c r="V102" s="3"/>
    </row>
    <row r="103" spans="1:22" x14ac:dyDescent="0.2">
      <c r="A103" s="3"/>
      <c r="B103" s="3"/>
      <c r="C103" s="3"/>
      <c r="D103" s="86"/>
      <c r="E103" s="86"/>
      <c r="F103" s="86"/>
      <c r="G103" s="86"/>
      <c r="H103" s="86"/>
      <c r="I103" s="86"/>
      <c r="J103" s="86"/>
      <c r="K103" s="3"/>
      <c r="L103" s="3"/>
      <c r="M103" s="3"/>
      <c r="N103" s="3"/>
      <c r="O103" s="3"/>
      <c r="P103" s="3"/>
      <c r="Q103" s="3"/>
      <c r="R103" s="3"/>
      <c r="S103" s="3"/>
      <c r="T103" s="3"/>
      <c r="U103" s="3"/>
      <c r="V103" s="3"/>
    </row>
    <row r="104" spans="1:22" x14ac:dyDescent="0.2">
      <c r="A104" s="3"/>
      <c r="B104" s="3"/>
      <c r="C104" s="3"/>
      <c r="D104" s="86"/>
      <c r="E104" s="86"/>
      <c r="F104" s="86"/>
      <c r="G104" s="86"/>
      <c r="H104" s="86"/>
      <c r="I104" s="86"/>
      <c r="J104" s="86"/>
      <c r="K104" s="3"/>
      <c r="L104" s="3"/>
      <c r="M104" s="3"/>
      <c r="N104" s="3"/>
      <c r="O104" s="3"/>
      <c r="P104" s="3"/>
      <c r="Q104" s="3"/>
      <c r="R104" s="3"/>
      <c r="S104" s="3"/>
      <c r="T104" s="3"/>
      <c r="U104" s="3"/>
      <c r="V104" s="3"/>
    </row>
    <row r="105" spans="1:22" x14ac:dyDescent="0.2">
      <c r="A105" s="3"/>
      <c r="B105" s="3"/>
      <c r="C105" s="3"/>
      <c r="D105" s="86"/>
      <c r="E105" s="86"/>
      <c r="F105" s="86"/>
      <c r="G105" s="86"/>
      <c r="H105" s="86"/>
      <c r="I105" s="86"/>
      <c r="J105" s="86"/>
      <c r="K105" s="3"/>
      <c r="L105" s="3"/>
      <c r="M105" s="3"/>
      <c r="N105" s="3"/>
      <c r="O105" s="3"/>
      <c r="P105" s="3"/>
      <c r="Q105" s="3"/>
      <c r="R105" s="3"/>
      <c r="S105" s="3"/>
      <c r="T105" s="3"/>
      <c r="U105" s="3"/>
      <c r="V105" s="3"/>
    </row>
    <row r="106" spans="1:22" x14ac:dyDescent="0.2">
      <c r="A106" s="3"/>
      <c r="B106" s="3"/>
      <c r="C106" s="3"/>
      <c r="D106" s="86"/>
      <c r="E106" s="86"/>
      <c r="F106" s="86"/>
      <c r="G106" s="86"/>
      <c r="H106" s="86"/>
      <c r="I106" s="86"/>
      <c r="J106" s="86"/>
      <c r="K106" s="3"/>
      <c r="L106" s="3"/>
      <c r="M106" s="3"/>
      <c r="N106" s="3"/>
      <c r="O106" s="3"/>
      <c r="P106" s="3"/>
      <c r="Q106" s="3"/>
      <c r="R106" s="3"/>
      <c r="S106" s="3"/>
      <c r="T106" s="3"/>
      <c r="U106" s="3"/>
      <c r="V106" s="3"/>
    </row>
    <row r="107" spans="1:22" x14ac:dyDescent="0.2">
      <c r="A107" s="3"/>
      <c r="B107" s="3"/>
      <c r="C107" s="3"/>
      <c r="D107" s="86"/>
      <c r="E107" s="86"/>
      <c r="F107" s="86"/>
      <c r="G107" s="86"/>
      <c r="H107" s="86"/>
      <c r="I107" s="86"/>
      <c r="J107" s="86"/>
      <c r="K107" s="3"/>
      <c r="L107" s="3"/>
      <c r="M107" s="3"/>
      <c r="N107" s="3"/>
      <c r="O107" s="3"/>
      <c r="P107" s="3"/>
      <c r="Q107" s="3"/>
      <c r="R107" s="3"/>
      <c r="S107" s="3"/>
      <c r="T107" s="3"/>
      <c r="U107" s="3"/>
      <c r="V107" s="3"/>
    </row>
    <row r="108" spans="1:22" x14ac:dyDescent="0.2">
      <c r="A108" s="3"/>
      <c r="B108" s="3"/>
      <c r="C108" s="3"/>
      <c r="D108" s="86"/>
      <c r="E108" s="86"/>
      <c r="F108" s="86"/>
      <c r="G108" s="86"/>
      <c r="H108" s="86"/>
      <c r="I108" s="86"/>
      <c r="J108" s="86"/>
      <c r="K108" s="3"/>
      <c r="L108" s="3"/>
      <c r="M108" s="3"/>
      <c r="N108" s="3"/>
      <c r="O108" s="3"/>
      <c r="P108" s="3"/>
      <c r="Q108" s="3"/>
      <c r="R108" s="3"/>
      <c r="S108" s="3"/>
      <c r="T108" s="3"/>
      <c r="U108" s="3"/>
      <c r="V108" s="3"/>
    </row>
    <row r="109" spans="1:22" x14ac:dyDescent="0.2">
      <c r="A109" s="3"/>
      <c r="B109" s="3"/>
      <c r="C109" s="3"/>
      <c r="D109" s="86"/>
      <c r="E109" s="86"/>
      <c r="F109" s="86"/>
      <c r="G109" s="86"/>
      <c r="H109" s="86"/>
      <c r="I109" s="86"/>
      <c r="J109" s="86"/>
      <c r="K109" s="3"/>
      <c r="L109" s="3"/>
      <c r="M109" s="3"/>
      <c r="N109" s="3"/>
      <c r="O109" s="3"/>
      <c r="P109" s="3"/>
      <c r="Q109" s="3"/>
      <c r="R109" s="3"/>
      <c r="S109" s="3"/>
      <c r="T109" s="3"/>
      <c r="U109" s="3"/>
      <c r="V109" s="3"/>
    </row>
    <row r="110" spans="1:22" x14ac:dyDescent="0.2">
      <c r="A110" s="3"/>
      <c r="B110" s="3"/>
      <c r="C110" s="3"/>
      <c r="D110" s="86"/>
      <c r="E110" s="86"/>
      <c r="F110" s="86"/>
      <c r="G110" s="86"/>
      <c r="H110" s="86"/>
      <c r="I110" s="86"/>
      <c r="J110" s="86"/>
      <c r="K110" s="3"/>
      <c r="L110" s="3"/>
      <c r="M110" s="3"/>
      <c r="N110" s="3"/>
      <c r="O110" s="3"/>
      <c r="P110" s="3"/>
      <c r="Q110" s="3"/>
      <c r="R110" s="3"/>
      <c r="S110" s="3"/>
      <c r="T110" s="3"/>
      <c r="U110" s="3"/>
      <c r="V110" s="3"/>
    </row>
    <row r="111" spans="1:22" x14ac:dyDescent="0.2">
      <c r="A111" s="3"/>
      <c r="B111" s="3"/>
      <c r="C111" s="3"/>
      <c r="D111" s="86"/>
      <c r="E111" s="86"/>
      <c r="F111" s="86"/>
      <c r="G111" s="86"/>
      <c r="H111" s="86"/>
      <c r="I111" s="86"/>
      <c r="J111" s="86"/>
      <c r="K111" s="3"/>
      <c r="L111" s="3"/>
      <c r="M111" s="3"/>
      <c r="N111" s="3"/>
      <c r="O111" s="3"/>
      <c r="P111" s="3"/>
      <c r="Q111" s="3"/>
      <c r="R111" s="3"/>
      <c r="S111" s="3"/>
      <c r="T111" s="3"/>
      <c r="U111" s="3"/>
      <c r="V111" s="3"/>
    </row>
    <row r="112" spans="1:22" x14ac:dyDescent="0.2">
      <c r="A112" s="3"/>
      <c r="B112" s="3"/>
      <c r="C112" s="3"/>
      <c r="D112" s="86"/>
      <c r="E112" s="86"/>
      <c r="F112" s="86"/>
      <c r="G112" s="86"/>
      <c r="H112" s="86"/>
      <c r="I112" s="86"/>
      <c r="J112" s="86"/>
      <c r="K112" s="3"/>
      <c r="L112" s="3"/>
      <c r="M112" s="3"/>
      <c r="N112" s="3"/>
      <c r="O112" s="3"/>
      <c r="P112" s="3"/>
      <c r="Q112" s="3"/>
      <c r="R112" s="3"/>
      <c r="S112" s="3"/>
      <c r="T112" s="3"/>
      <c r="U112" s="3"/>
      <c r="V112" s="3"/>
    </row>
    <row r="113" spans="1:22" x14ac:dyDescent="0.2">
      <c r="A113" s="3"/>
      <c r="B113" s="3"/>
      <c r="C113" s="3"/>
      <c r="D113" s="86"/>
      <c r="E113" s="86"/>
      <c r="F113" s="86"/>
      <c r="G113" s="86"/>
      <c r="H113" s="86"/>
      <c r="I113" s="86"/>
      <c r="J113" s="86"/>
      <c r="K113" s="3"/>
      <c r="L113" s="3"/>
      <c r="M113" s="3"/>
      <c r="N113" s="3"/>
      <c r="O113" s="3"/>
      <c r="P113" s="3"/>
      <c r="Q113" s="3"/>
      <c r="R113" s="3"/>
      <c r="S113" s="3"/>
      <c r="T113" s="3"/>
      <c r="U113" s="3"/>
      <c r="V113" s="3"/>
    </row>
    <row r="114" spans="1:22" x14ac:dyDescent="0.2">
      <c r="A114" s="3"/>
      <c r="B114" s="3"/>
      <c r="C114" s="3"/>
      <c r="D114" s="86"/>
      <c r="E114" s="86"/>
      <c r="F114" s="86"/>
      <c r="G114" s="86"/>
      <c r="H114" s="86"/>
      <c r="I114" s="86"/>
      <c r="J114" s="86"/>
      <c r="K114" s="3"/>
      <c r="L114" s="3"/>
      <c r="M114" s="3"/>
      <c r="N114" s="3"/>
      <c r="O114" s="3"/>
      <c r="P114" s="3"/>
      <c r="Q114" s="3"/>
      <c r="R114" s="3"/>
      <c r="S114" s="3"/>
      <c r="T114" s="3"/>
      <c r="U114" s="3"/>
      <c r="V114" s="3"/>
    </row>
    <row r="115" spans="1:22" x14ac:dyDescent="0.2">
      <c r="D115" s="21"/>
      <c r="E115" s="21"/>
      <c r="F115" s="21"/>
      <c r="G115" s="21"/>
      <c r="H115" s="21"/>
      <c r="I115" s="21"/>
      <c r="J115" s="21"/>
    </row>
  </sheetData>
  <mergeCells count="4">
    <mergeCell ref="M58:O58"/>
    <mergeCell ref="M61:O61"/>
    <mergeCell ref="M48:O48"/>
    <mergeCell ref="M51:O51"/>
  </mergeCells>
  <phoneticPr fontId="26" type="noConversion"/>
  <pageMargins left="0.75" right="0.75" top="1" bottom="1" header="0.5" footer="0.5"/>
  <pageSetup paperSize="9" orientation="portrait" horizontalDpi="4294967293" verticalDpi="0" r:id="rId1"/>
  <headerFooter alignWithMargins="0"/>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84"/>
  <sheetViews>
    <sheetView topLeftCell="A37" workbookViewId="0">
      <selection activeCell="L59" sqref="G54:L59"/>
    </sheetView>
  </sheetViews>
  <sheetFormatPr defaultRowHeight="12.75" x14ac:dyDescent="0.2"/>
  <cols>
    <col min="1" max="1" width="8.7109375" customWidth="1"/>
    <col min="2" max="2" width="10.28515625" customWidth="1"/>
  </cols>
  <sheetData>
    <row r="1" spans="1:20" ht="18.75" thickBot="1" x14ac:dyDescent="0.3">
      <c r="A1" s="133" t="s">
        <v>236</v>
      </c>
      <c r="B1" s="135"/>
      <c r="C1" s="135"/>
      <c r="D1" s="135"/>
      <c r="E1" s="135"/>
      <c r="F1" s="135"/>
      <c r="G1" s="135"/>
      <c r="H1" s="728" t="str">
        <f>'Title Page'!F3</f>
        <v>CougSat-1</v>
      </c>
      <c r="I1" s="135"/>
      <c r="J1" s="135"/>
      <c r="K1" s="135"/>
      <c r="L1" s="135"/>
      <c r="M1" s="725" t="str">
        <f>'Title Page'!F25</f>
        <v>2020 January 17</v>
      </c>
      <c r="N1" s="135"/>
      <c r="O1" s="135"/>
      <c r="P1" s="135"/>
      <c r="Q1" s="135"/>
      <c r="R1" s="135"/>
      <c r="S1" s="135"/>
      <c r="T1" s="135"/>
    </row>
    <row r="2" spans="1:20" x14ac:dyDescent="0.2">
      <c r="A2" s="250"/>
      <c r="B2" s="250"/>
      <c r="C2" s="250"/>
      <c r="D2" s="250"/>
      <c r="E2" s="250"/>
      <c r="F2" s="250"/>
      <c r="G2" s="250"/>
      <c r="H2" s="250"/>
      <c r="I2" s="250"/>
      <c r="J2" s="250"/>
      <c r="K2" s="250"/>
      <c r="L2" s="250"/>
      <c r="M2" s="250"/>
      <c r="N2" s="250"/>
      <c r="O2" s="250"/>
      <c r="P2" s="250"/>
      <c r="Q2" s="250"/>
    </row>
    <row r="3" spans="1:20" x14ac:dyDescent="0.2">
      <c r="A3" s="250"/>
      <c r="B3" s="451" t="s">
        <v>245</v>
      </c>
      <c r="C3" s="452"/>
      <c r="D3" s="452"/>
      <c r="E3" s="453"/>
      <c r="F3" s="250"/>
      <c r="G3" s="250"/>
      <c r="H3" s="434" t="s">
        <v>567</v>
      </c>
      <c r="I3" s="434"/>
      <c r="J3" s="434"/>
      <c r="K3" s="434"/>
      <c r="L3" s="434"/>
      <c r="M3" s="434"/>
      <c r="N3" s="434"/>
      <c r="O3" s="434"/>
      <c r="P3" s="250"/>
      <c r="Q3" s="250"/>
    </row>
    <row r="4" spans="1:20" x14ac:dyDescent="0.2">
      <c r="A4" s="250"/>
      <c r="B4" s="691" t="s">
        <v>560</v>
      </c>
      <c r="C4" s="692"/>
      <c r="D4" s="108"/>
      <c r="E4" s="255"/>
      <c r="F4" s="250"/>
      <c r="G4" s="250"/>
      <c r="H4" s="250"/>
      <c r="I4" s="250"/>
      <c r="J4" s="250"/>
      <c r="K4" s="250"/>
      <c r="L4" s="250"/>
      <c r="M4" s="250"/>
      <c r="N4" s="250"/>
      <c r="O4" s="250"/>
      <c r="P4" s="250"/>
      <c r="Q4" s="250"/>
    </row>
    <row r="5" spans="1:20" x14ac:dyDescent="0.2">
      <c r="A5" s="250"/>
      <c r="B5" s="693" t="s">
        <v>237</v>
      </c>
      <c r="C5" s="694"/>
      <c r="D5" s="695" t="s">
        <v>238</v>
      </c>
      <c r="E5" s="696" t="s">
        <v>40</v>
      </c>
      <c r="F5" s="250"/>
      <c r="G5" s="250"/>
      <c r="H5" s="250"/>
      <c r="I5" s="250"/>
      <c r="J5" s="250"/>
      <c r="K5" s="250"/>
      <c r="L5" s="250"/>
      <c r="M5" s="250"/>
      <c r="N5" s="250"/>
      <c r="O5" s="250"/>
      <c r="P5" s="250"/>
      <c r="Q5" s="250"/>
    </row>
    <row r="6" spans="1:20" x14ac:dyDescent="0.2">
      <c r="A6" s="250"/>
      <c r="B6" s="445">
        <v>0</v>
      </c>
      <c r="C6" s="108" t="s">
        <v>239</v>
      </c>
      <c r="D6" s="34">
        <v>10.199999999999999</v>
      </c>
      <c r="E6" s="255" t="s">
        <v>78</v>
      </c>
      <c r="F6" s="250"/>
      <c r="G6" s="250" t="s">
        <v>240</v>
      </c>
      <c r="H6" s="250"/>
      <c r="I6" s="250"/>
      <c r="J6" s="250"/>
      <c r="K6" s="250"/>
      <c r="L6" s="250"/>
      <c r="M6" s="250"/>
      <c r="N6" s="250"/>
      <c r="O6" s="250"/>
      <c r="P6" s="250"/>
      <c r="Q6" s="250"/>
    </row>
    <row r="7" spans="1:20" x14ac:dyDescent="0.2">
      <c r="A7" s="250"/>
      <c r="B7" s="445"/>
      <c r="C7" s="108"/>
      <c r="D7" s="34"/>
      <c r="E7" s="255"/>
      <c r="F7" s="250"/>
      <c r="G7" s="250" t="s">
        <v>241</v>
      </c>
      <c r="H7" s="250"/>
      <c r="I7" s="250"/>
      <c r="J7" s="250"/>
      <c r="K7" s="250"/>
      <c r="L7" s="250"/>
      <c r="M7" s="250"/>
      <c r="N7" s="250"/>
      <c r="O7" s="250"/>
      <c r="P7" s="250"/>
      <c r="Q7" s="250"/>
    </row>
    <row r="8" spans="1:20" x14ac:dyDescent="0.2">
      <c r="A8" s="250"/>
      <c r="B8" s="445">
        <v>2.5</v>
      </c>
      <c r="C8" s="108" t="s">
        <v>239</v>
      </c>
      <c r="D8" s="34">
        <v>4.5999999999999996</v>
      </c>
      <c r="E8" s="255" t="s">
        <v>78</v>
      </c>
      <c r="F8" s="250"/>
      <c r="G8" s="250" t="s">
        <v>264</v>
      </c>
      <c r="H8" s="250"/>
      <c r="I8" s="250"/>
      <c r="J8" s="250"/>
      <c r="K8" s="250"/>
      <c r="L8" s="250"/>
      <c r="M8" s="250"/>
      <c r="N8" s="250"/>
      <c r="O8" s="250"/>
      <c r="P8" s="250"/>
      <c r="Q8" s="250"/>
    </row>
    <row r="9" spans="1:20" x14ac:dyDescent="0.2">
      <c r="A9" s="250"/>
      <c r="B9" s="445"/>
      <c r="C9" s="108"/>
      <c r="D9" s="34"/>
      <c r="E9" s="255"/>
      <c r="F9" s="250"/>
      <c r="G9" s="250" t="s">
        <v>242</v>
      </c>
      <c r="H9" s="250"/>
      <c r="I9" s="250"/>
      <c r="J9" s="250"/>
      <c r="K9" s="250"/>
      <c r="L9" s="250"/>
      <c r="M9" s="250"/>
      <c r="N9" s="250"/>
      <c r="O9" s="250"/>
      <c r="P9" s="250"/>
      <c r="Q9" s="250"/>
    </row>
    <row r="10" spans="1:20" x14ac:dyDescent="0.2">
      <c r="A10" s="250"/>
      <c r="B10" s="445">
        <v>5</v>
      </c>
      <c r="C10" s="108" t="s">
        <v>239</v>
      </c>
      <c r="D10" s="34">
        <v>2.1</v>
      </c>
      <c r="E10" s="255" t="s">
        <v>78</v>
      </c>
      <c r="F10" s="250"/>
      <c r="G10" s="250" t="s">
        <v>243</v>
      </c>
      <c r="H10" s="250"/>
      <c r="I10" s="250"/>
      <c r="J10" s="250"/>
      <c r="K10" s="250"/>
      <c r="L10" s="250"/>
      <c r="M10" s="250"/>
      <c r="N10" s="250"/>
      <c r="O10" s="250"/>
      <c r="P10" s="250"/>
      <c r="Q10" s="250"/>
    </row>
    <row r="11" spans="1:20" x14ac:dyDescent="0.2">
      <c r="A11" s="250"/>
      <c r="B11" s="445"/>
      <c r="C11" s="108"/>
      <c r="D11" s="34"/>
      <c r="E11" s="255"/>
      <c r="F11" s="250"/>
      <c r="G11" s="250"/>
      <c r="H11" s="250"/>
      <c r="I11" s="250"/>
      <c r="J11" s="250"/>
      <c r="K11" s="250"/>
      <c r="L11" s="250"/>
      <c r="M11" s="250"/>
      <c r="N11" s="250"/>
      <c r="O11" s="250"/>
      <c r="P11" s="250"/>
      <c r="Q11" s="250"/>
    </row>
    <row r="12" spans="1:20" x14ac:dyDescent="0.2">
      <c r="A12" s="250"/>
      <c r="B12" s="445">
        <v>10</v>
      </c>
      <c r="C12" s="108" t="s">
        <v>239</v>
      </c>
      <c r="D12" s="34">
        <v>1.1000000000000001</v>
      </c>
      <c r="E12" s="255" t="s">
        <v>78</v>
      </c>
      <c r="F12" s="250"/>
      <c r="G12" s="250" t="s">
        <v>244</v>
      </c>
      <c r="H12" s="250"/>
      <c r="I12" s="250"/>
      <c r="J12" s="250"/>
      <c r="K12" s="250"/>
      <c r="L12" s="250"/>
      <c r="M12" s="250"/>
      <c r="N12" s="250"/>
      <c r="O12" s="250"/>
      <c r="P12" s="250"/>
      <c r="Q12" s="250"/>
    </row>
    <row r="13" spans="1:20" x14ac:dyDescent="0.2">
      <c r="A13" s="250"/>
      <c r="B13" s="445"/>
      <c r="C13" s="108"/>
      <c r="D13" s="34"/>
      <c r="E13" s="255"/>
      <c r="F13" s="250"/>
      <c r="G13" s="250" t="s">
        <v>563</v>
      </c>
      <c r="H13" s="250"/>
      <c r="I13" s="250"/>
      <c r="J13" s="250"/>
      <c r="K13" s="250"/>
      <c r="L13" s="250"/>
      <c r="M13" s="250"/>
      <c r="N13" s="250"/>
      <c r="O13" s="250"/>
      <c r="P13" s="250"/>
      <c r="Q13" s="250"/>
    </row>
    <row r="14" spans="1:20" x14ac:dyDescent="0.2">
      <c r="A14" s="250"/>
      <c r="B14" s="445">
        <v>30</v>
      </c>
      <c r="C14" s="108" t="s">
        <v>239</v>
      </c>
      <c r="D14" s="34">
        <v>0.4</v>
      </c>
      <c r="E14" s="255" t="s">
        <v>78</v>
      </c>
      <c r="F14" s="250"/>
      <c r="G14" s="250" t="s">
        <v>570</v>
      </c>
      <c r="H14" s="250"/>
      <c r="I14" s="250"/>
      <c r="J14" s="250"/>
      <c r="K14" s="250"/>
      <c r="L14" s="250"/>
      <c r="M14" s="250"/>
      <c r="N14" s="250"/>
      <c r="O14" s="250"/>
      <c r="P14" s="250"/>
      <c r="Q14" s="250"/>
    </row>
    <row r="15" spans="1:20" x14ac:dyDescent="0.2">
      <c r="A15" s="250"/>
      <c r="B15" s="445"/>
      <c r="C15" s="108"/>
      <c r="D15" s="34"/>
      <c r="E15" s="255"/>
      <c r="F15" s="250"/>
      <c r="G15" s="250"/>
      <c r="H15" s="250"/>
      <c r="I15" s="250"/>
      <c r="J15" s="250"/>
      <c r="K15" s="250"/>
      <c r="L15" s="250"/>
      <c r="M15" s="250"/>
      <c r="N15" s="250"/>
      <c r="O15" s="250"/>
      <c r="P15" s="250"/>
      <c r="Q15" s="250"/>
    </row>
    <row r="16" spans="1:20" x14ac:dyDescent="0.2">
      <c r="A16" s="250"/>
      <c r="B16" s="445">
        <v>45</v>
      </c>
      <c r="C16" s="108" t="s">
        <v>239</v>
      </c>
      <c r="D16" s="34">
        <v>0.3</v>
      </c>
      <c r="E16" s="255" t="s">
        <v>78</v>
      </c>
      <c r="F16" s="250"/>
      <c r="G16" s="250" t="s">
        <v>265</v>
      </c>
      <c r="H16" s="250"/>
      <c r="I16" s="250"/>
      <c r="J16" s="250"/>
      <c r="K16" s="250"/>
      <c r="L16" s="250"/>
      <c r="M16" s="250"/>
      <c r="N16" s="250"/>
      <c r="O16" s="250"/>
      <c r="P16" s="250"/>
      <c r="Q16" s="250"/>
    </row>
    <row r="17" spans="1:17" x14ac:dyDescent="0.2">
      <c r="A17" s="250"/>
      <c r="B17" s="445"/>
      <c r="C17" s="108"/>
      <c r="D17" s="34"/>
      <c r="E17" s="255"/>
      <c r="F17" s="250"/>
      <c r="G17" s="250" t="s">
        <v>252</v>
      </c>
      <c r="H17" s="250"/>
      <c r="I17" s="250"/>
      <c r="J17" s="250"/>
      <c r="K17" s="250"/>
      <c r="L17" s="250"/>
      <c r="M17" s="250"/>
      <c r="N17" s="250"/>
      <c r="O17" s="250"/>
      <c r="P17" s="250"/>
      <c r="Q17" s="250"/>
    </row>
    <row r="18" spans="1:17" x14ac:dyDescent="0.2">
      <c r="A18" s="250"/>
      <c r="B18" s="445">
        <v>90</v>
      </c>
      <c r="C18" s="108" t="s">
        <v>239</v>
      </c>
      <c r="D18" s="449">
        <v>0</v>
      </c>
      <c r="E18" s="255" t="s">
        <v>78</v>
      </c>
      <c r="F18" s="250"/>
      <c r="G18" s="250"/>
      <c r="H18" s="250"/>
      <c r="I18" s="250"/>
      <c r="J18" s="250"/>
      <c r="K18" s="250"/>
      <c r="L18" s="250"/>
      <c r="M18" s="250"/>
      <c r="N18" s="250"/>
      <c r="O18" s="250"/>
      <c r="P18" s="250"/>
      <c r="Q18" s="250"/>
    </row>
    <row r="19" spans="1:17" x14ac:dyDescent="0.2">
      <c r="A19" s="250"/>
      <c r="B19" s="445"/>
      <c r="C19" s="108"/>
      <c r="D19" s="108"/>
      <c r="E19" s="255"/>
      <c r="F19" s="250"/>
      <c r="G19" s="250" t="s">
        <v>249</v>
      </c>
      <c r="H19" s="250"/>
      <c r="I19" s="250"/>
      <c r="J19" s="250"/>
      <c r="K19" s="250"/>
      <c r="L19" s="250"/>
      <c r="M19" s="250"/>
      <c r="N19" s="250"/>
      <c r="O19" s="250"/>
      <c r="P19" s="250"/>
      <c r="Q19" s="250"/>
    </row>
    <row r="20" spans="1:17" x14ac:dyDescent="0.2">
      <c r="A20" s="250"/>
      <c r="B20" s="445"/>
      <c r="C20" s="108"/>
      <c r="D20" s="108"/>
      <c r="E20" s="255"/>
      <c r="F20" s="250"/>
      <c r="G20" s="250" t="s">
        <v>250</v>
      </c>
      <c r="H20" s="250"/>
      <c r="I20" s="250"/>
      <c r="J20" s="250"/>
      <c r="K20" s="250"/>
      <c r="L20" s="250"/>
      <c r="M20" s="250"/>
      <c r="N20" s="250"/>
      <c r="O20" s="250"/>
      <c r="P20" s="250"/>
      <c r="Q20" s="250"/>
    </row>
    <row r="21" spans="1:17" x14ac:dyDescent="0.2">
      <c r="A21" s="250"/>
      <c r="B21" s="445" t="s">
        <v>246</v>
      </c>
      <c r="C21" s="108"/>
      <c r="D21" s="450">
        <f>'Orbit &amp; Frequency'!B25</f>
        <v>10</v>
      </c>
      <c r="E21" s="255" t="s">
        <v>247</v>
      </c>
      <c r="F21" s="250"/>
      <c r="G21" s="250"/>
      <c r="H21" s="250"/>
      <c r="I21" s="250"/>
      <c r="J21" s="250"/>
      <c r="K21" s="250"/>
      <c r="L21" s="250"/>
      <c r="M21" s="250"/>
      <c r="N21" s="250"/>
      <c r="O21" s="250"/>
      <c r="P21" s="250"/>
      <c r="Q21" s="250"/>
    </row>
    <row r="22" spans="1:17" x14ac:dyDescent="0.2">
      <c r="A22" s="250"/>
      <c r="B22" s="445"/>
      <c r="C22" s="108"/>
      <c r="D22" s="108"/>
      <c r="E22" s="255"/>
      <c r="F22" s="250"/>
      <c r="G22" s="250" t="s">
        <v>398</v>
      </c>
      <c r="H22" s="250"/>
      <c r="I22" s="250"/>
      <c r="J22" s="250"/>
      <c r="K22" s="250"/>
      <c r="L22" s="250"/>
      <c r="M22" s="250"/>
      <c r="N22" s="250"/>
      <c r="O22" s="250"/>
      <c r="P22" s="250"/>
      <c r="Q22" s="250"/>
    </row>
    <row r="23" spans="1:17" x14ac:dyDescent="0.2">
      <c r="A23" s="250"/>
      <c r="B23" s="445" t="s">
        <v>248</v>
      </c>
      <c r="C23" s="108"/>
      <c r="D23" s="140">
        <f>IF(D21&lt;B8,4.6,INDEX(D6:D18,MATCH(D21,B6:B18,1),1))</f>
        <v>1.1000000000000001</v>
      </c>
      <c r="E23" s="255" t="s">
        <v>78</v>
      </c>
      <c r="F23" s="250"/>
      <c r="G23" s="250" t="s">
        <v>411</v>
      </c>
      <c r="H23" s="250"/>
      <c r="I23" s="250"/>
      <c r="J23" s="250"/>
      <c r="K23" s="250"/>
      <c r="L23" s="250"/>
      <c r="M23" s="250"/>
      <c r="N23" s="250"/>
      <c r="O23" s="250"/>
      <c r="P23" s="250"/>
      <c r="Q23" s="250"/>
    </row>
    <row r="24" spans="1:17" x14ac:dyDescent="0.2">
      <c r="A24" s="250"/>
      <c r="B24" s="125"/>
      <c r="C24" s="126"/>
      <c r="D24" s="126"/>
      <c r="E24" s="127"/>
      <c r="F24" s="250"/>
      <c r="G24" s="96"/>
      <c r="H24" s="96"/>
      <c r="I24" s="96"/>
      <c r="J24" s="96"/>
      <c r="K24" s="96"/>
      <c r="L24" s="96"/>
      <c r="M24" s="96"/>
      <c r="N24" s="96"/>
      <c r="O24" s="96"/>
      <c r="P24" s="96"/>
      <c r="Q24" s="250"/>
    </row>
    <row r="25" spans="1:17" x14ac:dyDescent="0.2">
      <c r="A25" s="250"/>
      <c r="B25" s="250"/>
      <c r="C25" s="250"/>
      <c r="D25" s="250"/>
      <c r="E25" s="250"/>
      <c r="F25" s="250"/>
      <c r="G25" s="250"/>
      <c r="H25" s="250"/>
      <c r="I25" s="250"/>
      <c r="J25" s="250"/>
      <c r="K25" s="250"/>
      <c r="L25" s="250"/>
      <c r="M25" s="250"/>
      <c r="N25" s="250"/>
      <c r="O25" s="250"/>
      <c r="P25" s="250"/>
      <c r="Q25" s="250"/>
    </row>
    <row r="26" spans="1:17" x14ac:dyDescent="0.2">
      <c r="A26" s="250"/>
      <c r="B26" s="250"/>
      <c r="C26" s="250"/>
      <c r="D26" s="250"/>
      <c r="E26" s="250"/>
      <c r="F26" s="250"/>
      <c r="G26" s="250"/>
      <c r="H26" s="434" t="s">
        <v>568</v>
      </c>
      <c r="I26" s="250"/>
      <c r="J26" s="250"/>
      <c r="K26" s="250"/>
      <c r="L26" s="250"/>
      <c r="M26" s="250"/>
      <c r="N26" s="250"/>
      <c r="O26" s="250"/>
      <c r="P26" s="250"/>
      <c r="Q26" s="250"/>
    </row>
    <row r="27" spans="1:17" x14ac:dyDescent="0.2">
      <c r="A27" s="250"/>
      <c r="B27" s="250"/>
      <c r="C27" s="250"/>
      <c r="D27" s="250" t="s">
        <v>37</v>
      </c>
      <c r="E27" s="250"/>
      <c r="F27" s="250"/>
      <c r="G27" s="250"/>
      <c r="H27" s="250"/>
      <c r="I27" s="250"/>
      <c r="J27" s="250"/>
      <c r="K27" s="250"/>
      <c r="L27" s="250"/>
      <c r="M27" s="250"/>
      <c r="N27" s="250"/>
      <c r="O27" s="250"/>
      <c r="P27" s="250"/>
      <c r="Q27" s="250"/>
    </row>
    <row r="28" spans="1:17" x14ac:dyDescent="0.2">
      <c r="A28" s="250"/>
      <c r="B28" s="451" t="s">
        <v>251</v>
      </c>
      <c r="C28" s="454"/>
      <c r="D28" s="454"/>
      <c r="E28" s="453"/>
      <c r="F28" s="250"/>
      <c r="G28" s="250" t="s">
        <v>378</v>
      </c>
      <c r="H28" s="250"/>
      <c r="I28" s="250"/>
      <c r="J28" s="250"/>
      <c r="K28" s="250"/>
      <c r="L28" s="250"/>
      <c r="M28" s="250"/>
      <c r="N28" s="250"/>
      <c r="O28" s="250"/>
      <c r="P28" s="250"/>
      <c r="Q28" s="250"/>
    </row>
    <row r="29" spans="1:17" x14ac:dyDescent="0.2">
      <c r="A29" s="250"/>
      <c r="B29" s="700" t="s">
        <v>79</v>
      </c>
      <c r="C29" s="108" t="s">
        <v>566</v>
      </c>
      <c r="D29" s="108"/>
      <c r="E29" s="697">
        <f>'Uplink Budget'!B17</f>
        <v>0.4</v>
      </c>
      <c r="F29" s="250"/>
      <c r="G29" s="251" t="s">
        <v>253</v>
      </c>
      <c r="H29" s="250"/>
      <c r="I29" s="250"/>
      <c r="J29" s="250"/>
      <c r="K29" s="250"/>
      <c r="L29" s="250"/>
      <c r="M29" s="250"/>
      <c r="N29" s="250"/>
      <c r="O29" s="250"/>
      <c r="P29" s="250"/>
      <c r="Q29" s="250"/>
    </row>
    <row r="30" spans="1:17" x14ac:dyDescent="0.2">
      <c r="A30" s="93"/>
      <c r="B30" s="699" t="s">
        <v>74</v>
      </c>
      <c r="C30" s="695" t="s">
        <v>40</v>
      </c>
      <c r="D30" s="695" t="s">
        <v>238</v>
      </c>
      <c r="E30" s="696" t="s">
        <v>40</v>
      </c>
      <c r="F30" s="250"/>
      <c r="G30" s="250" t="s">
        <v>254</v>
      </c>
      <c r="H30" s="250"/>
      <c r="I30" s="250"/>
      <c r="J30" s="250"/>
      <c r="K30" s="250"/>
      <c r="L30" s="250"/>
      <c r="M30" s="250"/>
      <c r="N30" s="250"/>
      <c r="O30" s="250"/>
      <c r="P30" s="250"/>
      <c r="Q30" s="250"/>
    </row>
    <row r="31" spans="1:17" x14ac:dyDescent="0.2">
      <c r="A31" s="250"/>
      <c r="B31" s="445"/>
      <c r="C31" s="108"/>
      <c r="D31" s="108"/>
      <c r="E31" s="255"/>
      <c r="F31" s="250"/>
      <c r="G31" s="250" t="s">
        <v>257</v>
      </c>
      <c r="H31" s="250"/>
      <c r="I31" s="250"/>
      <c r="J31" s="250"/>
      <c r="K31" s="250"/>
      <c r="L31" s="250"/>
      <c r="M31" s="250"/>
      <c r="N31" s="250"/>
      <c r="O31" s="250"/>
      <c r="P31" s="250"/>
      <c r="Q31" s="250"/>
    </row>
    <row r="32" spans="1:17" x14ac:dyDescent="0.2">
      <c r="A32" s="250"/>
      <c r="B32" s="130">
        <v>146</v>
      </c>
      <c r="C32" s="131" t="s">
        <v>75</v>
      </c>
      <c r="D32" s="444">
        <v>0.7</v>
      </c>
      <c r="E32" s="132" t="s">
        <v>78</v>
      </c>
      <c r="F32" s="250"/>
      <c r="G32" s="250" t="s">
        <v>258</v>
      </c>
      <c r="H32" s="250"/>
      <c r="I32" s="250"/>
      <c r="J32" s="250"/>
      <c r="K32" s="250"/>
      <c r="L32" s="250"/>
      <c r="M32" s="250"/>
      <c r="N32" s="250"/>
      <c r="O32" s="250"/>
      <c r="P32" s="250"/>
      <c r="Q32" s="250"/>
    </row>
    <row r="33" spans="1:17" x14ac:dyDescent="0.2">
      <c r="A33" s="250"/>
      <c r="B33" s="130">
        <v>438</v>
      </c>
      <c r="C33" s="131" t="s">
        <v>75</v>
      </c>
      <c r="D33" s="444">
        <v>0.4</v>
      </c>
      <c r="E33" s="132" t="s">
        <v>78</v>
      </c>
      <c r="F33" s="250"/>
      <c r="G33" s="250"/>
      <c r="H33" s="250"/>
      <c r="I33" s="250"/>
      <c r="J33" s="250"/>
      <c r="K33" s="250"/>
      <c r="L33" s="250"/>
      <c r="M33" s="250"/>
      <c r="N33" s="250"/>
      <c r="O33" s="250"/>
      <c r="P33" s="250"/>
      <c r="Q33" s="250"/>
    </row>
    <row r="34" spans="1:17" x14ac:dyDescent="0.2">
      <c r="A34" s="250"/>
      <c r="B34" s="130">
        <v>2410</v>
      </c>
      <c r="C34" s="131" t="s">
        <v>75</v>
      </c>
      <c r="D34" s="444">
        <v>0.1</v>
      </c>
      <c r="E34" s="132" t="s">
        <v>78</v>
      </c>
      <c r="F34" s="250"/>
      <c r="G34" s="250" t="s">
        <v>459</v>
      </c>
      <c r="H34" s="250"/>
      <c r="I34" s="250"/>
      <c r="J34" s="250"/>
      <c r="K34" s="250"/>
      <c r="L34" s="250"/>
      <c r="M34" s="250"/>
      <c r="N34" s="250"/>
      <c r="O34" s="250"/>
      <c r="P34" s="250"/>
      <c r="Q34" s="250"/>
    </row>
    <row r="35" spans="1:17" x14ac:dyDescent="0.2">
      <c r="A35" s="250"/>
      <c r="B35" s="456">
        <f>'Orbit &amp; Frequency'!C34</f>
        <v>145.80000000000001</v>
      </c>
      <c r="C35" s="457" t="s">
        <v>75</v>
      </c>
      <c r="D35" s="446">
        <v>0.7</v>
      </c>
      <c r="E35" s="132" t="s">
        <v>78</v>
      </c>
      <c r="F35" s="250"/>
      <c r="G35" s="250" t="s">
        <v>460</v>
      </c>
      <c r="H35" s="250"/>
      <c r="I35" s="250"/>
      <c r="J35" s="250"/>
      <c r="K35" s="250"/>
      <c r="L35" s="250"/>
      <c r="M35" s="250"/>
      <c r="N35" s="250"/>
      <c r="O35" s="250"/>
      <c r="P35" s="250"/>
      <c r="Q35" s="250"/>
    </row>
    <row r="36" spans="1:17" x14ac:dyDescent="0.2">
      <c r="A36" s="250"/>
      <c r="B36" s="125"/>
      <c r="C36" s="126"/>
      <c r="D36" s="126"/>
      <c r="E36" s="127"/>
      <c r="F36" s="250"/>
      <c r="G36" s="250" t="s">
        <v>259</v>
      </c>
      <c r="H36" s="250"/>
      <c r="I36" s="250"/>
      <c r="J36" s="250"/>
      <c r="K36" s="250"/>
      <c r="L36" s="250"/>
      <c r="M36" s="250"/>
      <c r="N36" s="250"/>
      <c r="O36" s="250"/>
      <c r="P36" s="250"/>
      <c r="Q36" s="250"/>
    </row>
    <row r="37" spans="1:17" x14ac:dyDescent="0.2">
      <c r="A37" s="250"/>
      <c r="B37" s="250"/>
      <c r="C37" s="250"/>
      <c r="D37" s="250"/>
      <c r="E37" s="250"/>
      <c r="F37" s="250"/>
      <c r="G37" s="250" t="s">
        <v>379</v>
      </c>
      <c r="H37" s="250"/>
      <c r="I37" s="250"/>
      <c r="J37" s="250"/>
      <c r="K37" s="250"/>
      <c r="L37" s="250"/>
      <c r="M37" s="250"/>
      <c r="N37" s="250"/>
      <c r="O37" s="250"/>
      <c r="P37" s="250"/>
      <c r="Q37" s="250"/>
    </row>
    <row r="38" spans="1:17" x14ac:dyDescent="0.2">
      <c r="A38" s="250"/>
      <c r="B38" s="263" t="s">
        <v>571</v>
      </c>
      <c r="C38" s="250"/>
      <c r="D38" s="250"/>
      <c r="E38" s="250"/>
      <c r="F38" s="250"/>
      <c r="G38" s="250" t="s">
        <v>260</v>
      </c>
      <c r="H38" s="250"/>
      <c r="I38" s="250"/>
      <c r="J38" s="250"/>
      <c r="K38" s="250"/>
      <c r="L38" s="250"/>
      <c r="M38" s="250"/>
      <c r="N38" s="250"/>
      <c r="O38" s="250"/>
      <c r="P38" s="250"/>
      <c r="Q38" s="250"/>
    </row>
    <row r="39" spans="1:17" x14ac:dyDescent="0.2">
      <c r="A39" s="250"/>
      <c r="B39" s="250"/>
      <c r="C39" s="250"/>
      <c r="D39" s="250"/>
      <c r="E39" s="250"/>
      <c r="F39" s="250"/>
      <c r="G39" s="250"/>
      <c r="H39" s="250"/>
      <c r="I39" s="250"/>
      <c r="J39" s="250"/>
      <c r="K39" s="250"/>
      <c r="L39" s="250"/>
      <c r="M39" s="250"/>
      <c r="N39" s="250"/>
      <c r="O39" s="250"/>
      <c r="P39" s="250"/>
      <c r="Q39" s="250"/>
    </row>
    <row r="40" spans="1:17" x14ac:dyDescent="0.2">
      <c r="A40" s="250"/>
      <c r="B40" s="250"/>
      <c r="C40" s="250"/>
      <c r="D40" s="250"/>
      <c r="E40" s="250"/>
      <c r="F40" s="250"/>
      <c r="G40" s="250" t="s">
        <v>524</v>
      </c>
      <c r="H40" s="250"/>
      <c r="I40" s="250"/>
      <c r="J40" s="250"/>
      <c r="K40" s="250"/>
      <c r="L40" s="250"/>
      <c r="M40" s="250"/>
      <c r="N40" s="250"/>
      <c r="O40" s="250"/>
      <c r="P40" s="250"/>
      <c r="Q40" s="250"/>
    </row>
    <row r="41" spans="1:17" x14ac:dyDescent="0.2">
      <c r="A41" s="250"/>
      <c r="B41" s="451" t="s">
        <v>251</v>
      </c>
      <c r="C41" s="454"/>
      <c r="D41" s="454"/>
      <c r="E41" s="453"/>
      <c r="F41" s="250"/>
      <c r="G41" s="250" t="s">
        <v>262</v>
      </c>
      <c r="H41" s="250"/>
      <c r="I41" s="250"/>
      <c r="J41" s="250"/>
      <c r="K41" s="250"/>
      <c r="L41" s="250"/>
      <c r="M41" s="250"/>
      <c r="N41" s="250"/>
      <c r="O41" s="250"/>
      <c r="P41" s="250"/>
      <c r="Q41" s="250"/>
    </row>
    <row r="42" spans="1:17" x14ac:dyDescent="0.2">
      <c r="A42" s="250"/>
      <c r="B42" s="443" t="s">
        <v>80</v>
      </c>
      <c r="C42" s="108" t="s">
        <v>564</v>
      </c>
      <c r="D42" s="108"/>
      <c r="E42" s="455">
        <f>'Downlink Budget'!B17</f>
        <v>0.4</v>
      </c>
      <c r="F42" s="250"/>
      <c r="G42" s="250" t="s">
        <v>261</v>
      </c>
      <c r="H42" s="250"/>
      <c r="I42" s="250"/>
      <c r="J42" s="250"/>
      <c r="K42" s="250"/>
      <c r="L42" s="250"/>
      <c r="M42" s="250"/>
      <c r="N42" s="250"/>
      <c r="O42" s="250"/>
      <c r="P42" s="250"/>
      <c r="Q42" s="250"/>
    </row>
    <row r="43" spans="1:17" x14ac:dyDescent="0.2">
      <c r="A43" s="250"/>
      <c r="B43" s="141" t="s">
        <v>74</v>
      </c>
      <c r="C43" s="138" t="s">
        <v>40</v>
      </c>
      <c r="D43" s="138" t="s">
        <v>238</v>
      </c>
      <c r="E43" s="139" t="s">
        <v>40</v>
      </c>
      <c r="F43" s="250"/>
      <c r="G43" s="250" t="s">
        <v>263</v>
      </c>
      <c r="H43" s="250"/>
      <c r="I43" s="250"/>
      <c r="J43" s="250"/>
      <c r="K43" s="250"/>
      <c r="L43" s="250"/>
      <c r="M43" s="250"/>
      <c r="N43" s="250"/>
      <c r="O43" s="250"/>
      <c r="P43" s="250"/>
      <c r="Q43" s="250"/>
    </row>
    <row r="44" spans="1:17" x14ac:dyDescent="0.2">
      <c r="A44" s="250"/>
      <c r="B44" s="445"/>
      <c r="C44" s="108"/>
      <c r="D44" s="108"/>
      <c r="E44" s="255"/>
      <c r="F44" s="250"/>
      <c r="G44" s="250"/>
      <c r="H44" s="250"/>
      <c r="I44" s="250"/>
      <c r="J44" s="250"/>
      <c r="K44" s="250"/>
      <c r="L44" s="250"/>
      <c r="M44" s="250"/>
      <c r="N44" s="250"/>
      <c r="O44" s="250"/>
      <c r="P44" s="250"/>
      <c r="Q44" s="250"/>
    </row>
    <row r="45" spans="1:17" x14ac:dyDescent="0.2">
      <c r="A45" s="250"/>
      <c r="B45" s="130">
        <v>146</v>
      </c>
      <c r="C45" s="131" t="s">
        <v>75</v>
      </c>
      <c r="D45" s="447">
        <v>0.7</v>
      </c>
      <c r="E45" s="132" t="s">
        <v>78</v>
      </c>
      <c r="F45" s="250"/>
      <c r="G45" s="250" t="s">
        <v>562</v>
      </c>
      <c r="H45" s="250"/>
      <c r="I45" s="250"/>
      <c r="J45" s="250"/>
      <c r="K45" s="250"/>
      <c r="L45" s="250"/>
      <c r="M45" s="250"/>
      <c r="N45" s="250"/>
      <c r="O45" s="250"/>
      <c r="P45" s="250"/>
      <c r="Q45" s="250"/>
    </row>
    <row r="46" spans="1:17" x14ac:dyDescent="0.2">
      <c r="A46" s="250"/>
      <c r="B46" s="130">
        <v>438</v>
      </c>
      <c r="C46" s="131" t="s">
        <v>75</v>
      </c>
      <c r="D46" s="447">
        <v>0.4</v>
      </c>
      <c r="E46" s="132" t="s">
        <v>78</v>
      </c>
      <c r="F46" s="250"/>
      <c r="G46" s="250" t="s">
        <v>909</v>
      </c>
      <c r="H46" s="250"/>
      <c r="I46" s="250"/>
      <c r="J46" s="250"/>
      <c r="K46" s="250"/>
      <c r="L46" s="250"/>
      <c r="M46" s="250"/>
      <c r="N46" s="250"/>
      <c r="O46" s="250"/>
      <c r="P46" s="250"/>
      <c r="Q46" s="250"/>
    </row>
    <row r="47" spans="1:17" x14ac:dyDescent="0.2">
      <c r="A47" s="250"/>
      <c r="B47" s="130">
        <v>2410</v>
      </c>
      <c r="C47" s="131" t="s">
        <v>75</v>
      </c>
      <c r="D47" s="447">
        <v>0.1</v>
      </c>
      <c r="E47" s="132" t="s">
        <v>78</v>
      </c>
      <c r="F47" s="250"/>
      <c r="G47" s="250" t="s">
        <v>565</v>
      </c>
      <c r="H47" s="250"/>
      <c r="I47" s="250"/>
      <c r="J47" s="250"/>
      <c r="K47" s="250"/>
      <c r="L47" s="250"/>
      <c r="M47" s="250"/>
      <c r="N47" s="250"/>
      <c r="O47" s="250"/>
      <c r="P47" s="250"/>
      <c r="Q47" s="250"/>
    </row>
    <row r="48" spans="1:17" x14ac:dyDescent="0.2">
      <c r="A48" s="250"/>
      <c r="B48" s="456">
        <f>'Orbit &amp; Frequency'!C40</f>
        <v>1269.9000000000001</v>
      </c>
      <c r="C48" s="457" t="s">
        <v>75</v>
      </c>
      <c r="D48" s="448">
        <v>0.2</v>
      </c>
      <c r="E48" s="132" t="s">
        <v>78</v>
      </c>
      <c r="F48" s="250"/>
      <c r="G48" s="250" t="s">
        <v>925</v>
      </c>
      <c r="H48" s="250"/>
      <c r="I48" s="250"/>
      <c r="J48" s="250"/>
      <c r="K48" s="250"/>
      <c r="L48" s="250"/>
      <c r="M48" s="250"/>
      <c r="N48" s="250"/>
      <c r="O48" s="250"/>
      <c r="P48" s="250"/>
      <c r="Q48" s="250"/>
    </row>
    <row r="49" spans="1:18" x14ac:dyDescent="0.2">
      <c r="A49" s="250"/>
      <c r="B49" s="130"/>
      <c r="C49" s="131"/>
      <c r="D49" s="131"/>
      <c r="E49" s="132"/>
      <c r="F49" s="250"/>
      <c r="G49" s="250"/>
      <c r="H49" s="250" t="s">
        <v>37</v>
      </c>
      <c r="I49" s="250"/>
      <c r="J49" s="250"/>
      <c r="K49" s="250"/>
      <c r="L49" s="250"/>
      <c r="M49" s="250"/>
      <c r="N49" s="250"/>
      <c r="O49" s="250"/>
      <c r="P49" s="250"/>
      <c r="Q49" s="250"/>
    </row>
    <row r="50" spans="1:18" x14ac:dyDescent="0.2">
      <c r="A50" s="250"/>
      <c r="B50" s="250"/>
      <c r="C50" s="250"/>
      <c r="D50" s="250"/>
      <c r="E50" s="250"/>
      <c r="F50" s="250"/>
      <c r="G50" s="250"/>
      <c r="H50" s="263"/>
      <c r="I50" s="250"/>
      <c r="J50" s="250"/>
      <c r="K50" s="250"/>
      <c r="L50" s="250"/>
      <c r="M50" s="250"/>
      <c r="N50" s="250"/>
      <c r="O50" s="250"/>
      <c r="P50" s="250"/>
      <c r="Q50" s="250"/>
    </row>
    <row r="51" spans="1:18" x14ac:dyDescent="0.2">
      <c r="A51" s="250"/>
      <c r="B51" s="263" t="s">
        <v>571</v>
      </c>
      <c r="C51" s="250"/>
      <c r="D51" s="250"/>
      <c r="E51" s="250"/>
      <c r="F51" s="250"/>
      <c r="G51" s="250" t="s">
        <v>865</v>
      </c>
      <c r="H51" s="250"/>
      <c r="I51" s="250"/>
      <c r="J51" s="250"/>
      <c r="K51" s="250"/>
      <c r="L51" s="250"/>
      <c r="M51" s="250"/>
      <c r="N51" s="250"/>
      <c r="O51" s="250"/>
      <c r="P51" s="250"/>
      <c r="Q51" s="250"/>
    </row>
    <row r="52" spans="1:18" x14ac:dyDescent="0.2">
      <c r="A52" s="250"/>
      <c r="B52" s="250" t="s">
        <v>866</v>
      </c>
      <c r="C52" s="250"/>
      <c r="D52" s="250"/>
      <c r="E52" s="250"/>
      <c r="F52" s="250"/>
      <c r="G52" s="250"/>
      <c r="H52" s="250"/>
      <c r="I52" s="250"/>
      <c r="J52" s="250"/>
      <c r="K52" s="250"/>
      <c r="L52" s="250"/>
      <c r="M52" s="250"/>
      <c r="N52" s="250"/>
      <c r="O52" s="250"/>
      <c r="P52" s="250"/>
      <c r="Q52" s="250"/>
      <c r="R52" s="250"/>
    </row>
    <row r="53" spans="1:18" x14ac:dyDescent="0.2">
      <c r="A53" s="250"/>
      <c r="B53" s="250" t="s">
        <v>867</v>
      </c>
      <c r="C53" s="250"/>
      <c r="D53" s="250"/>
      <c r="E53" s="250"/>
      <c r="F53" s="250"/>
      <c r="G53" s="250"/>
      <c r="H53" s="250"/>
      <c r="I53" s="250"/>
      <c r="J53" s="250"/>
      <c r="K53" s="250"/>
      <c r="L53" s="250"/>
      <c r="M53" s="250"/>
      <c r="N53" s="250"/>
      <c r="O53" s="250"/>
      <c r="P53" s="250"/>
      <c r="Q53" s="250"/>
      <c r="R53" s="250"/>
    </row>
    <row r="54" spans="1:18" ht="15.75" x14ac:dyDescent="0.25">
      <c r="A54" s="250"/>
      <c r="B54" s="250" t="s">
        <v>868</v>
      </c>
      <c r="C54" s="250"/>
      <c r="D54" s="250"/>
      <c r="E54" s="250"/>
      <c r="F54" s="250"/>
      <c r="G54" s="798"/>
      <c r="H54" s="799"/>
      <c r="I54" s="799"/>
      <c r="J54" s="799"/>
      <c r="K54" s="799"/>
      <c r="L54" s="799"/>
      <c r="M54" s="250"/>
      <c r="N54" s="250"/>
      <c r="O54" s="250"/>
      <c r="P54" s="250"/>
      <c r="Q54" s="250"/>
      <c r="R54" s="250"/>
    </row>
    <row r="55" spans="1:18" ht="15.75" x14ac:dyDescent="0.25">
      <c r="A55" s="250"/>
      <c r="B55" s="250" t="s">
        <v>869</v>
      </c>
      <c r="C55" s="250"/>
      <c r="D55" s="250"/>
      <c r="E55" s="250"/>
      <c r="F55" s="250"/>
      <c r="G55" s="800"/>
      <c r="H55" s="799"/>
      <c r="I55" s="799"/>
      <c r="J55" s="806"/>
      <c r="K55" s="806"/>
      <c r="L55" s="806"/>
      <c r="M55" s="250"/>
      <c r="N55" s="250"/>
      <c r="O55" s="250"/>
      <c r="P55" s="250"/>
      <c r="Q55" s="250"/>
      <c r="R55" s="250"/>
    </row>
    <row r="56" spans="1:18" x14ac:dyDescent="0.2">
      <c r="A56" s="250"/>
      <c r="B56" s="250"/>
      <c r="C56" s="250"/>
      <c r="D56" s="250"/>
      <c r="E56" s="250"/>
      <c r="F56" s="250"/>
      <c r="G56" s="799"/>
      <c r="H56" s="801"/>
      <c r="I56" s="799"/>
      <c r="J56" s="799"/>
      <c r="K56" s="799"/>
      <c r="L56" s="799"/>
      <c r="M56" s="250"/>
      <c r="N56" s="250"/>
      <c r="O56" s="250"/>
      <c r="P56" s="250"/>
      <c r="Q56" s="250"/>
      <c r="R56" s="250"/>
    </row>
    <row r="57" spans="1:18" x14ac:dyDescent="0.2">
      <c r="A57" s="250"/>
      <c r="B57" s="250"/>
      <c r="C57" s="250"/>
      <c r="D57" s="250"/>
      <c r="E57" s="250"/>
      <c r="F57" s="250"/>
      <c r="G57" s="799"/>
      <c r="H57" s="799"/>
      <c r="I57" s="799"/>
      <c r="J57" s="799"/>
      <c r="K57" s="799"/>
      <c r="L57" s="799"/>
      <c r="M57" s="250"/>
      <c r="N57" s="250"/>
      <c r="O57" s="250"/>
      <c r="P57" s="250"/>
      <c r="Q57" s="250"/>
      <c r="R57" s="250"/>
    </row>
    <row r="58" spans="1:18" ht="15.75" x14ac:dyDescent="0.25">
      <c r="A58" s="250"/>
      <c r="B58" s="250"/>
      <c r="C58" s="250"/>
      <c r="D58" s="250"/>
      <c r="E58" s="250"/>
      <c r="F58" s="250"/>
      <c r="G58" s="800"/>
      <c r="H58" s="799"/>
      <c r="I58" s="799"/>
      <c r="J58" s="806"/>
      <c r="K58" s="806"/>
      <c r="L58" s="806"/>
      <c r="M58" s="250"/>
      <c r="N58" s="250"/>
      <c r="O58" s="250"/>
      <c r="P58" s="250"/>
      <c r="Q58" s="250"/>
      <c r="R58" s="250"/>
    </row>
    <row r="59" spans="1:18" x14ac:dyDescent="0.2">
      <c r="A59" s="250"/>
      <c r="B59" s="250"/>
      <c r="C59" s="250"/>
      <c r="D59" s="250"/>
      <c r="E59" s="250"/>
      <c r="F59" s="250"/>
      <c r="G59" s="799"/>
      <c r="H59" s="801"/>
      <c r="I59" s="799"/>
      <c r="J59" s="799"/>
      <c r="K59" s="799"/>
      <c r="L59" s="799"/>
      <c r="M59" s="250"/>
      <c r="N59" s="250"/>
      <c r="O59" s="250"/>
      <c r="P59" s="250"/>
      <c r="Q59" s="250"/>
      <c r="R59" s="250"/>
    </row>
    <row r="60" spans="1:18" x14ac:dyDescent="0.2">
      <c r="A60" s="250"/>
      <c r="B60" s="250"/>
      <c r="C60" s="250"/>
      <c r="D60" s="250"/>
      <c r="E60" s="250"/>
      <c r="F60" s="250"/>
      <c r="G60" s="250"/>
      <c r="H60" s="250"/>
      <c r="I60" s="250"/>
      <c r="J60" s="250"/>
      <c r="K60" s="250"/>
      <c r="L60" s="250"/>
      <c r="M60" s="250"/>
      <c r="N60" s="250"/>
      <c r="O60" s="250"/>
      <c r="P60" s="250"/>
      <c r="Q60" s="250"/>
      <c r="R60" s="250"/>
    </row>
    <row r="61" spans="1:18" x14ac:dyDescent="0.2">
      <c r="A61" s="250"/>
      <c r="B61" s="250"/>
      <c r="C61" s="250"/>
      <c r="D61" s="250"/>
      <c r="E61" s="250"/>
      <c r="F61" s="250"/>
      <c r="G61" s="250"/>
      <c r="H61" s="250"/>
      <c r="I61" s="250"/>
      <c r="J61" s="250"/>
      <c r="K61" s="250"/>
      <c r="L61" s="250"/>
      <c r="M61" s="250"/>
      <c r="N61" s="250"/>
      <c r="O61" s="250"/>
      <c r="P61" s="250"/>
      <c r="Q61" s="250"/>
      <c r="R61" s="250"/>
    </row>
    <row r="62" spans="1:18" x14ac:dyDescent="0.2">
      <c r="A62" s="250"/>
      <c r="B62" s="250"/>
      <c r="C62" s="250"/>
      <c r="D62" s="250"/>
      <c r="E62" s="250"/>
      <c r="F62" s="250"/>
      <c r="G62" s="250"/>
      <c r="H62" s="250"/>
      <c r="I62" s="250"/>
      <c r="J62" s="250"/>
      <c r="K62" s="250"/>
      <c r="L62" s="250"/>
      <c r="M62" s="250"/>
      <c r="N62" s="250"/>
      <c r="O62" s="250"/>
      <c r="P62" s="250"/>
      <c r="Q62" s="250"/>
      <c r="R62" s="250"/>
    </row>
    <row r="63" spans="1:18" x14ac:dyDescent="0.2">
      <c r="A63" s="250"/>
      <c r="B63" s="250"/>
      <c r="C63" s="250"/>
      <c r="D63" s="250"/>
      <c r="E63" s="250"/>
      <c r="F63" s="250"/>
      <c r="G63" s="250"/>
      <c r="H63" s="250"/>
      <c r="I63" s="250"/>
      <c r="J63" s="250"/>
      <c r="K63" s="250"/>
      <c r="L63" s="250"/>
      <c r="M63" s="250"/>
      <c r="N63" s="250"/>
      <c r="O63" s="250"/>
      <c r="P63" s="250"/>
      <c r="Q63" s="250"/>
      <c r="R63" s="250"/>
    </row>
    <row r="64" spans="1:18" x14ac:dyDescent="0.2">
      <c r="A64" s="250"/>
      <c r="B64" s="250"/>
      <c r="C64" s="250"/>
      <c r="D64" s="250"/>
      <c r="E64" s="250"/>
      <c r="F64" s="250"/>
      <c r="G64" s="250"/>
      <c r="H64" s="250"/>
      <c r="I64" s="250"/>
      <c r="J64" s="250"/>
      <c r="K64" s="250"/>
      <c r="L64" s="250"/>
      <c r="M64" s="250"/>
      <c r="N64" s="250"/>
      <c r="O64" s="250"/>
      <c r="P64" s="250"/>
      <c r="Q64" s="250"/>
      <c r="R64" s="250"/>
    </row>
    <row r="65" spans="1:18" x14ac:dyDescent="0.2">
      <c r="A65" s="250"/>
      <c r="B65" s="250"/>
      <c r="C65" s="250"/>
      <c r="D65" s="250"/>
      <c r="E65" s="250"/>
      <c r="F65" s="250"/>
      <c r="G65" s="250"/>
      <c r="H65" s="250"/>
      <c r="I65" s="250"/>
      <c r="J65" s="250"/>
      <c r="K65" s="250"/>
      <c r="L65" s="250"/>
      <c r="M65" s="250"/>
      <c r="N65" s="250"/>
      <c r="O65" s="250"/>
      <c r="P65" s="250"/>
      <c r="Q65" s="250"/>
      <c r="R65" s="250"/>
    </row>
    <row r="66" spans="1:18" x14ac:dyDescent="0.2">
      <c r="A66" s="250"/>
      <c r="B66" s="250"/>
      <c r="C66" s="250"/>
      <c r="D66" s="250"/>
      <c r="E66" s="250"/>
      <c r="F66" s="250"/>
      <c r="G66" s="250"/>
      <c r="H66" s="250"/>
      <c r="I66" s="250"/>
      <c r="J66" s="250"/>
      <c r="K66" s="250"/>
      <c r="L66" s="250"/>
      <c r="M66" s="250"/>
      <c r="N66" s="250"/>
      <c r="O66" s="250"/>
      <c r="P66" s="250"/>
      <c r="Q66" s="250"/>
      <c r="R66" s="250"/>
    </row>
    <row r="67" spans="1:18" x14ac:dyDescent="0.2">
      <c r="A67" s="250"/>
      <c r="B67" s="250"/>
      <c r="C67" s="250"/>
      <c r="D67" s="250"/>
      <c r="E67" s="250"/>
      <c r="F67" s="250"/>
      <c r="G67" s="250"/>
      <c r="H67" s="250"/>
      <c r="I67" s="250"/>
      <c r="J67" s="250"/>
      <c r="K67" s="250"/>
      <c r="L67" s="250"/>
      <c r="M67" s="250"/>
      <c r="N67" s="250"/>
      <c r="O67" s="250"/>
      <c r="P67" s="250"/>
      <c r="Q67" s="250"/>
      <c r="R67" s="250"/>
    </row>
    <row r="68" spans="1:18" x14ac:dyDescent="0.2">
      <c r="A68" s="250"/>
      <c r="B68" s="250"/>
      <c r="C68" s="250"/>
      <c r="D68" s="250"/>
      <c r="E68" s="250"/>
      <c r="F68" s="250"/>
      <c r="G68" s="250"/>
      <c r="H68" s="250"/>
      <c r="I68" s="250"/>
      <c r="J68" s="250"/>
      <c r="K68" s="250"/>
      <c r="L68" s="250"/>
      <c r="M68" s="250"/>
      <c r="N68" s="250"/>
      <c r="O68" s="250"/>
      <c r="P68" s="250"/>
      <c r="Q68" s="250"/>
      <c r="R68" s="250"/>
    </row>
    <row r="69" spans="1:18" x14ac:dyDescent="0.2">
      <c r="A69" s="250"/>
      <c r="B69" s="250"/>
      <c r="C69" s="250"/>
      <c r="D69" s="250"/>
      <c r="E69" s="250"/>
      <c r="F69" s="250"/>
      <c r="G69" s="250"/>
      <c r="H69" s="250"/>
      <c r="I69" s="250"/>
      <c r="J69" s="250"/>
      <c r="K69" s="250"/>
      <c r="L69" s="250"/>
      <c r="M69" s="250"/>
      <c r="N69" s="250"/>
      <c r="O69" s="250"/>
      <c r="P69" s="250"/>
      <c r="Q69" s="250"/>
      <c r="R69" s="250"/>
    </row>
    <row r="70" spans="1:18" x14ac:dyDescent="0.2">
      <c r="A70" s="250"/>
      <c r="B70" s="250"/>
      <c r="C70" s="250"/>
      <c r="D70" s="250"/>
      <c r="E70" s="250"/>
      <c r="F70" s="250"/>
      <c r="G70" s="250"/>
      <c r="H70" s="250"/>
      <c r="I70" s="250"/>
      <c r="J70" s="250"/>
      <c r="K70" s="250"/>
      <c r="L70" s="250"/>
      <c r="M70" s="250"/>
      <c r="N70" s="250"/>
      <c r="O70" s="250"/>
      <c r="P70" s="250"/>
      <c r="Q70" s="250"/>
      <c r="R70" s="250"/>
    </row>
    <row r="71" spans="1:18" x14ac:dyDescent="0.2">
      <c r="A71" s="250"/>
      <c r="B71" s="250"/>
      <c r="C71" s="250"/>
      <c r="D71" s="250"/>
      <c r="E71" s="250"/>
      <c r="F71" s="250"/>
      <c r="G71" s="250"/>
      <c r="H71" s="250"/>
      <c r="I71" s="250"/>
      <c r="J71" s="250"/>
      <c r="K71" s="250"/>
      <c r="L71" s="250"/>
      <c r="M71" s="250"/>
      <c r="N71" s="250"/>
      <c r="O71" s="250"/>
      <c r="P71" s="250"/>
      <c r="Q71" s="250"/>
      <c r="R71" s="250"/>
    </row>
    <row r="72" spans="1:18" x14ac:dyDescent="0.2">
      <c r="A72" s="250"/>
      <c r="B72" s="250"/>
      <c r="C72" s="250"/>
      <c r="D72" s="250"/>
      <c r="E72" s="250"/>
      <c r="F72" s="250"/>
      <c r="G72" s="250"/>
      <c r="H72" s="250"/>
      <c r="I72" s="250"/>
      <c r="J72" s="250"/>
      <c r="K72" s="250"/>
      <c r="L72" s="250"/>
      <c r="M72" s="250"/>
      <c r="N72" s="250"/>
      <c r="O72" s="250"/>
      <c r="P72" s="250"/>
      <c r="Q72" s="250"/>
      <c r="R72" s="250"/>
    </row>
    <row r="73" spans="1:18" x14ac:dyDescent="0.2">
      <c r="A73" s="250"/>
      <c r="B73" s="250"/>
      <c r="C73" s="250"/>
      <c r="D73" s="250"/>
      <c r="E73" s="250"/>
      <c r="F73" s="250"/>
      <c r="G73" s="250"/>
      <c r="H73" s="250"/>
      <c r="I73" s="250"/>
      <c r="J73" s="250"/>
      <c r="K73" s="250"/>
      <c r="L73" s="250"/>
      <c r="M73" s="250"/>
      <c r="N73" s="250"/>
      <c r="O73" s="250"/>
      <c r="P73" s="250"/>
      <c r="Q73" s="250"/>
      <c r="R73" s="250"/>
    </row>
    <row r="74" spans="1:18" x14ac:dyDescent="0.2">
      <c r="A74" s="250"/>
      <c r="B74" s="250"/>
      <c r="C74" s="250"/>
      <c r="D74" s="250"/>
      <c r="E74" s="250"/>
      <c r="F74" s="250"/>
      <c r="G74" s="250"/>
      <c r="H74" s="250"/>
      <c r="I74" s="250"/>
      <c r="J74" s="250"/>
      <c r="K74" s="250"/>
      <c r="L74" s="250"/>
      <c r="M74" s="250"/>
      <c r="N74" s="250"/>
      <c r="O74" s="250"/>
      <c r="P74" s="250"/>
      <c r="Q74" s="250"/>
      <c r="R74" s="250"/>
    </row>
    <row r="75" spans="1:18" x14ac:dyDescent="0.2">
      <c r="A75" s="250"/>
      <c r="F75" s="250"/>
      <c r="G75" s="250"/>
      <c r="H75" s="250"/>
      <c r="I75" s="250"/>
      <c r="J75" s="250"/>
      <c r="K75" s="250"/>
      <c r="L75" s="250"/>
      <c r="M75" s="250"/>
      <c r="N75" s="250"/>
      <c r="O75" s="250"/>
      <c r="P75" s="250"/>
      <c r="Q75" s="250"/>
      <c r="R75" s="250"/>
    </row>
    <row r="76" spans="1:18" x14ac:dyDescent="0.2">
      <c r="A76" s="250"/>
      <c r="F76" s="250"/>
      <c r="G76" s="250"/>
      <c r="H76" s="250"/>
      <c r="I76" s="250"/>
      <c r="J76" s="250"/>
      <c r="K76" s="250"/>
      <c r="L76" s="250"/>
      <c r="M76" s="250"/>
      <c r="N76" s="250"/>
      <c r="O76" s="250"/>
      <c r="P76" s="250"/>
      <c r="Q76" s="250"/>
      <c r="R76" s="250"/>
    </row>
    <row r="77" spans="1:18" x14ac:dyDescent="0.2">
      <c r="A77" s="250"/>
      <c r="F77" s="250"/>
      <c r="G77" s="250"/>
      <c r="H77" s="250"/>
      <c r="I77" s="250"/>
      <c r="J77" s="250"/>
      <c r="K77" s="250"/>
      <c r="L77" s="250"/>
      <c r="M77" s="250"/>
      <c r="N77" s="250"/>
      <c r="O77" s="250"/>
      <c r="P77" s="250"/>
      <c r="Q77" s="250"/>
      <c r="R77" s="250"/>
    </row>
    <row r="78" spans="1:18" x14ac:dyDescent="0.2">
      <c r="A78" s="250"/>
      <c r="F78" s="250"/>
      <c r="G78" s="250"/>
      <c r="H78" s="250"/>
      <c r="I78" s="250"/>
      <c r="J78" s="250"/>
      <c r="K78" s="250"/>
      <c r="L78" s="250"/>
      <c r="M78" s="250"/>
      <c r="N78" s="250"/>
      <c r="O78" s="250"/>
      <c r="P78" s="250"/>
      <c r="Q78" s="250"/>
      <c r="R78" s="250"/>
    </row>
    <row r="79" spans="1:18" x14ac:dyDescent="0.2">
      <c r="A79" s="250"/>
      <c r="F79" s="250"/>
      <c r="G79" s="250"/>
      <c r="H79" s="250"/>
      <c r="I79" s="250"/>
      <c r="J79" s="250"/>
      <c r="K79" s="250"/>
      <c r="L79" s="250"/>
      <c r="M79" s="250"/>
      <c r="N79" s="250"/>
      <c r="O79" s="250"/>
      <c r="P79" s="250"/>
      <c r="Q79" s="250"/>
      <c r="R79" s="250"/>
    </row>
    <row r="80" spans="1:18" x14ac:dyDescent="0.2">
      <c r="A80" s="250"/>
      <c r="F80" s="250"/>
      <c r="G80" s="250"/>
      <c r="H80" s="250"/>
      <c r="I80" s="250"/>
      <c r="J80" s="250"/>
      <c r="K80" s="250"/>
      <c r="L80" s="250"/>
      <c r="M80" s="250"/>
      <c r="N80" s="250"/>
      <c r="O80" s="250"/>
      <c r="P80" s="250"/>
      <c r="Q80" s="250"/>
      <c r="R80" s="250"/>
    </row>
    <row r="81" spans="1:18" x14ac:dyDescent="0.2">
      <c r="A81" s="250"/>
      <c r="F81" s="250"/>
      <c r="G81" s="250"/>
      <c r="H81" s="250"/>
      <c r="I81" s="250"/>
      <c r="J81" s="250"/>
      <c r="K81" s="250"/>
      <c r="L81" s="250"/>
      <c r="M81" s="250"/>
      <c r="N81" s="250"/>
      <c r="O81" s="250"/>
      <c r="P81" s="250"/>
      <c r="Q81" s="250"/>
      <c r="R81" s="250"/>
    </row>
    <row r="82" spans="1:18" x14ac:dyDescent="0.2">
      <c r="A82" s="250"/>
      <c r="F82" s="250"/>
      <c r="G82" s="250"/>
      <c r="H82" s="250"/>
      <c r="I82" s="250"/>
      <c r="J82" s="250"/>
      <c r="K82" s="250"/>
      <c r="L82" s="250"/>
      <c r="M82" s="250"/>
      <c r="N82" s="250"/>
      <c r="O82" s="250"/>
      <c r="P82" s="250"/>
      <c r="Q82" s="250"/>
      <c r="R82" s="250"/>
    </row>
    <row r="83" spans="1:18" x14ac:dyDescent="0.2">
      <c r="A83" s="250"/>
      <c r="F83" s="250"/>
      <c r="G83" s="250"/>
      <c r="H83" s="250"/>
      <c r="I83" s="250"/>
      <c r="J83" s="250"/>
      <c r="K83" s="250"/>
      <c r="L83" s="250"/>
      <c r="M83" s="250"/>
      <c r="N83" s="250"/>
      <c r="O83" s="250"/>
      <c r="P83" s="250"/>
      <c r="Q83" s="250"/>
      <c r="R83" s="250"/>
    </row>
    <row r="84" spans="1:18" x14ac:dyDescent="0.2">
      <c r="A84" s="250"/>
      <c r="F84" s="250"/>
      <c r="G84" s="250"/>
      <c r="H84" s="250"/>
      <c r="I84" s="250"/>
      <c r="J84" s="250"/>
      <c r="K84" s="250"/>
      <c r="L84" s="250"/>
      <c r="M84" s="250"/>
      <c r="N84" s="250"/>
      <c r="O84" s="250"/>
      <c r="P84" s="250"/>
      <c r="Q84" s="250"/>
      <c r="R84" s="250"/>
    </row>
  </sheetData>
  <mergeCells count="2">
    <mergeCell ref="J55:L55"/>
    <mergeCell ref="J58:L58"/>
  </mergeCells>
  <phoneticPr fontId="26" type="noConversion"/>
  <pageMargins left="0.75" right="0.75" top="1" bottom="1" header="0.5" footer="0.5"/>
  <pageSetup paperSize="9" orientation="portrait" horizontalDpi="4294967293" verticalDpi="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Title Page</vt:lpstr>
      <vt:lpstr>I.I.R.R.</vt:lpstr>
      <vt:lpstr>Orbit &amp; Frequency</vt:lpstr>
      <vt:lpstr>Transmitters</vt:lpstr>
      <vt:lpstr>Receivers</vt:lpstr>
      <vt:lpstr>Antenna Gain</vt:lpstr>
      <vt:lpstr>Antenna Pointing Losses</vt:lpstr>
      <vt:lpstr>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Orbit Shape Data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Bradley</cp:lastModifiedBy>
  <cp:lastPrinted>2018-09-25T05:36:25Z</cp:lastPrinted>
  <dcterms:created xsi:type="dcterms:W3CDTF">2003-03-25T04:05:57Z</dcterms:created>
  <dcterms:modified xsi:type="dcterms:W3CDTF">2020-01-20T06:40:30Z</dcterms:modified>
</cp:coreProperties>
</file>