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radley\Documents\CougsInSpace\CougSat1-Hardware\CougSat1-PowerBoard\Documentation\Native\"/>
    </mc:Choice>
  </mc:AlternateContent>
  <xr:revisionPtr revIDLastSave="0" documentId="13_ncr:1_{6FA3BA6F-B99B-42FB-894C-09C643B6761C}" xr6:coauthVersionLast="32" xr6:coauthVersionMax="32" xr10:uidLastSave="{00000000-0000-0000-0000-000000000000}"/>
  <bookViews>
    <workbookView xWindow="360" yWindow="30" windowWidth="27795" windowHeight="12855" activeTab="1" xr2:uid="{00000000-000D-0000-FFFF-FFFF00000000}"/>
  </bookViews>
  <sheets>
    <sheet name="Orbit" sheetId="2" r:id="rId1"/>
    <sheet name="Safe Mode Orbit" sheetId="3" r:id="rId2"/>
  </sheets>
  <calcPr calcId="179017"/>
</workbook>
</file>

<file path=xl/calcChain.xml><?xml version="1.0" encoding="utf-8"?>
<calcChain xmlns="http://schemas.openxmlformats.org/spreadsheetml/2006/main">
  <c r="G27" i="3" l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G35" i="3"/>
  <c r="H34" i="3"/>
  <c r="H33" i="3"/>
  <c r="H32" i="3"/>
  <c r="H31" i="3"/>
  <c r="G31" i="3"/>
  <c r="E30" i="3"/>
  <c r="E29" i="3"/>
  <c r="E28" i="3"/>
  <c r="H27" i="3"/>
  <c r="E27" i="3"/>
  <c r="E26" i="3"/>
  <c r="E25" i="3"/>
  <c r="G24" i="3"/>
  <c r="H24" i="3" s="1"/>
  <c r="E24" i="3"/>
  <c r="E23" i="3"/>
  <c r="G22" i="3"/>
  <c r="E22" i="3"/>
  <c r="E21" i="3"/>
  <c r="G20" i="3"/>
  <c r="E20" i="3"/>
  <c r="G19" i="3"/>
  <c r="H19" i="3" s="1"/>
  <c r="E19" i="3"/>
  <c r="E18" i="3"/>
  <c r="G17" i="3"/>
  <c r="E17" i="3"/>
  <c r="H17" i="3" s="1"/>
  <c r="E16" i="3"/>
  <c r="E15" i="3"/>
  <c r="E14" i="3"/>
  <c r="E13" i="3"/>
  <c r="E12" i="3"/>
  <c r="E11" i="3"/>
  <c r="E10" i="3"/>
  <c r="E6" i="3"/>
  <c r="E4" i="3"/>
  <c r="F26" i="3" s="1"/>
  <c r="G26" i="3" s="1"/>
  <c r="H26" i="3" s="1"/>
  <c r="E3" i="3"/>
  <c r="G47" i="3" s="1"/>
  <c r="B3" i="3"/>
  <c r="F27" i="2"/>
  <c r="F29" i="2"/>
  <c r="F26" i="2"/>
  <c r="F25" i="2"/>
  <c r="F22" i="2"/>
  <c r="F20" i="2"/>
  <c r="F19" i="2"/>
  <c r="G10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1" i="2"/>
  <c r="H22" i="3" l="1"/>
  <c r="H10" i="3"/>
  <c r="H13" i="3"/>
  <c r="H20" i="3"/>
  <c r="G12" i="3"/>
  <c r="H12" i="3" s="1"/>
  <c r="G40" i="3"/>
  <c r="G44" i="3"/>
  <c r="G15" i="3"/>
  <c r="H15" i="3" s="1"/>
  <c r="G29" i="3"/>
  <c r="H29" i="3" s="1"/>
  <c r="G32" i="3"/>
  <c r="G36" i="3"/>
  <c r="G10" i="3"/>
  <c r="G18" i="3"/>
  <c r="H18" i="3" s="1"/>
  <c r="F25" i="3"/>
  <c r="G25" i="3" s="1"/>
  <c r="H25" i="3" s="1"/>
  <c r="G41" i="3"/>
  <c r="G45" i="3"/>
  <c r="G13" i="3"/>
  <c r="G33" i="3"/>
  <c r="G37" i="3"/>
  <c r="G16" i="3"/>
  <c r="H16" i="3" s="1"/>
  <c r="G23" i="3"/>
  <c r="H23" i="3" s="1"/>
  <c r="G42" i="3"/>
  <c r="G46" i="3"/>
  <c r="G11" i="3"/>
  <c r="H11" i="3" s="1"/>
  <c r="G21" i="3"/>
  <c r="H21" i="3" s="1"/>
  <c r="G30" i="3"/>
  <c r="H30" i="3" s="1"/>
  <c r="G34" i="3"/>
  <c r="G14" i="3"/>
  <c r="H14" i="3" s="1"/>
  <c r="G28" i="3"/>
  <c r="H28" i="3" s="1"/>
  <c r="G39" i="3"/>
  <c r="G43" i="3"/>
  <c r="H10" i="2"/>
  <c r="B4" i="3" l="1"/>
  <c r="B5" i="3"/>
  <c r="E6" i="2"/>
  <c r="B6" i="3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E4" i="2" l="1"/>
  <c r="E3" i="2"/>
  <c r="B3" i="2" l="1"/>
  <c r="G12" i="2"/>
  <c r="H12" i="2" s="1"/>
  <c r="G20" i="2"/>
  <c r="H20" i="2" s="1"/>
  <c r="G28" i="2"/>
  <c r="H28" i="2" s="1"/>
  <c r="G22" i="2"/>
  <c r="H22" i="2" s="1"/>
  <c r="G11" i="2"/>
  <c r="H11" i="2" s="1"/>
  <c r="G13" i="2"/>
  <c r="H13" i="2" s="1"/>
  <c r="G29" i="2"/>
  <c r="H29" i="2" s="1"/>
  <c r="G30" i="2"/>
  <c r="H30" i="2" s="1"/>
  <c r="G23" i="2"/>
  <c r="H23" i="2" s="1"/>
  <c r="G26" i="2"/>
  <c r="H26" i="2" s="1"/>
  <c r="G16" i="2"/>
  <c r="H16" i="2" s="1"/>
  <c r="G24" i="2"/>
  <c r="H24" i="2" s="1"/>
  <c r="G17" i="2"/>
  <c r="H17" i="2" s="1"/>
  <c r="G25" i="2"/>
  <c r="H25" i="2" s="1"/>
  <c r="G27" i="2"/>
  <c r="H27" i="2" s="1"/>
  <c r="G14" i="2"/>
  <c r="H14" i="2" s="1"/>
  <c r="G15" i="2"/>
  <c r="H15" i="2" s="1"/>
  <c r="G19" i="2"/>
  <c r="H19" i="2" s="1"/>
  <c r="G18" i="2"/>
  <c r="H18" i="2" s="1"/>
  <c r="G21" i="2"/>
  <c r="H21" i="2" s="1"/>
  <c r="G34" i="2"/>
  <c r="G42" i="2"/>
  <c r="G46" i="2"/>
  <c r="G41" i="2"/>
  <c r="G31" i="2"/>
  <c r="G35" i="2"/>
  <c r="G39" i="2"/>
  <c r="G43" i="2"/>
  <c r="G47" i="2"/>
  <c r="G33" i="2"/>
  <c r="G45" i="2"/>
  <c r="G32" i="2"/>
  <c r="G36" i="2"/>
  <c r="G40" i="2"/>
  <c r="G44" i="2"/>
  <c r="G37" i="2"/>
  <c r="H54" i="2"/>
  <c r="H53" i="2"/>
  <c r="H52" i="2"/>
  <c r="H51" i="2"/>
  <c r="H50" i="2"/>
  <c r="H49" i="2"/>
  <c r="H48" i="2"/>
  <c r="H47" i="2"/>
  <c r="H46" i="2"/>
  <c r="B5" i="2" l="1"/>
  <c r="B4" i="2" l="1"/>
  <c r="B6" i="2" l="1"/>
</calcChain>
</file>

<file path=xl/sharedStrings.xml><?xml version="1.0" encoding="utf-8"?>
<sst xmlns="http://schemas.openxmlformats.org/spreadsheetml/2006/main" count="147" uniqueCount="80">
  <si>
    <t>Time in Eclipse</t>
  </si>
  <si>
    <t>Time in Sun</t>
  </si>
  <si>
    <t>Panel Qty</t>
  </si>
  <si>
    <t>Panel Power</t>
  </si>
  <si>
    <t>Remaining</t>
  </si>
  <si>
    <t>Energy</t>
  </si>
  <si>
    <t>Total Energy</t>
  </si>
  <si>
    <t>Load</t>
  </si>
  <si>
    <t>Duty cycle</t>
  </si>
  <si>
    <t>IHU</t>
  </si>
  <si>
    <t>Magnetorquers</t>
  </si>
  <si>
    <t>IMU</t>
  </si>
  <si>
    <t>GPS</t>
  </si>
  <si>
    <t>ADCS</t>
  </si>
  <si>
    <t>Hours Per Orbit</t>
  </si>
  <si>
    <t>Coug Sat-1 Orbital Energy Budget</t>
  </si>
  <si>
    <t>Worst case orbit relative to sun</t>
  </si>
  <si>
    <t>This sheet analyzes the energy in and out of the satellite per orbit</t>
  </si>
  <si>
    <t>Used Energy Sun</t>
  </si>
  <si>
    <t>Used Energy Eclipse</t>
  </si>
  <si>
    <t>2 Faces = √2*0.9 = 1.27 Panels</t>
  </si>
  <si>
    <t>1 Face = 1 Panel</t>
  </si>
  <si>
    <t>3 Faces = √3*0.85 = 1.47 Panels</t>
  </si>
  <si>
    <t>Coug Sat-1 Orbital Energy Budget (Safe Mode)</t>
  </si>
  <si>
    <t>Voltage</t>
  </si>
  <si>
    <t>Current</t>
  </si>
  <si>
    <t>Power Channel</t>
  </si>
  <si>
    <t>3V3-0</t>
  </si>
  <si>
    <t>3V3-1</t>
  </si>
  <si>
    <t>3V3-2</t>
  </si>
  <si>
    <t>3V3-3</t>
  </si>
  <si>
    <t>3V3-4</t>
  </si>
  <si>
    <t>3V3-5</t>
  </si>
  <si>
    <t>3V3-6</t>
  </si>
  <si>
    <t>3V3-7</t>
  </si>
  <si>
    <t>3V3-8</t>
  </si>
  <si>
    <t>3V3-9</t>
  </si>
  <si>
    <t>3V3-10</t>
  </si>
  <si>
    <t>3V3-11</t>
  </si>
  <si>
    <t>3V3-12</t>
  </si>
  <si>
    <t>Unreg-0</t>
  </si>
  <si>
    <t>Unreg-1</t>
  </si>
  <si>
    <t>Unreg-2</t>
  </si>
  <si>
    <t>Unreg-3</t>
  </si>
  <si>
    <t>Unreg-4</t>
  </si>
  <si>
    <t>Unreg-5</t>
  </si>
  <si>
    <t>Unreg-6</t>
  </si>
  <si>
    <t>IHU SD</t>
  </si>
  <si>
    <t>IFJR &amp; SD</t>
  </si>
  <si>
    <t>RCS &amp; Radio</t>
  </si>
  <si>
    <t>Plant Lighting</t>
  </si>
  <si>
    <t>Plant Camera</t>
  </si>
  <si>
    <t>Plant Sensors</t>
  </si>
  <si>
    <t>Radiation Sensor</t>
  </si>
  <si>
    <t>Ground Camera</t>
  </si>
  <si>
    <t>EPS Heater 0</t>
  </si>
  <si>
    <t>EPS Heater 1</t>
  </si>
  <si>
    <t>TX Amplifier</t>
  </si>
  <si>
    <t>Deployables</t>
  </si>
  <si>
    <t>Plant Heater</t>
  </si>
  <si>
    <t>Power</t>
  </si>
  <si>
    <t>3V3-Always</t>
  </si>
  <si>
    <t>EPS</t>
  </si>
  <si>
    <t>Note</t>
  </si>
  <si>
    <t>Once an hour for 10s</t>
  </si>
  <si>
    <t>Once a day for 20s</t>
  </si>
  <si>
    <t>Once an hour for 5min</t>
  </si>
  <si>
    <t>Once an hour for 20s</t>
  </si>
  <si>
    <t>Half the time when eclipsed</t>
  </si>
  <si>
    <t>Once a minute for 8 sec</t>
  </si>
  <si>
    <t>Once per launch</t>
  </si>
  <si>
    <t>Once per software update</t>
  </si>
  <si>
    <r>
      <t>Time is based off a beta angle of 0</t>
    </r>
    <r>
      <rPr>
        <sz val="11"/>
        <color theme="1"/>
        <rFont val="Calibri"/>
        <family val="2"/>
      </rPr>
      <t>° (Worst case)</t>
    </r>
  </si>
  <si>
    <t>RCS &amp; Radios</t>
  </si>
  <si>
    <t>Same frequency as March equinox</t>
  </si>
  <si>
    <t>100mA per coil for detumble, 30mA for maneuver</t>
  </si>
  <si>
    <t>Once a minute for 4 sec (CW Beacon)</t>
  </si>
  <si>
    <t>Hopefully plants do not die</t>
  </si>
  <si>
    <t>Four IMUs: Talk to one, others standby</t>
  </si>
  <si>
    <t>Four IMUs: Average all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</si>
</sst>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\ &quot;hrs/day&quot;"/>
    <numFmt numFmtId="165" formatCode="0.00\ &quot;Wh&quot;"/>
    <numFmt numFmtId="166" formatCode="0.00\ &quot;W&quot;"/>
    <numFmt numFmtId="167" formatCode="0.0\ &quot;hours&quot;"/>
    <numFmt numFmtId="168" formatCode="0.0\ &quot;hr&quot;"/>
    <numFmt numFmtId="169" formatCode="0.000\ &quot;Wh&quot;"/>
    <numFmt numFmtId="170" formatCode="0.00\ &quot;hr&quot;"/>
    <numFmt numFmtId="171" formatCode="0.0\ &quot;W&quot;"/>
    <numFmt numFmtId="172" formatCode="0.00\ &quot;Panels&quot;"/>
    <numFmt numFmtId="173" formatCode="0.0\ &quot;V&quot;"/>
    <numFmt numFmtId="174" formatCode="0\ &quot;mA&quot;"/>
    <numFmt numFmtId="175" formatCode="0\ &quot;mW&quot;"/>
    <numFmt numFmtId="176" formatCode="0.0%"/>
    <numFmt numFmtId="177" formatCode="0.000\ &quot;hr&quot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wrapText="1"/>
    </xf>
    <xf numFmtId="167" fontId="3" fillId="3" borderId="1" xfId="3" applyNumberFormat="1"/>
    <xf numFmtId="167" fontId="1" fillId="2" borderId="1" xfId="1" applyNumberFormat="1"/>
    <xf numFmtId="0" fontId="0" fillId="0" borderId="0" xfId="0" applyFont="1" applyAlignment="1">
      <alignment wrapText="1"/>
    </xf>
    <xf numFmtId="9" fontId="0" fillId="0" borderId="0" xfId="4" applyFont="1"/>
    <xf numFmtId="168" fontId="0" fillId="0" borderId="0" xfId="4" applyNumberFormat="1" applyFont="1"/>
    <xf numFmtId="169" fontId="0" fillId="0" borderId="0" xfId="0" applyNumberFormat="1"/>
    <xf numFmtId="170" fontId="0" fillId="0" borderId="0" xfId="4" applyNumberFormat="1" applyFont="1"/>
    <xf numFmtId="165" fontId="2" fillId="3" borderId="2" xfId="2" applyNumberFormat="1"/>
    <xf numFmtId="171" fontId="1" fillId="2" borderId="1" xfId="1" applyNumberFormat="1"/>
    <xf numFmtId="0" fontId="0" fillId="0" borderId="0" xfId="0"/>
    <xf numFmtId="172" fontId="1" fillId="2" borderId="1" xfId="1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3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0" xfId="0" applyBorder="1"/>
    <xf numFmtId="176" fontId="0" fillId="0" borderId="0" xfId="4" applyNumberFormat="1" applyFont="1"/>
    <xf numFmtId="10" fontId="0" fillId="0" borderId="0" xfId="4" applyNumberFormat="1" applyFont="1"/>
    <xf numFmtId="9" fontId="0" fillId="0" borderId="0" xfId="4" applyNumberFormat="1" applyFont="1"/>
    <xf numFmtId="177" fontId="0" fillId="0" borderId="0" xfId="4" applyNumberFormat="1" applyFont="1"/>
  </cellXfs>
  <cellStyles count="5">
    <cellStyle name="Calculation" xfId="3" builtinId="22"/>
    <cellStyle name="Input" xfId="1" builtinId="20"/>
    <cellStyle name="Normal" xfId="0" builtinId="0"/>
    <cellStyle name="Output" xfId="2" builtinId="21"/>
    <cellStyle name="Percent" xfId="4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>
      <pane ySplit="9" topLeftCell="A10" activePane="bottomLeft" state="frozen"/>
      <selection pane="bottomLeft" activeCell="I14" sqref="I14"/>
    </sheetView>
  </sheetViews>
  <sheetFormatPr defaultRowHeight="15" x14ac:dyDescent="0.25"/>
  <cols>
    <col min="1" max="1" width="18.85546875" bestFit="1" customWidth="1"/>
    <col min="2" max="2" width="16" style="18" bestFit="1" customWidth="1"/>
    <col min="3" max="3" width="7.85546875" style="18" bestFit="1" customWidth="1"/>
    <col min="4" max="4" width="8.42578125" style="18" bestFit="1" customWidth="1"/>
    <col min="5" max="5" width="10.85546875" bestFit="1" customWidth="1"/>
    <col min="6" max="6" width="10" bestFit="1" customWidth="1"/>
    <col min="7" max="7" width="9.5703125" bestFit="1" customWidth="1"/>
    <col min="8" max="8" width="9" bestFit="1" customWidth="1"/>
    <col min="9" max="9" width="43.42578125" bestFit="1" customWidth="1"/>
    <col min="11" max="11" width="14.28515625" bestFit="1" customWidth="1"/>
    <col min="12" max="12" width="8.42578125" bestFit="1" customWidth="1"/>
  </cols>
  <sheetData>
    <row r="1" spans="1:9" ht="18.75" x14ac:dyDescent="0.3">
      <c r="A1" s="20" t="s">
        <v>15</v>
      </c>
      <c r="B1" s="20"/>
      <c r="C1" s="20"/>
      <c r="D1" s="20"/>
      <c r="E1" s="20"/>
      <c r="F1" s="20"/>
      <c r="G1" s="20"/>
      <c r="H1" s="20"/>
    </row>
    <row r="2" spans="1:9" x14ac:dyDescent="0.25">
      <c r="A2" s="21" t="s">
        <v>17</v>
      </c>
      <c r="B2" s="21"/>
      <c r="C2" s="21"/>
      <c r="D2" s="21"/>
      <c r="E2" s="21"/>
      <c r="F2" s="21"/>
      <c r="G2" s="21"/>
      <c r="H2" s="21"/>
    </row>
    <row r="3" spans="1:9" x14ac:dyDescent="0.25">
      <c r="A3" s="16" t="s">
        <v>6</v>
      </c>
      <c r="B3" s="12">
        <f>E6*E5*E3</f>
        <v>3.2292665999999994</v>
      </c>
      <c r="C3" s="26" t="s">
        <v>1</v>
      </c>
      <c r="D3" s="27"/>
      <c r="E3" s="6">
        <f>18/16</f>
        <v>1.125</v>
      </c>
      <c r="F3" s="19" t="s">
        <v>72</v>
      </c>
      <c r="G3" s="28"/>
      <c r="H3" s="28"/>
      <c r="I3" s="28"/>
    </row>
    <row r="4" spans="1:9" x14ac:dyDescent="0.25">
      <c r="A4" s="16" t="s">
        <v>18</v>
      </c>
      <c r="B4" s="12">
        <f>SUM(H11:H54)*E3/SUM(E3:E4)</f>
        <v>1.8027867187500002</v>
      </c>
      <c r="C4" s="26" t="s">
        <v>0</v>
      </c>
      <c r="D4" s="27"/>
      <c r="E4" s="5">
        <f>6/16</f>
        <v>0.375</v>
      </c>
      <c r="F4" s="19" t="s">
        <v>16</v>
      </c>
      <c r="G4" s="28"/>
      <c r="H4" s="28"/>
      <c r="I4" s="28"/>
    </row>
    <row r="5" spans="1:9" x14ac:dyDescent="0.25">
      <c r="A5" s="16" t="s">
        <v>19</v>
      </c>
      <c r="B5" s="12">
        <f>SUM(H11:H54)*E4/SUM(E3:E4)</f>
        <v>0.60092890625000006</v>
      </c>
      <c r="C5" s="26" t="s">
        <v>2</v>
      </c>
      <c r="D5" s="27"/>
      <c r="E5" s="15">
        <v>1.4</v>
      </c>
      <c r="F5" s="19" t="s">
        <v>21</v>
      </c>
      <c r="G5" s="28"/>
      <c r="H5" s="28"/>
      <c r="I5" s="28"/>
    </row>
    <row r="6" spans="1:9" x14ac:dyDescent="0.25">
      <c r="A6" s="16" t="s">
        <v>4</v>
      </c>
      <c r="B6" s="2">
        <f>B3-SUM(B4:B5)</f>
        <v>0.82555097499999919</v>
      </c>
      <c r="C6" s="25" t="s">
        <v>3</v>
      </c>
      <c r="D6" s="27"/>
      <c r="E6" s="13">
        <f>2*2.35*16.4/1000*26.6</f>
        <v>2.0503279999999999</v>
      </c>
      <c r="F6" s="19" t="s">
        <v>20</v>
      </c>
      <c r="G6" s="28"/>
      <c r="H6" s="28"/>
      <c r="I6" s="28"/>
    </row>
    <row r="7" spans="1:9" x14ac:dyDescent="0.25">
      <c r="E7" s="18"/>
      <c r="F7" s="19" t="s">
        <v>22</v>
      </c>
      <c r="G7" s="28"/>
      <c r="H7" s="28"/>
      <c r="I7" s="28"/>
    </row>
    <row r="8" spans="1:9" x14ac:dyDescent="0.25">
      <c r="F8" s="17"/>
    </row>
    <row r="9" spans="1:9" ht="30" x14ac:dyDescent="0.25">
      <c r="A9" s="4" t="s">
        <v>26</v>
      </c>
      <c r="B9" s="4" t="s">
        <v>7</v>
      </c>
      <c r="C9" s="4" t="s">
        <v>24</v>
      </c>
      <c r="D9" s="4" t="s">
        <v>25</v>
      </c>
      <c r="E9" s="4" t="s">
        <v>60</v>
      </c>
      <c r="F9" s="4" t="s">
        <v>8</v>
      </c>
      <c r="G9" s="4" t="s">
        <v>14</v>
      </c>
      <c r="H9" s="4" t="s">
        <v>5</v>
      </c>
      <c r="I9" s="4" t="s">
        <v>63</v>
      </c>
    </row>
    <row r="10" spans="1:9" s="18" customFormat="1" x14ac:dyDescent="0.25">
      <c r="A10" s="7" t="s">
        <v>61</v>
      </c>
      <c r="B10" s="7" t="s">
        <v>62</v>
      </c>
      <c r="C10" s="22">
        <v>3.3</v>
      </c>
      <c r="D10" s="23">
        <v>30</v>
      </c>
      <c r="E10" s="24">
        <f>C10*D10</f>
        <v>99</v>
      </c>
      <c r="F10" s="31">
        <v>1</v>
      </c>
      <c r="G10" s="11">
        <f>F10*($E$3+$E$4)</f>
        <v>1.5</v>
      </c>
      <c r="H10" s="10">
        <f>E10*G10/1000</f>
        <v>0.14849999999999999</v>
      </c>
      <c r="I10" s="4"/>
    </row>
    <row r="11" spans="1:9" x14ac:dyDescent="0.25">
      <c r="A11" t="s">
        <v>27</v>
      </c>
      <c r="B11" s="18" t="s">
        <v>9</v>
      </c>
      <c r="C11" s="22">
        <v>3.3</v>
      </c>
      <c r="D11" s="23">
        <v>20</v>
      </c>
      <c r="E11" s="24">
        <f>C11*D11</f>
        <v>66</v>
      </c>
      <c r="F11" s="31">
        <v>1</v>
      </c>
      <c r="G11" s="11">
        <f>F11*($E$3+$E$4)</f>
        <v>1.5</v>
      </c>
      <c r="H11" s="10">
        <f>E11*G11/1000</f>
        <v>9.9000000000000005E-2</v>
      </c>
      <c r="I11" s="7"/>
    </row>
    <row r="12" spans="1:9" x14ac:dyDescent="0.25">
      <c r="A12" t="s">
        <v>28</v>
      </c>
      <c r="B12" s="18" t="s">
        <v>47</v>
      </c>
      <c r="C12" s="22">
        <v>3.3</v>
      </c>
      <c r="D12" s="23">
        <v>60</v>
      </c>
      <c r="E12" s="24">
        <f t="shared" ref="E12:E30" si="0">C12*D12</f>
        <v>198</v>
      </c>
      <c r="F12" s="31">
        <v>0.1</v>
      </c>
      <c r="G12" s="11">
        <f>F12*($E$3+$E$4)</f>
        <v>0.15000000000000002</v>
      </c>
      <c r="H12" s="10">
        <f t="shared" ref="H12:H30" si="1">E12*G12/1000</f>
        <v>2.9700000000000004E-2</v>
      </c>
    </row>
    <row r="13" spans="1:9" x14ac:dyDescent="0.25">
      <c r="A13" s="18" t="s">
        <v>29</v>
      </c>
      <c r="B13" s="18" t="s">
        <v>13</v>
      </c>
      <c r="C13" s="22">
        <v>3.3</v>
      </c>
      <c r="D13" s="23">
        <v>20</v>
      </c>
      <c r="E13" s="24">
        <f t="shared" si="0"/>
        <v>66</v>
      </c>
      <c r="F13" s="31">
        <v>1</v>
      </c>
      <c r="G13" s="11">
        <f>F13*($E$3+$E$4)</f>
        <v>1.5</v>
      </c>
      <c r="H13" s="10">
        <f t="shared" si="1"/>
        <v>9.9000000000000005E-2</v>
      </c>
    </row>
    <row r="14" spans="1:9" x14ac:dyDescent="0.25">
      <c r="A14" s="18" t="s">
        <v>30</v>
      </c>
      <c r="B14" s="18" t="s">
        <v>11</v>
      </c>
      <c r="C14" s="22">
        <v>3.3</v>
      </c>
      <c r="D14" s="23">
        <v>45</v>
      </c>
      <c r="E14" s="24">
        <f t="shared" si="0"/>
        <v>148.5</v>
      </c>
      <c r="F14" s="31">
        <v>1</v>
      </c>
      <c r="G14" s="11">
        <f>F14*($E$3+$E$4)</f>
        <v>1.5</v>
      </c>
      <c r="H14" s="10">
        <f t="shared" si="1"/>
        <v>0.22275</v>
      </c>
      <c r="I14" t="s">
        <v>79</v>
      </c>
    </row>
    <row r="15" spans="1:9" s="14" customFormat="1" x14ac:dyDescent="0.25">
      <c r="A15" s="18" t="s">
        <v>31</v>
      </c>
      <c r="B15" s="18" t="s">
        <v>12</v>
      </c>
      <c r="C15" s="22">
        <v>3.3</v>
      </c>
      <c r="D15" s="23">
        <v>55</v>
      </c>
      <c r="E15" s="24">
        <f t="shared" si="0"/>
        <v>181.5</v>
      </c>
      <c r="F15" s="31">
        <v>1</v>
      </c>
      <c r="G15" s="11">
        <f>F15*($E$3+$E$4)</f>
        <v>1.5</v>
      </c>
      <c r="H15" s="10">
        <f t="shared" si="1"/>
        <v>0.27224999999999999</v>
      </c>
    </row>
    <row r="16" spans="1:9" x14ac:dyDescent="0.25">
      <c r="A16" s="18" t="s">
        <v>32</v>
      </c>
      <c r="B16" s="18" t="s">
        <v>48</v>
      </c>
      <c r="C16" s="22">
        <v>3.3</v>
      </c>
      <c r="D16" s="23">
        <v>90</v>
      </c>
      <c r="E16" s="24">
        <f t="shared" si="0"/>
        <v>297</v>
      </c>
      <c r="F16" s="31">
        <v>0</v>
      </c>
      <c r="G16" s="11">
        <f>F16*($E$3+$E$4)</f>
        <v>0</v>
      </c>
      <c r="H16" s="10">
        <f t="shared" si="1"/>
        <v>0</v>
      </c>
      <c r="I16" t="s">
        <v>71</v>
      </c>
    </row>
    <row r="17" spans="1:9" x14ac:dyDescent="0.25">
      <c r="A17" s="18" t="s">
        <v>33</v>
      </c>
      <c r="B17" s="18" t="s">
        <v>49</v>
      </c>
      <c r="C17" s="22">
        <v>3.3</v>
      </c>
      <c r="D17" s="23">
        <v>105</v>
      </c>
      <c r="E17" s="24">
        <f t="shared" si="0"/>
        <v>346.5</v>
      </c>
      <c r="F17" s="31">
        <v>1</v>
      </c>
      <c r="G17" s="11">
        <f>F17*($E$3+$E$4)</f>
        <v>1.5</v>
      </c>
      <c r="H17" s="10">
        <f t="shared" si="1"/>
        <v>0.51975000000000005</v>
      </c>
    </row>
    <row r="18" spans="1:9" x14ac:dyDescent="0.25">
      <c r="A18" s="18" t="s">
        <v>34</v>
      </c>
      <c r="B18" s="18" t="s">
        <v>50</v>
      </c>
      <c r="C18" s="22">
        <v>3.3</v>
      </c>
      <c r="D18" s="23">
        <v>50</v>
      </c>
      <c r="E18" s="24">
        <f t="shared" si="0"/>
        <v>165</v>
      </c>
      <c r="F18" s="31">
        <v>0.5</v>
      </c>
      <c r="G18" s="11">
        <f>F18*($E$3+$E$4)</f>
        <v>0.75</v>
      </c>
      <c r="H18" s="10">
        <f t="shared" si="1"/>
        <v>0.12375</v>
      </c>
      <c r="I18" t="s">
        <v>74</v>
      </c>
    </row>
    <row r="19" spans="1:9" x14ac:dyDescent="0.25">
      <c r="A19" s="18" t="s">
        <v>35</v>
      </c>
      <c r="B19" s="18" t="s">
        <v>51</v>
      </c>
      <c r="C19" s="22">
        <v>3.3</v>
      </c>
      <c r="D19" s="23">
        <v>390</v>
      </c>
      <c r="E19" s="24">
        <f t="shared" si="0"/>
        <v>1287</v>
      </c>
      <c r="F19" s="30">
        <f>20/86400</f>
        <v>2.3148148148148149E-4</v>
      </c>
      <c r="G19" s="11">
        <f>F19*($E$3+$E$4)</f>
        <v>3.4722222222222224E-4</v>
      </c>
      <c r="H19" s="10">
        <f t="shared" si="1"/>
        <v>4.4687500000000001E-4</v>
      </c>
      <c r="I19" s="18" t="s">
        <v>65</v>
      </c>
    </row>
    <row r="20" spans="1:9" x14ac:dyDescent="0.25">
      <c r="A20" s="18" t="s">
        <v>36</v>
      </c>
      <c r="B20" s="18" t="s">
        <v>52</v>
      </c>
      <c r="C20" s="22">
        <v>3.3</v>
      </c>
      <c r="D20" s="23">
        <v>25</v>
      </c>
      <c r="E20" s="24">
        <f t="shared" si="0"/>
        <v>82.5</v>
      </c>
      <c r="F20" s="29">
        <f>10/3600</f>
        <v>2.7777777777777779E-3</v>
      </c>
      <c r="G20" s="11">
        <f>F20*($E$3+$E$4)</f>
        <v>4.1666666666666666E-3</v>
      </c>
      <c r="H20" s="10">
        <f t="shared" si="1"/>
        <v>3.4374999999999998E-4</v>
      </c>
      <c r="I20" t="s">
        <v>64</v>
      </c>
    </row>
    <row r="21" spans="1:9" x14ac:dyDescent="0.25">
      <c r="A21" s="18" t="s">
        <v>37</v>
      </c>
      <c r="B21" s="18" t="s">
        <v>53</v>
      </c>
      <c r="C21" s="22">
        <v>3.3</v>
      </c>
      <c r="D21" s="23">
        <v>15</v>
      </c>
      <c r="E21" s="24">
        <f t="shared" si="0"/>
        <v>49.5</v>
      </c>
      <c r="F21" s="8">
        <v>8.3333333333333329E-2</v>
      </c>
      <c r="G21" s="11">
        <f>F21*($E$3+$E$4)</f>
        <v>0.125</v>
      </c>
      <c r="H21" s="10">
        <f t="shared" si="1"/>
        <v>6.1875000000000003E-3</v>
      </c>
      <c r="I21" t="s">
        <v>66</v>
      </c>
    </row>
    <row r="22" spans="1:9" x14ac:dyDescent="0.25">
      <c r="A22" s="18" t="s">
        <v>38</v>
      </c>
      <c r="B22" s="18" t="s">
        <v>54</v>
      </c>
      <c r="C22" s="22">
        <v>3.3</v>
      </c>
      <c r="D22" s="23">
        <v>390</v>
      </c>
      <c r="E22" s="24">
        <f t="shared" si="0"/>
        <v>1287</v>
      </c>
      <c r="F22" s="31">
        <f>20/3600</f>
        <v>5.5555555555555558E-3</v>
      </c>
      <c r="G22" s="11">
        <f>F22*($E$3+$E$4)</f>
        <v>8.3333333333333332E-3</v>
      </c>
      <c r="H22" s="10">
        <f t="shared" si="1"/>
        <v>1.0725E-2</v>
      </c>
      <c r="I22" t="s">
        <v>67</v>
      </c>
    </row>
    <row r="23" spans="1:9" x14ac:dyDescent="0.25">
      <c r="A23" s="18" t="s">
        <v>39</v>
      </c>
      <c r="C23" s="22">
        <v>3.3</v>
      </c>
      <c r="D23" s="23">
        <v>0</v>
      </c>
      <c r="E23" s="24">
        <f t="shared" si="0"/>
        <v>0</v>
      </c>
      <c r="F23" s="31">
        <v>0</v>
      </c>
      <c r="G23" s="11">
        <f>F23*($E$3+$E$4)</f>
        <v>0</v>
      </c>
      <c r="H23" s="10">
        <f t="shared" si="1"/>
        <v>0</v>
      </c>
    </row>
    <row r="24" spans="1:9" x14ac:dyDescent="0.25">
      <c r="A24" t="s">
        <v>40</v>
      </c>
      <c r="B24" s="18" t="s">
        <v>10</v>
      </c>
      <c r="C24" s="22">
        <v>3.7</v>
      </c>
      <c r="D24" s="23">
        <v>100</v>
      </c>
      <c r="E24" s="24">
        <f t="shared" si="0"/>
        <v>370</v>
      </c>
      <c r="F24" s="31">
        <v>0.5</v>
      </c>
      <c r="G24" s="11">
        <f>F24*($E$3+$E$4)</f>
        <v>0.75</v>
      </c>
      <c r="H24" s="10">
        <f t="shared" si="1"/>
        <v>0.27750000000000002</v>
      </c>
      <c r="I24" t="s">
        <v>75</v>
      </c>
    </row>
    <row r="25" spans="1:9" x14ac:dyDescent="0.25">
      <c r="A25" t="s">
        <v>41</v>
      </c>
      <c r="B25" s="18" t="s">
        <v>55</v>
      </c>
      <c r="C25" s="22">
        <v>3.7</v>
      </c>
      <c r="D25" s="23">
        <v>250</v>
      </c>
      <c r="E25" s="24">
        <f t="shared" si="0"/>
        <v>925</v>
      </c>
      <c r="F25" s="31">
        <f>E4/(E3+E4)/2</f>
        <v>0.125</v>
      </c>
      <c r="G25" s="11">
        <f>F25*($E$3+$E$4)</f>
        <v>0.1875</v>
      </c>
      <c r="H25" s="10">
        <f t="shared" si="1"/>
        <v>0.17343749999999999</v>
      </c>
      <c r="I25" t="s">
        <v>68</v>
      </c>
    </row>
    <row r="26" spans="1:9" x14ac:dyDescent="0.25">
      <c r="A26" s="18" t="s">
        <v>42</v>
      </c>
      <c r="B26" s="18" t="s">
        <v>56</v>
      </c>
      <c r="C26" s="22">
        <v>3.7</v>
      </c>
      <c r="D26" s="23">
        <v>250</v>
      </c>
      <c r="E26" s="24">
        <f t="shared" si="0"/>
        <v>925</v>
      </c>
      <c r="F26" s="31">
        <f>E4/(E3+E4)/2</f>
        <v>0.125</v>
      </c>
      <c r="G26" s="11">
        <f>F26*($E$3+$E$4)</f>
        <v>0.1875</v>
      </c>
      <c r="H26" s="10">
        <f t="shared" si="1"/>
        <v>0.17343749999999999</v>
      </c>
      <c r="I26" s="18" t="s">
        <v>68</v>
      </c>
    </row>
    <row r="27" spans="1:9" x14ac:dyDescent="0.25">
      <c r="A27" s="18" t="s">
        <v>43</v>
      </c>
      <c r="B27" s="18" t="s">
        <v>57</v>
      </c>
      <c r="C27" s="22">
        <v>3.7</v>
      </c>
      <c r="D27" s="23">
        <v>300</v>
      </c>
      <c r="E27" s="24">
        <f t="shared" si="0"/>
        <v>1110</v>
      </c>
      <c r="F27" s="31">
        <f>8/60</f>
        <v>0.13333333333333333</v>
      </c>
      <c r="G27" s="11">
        <f>F27*($E$3+$E$4)</f>
        <v>0.2</v>
      </c>
      <c r="H27" s="10">
        <f t="shared" si="1"/>
        <v>0.222</v>
      </c>
      <c r="I27" t="s">
        <v>69</v>
      </c>
    </row>
    <row r="28" spans="1:9" x14ac:dyDescent="0.25">
      <c r="A28" s="18" t="s">
        <v>44</v>
      </c>
      <c r="B28" s="18" t="s">
        <v>58</v>
      </c>
      <c r="C28" s="22">
        <v>3.7</v>
      </c>
      <c r="D28" s="23">
        <v>1000</v>
      </c>
      <c r="E28" s="24">
        <f t="shared" si="0"/>
        <v>3700</v>
      </c>
      <c r="F28" s="31">
        <v>0</v>
      </c>
      <c r="G28" s="11">
        <f>F28*($E$3+$E$4)</f>
        <v>0</v>
      </c>
      <c r="H28" s="10">
        <f t="shared" si="1"/>
        <v>0</v>
      </c>
      <c r="I28" t="s">
        <v>70</v>
      </c>
    </row>
    <row r="29" spans="1:9" x14ac:dyDescent="0.25">
      <c r="A29" s="18" t="s">
        <v>45</v>
      </c>
      <c r="B29" s="18" t="s">
        <v>59</v>
      </c>
      <c r="C29" s="22">
        <v>3.7</v>
      </c>
      <c r="D29" s="23">
        <v>250</v>
      </c>
      <c r="E29" s="24">
        <f t="shared" si="0"/>
        <v>925</v>
      </c>
      <c r="F29" s="31">
        <f>E4/(E3+E4)/2</f>
        <v>0.125</v>
      </c>
      <c r="G29" s="11">
        <f>F29*($E$3+$E$4)</f>
        <v>0.1875</v>
      </c>
      <c r="H29" s="10">
        <f t="shared" si="1"/>
        <v>0.17343749999999999</v>
      </c>
      <c r="I29" s="18" t="s">
        <v>68</v>
      </c>
    </row>
    <row r="30" spans="1:9" x14ac:dyDescent="0.25">
      <c r="A30" s="18" t="s">
        <v>46</v>
      </c>
      <c r="C30" s="22">
        <v>3.7</v>
      </c>
      <c r="D30" s="23">
        <v>0</v>
      </c>
      <c r="E30" s="24">
        <f t="shared" si="0"/>
        <v>0</v>
      </c>
      <c r="F30" s="31">
        <v>0</v>
      </c>
      <c r="G30" s="11">
        <f>F30*($E$3+$E$4)</f>
        <v>0</v>
      </c>
      <c r="H30" s="10">
        <f t="shared" si="1"/>
        <v>0</v>
      </c>
    </row>
    <row r="31" spans="1:9" x14ac:dyDescent="0.25">
      <c r="E31" s="3"/>
      <c r="F31" s="8"/>
      <c r="G31" s="9" t="str">
        <f>IF(F31*($E$3+$E$4)&lt;&gt;0, F31*($E$3+$E$4), " ")</f>
        <v xml:space="preserve"> </v>
      </c>
      <c r="H31" s="10" t="str">
        <f t="shared" ref="H31:H45" si="2">IF(F31&lt;&gt;0,E31*G31,"")</f>
        <v/>
      </c>
    </row>
    <row r="32" spans="1:9" x14ac:dyDescent="0.25">
      <c r="E32" s="3"/>
      <c r="F32" s="8"/>
      <c r="G32" s="9" t="str">
        <f>IF(F32*($E$3+$E$4)&lt;&gt;0, F32*($E$3+$E$4), " ")</f>
        <v xml:space="preserve"> </v>
      </c>
      <c r="H32" s="10" t="str">
        <f t="shared" si="2"/>
        <v/>
      </c>
    </row>
    <row r="33" spans="5:8" x14ac:dyDescent="0.25">
      <c r="E33" s="3"/>
      <c r="F33" s="8"/>
      <c r="G33" s="9" t="str">
        <f>IF(F33*($E$3+$E$4)&lt;&gt;0, F33*($E$3+$E$4), " ")</f>
        <v xml:space="preserve"> </v>
      </c>
      <c r="H33" s="10" t="str">
        <f t="shared" si="2"/>
        <v/>
      </c>
    </row>
    <row r="34" spans="5:8" x14ac:dyDescent="0.25">
      <c r="E34" s="3"/>
      <c r="F34" s="8"/>
      <c r="G34" s="9" t="str">
        <f>IF(F34*($E$3+$E$4)&lt;&gt;0, F34*($E$3+$E$4), " ")</f>
        <v xml:space="preserve"> </v>
      </c>
      <c r="H34" s="10" t="str">
        <f t="shared" si="2"/>
        <v/>
      </c>
    </row>
    <row r="35" spans="5:8" x14ac:dyDescent="0.25">
      <c r="E35" s="3"/>
      <c r="F35" s="8"/>
      <c r="G35" s="9" t="str">
        <f>IF(F35*($E$3+$E$4)&lt;&gt;0, F35*($E$3+$E$4), " ")</f>
        <v xml:space="preserve"> </v>
      </c>
      <c r="H35" s="10" t="str">
        <f t="shared" si="2"/>
        <v/>
      </c>
    </row>
    <row r="36" spans="5:8" x14ac:dyDescent="0.25">
      <c r="E36" s="3"/>
      <c r="F36" s="8"/>
      <c r="G36" s="9" t="str">
        <f>IF(F36*($E$3+$E$4)&lt;&gt;0, F36*($E$3+$E$4), " ")</f>
        <v xml:space="preserve"> </v>
      </c>
      <c r="H36" s="10" t="str">
        <f t="shared" si="2"/>
        <v/>
      </c>
    </row>
    <row r="37" spans="5:8" x14ac:dyDescent="0.25">
      <c r="E37" s="3"/>
      <c r="F37" s="8"/>
      <c r="G37" s="9" t="str">
        <f>IF(F37*($E$3+$E$4)&lt;&gt;0, F37*($E$3+$E$4), " ")</f>
        <v xml:space="preserve"> </v>
      </c>
      <c r="H37" s="10" t="str">
        <f t="shared" si="2"/>
        <v/>
      </c>
    </row>
    <row r="38" spans="5:8" x14ac:dyDescent="0.25">
      <c r="E38" s="3"/>
      <c r="F38" s="8"/>
      <c r="G38" s="32"/>
      <c r="H38" s="10" t="str">
        <f t="shared" si="2"/>
        <v/>
      </c>
    </row>
    <row r="39" spans="5:8" x14ac:dyDescent="0.25">
      <c r="E39" s="3"/>
      <c r="F39" s="8"/>
      <c r="G39" s="9" t="str">
        <f>IF(F39*($E$3+$E$4)&lt;&gt;0, F39*($E$3+$E$4), " ")</f>
        <v xml:space="preserve"> </v>
      </c>
      <c r="H39" s="10" t="str">
        <f t="shared" si="2"/>
        <v/>
      </c>
    </row>
    <row r="40" spans="5:8" x14ac:dyDescent="0.25">
      <c r="E40" s="3"/>
      <c r="F40" s="8"/>
      <c r="G40" s="9" t="str">
        <f>IF(F40*($E$3+$E$4)&lt;&gt;0, F40*($E$3+$E$4), " ")</f>
        <v xml:space="preserve"> </v>
      </c>
      <c r="H40" s="10" t="str">
        <f t="shared" si="2"/>
        <v/>
      </c>
    </row>
    <row r="41" spans="5:8" x14ac:dyDescent="0.25">
      <c r="E41" s="3"/>
      <c r="F41" s="8"/>
      <c r="G41" s="9" t="str">
        <f>IF(F41*($E$3+$E$4)&lt;&gt;0, F41*($E$3+$E$4), " ")</f>
        <v xml:space="preserve"> </v>
      </c>
      <c r="H41" s="10" t="str">
        <f t="shared" si="2"/>
        <v/>
      </c>
    </row>
    <row r="42" spans="5:8" x14ac:dyDescent="0.25">
      <c r="E42" s="3"/>
      <c r="F42" s="8"/>
      <c r="G42" s="9" t="str">
        <f>IF(F42*($E$3+$E$4)&lt;&gt;0, F42*($E$3+$E$4), " ")</f>
        <v xml:space="preserve"> </v>
      </c>
      <c r="H42" s="10" t="str">
        <f t="shared" si="2"/>
        <v/>
      </c>
    </row>
    <row r="43" spans="5:8" x14ac:dyDescent="0.25">
      <c r="E43" s="3"/>
      <c r="F43" s="8"/>
      <c r="G43" s="9" t="str">
        <f>IF(F43*($E$3+$E$4)&lt;&gt;0, F43*($E$3+$E$4), " ")</f>
        <v xml:space="preserve"> </v>
      </c>
      <c r="H43" s="10" t="str">
        <f t="shared" si="2"/>
        <v/>
      </c>
    </row>
    <row r="44" spans="5:8" x14ac:dyDescent="0.25">
      <c r="E44" s="3"/>
      <c r="F44" s="8"/>
      <c r="G44" s="9" t="str">
        <f>IF(F44*($E$3+$E$4)&lt;&gt;0, F44*($E$3+$E$4), " ")</f>
        <v xml:space="preserve"> </v>
      </c>
      <c r="H44" s="10" t="str">
        <f t="shared" si="2"/>
        <v/>
      </c>
    </row>
    <row r="45" spans="5:8" x14ac:dyDescent="0.25">
      <c r="E45" s="3"/>
      <c r="F45" s="8"/>
      <c r="G45" s="9" t="str">
        <f>IF(F45*($E$3+$E$4)&lt;&gt;0, F45*($E$3+$E$4), " ")</f>
        <v xml:space="preserve"> </v>
      </c>
      <c r="H45" s="10" t="str">
        <f t="shared" si="2"/>
        <v/>
      </c>
    </row>
    <row r="46" spans="5:8" x14ac:dyDescent="0.25">
      <c r="E46" s="3"/>
      <c r="F46" s="8"/>
      <c r="G46" s="9" t="str">
        <f>IF(F46*($E$3+$E$4)&lt;&gt;0, F46*($E$3+$E$4), " ")</f>
        <v xml:space="preserve"> </v>
      </c>
      <c r="H46" s="2" t="str">
        <f t="shared" ref="H46:H54" si="3">IF(E46*F46&lt;&gt;0,E46*F46,"")</f>
        <v/>
      </c>
    </row>
    <row r="47" spans="5:8" x14ac:dyDescent="0.25">
      <c r="E47" s="3"/>
      <c r="F47" s="8"/>
      <c r="G47" s="9" t="str">
        <f>IF(F47*($E$3+$E$4)&lt;&gt;0, F47*($E$3+$E$4), " ")</f>
        <v xml:space="preserve"> </v>
      </c>
      <c r="H47" s="2" t="str">
        <f t="shared" si="3"/>
        <v/>
      </c>
    </row>
    <row r="48" spans="5:8" x14ac:dyDescent="0.25">
      <c r="E48" s="3"/>
      <c r="F48" s="8"/>
      <c r="G48" s="1"/>
      <c r="H48" s="2" t="str">
        <f t="shared" si="3"/>
        <v/>
      </c>
    </row>
    <row r="49" spans="5:8" x14ac:dyDescent="0.25">
      <c r="E49" s="3"/>
      <c r="F49" s="8"/>
      <c r="G49" s="1"/>
      <c r="H49" s="2" t="str">
        <f t="shared" si="3"/>
        <v/>
      </c>
    </row>
    <row r="50" spans="5:8" x14ac:dyDescent="0.25">
      <c r="E50" s="3"/>
      <c r="F50" s="8"/>
      <c r="G50" s="1"/>
      <c r="H50" s="2" t="str">
        <f t="shared" si="3"/>
        <v/>
      </c>
    </row>
    <row r="51" spans="5:8" x14ac:dyDescent="0.25">
      <c r="E51" s="3"/>
      <c r="F51" s="8"/>
      <c r="G51" s="1"/>
      <c r="H51" s="2" t="str">
        <f t="shared" si="3"/>
        <v/>
      </c>
    </row>
    <row r="52" spans="5:8" x14ac:dyDescent="0.25">
      <c r="E52" s="3"/>
      <c r="F52" s="8"/>
      <c r="G52" s="1"/>
      <c r="H52" s="2" t="str">
        <f t="shared" si="3"/>
        <v/>
      </c>
    </row>
    <row r="53" spans="5:8" x14ac:dyDescent="0.25">
      <c r="E53" s="3"/>
      <c r="F53" s="8"/>
      <c r="G53" s="1"/>
      <c r="H53" s="2" t="str">
        <f t="shared" si="3"/>
        <v/>
      </c>
    </row>
    <row r="54" spans="5:8" x14ac:dyDescent="0.25">
      <c r="E54" s="3"/>
      <c r="F54" s="8"/>
      <c r="G54" s="1"/>
      <c r="H54" s="2" t="str">
        <f t="shared" si="3"/>
        <v/>
      </c>
    </row>
    <row r="55" spans="5:8" x14ac:dyDescent="0.25">
      <c r="F55" s="8"/>
    </row>
    <row r="56" spans="5:8" x14ac:dyDescent="0.25">
      <c r="F56" s="8"/>
    </row>
    <row r="57" spans="5:8" x14ac:dyDescent="0.25">
      <c r="F57" s="8"/>
    </row>
    <row r="58" spans="5:8" x14ac:dyDescent="0.25">
      <c r="F58" s="8"/>
    </row>
    <row r="59" spans="5:8" x14ac:dyDescent="0.25">
      <c r="F59" s="8"/>
    </row>
    <row r="60" spans="5:8" x14ac:dyDescent="0.25">
      <c r="F60" s="8"/>
    </row>
    <row r="61" spans="5:8" x14ac:dyDescent="0.25">
      <c r="F61" s="8"/>
    </row>
    <row r="62" spans="5:8" x14ac:dyDescent="0.25">
      <c r="F62" s="8"/>
    </row>
    <row r="63" spans="5:8" x14ac:dyDescent="0.25">
      <c r="F63" s="8"/>
    </row>
    <row r="64" spans="5:8" x14ac:dyDescent="0.25">
      <c r="F64" s="8"/>
    </row>
  </sheetData>
  <mergeCells count="11">
    <mergeCell ref="F3:I3"/>
    <mergeCell ref="F4:I4"/>
    <mergeCell ref="F5:I5"/>
    <mergeCell ref="F6:I6"/>
    <mergeCell ref="F7:I7"/>
    <mergeCell ref="A1:H1"/>
    <mergeCell ref="A2:H2"/>
    <mergeCell ref="C3:D3"/>
    <mergeCell ref="C4:D4"/>
    <mergeCell ref="C5:D5"/>
    <mergeCell ref="C6:D6"/>
  </mergeCells>
  <conditionalFormatting sqref="B6">
    <cfRule type="cellIs" dxfId="5" priority="11" operator="between">
      <formula>0</formula>
      <formula>$B$3*0.1</formula>
    </cfRule>
    <cfRule type="cellIs" dxfId="4" priority="12" operator="greaterThan">
      <formula>$B$3*0.1</formula>
    </cfRule>
    <cfRule type="cellIs" dxfId="3" priority="13" operator="lessThan">
      <formula>0</formula>
    </cfRule>
  </conditionalFormatting>
  <conditionalFormatting sqref="G54:G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8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720D-C79F-49CF-AAEE-45D1A431B3C7}">
  <dimension ref="A1:I64"/>
  <sheetViews>
    <sheetView tabSelected="1" workbookViewId="0">
      <pane ySplit="9" topLeftCell="A10" activePane="bottomLeft" state="frozen"/>
      <selection pane="bottomLeft" activeCell="I17" sqref="I17"/>
    </sheetView>
  </sheetViews>
  <sheetFormatPr defaultRowHeight="15" x14ac:dyDescent="0.25"/>
  <cols>
    <col min="1" max="1" width="18.85546875" style="18" bestFit="1" customWidth="1"/>
    <col min="2" max="2" width="16" style="18" bestFit="1" customWidth="1"/>
    <col min="3" max="3" width="7.85546875" style="18" bestFit="1" customWidth="1"/>
    <col min="4" max="4" width="8.42578125" style="18" bestFit="1" customWidth="1"/>
    <col min="5" max="5" width="10.85546875" style="18" bestFit="1" customWidth="1"/>
    <col min="6" max="6" width="10" style="18" bestFit="1" customWidth="1"/>
    <col min="7" max="7" width="9.5703125" style="18" bestFit="1" customWidth="1"/>
    <col min="8" max="8" width="9" style="18" bestFit="1" customWidth="1"/>
    <col min="9" max="9" width="43.42578125" style="18" bestFit="1" customWidth="1"/>
    <col min="10" max="10" width="9.140625" style="18"/>
    <col min="11" max="11" width="14.28515625" style="18" bestFit="1" customWidth="1"/>
    <col min="12" max="12" width="8.42578125" style="18" bestFit="1" customWidth="1"/>
    <col min="13" max="16384" width="9.140625" style="18"/>
  </cols>
  <sheetData>
    <row r="1" spans="1:9" ht="18.75" x14ac:dyDescent="0.3">
      <c r="A1" s="20" t="s">
        <v>23</v>
      </c>
      <c r="B1" s="20"/>
      <c r="C1" s="20"/>
      <c r="D1" s="20"/>
      <c r="E1" s="20"/>
      <c r="F1" s="20"/>
      <c r="G1" s="20"/>
      <c r="H1" s="20"/>
    </row>
    <row r="2" spans="1:9" x14ac:dyDescent="0.25">
      <c r="A2" s="21" t="s">
        <v>17</v>
      </c>
      <c r="B2" s="21"/>
      <c r="C2" s="21"/>
      <c r="D2" s="21"/>
      <c r="E2" s="21"/>
      <c r="F2" s="21"/>
      <c r="G2" s="21"/>
      <c r="H2" s="21"/>
    </row>
    <row r="3" spans="1:9" x14ac:dyDescent="0.25">
      <c r="A3" s="16" t="s">
        <v>6</v>
      </c>
      <c r="B3" s="12">
        <f>E6*E5*E3</f>
        <v>3.2292665999999994</v>
      </c>
      <c r="C3" s="26" t="s">
        <v>1</v>
      </c>
      <c r="D3" s="27"/>
      <c r="E3" s="6">
        <f>18/16</f>
        <v>1.125</v>
      </c>
      <c r="F3" s="19" t="s">
        <v>72</v>
      </c>
      <c r="G3" s="28"/>
      <c r="H3" s="28"/>
      <c r="I3" s="28"/>
    </row>
    <row r="4" spans="1:9" x14ac:dyDescent="0.25">
      <c r="A4" s="16" t="s">
        <v>18</v>
      </c>
      <c r="B4" s="12">
        <f>SUM(H11:H54)*E3/SUM(E3:E4)</f>
        <v>0.91127812499999994</v>
      </c>
      <c r="C4" s="26" t="s">
        <v>0</v>
      </c>
      <c r="D4" s="27"/>
      <c r="E4" s="5">
        <f>6/16</f>
        <v>0.375</v>
      </c>
      <c r="F4" s="19" t="s">
        <v>16</v>
      </c>
      <c r="G4" s="28"/>
      <c r="H4" s="28"/>
      <c r="I4" s="28"/>
    </row>
    <row r="5" spans="1:9" x14ac:dyDescent="0.25">
      <c r="A5" s="16" t="s">
        <v>19</v>
      </c>
      <c r="B5" s="12">
        <f>SUM(H11:H54)*E4/SUM(E3:E4)</f>
        <v>0.303759375</v>
      </c>
      <c r="C5" s="26" t="s">
        <v>2</v>
      </c>
      <c r="D5" s="27"/>
      <c r="E5" s="15">
        <v>1.4</v>
      </c>
      <c r="F5" s="19" t="s">
        <v>21</v>
      </c>
      <c r="G5" s="28"/>
      <c r="H5" s="28"/>
      <c r="I5" s="28"/>
    </row>
    <row r="6" spans="1:9" x14ac:dyDescent="0.25">
      <c r="A6" s="16" t="s">
        <v>4</v>
      </c>
      <c r="B6" s="2">
        <f>B3-SUM(B4:B5)</f>
        <v>2.0142290999999997</v>
      </c>
      <c r="C6" s="25" t="s">
        <v>3</v>
      </c>
      <c r="D6" s="27"/>
      <c r="E6" s="13">
        <f>2*2.35*16.4/1000*26.6</f>
        <v>2.0503279999999999</v>
      </c>
      <c r="F6" s="19" t="s">
        <v>20</v>
      </c>
      <c r="G6" s="28"/>
      <c r="H6" s="28"/>
      <c r="I6" s="28"/>
    </row>
    <row r="7" spans="1:9" x14ac:dyDescent="0.25">
      <c r="F7" s="19" t="s">
        <v>22</v>
      </c>
      <c r="G7" s="28"/>
      <c r="H7" s="28"/>
      <c r="I7" s="28"/>
    </row>
    <row r="8" spans="1:9" x14ac:dyDescent="0.25">
      <c r="F8" s="17"/>
    </row>
    <row r="9" spans="1:9" ht="30" x14ac:dyDescent="0.25">
      <c r="A9" s="4" t="s">
        <v>26</v>
      </c>
      <c r="B9" s="4" t="s">
        <v>7</v>
      </c>
      <c r="C9" s="4" t="s">
        <v>24</v>
      </c>
      <c r="D9" s="4" t="s">
        <v>25</v>
      </c>
      <c r="E9" s="4" t="s">
        <v>60</v>
      </c>
      <c r="F9" s="4" t="s">
        <v>8</v>
      </c>
      <c r="G9" s="4" t="s">
        <v>14</v>
      </c>
      <c r="H9" s="4" t="s">
        <v>5</v>
      </c>
      <c r="I9" s="4" t="s">
        <v>63</v>
      </c>
    </row>
    <row r="10" spans="1:9" x14ac:dyDescent="0.25">
      <c r="A10" s="7" t="s">
        <v>61</v>
      </c>
      <c r="B10" s="7" t="s">
        <v>62</v>
      </c>
      <c r="C10" s="22">
        <v>3.3</v>
      </c>
      <c r="D10" s="23">
        <v>30</v>
      </c>
      <c r="E10" s="24">
        <f>C10*D10</f>
        <v>99</v>
      </c>
      <c r="F10" s="31">
        <v>1</v>
      </c>
      <c r="G10" s="11">
        <f>F10*($E$3+$E$4)</f>
        <v>1.5</v>
      </c>
      <c r="H10" s="10">
        <f>E10*G10/1000</f>
        <v>0.14849999999999999</v>
      </c>
      <c r="I10" s="4"/>
    </row>
    <row r="11" spans="1:9" x14ac:dyDescent="0.25">
      <c r="A11" s="18" t="s">
        <v>27</v>
      </c>
      <c r="B11" s="18" t="s">
        <v>9</v>
      </c>
      <c r="C11" s="22">
        <v>3.3</v>
      </c>
      <c r="D11" s="23">
        <v>20</v>
      </c>
      <c r="E11" s="24">
        <f>C11*D11</f>
        <v>66</v>
      </c>
      <c r="F11" s="31">
        <v>1</v>
      </c>
      <c r="G11" s="11">
        <f>F11*($E$3+$E$4)</f>
        <v>1.5</v>
      </c>
      <c r="H11" s="10">
        <f>E11*G11/1000</f>
        <v>9.9000000000000005E-2</v>
      </c>
      <c r="I11" s="7"/>
    </row>
    <row r="12" spans="1:9" x14ac:dyDescent="0.25">
      <c r="A12" s="18" t="s">
        <v>28</v>
      </c>
      <c r="B12" s="18" t="s">
        <v>47</v>
      </c>
      <c r="C12" s="22">
        <v>3.3</v>
      </c>
      <c r="D12" s="23">
        <v>60</v>
      </c>
      <c r="E12" s="24">
        <f t="shared" ref="E12:E30" si="0">C12*D12</f>
        <v>198</v>
      </c>
      <c r="F12" s="31">
        <v>0</v>
      </c>
      <c r="G12" s="11">
        <f>F12*($E$3+$E$4)</f>
        <v>0</v>
      </c>
      <c r="H12" s="10">
        <f t="shared" ref="H12:H30" si="1">E12*G12/1000</f>
        <v>0</v>
      </c>
    </row>
    <row r="13" spans="1:9" x14ac:dyDescent="0.25">
      <c r="A13" s="18" t="s">
        <v>29</v>
      </c>
      <c r="B13" s="18" t="s">
        <v>13</v>
      </c>
      <c r="C13" s="22">
        <v>3.3</v>
      </c>
      <c r="D13" s="23">
        <v>20</v>
      </c>
      <c r="E13" s="24">
        <f t="shared" si="0"/>
        <v>66</v>
      </c>
      <c r="F13" s="31">
        <v>0.5</v>
      </c>
      <c r="G13" s="11">
        <f>F13*($E$3+$E$4)</f>
        <v>0.75</v>
      </c>
      <c r="H13" s="10">
        <f t="shared" si="1"/>
        <v>4.9500000000000002E-2</v>
      </c>
    </row>
    <row r="14" spans="1:9" x14ac:dyDescent="0.25">
      <c r="A14" s="18" t="s">
        <v>30</v>
      </c>
      <c r="B14" s="18" t="s">
        <v>11</v>
      </c>
      <c r="C14" s="22">
        <v>3.3</v>
      </c>
      <c r="D14" s="23">
        <v>45</v>
      </c>
      <c r="E14" s="24">
        <f t="shared" si="0"/>
        <v>148.5</v>
      </c>
      <c r="F14" s="31">
        <v>0.15</v>
      </c>
      <c r="G14" s="11">
        <f>F14*($E$3+$E$4)</f>
        <v>0.22499999999999998</v>
      </c>
      <c r="H14" s="10">
        <f t="shared" si="1"/>
        <v>3.3412499999999998E-2</v>
      </c>
      <c r="I14" s="18" t="s">
        <v>78</v>
      </c>
    </row>
    <row r="15" spans="1:9" x14ac:dyDescent="0.25">
      <c r="A15" s="18" t="s">
        <v>31</v>
      </c>
      <c r="B15" s="18" t="s">
        <v>12</v>
      </c>
      <c r="C15" s="22">
        <v>3.3</v>
      </c>
      <c r="D15" s="23">
        <v>55</v>
      </c>
      <c r="E15" s="24">
        <f t="shared" si="0"/>
        <v>181.5</v>
      </c>
      <c r="F15" s="31">
        <v>0</v>
      </c>
      <c r="G15" s="11">
        <f>F15*($E$3+$E$4)</f>
        <v>0</v>
      </c>
      <c r="H15" s="10">
        <f t="shared" si="1"/>
        <v>0</v>
      </c>
    </row>
    <row r="16" spans="1:9" x14ac:dyDescent="0.25">
      <c r="A16" s="18" t="s">
        <v>32</v>
      </c>
      <c r="B16" s="18" t="s">
        <v>48</v>
      </c>
      <c r="C16" s="22">
        <v>3.3</v>
      </c>
      <c r="D16" s="23">
        <v>90</v>
      </c>
      <c r="E16" s="24">
        <f t="shared" si="0"/>
        <v>297</v>
      </c>
      <c r="F16" s="31">
        <v>0</v>
      </c>
      <c r="G16" s="11">
        <f>F16*($E$3+$E$4)</f>
        <v>0</v>
      </c>
      <c r="H16" s="10">
        <f t="shared" si="1"/>
        <v>0</v>
      </c>
    </row>
    <row r="17" spans="1:9" x14ac:dyDescent="0.25">
      <c r="A17" s="18" t="s">
        <v>33</v>
      </c>
      <c r="B17" s="18" t="s">
        <v>73</v>
      </c>
      <c r="C17" s="22">
        <v>3.3</v>
      </c>
      <c r="D17" s="23">
        <v>105</v>
      </c>
      <c r="E17" s="24">
        <f t="shared" si="0"/>
        <v>346.5</v>
      </c>
      <c r="F17" s="31">
        <v>1</v>
      </c>
      <c r="G17" s="11">
        <f>F17*($E$3+$E$4)</f>
        <v>1.5</v>
      </c>
      <c r="H17" s="10">
        <f t="shared" si="1"/>
        <v>0.51975000000000005</v>
      </c>
    </row>
    <row r="18" spans="1:9" x14ac:dyDescent="0.25">
      <c r="A18" s="18" t="s">
        <v>34</v>
      </c>
      <c r="B18" s="18" t="s">
        <v>50</v>
      </c>
      <c r="C18" s="22">
        <v>3.3</v>
      </c>
      <c r="D18" s="23">
        <v>50</v>
      </c>
      <c r="E18" s="24">
        <f t="shared" si="0"/>
        <v>165</v>
      </c>
      <c r="F18" s="31">
        <v>0</v>
      </c>
      <c r="G18" s="11">
        <f>F18*($E$3+$E$4)</f>
        <v>0</v>
      </c>
      <c r="H18" s="10">
        <f t="shared" si="1"/>
        <v>0</v>
      </c>
    </row>
    <row r="19" spans="1:9" x14ac:dyDescent="0.25">
      <c r="A19" s="18" t="s">
        <v>35</v>
      </c>
      <c r="B19" s="18" t="s">
        <v>51</v>
      </c>
      <c r="C19" s="22">
        <v>3.3</v>
      </c>
      <c r="D19" s="23">
        <v>390</v>
      </c>
      <c r="E19" s="24">
        <f t="shared" si="0"/>
        <v>1287</v>
      </c>
      <c r="F19" s="30">
        <v>0</v>
      </c>
      <c r="G19" s="11">
        <f>F19*($E$3+$E$4)</f>
        <v>0</v>
      </c>
      <c r="H19" s="10">
        <f t="shared" si="1"/>
        <v>0</v>
      </c>
    </row>
    <row r="20" spans="1:9" x14ac:dyDescent="0.25">
      <c r="A20" s="18" t="s">
        <v>36</v>
      </c>
      <c r="B20" s="18" t="s">
        <v>52</v>
      </c>
      <c r="C20" s="22">
        <v>3.3</v>
      </c>
      <c r="D20" s="23">
        <v>25</v>
      </c>
      <c r="E20" s="24">
        <f t="shared" si="0"/>
        <v>82.5</v>
      </c>
      <c r="F20" s="29">
        <v>0</v>
      </c>
      <c r="G20" s="11">
        <f>F20*($E$3+$E$4)</f>
        <v>0</v>
      </c>
      <c r="H20" s="10">
        <f t="shared" si="1"/>
        <v>0</v>
      </c>
    </row>
    <row r="21" spans="1:9" x14ac:dyDescent="0.25">
      <c r="A21" s="18" t="s">
        <v>37</v>
      </c>
      <c r="B21" s="18" t="s">
        <v>53</v>
      </c>
      <c r="C21" s="22">
        <v>3.3</v>
      </c>
      <c r="D21" s="23">
        <v>15</v>
      </c>
      <c r="E21" s="24">
        <f t="shared" si="0"/>
        <v>49.5</v>
      </c>
      <c r="F21" s="8">
        <v>0</v>
      </c>
      <c r="G21" s="11">
        <f>F21*($E$3+$E$4)</f>
        <v>0</v>
      </c>
      <c r="H21" s="10">
        <f t="shared" si="1"/>
        <v>0</v>
      </c>
    </row>
    <row r="22" spans="1:9" x14ac:dyDescent="0.25">
      <c r="A22" s="18" t="s">
        <v>38</v>
      </c>
      <c r="B22" s="18" t="s">
        <v>54</v>
      </c>
      <c r="C22" s="22">
        <v>3.3</v>
      </c>
      <c r="D22" s="23">
        <v>390</v>
      </c>
      <c r="E22" s="24">
        <f t="shared" si="0"/>
        <v>1287</v>
      </c>
      <c r="F22" s="31">
        <v>0</v>
      </c>
      <c r="G22" s="11">
        <f>F22*($E$3+$E$4)</f>
        <v>0</v>
      </c>
      <c r="H22" s="10">
        <f t="shared" si="1"/>
        <v>0</v>
      </c>
    </row>
    <row r="23" spans="1:9" x14ac:dyDescent="0.25">
      <c r="A23" s="18" t="s">
        <v>39</v>
      </c>
      <c r="C23" s="22">
        <v>3.3</v>
      </c>
      <c r="D23" s="23">
        <v>0</v>
      </c>
      <c r="E23" s="24">
        <f t="shared" si="0"/>
        <v>0</v>
      </c>
      <c r="F23" s="31">
        <v>0</v>
      </c>
      <c r="G23" s="11">
        <f>F23*($E$3+$E$4)</f>
        <v>0</v>
      </c>
      <c r="H23" s="10">
        <f t="shared" si="1"/>
        <v>0</v>
      </c>
    </row>
    <row r="24" spans="1:9" x14ac:dyDescent="0.25">
      <c r="A24" s="18" t="s">
        <v>40</v>
      </c>
      <c r="B24" s="18" t="s">
        <v>10</v>
      </c>
      <c r="C24" s="22">
        <v>3.7</v>
      </c>
      <c r="D24" s="23">
        <v>100</v>
      </c>
      <c r="E24" s="24">
        <f t="shared" si="0"/>
        <v>370</v>
      </c>
      <c r="F24" s="31">
        <v>0.1</v>
      </c>
      <c r="G24" s="11">
        <f>F24*($E$3+$E$4)</f>
        <v>0.15000000000000002</v>
      </c>
      <c r="H24" s="10">
        <f t="shared" si="1"/>
        <v>5.5500000000000008E-2</v>
      </c>
      <c r="I24" s="18" t="s">
        <v>75</v>
      </c>
    </row>
    <row r="25" spans="1:9" x14ac:dyDescent="0.25">
      <c r="A25" s="18" t="s">
        <v>41</v>
      </c>
      <c r="B25" s="18" t="s">
        <v>55</v>
      </c>
      <c r="C25" s="22">
        <v>3.7</v>
      </c>
      <c r="D25" s="23">
        <v>250</v>
      </c>
      <c r="E25" s="24">
        <f t="shared" si="0"/>
        <v>925</v>
      </c>
      <c r="F25" s="31">
        <f>E4/(E3+E4)/2</f>
        <v>0.125</v>
      </c>
      <c r="G25" s="11">
        <f>F25*($E$3+$E$4)</f>
        <v>0.1875</v>
      </c>
      <c r="H25" s="10">
        <f t="shared" si="1"/>
        <v>0.17343749999999999</v>
      </c>
      <c r="I25" s="18" t="s">
        <v>68</v>
      </c>
    </row>
    <row r="26" spans="1:9" x14ac:dyDescent="0.25">
      <c r="A26" s="18" t="s">
        <v>42</v>
      </c>
      <c r="B26" s="18" t="s">
        <v>56</v>
      </c>
      <c r="C26" s="22">
        <v>3.7</v>
      </c>
      <c r="D26" s="23">
        <v>250</v>
      </c>
      <c r="E26" s="24">
        <f t="shared" si="0"/>
        <v>925</v>
      </c>
      <c r="F26" s="31">
        <f>E4/(E3+E4)/2</f>
        <v>0.125</v>
      </c>
      <c r="G26" s="11">
        <f>F26*($E$3+$E$4)</f>
        <v>0.1875</v>
      </c>
      <c r="H26" s="10">
        <f t="shared" si="1"/>
        <v>0.17343749999999999</v>
      </c>
      <c r="I26" s="18" t="s">
        <v>68</v>
      </c>
    </row>
    <row r="27" spans="1:9" x14ac:dyDescent="0.25">
      <c r="A27" s="18" t="s">
        <v>43</v>
      </c>
      <c r="B27" s="18" t="s">
        <v>57</v>
      </c>
      <c r="C27" s="22">
        <v>3.7</v>
      </c>
      <c r="D27" s="23">
        <v>300</v>
      </c>
      <c r="E27" s="24">
        <f t="shared" si="0"/>
        <v>1110</v>
      </c>
      <c r="F27" s="8">
        <v>6.6666666666666666E-2</v>
      </c>
      <c r="G27" s="11">
        <f>F27*($E$3+$E$4)</f>
        <v>0.1</v>
      </c>
      <c r="H27" s="10">
        <f t="shared" si="1"/>
        <v>0.111</v>
      </c>
      <c r="I27" s="18" t="s">
        <v>76</v>
      </c>
    </row>
    <row r="28" spans="1:9" x14ac:dyDescent="0.25">
      <c r="A28" s="18" t="s">
        <v>44</v>
      </c>
      <c r="B28" s="18" t="s">
        <v>58</v>
      </c>
      <c r="C28" s="22">
        <v>3.7</v>
      </c>
      <c r="D28" s="23">
        <v>1000</v>
      </c>
      <c r="E28" s="24">
        <f t="shared" si="0"/>
        <v>3700</v>
      </c>
      <c r="F28" s="31">
        <v>0</v>
      </c>
      <c r="G28" s="11">
        <f>F28*($E$3+$E$4)</f>
        <v>0</v>
      </c>
      <c r="H28" s="10">
        <f t="shared" si="1"/>
        <v>0</v>
      </c>
    </row>
    <row r="29" spans="1:9" x14ac:dyDescent="0.25">
      <c r="A29" s="18" t="s">
        <v>45</v>
      </c>
      <c r="B29" s="18" t="s">
        <v>59</v>
      </c>
      <c r="C29" s="22">
        <v>3.7</v>
      </c>
      <c r="D29" s="23">
        <v>250</v>
      </c>
      <c r="E29" s="24">
        <f t="shared" si="0"/>
        <v>925</v>
      </c>
      <c r="F29" s="31">
        <v>0</v>
      </c>
      <c r="G29" s="11">
        <f>F29*($E$3+$E$4)</f>
        <v>0</v>
      </c>
      <c r="H29" s="10">
        <f t="shared" si="1"/>
        <v>0</v>
      </c>
      <c r="I29" s="18" t="s">
        <v>77</v>
      </c>
    </row>
    <row r="30" spans="1:9" x14ac:dyDescent="0.25">
      <c r="A30" s="18" t="s">
        <v>46</v>
      </c>
      <c r="C30" s="22">
        <v>3.7</v>
      </c>
      <c r="D30" s="23">
        <v>0</v>
      </c>
      <c r="E30" s="24">
        <f t="shared" si="0"/>
        <v>0</v>
      </c>
      <c r="F30" s="31">
        <v>0</v>
      </c>
      <c r="G30" s="11">
        <f>F30*($E$3+$E$4)</f>
        <v>0</v>
      </c>
      <c r="H30" s="10">
        <f t="shared" si="1"/>
        <v>0</v>
      </c>
    </row>
    <row r="31" spans="1:9" x14ac:dyDescent="0.25">
      <c r="E31" s="3"/>
      <c r="F31" s="8"/>
      <c r="G31" s="9" t="str">
        <f>IF(F31*($E$3+$E$4)&lt;&gt;0, F31*($E$3+$E$4), " ")</f>
        <v xml:space="preserve"> </v>
      </c>
      <c r="H31" s="10" t="str">
        <f t="shared" ref="H31:H45" si="2">IF(F31&lt;&gt;0,E31*G31,"")</f>
        <v/>
      </c>
    </row>
    <row r="32" spans="1:9" x14ac:dyDescent="0.25">
      <c r="E32" s="3"/>
      <c r="F32" s="8"/>
      <c r="G32" s="9" t="str">
        <f>IF(F32*($E$3+$E$4)&lt;&gt;0, F32*($E$3+$E$4), " ")</f>
        <v xml:space="preserve"> </v>
      </c>
      <c r="H32" s="10" t="str">
        <f t="shared" si="2"/>
        <v/>
      </c>
    </row>
    <row r="33" spans="5:8" x14ac:dyDescent="0.25">
      <c r="E33" s="3"/>
      <c r="F33" s="8"/>
      <c r="G33" s="9" t="str">
        <f>IF(F33*($E$3+$E$4)&lt;&gt;0, F33*($E$3+$E$4), " ")</f>
        <v xml:space="preserve"> </v>
      </c>
      <c r="H33" s="10" t="str">
        <f t="shared" si="2"/>
        <v/>
      </c>
    </row>
    <row r="34" spans="5:8" x14ac:dyDescent="0.25">
      <c r="E34" s="3"/>
      <c r="F34" s="8"/>
      <c r="G34" s="9" t="str">
        <f>IF(F34*($E$3+$E$4)&lt;&gt;0, F34*($E$3+$E$4), " ")</f>
        <v xml:space="preserve"> </v>
      </c>
      <c r="H34" s="10" t="str">
        <f t="shared" si="2"/>
        <v/>
      </c>
    </row>
    <row r="35" spans="5:8" x14ac:dyDescent="0.25">
      <c r="E35" s="3"/>
      <c r="F35" s="8"/>
      <c r="G35" s="9" t="str">
        <f>IF(F35*($E$3+$E$4)&lt;&gt;0, F35*($E$3+$E$4), " ")</f>
        <v xml:space="preserve"> </v>
      </c>
      <c r="H35" s="10" t="str">
        <f t="shared" si="2"/>
        <v/>
      </c>
    </row>
    <row r="36" spans="5:8" x14ac:dyDescent="0.25">
      <c r="E36" s="3"/>
      <c r="F36" s="8"/>
      <c r="G36" s="9" t="str">
        <f>IF(F36*($E$3+$E$4)&lt;&gt;0, F36*($E$3+$E$4), " ")</f>
        <v xml:space="preserve"> </v>
      </c>
      <c r="H36" s="10" t="str">
        <f t="shared" si="2"/>
        <v/>
      </c>
    </row>
    <row r="37" spans="5:8" x14ac:dyDescent="0.25">
      <c r="E37" s="3"/>
      <c r="F37" s="8"/>
      <c r="G37" s="9" t="str">
        <f>IF(F37*($E$3+$E$4)&lt;&gt;0, F37*($E$3+$E$4), " ")</f>
        <v xml:space="preserve"> </v>
      </c>
      <c r="H37" s="10" t="str">
        <f t="shared" si="2"/>
        <v/>
      </c>
    </row>
    <row r="38" spans="5:8" x14ac:dyDescent="0.25">
      <c r="E38" s="3"/>
      <c r="F38" s="8"/>
      <c r="G38" s="32"/>
      <c r="H38" s="10" t="str">
        <f t="shared" si="2"/>
        <v/>
      </c>
    </row>
    <row r="39" spans="5:8" x14ac:dyDescent="0.25">
      <c r="E39" s="3"/>
      <c r="F39" s="8"/>
      <c r="G39" s="9" t="str">
        <f>IF(F39*($E$3+$E$4)&lt;&gt;0, F39*($E$3+$E$4), " ")</f>
        <v xml:space="preserve"> </v>
      </c>
      <c r="H39" s="10" t="str">
        <f t="shared" si="2"/>
        <v/>
      </c>
    </row>
    <row r="40" spans="5:8" x14ac:dyDescent="0.25">
      <c r="E40" s="3"/>
      <c r="F40" s="8"/>
      <c r="G40" s="9" t="str">
        <f>IF(F40*($E$3+$E$4)&lt;&gt;0, F40*($E$3+$E$4), " ")</f>
        <v xml:space="preserve"> </v>
      </c>
      <c r="H40" s="10" t="str">
        <f t="shared" si="2"/>
        <v/>
      </c>
    </row>
    <row r="41" spans="5:8" x14ac:dyDescent="0.25">
      <c r="E41" s="3"/>
      <c r="F41" s="8"/>
      <c r="G41" s="9" t="str">
        <f>IF(F41*($E$3+$E$4)&lt;&gt;0, F41*($E$3+$E$4), " ")</f>
        <v xml:space="preserve"> </v>
      </c>
      <c r="H41" s="10" t="str">
        <f t="shared" si="2"/>
        <v/>
      </c>
    </row>
    <row r="42" spans="5:8" x14ac:dyDescent="0.25">
      <c r="E42" s="3"/>
      <c r="F42" s="8"/>
      <c r="G42" s="9" t="str">
        <f>IF(F42*($E$3+$E$4)&lt;&gt;0, F42*($E$3+$E$4), " ")</f>
        <v xml:space="preserve"> </v>
      </c>
      <c r="H42" s="10" t="str">
        <f t="shared" si="2"/>
        <v/>
      </c>
    </row>
    <row r="43" spans="5:8" x14ac:dyDescent="0.25">
      <c r="E43" s="3"/>
      <c r="F43" s="8"/>
      <c r="G43" s="9" t="str">
        <f>IF(F43*($E$3+$E$4)&lt;&gt;0, F43*($E$3+$E$4), " ")</f>
        <v xml:space="preserve"> </v>
      </c>
      <c r="H43" s="10" t="str">
        <f t="shared" si="2"/>
        <v/>
      </c>
    </row>
    <row r="44" spans="5:8" x14ac:dyDescent="0.25">
      <c r="E44" s="3"/>
      <c r="F44" s="8"/>
      <c r="G44" s="9" t="str">
        <f>IF(F44*($E$3+$E$4)&lt;&gt;0, F44*($E$3+$E$4), " ")</f>
        <v xml:space="preserve"> </v>
      </c>
      <c r="H44" s="10" t="str">
        <f t="shared" si="2"/>
        <v/>
      </c>
    </row>
    <row r="45" spans="5:8" x14ac:dyDescent="0.25">
      <c r="E45" s="3"/>
      <c r="F45" s="8"/>
      <c r="G45" s="9" t="str">
        <f>IF(F45*($E$3+$E$4)&lt;&gt;0, F45*($E$3+$E$4), " ")</f>
        <v xml:space="preserve"> </v>
      </c>
      <c r="H45" s="10" t="str">
        <f t="shared" si="2"/>
        <v/>
      </c>
    </row>
    <row r="46" spans="5:8" x14ac:dyDescent="0.25">
      <c r="E46" s="3"/>
      <c r="F46" s="8"/>
      <c r="G46" s="9" t="str">
        <f>IF(F46*($E$3+$E$4)&lt;&gt;0, F46*($E$3+$E$4), " ")</f>
        <v xml:space="preserve"> </v>
      </c>
      <c r="H46" s="2" t="str">
        <f t="shared" ref="H46:H54" si="3">IF(E46*F46&lt;&gt;0,E46*F46,"")</f>
        <v/>
      </c>
    </row>
    <row r="47" spans="5:8" x14ac:dyDescent="0.25">
      <c r="E47" s="3"/>
      <c r="F47" s="8"/>
      <c r="G47" s="9" t="str">
        <f>IF(F47*($E$3+$E$4)&lt;&gt;0, F47*($E$3+$E$4), " ")</f>
        <v xml:space="preserve"> </v>
      </c>
      <c r="H47" s="2" t="str">
        <f t="shared" si="3"/>
        <v/>
      </c>
    </row>
    <row r="48" spans="5:8" x14ac:dyDescent="0.25">
      <c r="E48" s="3"/>
      <c r="F48" s="8"/>
      <c r="G48" s="1"/>
      <c r="H48" s="2" t="str">
        <f t="shared" si="3"/>
        <v/>
      </c>
    </row>
    <row r="49" spans="5:8" x14ac:dyDescent="0.25">
      <c r="E49" s="3"/>
      <c r="F49" s="8"/>
      <c r="G49" s="1"/>
      <c r="H49" s="2" t="str">
        <f t="shared" si="3"/>
        <v/>
      </c>
    </row>
    <row r="50" spans="5:8" x14ac:dyDescent="0.25">
      <c r="E50" s="3"/>
      <c r="F50" s="8"/>
      <c r="G50" s="1"/>
      <c r="H50" s="2" t="str">
        <f t="shared" si="3"/>
        <v/>
      </c>
    </row>
    <row r="51" spans="5:8" x14ac:dyDescent="0.25">
      <c r="E51" s="3"/>
      <c r="F51" s="8"/>
      <c r="G51" s="1"/>
      <c r="H51" s="2" t="str">
        <f t="shared" si="3"/>
        <v/>
      </c>
    </row>
    <row r="52" spans="5:8" x14ac:dyDescent="0.25">
      <c r="E52" s="3"/>
      <c r="F52" s="8"/>
      <c r="G52" s="1"/>
      <c r="H52" s="2" t="str">
        <f t="shared" si="3"/>
        <v/>
      </c>
    </row>
    <row r="53" spans="5:8" x14ac:dyDescent="0.25">
      <c r="E53" s="3"/>
      <c r="F53" s="8"/>
      <c r="G53" s="1"/>
      <c r="H53" s="2" t="str">
        <f t="shared" si="3"/>
        <v/>
      </c>
    </row>
    <row r="54" spans="5:8" x14ac:dyDescent="0.25">
      <c r="E54" s="3"/>
      <c r="F54" s="8"/>
      <c r="G54" s="1"/>
      <c r="H54" s="2" t="str">
        <f t="shared" si="3"/>
        <v/>
      </c>
    </row>
    <row r="55" spans="5:8" x14ac:dyDescent="0.25">
      <c r="F55" s="8"/>
    </row>
    <row r="56" spans="5:8" x14ac:dyDescent="0.25">
      <c r="F56" s="8"/>
    </row>
    <row r="57" spans="5:8" x14ac:dyDescent="0.25">
      <c r="F57" s="8"/>
    </row>
    <row r="58" spans="5:8" x14ac:dyDescent="0.25">
      <c r="F58" s="8"/>
    </row>
    <row r="59" spans="5:8" x14ac:dyDescent="0.25">
      <c r="F59" s="8"/>
    </row>
    <row r="60" spans="5:8" x14ac:dyDescent="0.25">
      <c r="F60" s="8"/>
    </row>
    <row r="61" spans="5:8" x14ac:dyDescent="0.25">
      <c r="F61" s="8"/>
    </row>
    <row r="62" spans="5:8" x14ac:dyDescent="0.25">
      <c r="F62" s="8"/>
    </row>
    <row r="63" spans="5:8" x14ac:dyDescent="0.25">
      <c r="F63" s="8"/>
    </row>
    <row r="64" spans="5:8" x14ac:dyDescent="0.25">
      <c r="F64" s="8"/>
    </row>
  </sheetData>
  <mergeCells count="11">
    <mergeCell ref="F6:I6"/>
    <mergeCell ref="F7:I7"/>
    <mergeCell ref="A1:H1"/>
    <mergeCell ref="A2:H2"/>
    <mergeCell ref="C3:D3"/>
    <mergeCell ref="F3:I3"/>
    <mergeCell ref="C4:D4"/>
    <mergeCell ref="F4:I4"/>
    <mergeCell ref="C5:D5"/>
    <mergeCell ref="F5:I5"/>
    <mergeCell ref="C6:D6"/>
  </mergeCells>
  <conditionalFormatting sqref="B6">
    <cfRule type="cellIs" dxfId="2" priority="3" operator="between">
      <formula>0</formula>
      <formula>$B$3*0.1</formula>
    </cfRule>
    <cfRule type="cellIs" dxfId="1" priority="4" operator="greaterThan">
      <formula>$B$3*0.1</formula>
    </cfRule>
    <cfRule type="cellIs" dxfId="0" priority="5" operator="lessThan">
      <formula>0</formula>
    </cfRule>
  </conditionalFormatting>
  <conditionalFormatting sqref="G54:G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 H8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Orbit</vt:lpstr>
      <vt:lpstr>Safe Mode Orbit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Bradley</cp:lastModifiedBy>
  <dcterms:created xsi:type="dcterms:W3CDTF">2017-09-03T00:02:45Z</dcterms:created>
  <dcterms:modified xsi:type="dcterms:W3CDTF">2018-05-27T06:05:23Z</dcterms:modified>
</cp:coreProperties>
</file>