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dley\Documents\CougsInSpace\CougSat1-Hardware\"/>
    </mc:Choice>
  </mc:AlternateContent>
  <bookViews>
    <workbookView xWindow="0" yWindow="0" windowWidth="15345" windowHeight="4455" activeTab="4" xr2:uid="{00000000-000D-0000-FFFF-FFFF00000000}"/>
  </bookViews>
  <sheets>
    <sheet name="Notes" sheetId="3" r:id="rId1"/>
    <sheet name="GoundCamera" sheetId="8" r:id="rId2"/>
    <sheet name="Telescope" sheetId="9" r:id="rId3"/>
    <sheet name="LEDs" sheetId="10" r:id="rId4"/>
    <sheet name="Laser" sheetId="11" r:id="rId5"/>
  </sheets>
  <calcPr calcId="171027"/>
  <fileRecoveryPr autoRecover="0"/>
</workbook>
</file>

<file path=xl/calcChain.xml><?xml version="1.0" encoding="utf-8"?>
<calcChain xmlns="http://schemas.openxmlformats.org/spreadsheetml/2006/main">
  <c r="B14" i="11" l="1"/>
  <c r="B27" i="11"/>
  <c r="B9" i="11" l="1"/>
  <c r="B10" i="11" s="1"/>
  <c r="B11" i="11" l="1"/>
  <c r="B19" i="11" s="1"/>
  <c r="E17" i="8"/>
  <c r="E13" i="8"/>
  <c r="E14" i="8" s="1"/>
  <c r="E11" i="8"/>
  <c r="E18" i="8" s="1"/>
  <c r="E16" i="8"/>
  <c r="E15" i="8"/>
  <c r="B15" i="8"/>
  <c r="B10" i="8"/>
  <c r="B11" i="8"/>
  <c r="B9" i="8"/>
  <c r="B9" i="10"/>
  <c r="B5" i="10"/>
  <c r="B7" i="10" s="1"/>
  <c r="B10" i="10" s="1"/>
  <c r="B11" i="10" s="1"/>
  <c r="B22" i="11" l="1"/>
  <c r="B25" i="11" s="1"/>
  <c r="B23" i="11"/>
  <c r="B26" i="11" s="1"/>
  <c r="B20" i="11"/>
  <c r="B21" i="11"/>
  <c r="B28" i="11"/>
  <c r="B29" i="11" s="1"/>
  <c r="B20" i="8"/>
  <c r="B19" i="8"/>
  <c r="B16" i="8"/>
  <c r="B17" i="8" s="1"/>
  <c r="B18" i="8" s="1"/>
  <c r="B14" i="10"/>
</calcChain>
</file>

<file path=xl/sharedStrings.xml><?xml version="1.0" encoding="utf-8"?>
<sst xmlns="http://schemas.openxmlformats.org/spreadsheetml/2006/main" count="122" uniqueCount="107">
  <si>
    <t>Ground Camera</t>
  </si>
  <si>
    <t>CougSat-1 Payload Calculation</t>
  </si>
  <si>
    <t>This sheet determines the feasibility of various payloads</t>
  </si>
  <si>
    <t>LEDs</t>
  </si>
  <si>
    <t>Lights that flash and are observable from the ground</t>
  </si>
  <si>
    <t>Camera to take photos of the earth and selfies</t>
  </si>
  <si>
    <t>Telescope</t>
  </si>
  <si>
    <t>Camera to take photos of M31 and other sky objects</t>
  </si>
  <si>
    <t>Distance to Sat</t>
  </si>
  <si>
    <t>Power per LED</t>
  </si>
  <si>
    <t>Total Power</t>
  </si>
  <si>
    <t>Duration of illumination</t>
  </si>
  <si>
    <t>Percent of battery depleted</t>
  </si>
  <si>
    <t>Illuminance at the ground</t>
  </si>
  <si>
    <t>Apparent Magnitude</t>
  </si>
  <si>
    <t>Require luminance intensity</t>
  </si>
  <si>
    <t>Luminance intensity per LED</t>
  </si>
  <si>
    <t>VLCS5830 (Red 5mm x 8deg)</t>
  </si>
  <si>
    <t>Duty cycle</t>
  </si>
  <si>
    <t>Object</t>
  </si>
  <si>
    <t>Sun</t>
  </si>
  <si>
    <t>Full Moon</t>
  </si>
  <si>
    <t>ISS</t>
  </si>
  <si>
    <t>Venus</t>
  </si>
  <si>
    <t>Betelgeuse</t>
  </si>
  <si>
    <t>Polaris</t>
  </si>
  <si>
    <t>Naked Eye Limit</t>
  </si>
  <si>
    <t>Binocular Limit</t>
  </si>
  <si>
    <t>M31 (Amdromeda)</t>
  </si>
  <si>
    <t>Required LEDs</t>
  </si>
  <si>
    <t>About 350 5mm leds max</t>
  </si>
  <si>
    <t>Light</t>
  </si>
  <si>
    <t>Lens</t>
  </si>
  <si>
    <t>Altitude</t>
  </si>
  <si>
    <t>FOV</t>
  </si>
  <si>
    <t>Albedo (forest, water)</t>
  </si>
  <si>
    <t>Albedo (cloud, snow)</t>
  </si>
  <si>
    <t>Albedo (average)</t>
  </si>
  <si>
    <t>Sun luminous efficacy</t>
  </si>
  <si>
    <t>Luminance (forest,  water)</t>
  </si>
  <si>
    <t>Luminance (cloud, snow)</t>
  </si>
  <si>
    <t>Luminance (average)</t>
  </si>
  <si>
    <t>Sun light intensity</t>
  </si>
  <si>
    <t>Aperture</t>
  </si>
  <si>
    <t>Camera sensistivity</t>
  </si>
  <si>
    <t>Shutter duration</t>
  </si>
  <si>
    <t>q Value</t>
  </si>
  <si>
    <t>Transmitance</t>
  </si>
  <si>
    <t>Vignetting factor (at 10°)</t>
  </si>
  <si>
    <t>Exposure (cloud, snow)</t>
  </si>
  <si>
    <t>Camera Vref</t>
  </si>
  <si>
    <t>Voltage (cloud, snow)</t>
  </si>
  <si>
    <t>ADC (cloud, snow)</t>
  </si>
  <si>
    <t>ADC (forest, water)</t>
  </si>
  <si>
    <t>ADC (average)</t>
  </si>
  <si>
    <t>Needs to be under 1</t>
  </si>
  <si>
    <t>Object Diameter</t>
  </si>
  <si>
    <t>Diffraction Limit</t>
  </si>
  <si>
    <t>Image Diameter</t>
  </si>
  <si>
    <t>Hyperfocal Distance</t>
  </si>
  <si>
    <t>Mirror Distance</t>
  </si>
  <si>
    <t>Selfie Object Diameter</t>
  </si>
  <si>
    <t>This needs to be larger than altudtude for the earth to be in focus</t>
  </si>
  <si>
    <t>This needs to be less than the mirror distance times 2 in order to use one lens for both uses</t>
  </si>
  <si>
    <t>Satelite image %</t>
  </si>
  <si>
    <t>Planar mirrors double the image when taking a selfie</t>
  </si>
  <si>
    <t>Linear portion of image that is the selfie</t>
  </si>
  <si>
    <t>12,742km diameter of earth, 580km width of washington, 5km width of pullman</t>
  </si>
  <si>
    <t>Focal Length</t>
  </si>
  <si>
    <t>Acceptably sharp distance</t>
  </si>
  <si>
    <t>Horizontal Pixels</t>
  </si>
  <si>
    <t>Single Pixel Width</t>
  </si>
  <si>
    <t>http://www.scorpionvision.co.uk/Catalog/Machine-Vision-Lens/m12-lenses/5-0-mega-pixel-m12-lenses/s-mount-2-5mm-lens</t>
  </si>
  <si>
    <t>Laser</t>
  </si>
  <si>
    <t>Laser based high speed communication and signaling</t>
  </si>
  <si>
    <t>Wavelength</t>
  </si>
  <si>
    <t>Observation Angle</t>
  </si>
  <si>
    <t>Link Distance</t>
  </si>
  <si>
    <t>Spot Irradiance</t>
  </si>
  <si>
    <t>Filter Transmission</t>
  </si>
  <si>
    <t>Photodiode sensitivity</t>
  </si>
  <si>
    <t>Received Optical Power</t>
  </si>
  <si>
    <t>Dark Current</t>
  </si>
  <si>
    <t>Laser Current</t>
  </si>
  <si>
    <t>Received Illuminance</t>
  </si>
  <si>
    <t>Human Luminous Efficacy</t>
  </si>
  <si>
    <t>See chart to right</t>
  </si>
  <si>
    <t>Transmitted Optical Power</t>
  </si>
  <si>
    <t>See list to right</t>
  </si>
  <si>
    <t>Night Current</t>
  </si>
  <si>
    <t>To be tested</t>
  </si>
  <si>
    <t>Day Current</t>
  </si>
  <si>
    <t>Signal to Noise Ratio (Night)</t>
  </si>
  <si>
    <t>Signal to Noise Ratio (Day)</t>
  </si>
  <si>
    <t>FDS025</t>
  </si>
  <si>
    <t>Bit Error Rate (RZ-OOK)(Night)</t>
  </si>
  <si>
    <t>Bit Error Rate (RZ-OOK)(Day)</t>
  </si>
  <si>
    <t>1V</t>
  </si>
  <si>
    <t>L808P1000MM</t>
  </si>
  <si>
    <t>FBH810-10</t>
  </si>
  <si>
    <t>Spot Radius</t>
  </si>
  <si>
    <t>Packet Size</t>
  </si>
  <si>
    <t>Bad Packet Rate (RZ-OOK)(Night)</t>
  </si>
  <si>
    <t>Bad Packet Rate (RZ-OOK)(Day)</t>
  </si>
  <si>
    <t>Naked Eye Urban</t>
  </si>
  <si>
    <t>Lens Output Half Angle</t>
  </si>
  <si>
    <t>Telescope Aperture 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</si>
</sst>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1">
    <numFmt numFmtId="164" formatCode="0\ &quot;km&quot;"/>
    <numFmt numFmtId="165" formatCode="0.0\ &quot;Cd&quot;"/>
    <numFmt numFmtId="166" formatCode="0.00\ &quot;W&quot;"/>
    <numFmt numFmtId="167" formatCode="0\ &quot;W&quot;"/>
    <numFmt numFmtId="168" formatCode="0\ &quot;sec&quot;"/>
    <numFmt numFmtId="170" formatCode="0.00E+0\ &quot;lux&quot;"/>
    <numFmt numFmtId="171" formatCode="0.0\ &quot;°&quot;"/>
    <numFmt numFmtId="172" formatCode="0\ &quot;Wm⁻²&quot;"/>
    <numFmt numFmtId="173" formatCode="0\ &quot;lmW⁻¹&quot;"/>
    <numFmt numFmtId="174" formatCode="&quot;f/&quot;0.0"/>
    <numFmt numFmtId="175" formatCode="0.00\ &quot;V lux⁻¹ s⁻¹&quot;"/>
    <numFmt numFmtId="176" formatCode="0.0\ &quot;µs&quot;"/>
    <numFmt numFmtId="177" formatCode="0.00\ &quot;V&quot;"/>
    <numFmt numFmtId="178" formatCode="0.00\ &quot;lux s&quot;"/>
    <numFmt numFmtId="179" formatCode="0.0\ &quot;mm&quot;"/>
    <numFmt numFmtId="180" formatCode="0.00\ &quot;mm&quot;"/>
    <numFmt numFmtId="181" formatCode="0\ &quot;px&quot;"/>
    <numFmt numFmtId="182" formatCode="0\ &quot;m&quot;"/>
    <numFmt numFmtId="183" formatCode="0\ &quot;mW&quot;"/>
    <numFmt numFmtId="184" formatCode="0\ &quot;nm&quot;"/>
    <numFmt numFmtId="185" formatCode="0.00E+0\ &quot;Wm⁻²&quot;"/>
    <numFmt numFmtId="186" formatCode="0\ &quot;mm&quot;"/>
    <numFmt numFmtId="187" formatCode="0.00\ &quot;AW⁻¹&quot;"/>
    <numFmt numFmtId="188" formatCode="0.0\ &quot;dB&quot;"/>
    <numFmt numFmtId="189" formatCode="0.0"/>
    <numFmt numFmtId="190" formatCode="0.00E+0\ &quot;W&quot;"/>
    <numFmt numFmtId="191" formatCode="0.0\ &quot;km&quot;"/>
    <numFmt numFmtId="192" formatCode="0.0\ &quot;pA&quot;"/>
    <numFmt numFmtId="193" formatCode="0.0E+0"/>
    <numFmt numFmtId="194" formatCode="0\ &quot;B&quot;"/>
    <numFmt numFmtId="200" formatCode="0.0\ &quot;LEDs&quot;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">
    <xf numFmtId="0" fontId="0" fillId="0" borderId="0"/>
    <xf numFmtId="9" fontId="3" fillId="0" borderId="0" applyFont="0" applyFill="0" applyBorder="0" applyAlignment="0" applyProtection="0"/>
    <xf numFmtId="0" fontId="4" fillId="2" borderId="1" applyNumberFormat="0" applyAlignment="0" applyProtection="0"/>
    <xf numFmtId="0" fontId="5" fillId="3" borderId="2" applyNumberFormat="0" applyAlignment="0" applyProtection="0"/>
    <xf numFmtId="0" fontId="6" fillId="3" borderId="1" applyNumberFormat="0" applyAlignment="0" applyProtection="0"/>
    <xf numFmtId="0" fontId="7" fillId="4" borderId="3" applyNumberFormat="0" applyAlignment="0" applyProtection="0"/>
    <xf numFmtId="0" fontId="9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Alignment="1"/>
    <xf numFmtId="0" fontId="2" fillId="0" borderId="0" xfId="0" applyFont="1" applyAlignment="1"/>
    <xf numFmtId="0" fontId="8" fillId="0" borderId="0" xfId="0" applyFont="1" applyAlignment="1"/>
    <xf numFmtId="0" fontId="4" fillId="2" borderId="1" xfId="2"/>
    <xf numFmtId="0" fontId="5" fillId="3" borderId="2" xfId="3"/>
    <xf numFmtId="0" fontId="6" fillId="3" borderId="1" xfId="4"/>
    <xf numFmtId="164" fontId="4" fillId="2" borderId="1" xfId="2" applyNumberFormat="1"/>
    <xf numFmtId="165" fontId="6" fillId="3" borderId="1" xfId="4" applyNumberFormat="1"/>
    <xf numFmtId="165" fontId="4" fillId="2" borderId="1" xfId="2" applyNumberFormat="1"/>
    <xf numFmtId="166" fontId="4" fillId="2" borderId="1" xfId="2" applyNumberFormat="1"/>
    <xf numFmtId="167" fontId="5" fillId="3" borderId="2" xfId="3" applyNumberFormat="1"/>
    <xf numFmtId="168" fontId="4" fillId="2" borderId="1" xfId="2" applyNumberFormat="1"/>
    <xf numFmtId="9" fontId="5" fillId="3" borderId="2" xfId="1" applyFont="1" applyFill="1" applyBorder="1"/>
    <xf numFmtId="9" fontId="4" fillId="2" borderId="1" xfId="2" applyNumberFormat="1"/>
    <xf numFmtId="170" fontId="6" fillId="3" borderId="1" xfId="4" applyNumberFormat="1"/>
    <xf numFmtId="10" fontId="7" fillId="4" borderId="3" xfId="1" applyNumberFormat="1" applyFont="1" applyFill="1" applyBorder="1"/>
    <xf numFmtId="0" fontId="0" fillId="0" borderId="0" xfId="0" applyFont="1"/>
    <xf numFmtId="172" fontId="4" fillId="2" borderId="1" xfId="2" applyNumberFormat="1"/>
    <xf numFmtId="173" fontId="4" fillId="2" borderId="1" xfId="2" applyNumberFormat="1"/>
    <xf numFmtId="174" fontId="4" fillId="2" borderId="1" xfId="2" applyNumberFormat="1"/>
    <xf numFmtId="175" fontId="4" fillId="2" borderId="1" xfId="2" applyNumberFormat="1"/>
    <xf numFmtId="176" fontId="4" fillId="2" borderId="1" xfId="2" applyNumberFormat="1"/>
    <xf numFmtId="0" fontId="0" fillId="0" borderId="0" xfId="0" applyFill="1" applyBorder="1"/>
    <xf numFmtId="2" fontId="6" fillId="3" borderId="1" xfId="4" applyNumberFormat="1"/>
    <xf numFmtId="2" fontId="4" fillId="2" borderId="1" xfId="2" applyNumberFormat="1"/>
    <xf numFmtId="177" fontId="4" fillId="2" borderId="1" xfId="2" applyNumberFormat="1"/>
    <xf numFmtId="178" fontId="6" fillId="3" borderId="1" xfId="4" applyNumberFormat="1"/>
    <xf numFmtId="9" fontId="7" fillId="4" borderId="3" xfId="5" applyNumberFormat="1"/>
    <xf numFmtId="171" fontId="4" fillId="2" borderId="1" xfId="2" applyNumberFormat="1"/>
    <xf numFmtId="179" fontId="4" fillId="2" borderId="1" xfId="2" applyNumberFormat="1"/>
    <xf numFmtId="164" fontId="5" fillId="3" borderId="2" xfId="3" applyNumberFormat="1"/>
    <xf numFmtId="180" fontId="4" fillId="2" borderId="1" xfId="2" applyNumberFormat="1"/>
    <xf numFmtId="179" fontId="5" fillId="3" borderId="2" xfId="3" applyNumberFormat="1"/>
    <xf numFmtId="179" fontId="7" fillId="4" borderId="3" xfId="5" applyNumberFormat="1"/>
    <xf numFmtId="180" fontId="5" fillId="3" borderId="2" xfId="3" applyNumberFormat="1"/>
    <xf numFmtId="181" fontId="4" fillId="2" borderId="1" xfId="2" applyNumberFormat="1"/>
    <xf numFmtId="182" fontId="5" fillId="3" borderId="2" xfId="3" applyNumberFormat="1"/>
    <xf numFmtId="0" fontId="9" fillId="0" borderId="0" xfId="6"/>
    <xf numFmtId="164" fontId="6" fillId="3" borderId="1" xfId="4" applyNumberFormat="1"/>
    <xf numFmtId="183" fontId="4" fillId="2" borderId="1" xfId="2" applyNumberFormat="1"/>
    <xf numFmtId="184" fontId="4" fillId="2" borderId="1" xfId="2" applyNumberFormat="1"/>
    <xf numFmtId="185" fontId="5" fillId="3" borderId="2" xfId="3" applyNumberFormat="1"/>
    <xf numFmtId="186" fontId="4" fillId="2" borderId="1" xfId="2" applyNumberFormat="1"/>
    <xf numFmtId="187" fontId="4" fillId="2" borderId="1" xfId="2" applyNumberFormat="1"/>
    <xf numFmtId="188" fontId="5" fillId="3" borderId="2" xfId="3" applyNumberFormat="1"/>
    <xf numFmtId="170" fontId="5" fillId="3" borderId="2" xfId="3" applyNumberFormat="1"/>
    <xf numFmtId="189" fontId="5" fillId="3" borderId="2" xfId="3" applyNumberFormat="1"/>
    <xf numFmtId="190" fontId="5" fillId="3" borderId="2" xfId="3" applyNumberFormat="1"/>
    <xf numFmtId="191" fontId="5" fillId="3" borderId="2" xfId="3" applyNumberFormat="1"/>
    <xf numFmtId="192" fontId="4" fillId="2" borderId="1" xfId="2" applyNumberFormat="1"/>
    <xf numFmtId="192" fontId="5" fillId="3" borderId="2" xfId="3" applyNumberFormat="1"/>
    <xf numFmtId="193" fontId="5" fillId="3" borderId="2" xfId="3" applyNumberForma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194" fontId="4" fillId="2" borderId="1" xfId="2" applyNumberFormat="1"/>
    <xf numFmtId="10" fontId="4" fillId="2" borderId="1" xfId="1" applyNumberFormat="1" applyFont="1" applyFill="1" applyBorder="1"/>
    <xf numFmtId="200" fontId="5" fillId="3" borderId="2" xfId="3" applyNumberFormat="1"/>
  </cellXfs>
  <cellStyles count="7">
    <cellStyle name="Calculation" xfId="4" builtinId="22"/>
    <cellStyle name="Check Cell" xfId="5" builtinId="23"/>
    <cellStyle name="Hyperlink" xfId="6" builtinId="8"/>
    <cellStyle name="Input" xfId="2" builtinId="20"/>
    <cellStyle name="Normal" xfId="0" builtinId="0"/>
    <cellStyle name="Output" xfId="3" builtinId="21"/>
    <cellStyle name="Percent" xfId="1" builtinId="5"/>
  </cellStyles>
  <dxfs count="0"/>
  <tableStyles count="0" defaultTableStyle="TableStyleMedium2" defaultPivotStyle="PivotStyleLight16"/>
  <colors>
    <mruColors>
      <color rgb="FFD6B76F"/>
      <color rgb="FFE47BD1"/>
      <color rgb="FFD76865"/>
      <color rgb="FFEAEA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95250</xdr:colOff>
      <xdr:row>0</xdr:row>
      <xdr:rowOff>28575</xdr:rowOff>
    </xdr:from>
    <xdr:to>
      <xdr:col>11</xdr:col>
      <xdr:colOff>589871</xdr:colOff>
      <xdr:row>21</xdr:row>
      <xdr:rowOff>28065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FC9D3C-BEFD-48CB-B7CF-E397AA9865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00775" y="28575"/>
          <a:ext cx="5428571" cy="40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orpionvision.co.uk/Catalog/Machine-Vision-Lens/m12-lenses/5-0-mega-pixel-m12-lenses/s-mount-2-5mm-len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zoomScaleNormal="100" workbookViewId="0">
      <selection activeCell="B18" sqref="B18"/>
    </sheetView>
  </sheetViews>
  <sheetFormatPr defaultRowHeight="15" x14ac:dyDescent="0.25"/>
  <cols>
    <col min="1" max="1" width="21.85546875" bestFit="1" customWidth="1"/>
    <col min="2" max="2" width="40.42578125" bestFit="1" customWidth="1"/>
    <col min="6" max="8" width="9.140625" customWidth="1"/>
  </cols>
  <sheetData>
    <row r="1" spans="1:10" s="1" customFormat="1" ht="28.5" x14ac:dyDescent="0.45">
      <c r="A1" s="55" t="s">
        <v>1</v>
      </c>
      <c r="B1" s="55"/>
      <c r="C1" s="55"/>
      <c r="D1" s="55"/>
      <c r="E1" s="55"/>
      <c r="F1" s="4"/>
      <c r="G1" s="4"/>
      <c r="H1" s="4"/>
    </row>
    <row r="2" spans="1:10" x14ac:dyDescent="0.25">
      <c r="A2" s="56" t="s">
        <v>2</v>
      </c>
      <c r="B2" s="56"/>
      <c r="C2" s="56"/>
      <c r="D2" s="56"/>
      <c r="E2" s="56"/>
      <c r="F2" s="2"/>
      <c r="G2" s="2"/>
      <c r="H2" s="2"/>
      <c r="I2" s="2"/>
      <c r="J2" s="2"/>
    </row>
    <row r="3" spans="1:10" x14ac:dyDescent="0.25">
      <c r="A3" s="57"/>
      <c r="B3" s="57"/>
      <c r="C3" s="57"/>
      <c r="D3" s="57"/>
      <c r="E3" s="57"/>
    </row>
    <row r="4" spans="1:10" x14ac:dyDescent="0.25">
      <c r="A4" s="2"/>
      <c r="B4" s="2"/>
    </row>
  </sheetData>
  <sortState ref="A5:B7">
    <sortCondition ref="A5:A7"/>
  </sortState>
  <mergeCells count="3">
    <mergeCell ref="A1:E1"/>
    <mergeCell ref="A2:E2"/>
    <mergeCell ref="A3:E3"/>
  </mergeCells>
  <printOptions gridLines="1"/>
  <pageMargins left="0.25" right="0.25" top="0.75" bottom="0.75" header="0.3" footer="0.3"/>
  <pageSetup paperSize="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EF5BA-68D7-457D-8E62-8F7B8EF1F33C}">
  <dimension ref="A1:F21"/>
  <sheetViews>
    <sheetView topLeftCell="A3" workbookViewId="0">
      <selection activeCell="F11" sqref="F11"/>
    </sheetView>
  </sheetViews>
  <sheetFormatPr defaultRowHeight="15" x14ac:dyDescent="0.25"/>
  <cols>
    <col min="1" max="1" width="24.7109375" style="1" bestFit="1" customWidth="1"/>
    <col min="2" max="2" width="13.42578125" style="1" bestFit="1" customWidth="1"/>
    <col min="3" max="3" width="19.140625" style="1" bestFit="1" customWidth="1"/>
    <col min="4" max="4" width="24.28515625" style="1" bestFit="1" customWidth="1"/>
    <col min="5" max="5" width="10.42578125" style="1" bestFit="1" customWidth="1"/>
    <col min="6" max="6" width="118.42578125" style="1" bestFit="1" customWidth="1"/>
    <col min="7" max="16384" width="9.140625" style="1"/>
  </cols>
  <sheetData>
    <row r="1" spans="1:6" ht="21" x14ac:dyDescent="0.35">
      <c r="A1" s="58" t="s">
        <v>0</v>
      </c>
      <c r="B1" s="58"/>
      <c r="C1" s="58"/>
      <c r="D1" s="58"/>
      <c r="E1" s="58"/>
      <c r="F1" s="5"/>
    </row>
    <row r="2" spans="1:6" x14ac:dyDescent="0.25">
      <c r="A2" s="59" t="s">
        <v>5</v>
      </c>
      <c r="B2" s="59"/>
      <c r="C2" s="59"/>
      <c r="D2" s="59"/>
      <c r="E2" s="59"/>
      <c r="F2" s="3"/>
    </row>
    <row r="3" spans="1:6" x14ac:dyDescent="0.25">
      <c r="A3" s="2" t="s">
        <v>31</v>
      </c>
      <c r="D3" s="2" t="s">
        <v>32</v>
      </c>
    </row>
    <row r="4" spans="1:6" x14ac:dyDescent="0.25">
      <c r="A4" s="19" t="s">
        <v>42</v>
      </c>
      <c r="B4" s="20">
        <v>1321</v>
      </c>
      <c r="D4" s="19" t="s">
        <v>34</v>
      </c>
      <c r="E4" s="31">
        <v>132</v>
      </c>
      <c r="F4" s="40" t="s">
        <v>72</v>
      </c>
    </row>
    <row r="5" spans="1:6" x14ac:dyDescent="0.25">
      <c r="A5" s="1" t="s">
        <v>38</v>
      </c>
      <c r="B5" s="21">
        <v>93</v>
      </c>
      <c r="D5" s="19" t="s">
        <v>68</v>
      </c>
      <c r="E5" s="32">
        <v>2.5</v>
      </c>
    </row>
    <row r="6" spans="1:6" x14ac:dyDescent="0.25">
      <c r="A6" s="1" t="s">
        <v>35</v>
      </c>
      <c r="B6" s="16">
        <v>0.1</v>
      </c>
      <c r="D6" s="1" t="s">
        <v>43</v>
      </c>
      <c r="E6" s="22">
        <v>2.4</v>
      </c>
    </row>
    <row r="7" spans="1:6" x14ac:dyDescent="0.25">
      <c r="A7" s="1" t="s">
        <v>36</v>
      </c>
      <c r="B7" s="16">
        <v>0.9</v>
      </c>
      <c r="D7" s="25" t="s">
        <v>58</v>
      </c>
      <c r="E7" s="34">
        <v>10.16</v>
      </c>
    </row>
    <row r="8" spans="1:6" x14ac:dyDescent="0.25">
      <c r="A8" s="1" t="s">
        <v>37</v>
      </c>
      <c r="B8" s="16">
        <v>0.3</v>
      </c>
      <c r="D8" s="25" t="s">
        <v>47</v>
      </c>
      <c r="E8" s="27">
        <v>0.9</v>
      </c>
    </row>
    <row r="9" spans="1:6" x14ac:dyDescent="0.25">
      <c r="A9" s="1" t="s">
        <v>39</v>
      </c>
      <c r="B9" s="17">
        <f>$B$4*$B$5*B6</f>
        <v>12285.300000000001</v>
      </c>
      <c r="D9" s="25" t="s">
        <v>48</v>
      </c>
      <c r="E9" s="6">
        <v>0.98</v>
      </c>
    </row>
    <row r="10" spans="1:6" x14ac:dyDescent="0.25">
      <c r="A10" s="1" t="s">
        <v>40</v>
      </c>
      <c r="B10" s="17">
        <f t="shared" ref="B10:B11" si="0">$B$4*$B$5*B7</f>
        <v>110567.7</v>
      </c>
      <c r="D10" s="1" t="s">
        <v>33</v>
      </c>
      <c r="E10" s="9">
        <v>400</v>
      </c>
    </row>
    <row r="11" spans="1:6" x14ac:dyDescent="0.25">
      <c r="A11" s="1" t="s">
        <v>41</v>
      </c>
      <c r="B11" s="17">
        <f t="shared" si="0"/>
        <v>36855.9</v>
      </c>
      <c r="D11" s="1" t="s">
        <v>56</v>
      </c>
      <c r="E11" s="33">
        <f>2*TAN(RADIANS(E4/2))*E10</f>
        <v>1796.8294191233731</v>
      </c>
      <c r="F11" s="1" t="s">
        <v>67</v>
      </c>
    </row>
    <row r="12" spans="1:6" x14ac:dyDescent="0.25">
      <c r="A12" s="1" t="s">
        <v>44</v>
      </c>
      <c r="B12" s="23">
        <v>1.4</v>
      </c>
      <c r="D12" s="25" t="s">
        <v>60</v>
      </c>
      <c r="E12" s="32">
        <v>90</v>
      </c>
    </row>
    <row r="13" spans="1:6" x14ac:dyDescent="0.25">
      <c r="A13" s="1" t="s">
        <v>50</v>
      </c>
      <c r="B13" s="28">
        <v>2.8</v>
      </c>
      <c r="D13" s="25" t="s">
        <v>61</v>
      </c>
      <c r="E13" s="35">
        <f>2*TAN(RADIANS(E4/2))*E12*2</f>
        <v>808.57323860551787</v>
      </c>
      <c r="F13" s="1" t="s">
        <v>65</v>
      </c>
    </row>
    <row r="14" spans="1:6" x14ac:dyDescent="0.25">
      <c r="A14" s="1" t="s">
        <v>45</v>
      </c>
      <c r="B14" s="24">
        <v>36.799999999999997</v>
      </c>
      <c r="D14" s="25" t="s">
        <v>64</v>
      </c>
      <c r="E14" s="15">
        <f>100/E13</f>
        <v>0.1236746348079267</v>
      </c>
      <c r="F14" s="1" t="s">
        <v>66</v>
      </c>
    </row>
    <row r="15" spans="1:6" ht="15.75" thickBot="1" x14ac:dyDescent="0.3">
      <c r="A15" s="1" t="s">
        <v>46</v>
      </c>
      <c r="B15" s="26">
        <f>PI()/4*E8*E9*POWER(COS(RADIANS(10)),4)</f>
        <v>0.65157483448490761</v>
      </c>
      <c r="D15" s="25" t="s">
        <v>57</v>
      </c>
      <c r="E15" s="7">
        <f>1/(E6*0.5)</f>
        <v>0.83333333333333337</v>
      </c>
      <c r="F15" s="1" t="s">
        <v>62</v>
      </c>
    </row>
    <row r="16" spans="1:6" ht="16.5" thickTop="1" thickBot="1" x14ac:dyDescent="0.3">
      <c r="A16" s="1" t="s">
        <v>49</v>
      </c>
      <c r="B16" s="29">
        <f>B15*B10*B14/1000000/POWER(E6,2)</f>
        <v>0.46027555806060255</v>
      </c>
      <c r="D16" s="25" t="s">
        <v>59</v>
      </c>
      <c r="E16" s="36">
        <f>E5+POWER(E5,2)/(E6*(E7/1500))</f>
        <v>386.97342519685043</v>
      </c>
    </row>
    <row r="17" spans="1:6" ht="16.5" thickTop="1" thickBot="1" x14ac:dyDescent="0.3">
      <c r="A17" s="25" t="s">
        <v>51</v>
      </c>
      <c r="B17" s="8">
        <f>B12*B16</f>
        <v>0.64438578128484358</v>
      </c>
      <c r="D17" s="25" t="s">
        <v>69</v>
      </c>
      <c r="E17" s="37">
        <f>E16/2</f>
        <v>193.48671259842521</v>
      </c>
      <c r="F17" s="1" t="s">
        <v>63</v>
      </c>
    </row>
    <row r="18" spans="1:6" ht="16.5" thickTop="1" thickBot="1" x14ac:dyDescent="0.3">
      <c r="A18" s="25" t="s">
        <v>52</v>
      </c>
      <c r="B18" s="30">
        <f>MIN(MAX(B17/B13,0),1)</f>
        <v>0.2301377790303013</v>
      </c>
      <c r="C18" s="1" t="s">
        <v>55</v>
      </c>
      <c r="D18" s="25" t="s">
        <v>71</v>
      </c>
      <c r="E18" s="39">
        <f>E11/B21*1000</f>
        <v>693.22122651364703</v>
      </c>
    </row>
    <row r="19" spans="1:6" ht="16.5" thickTop="1" thickBot="1" x14ac:dyDescent="0.3">
      <c r="A19" s="25" t="s">
        <v>53</v>
      </c>
      <c r="B19" s="30">
        <f>MIN(MAX(B15*B9*B14/1000000/POWER(E6,2)*B12/B13,0),1)</f>
        <v>2.5570864336700139E-2</v>
      </c>
    </row>
    <row r="20" spans="1:6" ht="16.5" thickTop="1" thickBot="1" x14ac:dyDescent="0.3">
      <c r="A20" s="25" t="s">
        <v>54</v>
      </c>
      <c r="B20" s="30">
        <f>MIN(MAX(B15*B11*B14/1000000/POWER(E6,2)*B12/B13,0),1)</f>
        <v>7.6712593010100416E-2</v>
      </c>
    </row>
    <row r="21" spans="1:6" ht="15.75" thickTop="1" x14ac:dyDescent="0.25">
      <c r="A21" s="25" t="s">
        <v>70</v>
      </c>
      <c r="B21" s="38">
        <v>2592</v>
      </c>
    </row>
  </sheetData>
  <mergeCells count="2">
    <mergeCell ref="A1:E1"/>
    <mergeCell ref="A2:E2"/>
  </mergeCells>
  <hyperlinks>
    <hyperlink ref="F4" r:id="rId1" xr:uid="{8DBD0E0A-840F-4C37-8598-048C780E0E86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C18CF-215F-4102-97F7-EA6996893459}">
  <dimension ref="A1:F2"/>
  <sheetViews>
    <sheetView workbookViewId="0">
      <selection activeCell="A3" sqref="A3"/>
    </sheetView>
  </sheetViews>
  <sheetFormatPr defaultRowHeight="15" x14ac:dyDescent="0.25"/>
  <cols>
    <col min="1" max="16384" width="9.140625" style="1"/>
  </cols>
  <sheetData>
    <row r="1" spans="1:6" ht="21" x14ac:dyDescent="0.35">
      <c r="A1" s="58" t="s">
        <v>6</v>
      </c>
      <c r="B1" s="58"/>
      <c r="C1" s="58"/>
      <c r="D1" s="58"/>
      <c r="E1" s="58"/>
      <c r="F1" s="58"/>
    </row>
    <row r="2" spans="1:6" x14ac:dyDescent="0.25">
      <c r="A2" s="59" t="s">
        <v>7</v>
      </c>
      <c r="B2" s="59"/>
      <c r="C2" s="59"/>
      <c r="D2" s="59"/>
      <c r="E2" s="59"/>
      <c r="F2" s="59"/>
    </row>
  </sheetData>
  <mergeCells count="2">
    <mergeCell ref="A1:F1"/>
    <mergeCell ref="A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609B5-1CB7-4F0F-BB97-214DFB023165}">
  <dimension ref="A1:F15"/>
  <sheetViews>
    <sheetView workbookViewId="0">
      <selection activeCell="B4" sqref="B4"/>
    </sheetView>
  </sheetViews>
  <sheetFormatPr defaultRowHeight="15" x14ac:dyDescent="0.25"/>
  <cols>
    <col min="1" max="1" width="26.140625" bestFit="1" customWidth="1"/>
    <col min="2" max="2" width="13.42578125" bestFit="1" customWidth="1"/>
    <col min="3" max="3" width="26.140625" bestFit="1" customWidth="1"/>
    <col min="4" max="4" width="17.85546875" bestFit="1" customWidth="1"/>
    <col min="5" max="5" width="19.5703125" bestFit="1" customWidth="1"/>
  </cols>
  <sheetData>
    <row r="1" spans="1:6" ht="21" x14ac:dyDescent="0.35">
      <c r="A1" s="58" t="s">
        <v>3</v>
      </c>
      <c r="B1" s="58"/>
      <c r="C1" s="58"/>
      <c r="D1" s="5"/>
      <c r="E1" s="5"/>
      <c r="F1" s="5"/>
    </row>
    <row r="2" spans="1:6" x14ac:dyDescent="0.25">
      <c r="A2" s="59" t="s">
        <v>4</v>
      </c>
      <c r="B2" s="59"/>
      <c r="C2" s="59"/>
      <c r="D2" s="3"/>
      <c r="E2" s="3"/>
      <c r="F2" s="3"/>
    </row>
    <row r="3" spans="1:6" x14ac:dyDescent="0.25">
      <c r="D3" t="s">
        <v>19</v>
      </c>
      <c r="E3" t="s">
        <v>14</v>
      </c>
    </row>
    <row r="4" spans="1:6" x14ac:dyDescent="0.25">
      <c r="A4" t="s">
        <v>14</v>
      </c>
      <c r="B4" s="6">
        <v>9</v>
      </c>
      <c r="D4" t="s">
        <v>20</v>
      </c>
      <c r="E4">
        <v>-26.8</v>
      </c>
    </row>
    <row r="5" spans="1:6" x14ac:dyDescent="0.25">
      <c r="A5" t="s">
        <v>13</v>
      </c>
      <c r="B5" s="17">
        <f>POWER(10,(-14.18-B4)/2.5)</f>
        <v>5.345643593969708E-10</v>
      </c>
      <c r="D5" t="s">
        <v>21</v>
      </c>
      <c r="E5">
        <v>-12.5</v>
      </c>
    </row>
    <row r="6" spans="1:6" x14ac:dyDescent="0.25">
      <c r="A6" t="s">
        <v>8</v>
      </c>
      <c r="B6" s="9">
        <v>400</v>
      </c>
      <c r="D6" t="s">
        <v>22</v>
      </c>
      <c r="E6">
        <v>-5.9</v>
      </c>
    </row>
    <row r="7" spans="1:6" x14ac:dyDescent="0.25">
      <c r="A7" t="s">
        <v>15</v>
      </c>
      <c r="B7" s="10">
        <f>B5*POWER(B6*1000, 2)</f>
        <v>85.530297503515328</v>
      </c>
      <c r="D7" t="s">
        <v>23</v>
      </c>
      <c r="E7">
        <v>-3.82</v>
      </c>
    </row>
    <row r="8" spans="1:6" x14ac:dyDescent="0.25">
      <c r="A8" t="s">
        <v>16</v>
      </c>
      <c r="B8" s="11">
        <v>65</v>
      </c>
      <c r="C8" s="1" t="s">
        <v>17</v>
      </c>
      <c r="D8" t="s">
        <v>24</v>
      </c>
      <c r="E8">
        <v>0.8</v>
      </c>
    </row>
    <row r="9" spans="1:6" x14ac:dyDescent="0.25">
      <c r="A9" t="s">
        <v>9</v>
      </c>
      <c r="B9" s="12">
        <f>2.2*0.05</f>
        <v>0.11000000000000001</v>
      </c>
      <c r="D9" t="s">
        <v>25</v>
      </c>
      <c r="E9">
        <v>2.5</v>
      </c>
    </row>
    <row r="10" spans="1:6" x14ac:dyDescent="0.25">
      <c r="A10" s="1" t="s">
        <v>29</v>
      </c>
      <c r="B10" s="62">
        <f>B7/B8</f>
        <v>1.3158507308233127</v>
      </c>
      <c r="C10" t="s">
        <v>30</v>
      </c>
      <c r="D10" t="s">
        <v>28</v>
      </c>
      <c r="E10">
        <v>3.44</v>
      </c>
    </row>
    <row r="11" spans="1:6" s="1" customFormat="1" x14ac:dyDescent="0.25">
      <c r="A11" t="s">
        <v>10</v>
      </c>
      <c r="B11" s="13">
        <f>B10*B9</f>
        <v>0.14474358039056442</v>
      </c>
      <c r="D11" t="s">
        <v>26</v>
      </c>
      <c r="E11" s="1">
        <v>6</v>
      </c>
    </row>
    <row r="12" spans="1:6" x14ac:dyDescent="0.25">
      <c r="A12" s="1" t="s">
        <v>18</v>
      </c>
      <c r="B12" s="16">
        <v>0.3</v>
      </c>
      <c r="D12" s="1" t="s">
        <v>27</v>
      </c>
      <c r="E12">
        <v>10</v>
      </c>
    </row>
    <row r="13" spans="1:6" ht="15.75" thickBot="1" x14ac:dyDescent="0.3">
      <c r="A13" t="s">
        <v>11</v>
      </c>
      <c r="B13" s="14">
        <v>60</v>
      </c>
    </row>
    <row r="14" spans="1:6" ht="16.5" thickTop="1" thickBot="1" x14ac:dyDescent="0.3">
      <c r="A14" t="s">
        <v>12</v>
      </c>
      <c r="B14" s="18">
        <f>(B12*B11*B13/60/60)/20</f>
        <v>3.6185895097641108E-5</v>
      </c>
    </row>
    <row r="15" spans="1:6" ht="15.75" thickTop="1" x14ac:dyDescent="0.25"/>
  </sheetData>
  <mergeCells count="2">
    <mergeCell ref="A1:C1"/>
    <mergeCell ref="A2:C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8DECF-9A6D-4CC2-9E9D-6FB05AFCB09B}">
  <dimension ref="A1:E30"/>
  <sheetViews>
    <sheetView tabSelected="1" topLeftCell="A12" workbookViewId="0">
      <selection activeCell="A14" sqref="A14"/>
    </sheetView>
  </sheetViews>
  <sheetFormatPr defaultRowHeight="15" x14ac:dyDescent="0.25"/>
  <cols>
    <col min="1" max="1" width="30.7109375" bestFit="1" customWidth="1"/>
    <col min="2" max="2" width="14" bestFit="1" customWidth="1"/>
    <col min="3" max="3" width="16.140625" bestFit="1" customWidth="1"/>
    <col min="4" max="4" width="17.85546875" bestFit="1" customWidth="1"/>
    <col min="5" max="5" width="19.7109375" bestFit="1" customWidth="1"/>
    <col min="7" max="7" width="17.85546875" bestFit="1" customWidth="1"/>
    <col min="8" max="8" width="19.5703125" bestFit="1" customWidth="1"/>
  </cols>
  <sheetData>
    <row r="1" spans="1:5" ht="21" x14ac:dyDescent="0.35">
      <c r="A1" s="58" t="s">
        <v>73</v>
      </c>
      <c r="B1" s="58"/>
      <c r="C1" s="58"/>
      <c r="D1" s="58"/>
      <c r="E1" s="58"/>
    </row>
    <row r="2" spans="1:5" x14ac:dyDescent="0.25">
      <c r="A2" s="59" t="s">
        <v>74</v>
      </c>
      <c r="B2" s="59"/>
      <c r="C2" s="59"/>
      <c r="D2" s="3"/>
      <c r="E2" s="3"/>
    </row>
    <row r="4" spans="1:5" x14ac:dyDescent="0.25">
      <c r="A4" t="s">
        <v>87</v>
      </c>
      <c r="B4" s="42">
        <v>1000</v>
      </c>
      <c r="C4" s="1" t="s">
        <v>98</v>
      </c>
      <c r="D4" s="2" t="s">
        <v>19</v>
      </c>
      <c r="E4" s="2" t="s">
        <v>14</v>
      </c>
    </row>
    <row r="5" spans="1:5" x14ac:dyDescent="0.25">
      <c r="A5" t="s">
        <v>75</v>
      </c>
      <c r="B5" s="43">
        <v>808</v>
      </c>
      <c r="D5" s="1" t="s">
        <v>20</v>
      </c>
      <c r="E5" s="1">
        <v>-26.8</v>
      </c>
    </row>
    <row r="6" spans="1:5" x14ac:dyDescent="0.25">
      <c r="A6" t="s">
        <v>105</v>
      </c>
      <c r="B6" s="31">
        <v>1</v>
      </c>
      <c r="D6" s="1" t="s">
        <v>21</v>
      </c>
      <c r="E6" s="1">
        <v>-12.5</v>
      </c>
    </row>
    <row r="7" spans="1:5" x14ac:dyDescent="0.25">
      <c r="A7" t="s">
        <v>33</v>
      </c>
      <c r="B7" s="9">
        <v>400</v>
      </c>
      <c r="D7" s="1" t="s">
        <v>22</v>
      </c>
      <c r="E7" s="1">
        <v>-5.9</v>
      </c>
    </row>
    <row r="8" spans="1:5" x14ac:dyDescent="0.25">
      <c r="A8" t="s">
        <v>76</v>
      </c>
      <c r="B8" s="31">
        <v>30</v>
      </c>
      <c r="D8" s="1" t="s">
        <v>23</v>
      </c>
      <c r="E8" s="1">
        <v>-3.82</v>
      </c>
    </row>
    <row r="9" spans="1:5" s="1" customFormat="1" x14ac:dyDescent="0.25">
      <c r="A9" s="1" t="s">
        <v>77</v>
      </c>
      <c r="B9" s="41">
        <f>6371*(SQRT((B7+6371)^2/6371^2-COS(RADIANS(B8))^2)-SIN(RADIANS(B8)))</f>
        <v>739.31977293225555</v>
      </c>
      <c r="D9" s="1" t="s">
        <v>24</v>
      </c>
      <c r="E9" s="1">
        <v>0.8</v>
      </c>
    </row>
    <row r="10" spans="1:5" x14ac:dyDescent="0.25">
      <c r="A10" t="s">
        <v>100</v>
      </c>
      <c r="B10" s="51">
        <f>TAN(RADIANS(B6))*B9</f>
        <v>12.904874639247602</v>
      </c>
      <c r="D10" s="1" t="s">
        <v>25</v>
      </c>
      <c r="E10" s="1">
        <v>2.5</v>
      </c>
    </row>
    <row r="11" spans="1:5" x14ac:dyDescent="0.25">
      <c r="A11" t="s">
        <v>78</v>
      </c>
      <c r="B11" s="44">
        <f>B4/1000/(PI()*(B10*1000)^2)</f>
        <v>1.9113602380969471E-9</v>
      </c>
      <c r="D11" s="1" t="s">
        <v>28</v>
      </c>
      <c r="E11" s="1">
        <v>3.44</v>
      </c>
    </row>
    <row r="12" spans="1:5" x14ac:dyDescent="0.25">
      <c r="A12" t="s">
        <v>79</v>
      </c>
      <c r="B12" s="16">
        <v>0.98</v>
      </c>
      <c r="C12" s="1" t="s">
        <v>99</v>
      </c>
      <c r="D12" t="s">
        <v>104</v>
      </c>
      <c r="E12">
        <v>4</v>
      </c>
    </row>
    <row r="13" spans="1:5" x14ac:dyDescent="0.25">
      <c r="A13" t="s">
        <v>106</v>
      </c>
      <c r="B13" s="45">
        <v>300</v>
      </c>
      <c r="D13" s="1" t="s">
        <v>26</v>
      </c>
      <c r="E13" s="1">
        <v>6</v>
      </c>
    </row>
    <row r="14" spans="1:5" x14ac:dyDescent="0.25">
      <c r="A14" t="s">
        <v>81</v>
      </c>
      <c r="B14" s="50">
        <f>PI()*(B13/2000)^2*B11*B12</f>
        <v>1.3240397197623662E-10</v>
      </c>
      <c r="D14" s="1" t="s">
        <v>27</v>
      </c>
      <c r="E14" s="1">
        <v>10</v>
      </c>
    </row>
    <row r="15" spans="1:5" x14ac:dyDescent="0.25">
      <c r="A15" t="s">
        <v>80</v>
      </c>
      <c r="B15" s="46">
        <v>0.4</v>
      </c>
      <c r="C15" s="1" t="s">
        <v>94</v>
      </c>
    </row>
    <row r="16" spans="1:5" x14ac:dyDescent="0.25">
      <c r="A16" t="s">
        <v>82</v>
      </c>
      <c r="B16" s="52">
        <v>1</v>
      </c>
      <c r="C16" t="s">
        <v>97</v>
      </c>
    </row>
    <row r="17" spans="1:3" s="1" customFormat="1" x14ac:dyDescent="0.25">
      <c r="A17" s="1" t="s">
        <v>89</v>
      </c>
      <c r="B17" s="52"/>
      <c r="C17" s="1" t="s">
        <v>90</v>
      </c>
    </row>
    <row r="18" spans="1:3" s="1" customFormat="1" x14ac:dyDescent="0.25">
      <c r="A18" s="25" t="s">
        <v>91</v>
      </c>
      <c r="B18" s="52"/>
      <c r="C18" s="1" t="s">
        <v>90</v>
      </c>
    </row>
    <row r="19" spans="1:3" x14ac:dyDescent="0.25">
      <c r="A19" t="s">
        <v>83</v>
      </c>
      <c r="B19" s="53">
        <f>B15*B14*10^12+B16</f>
        <v>53.961588790494652</v>
      </c>
    </row>
    <row r="20" spans="1:3" s="1" customFormat="1" x14ac:dyDescent="0.25">
      <c r="A20" s="1" t="s">
        <v>92</v>
      </c>
      <c r="B20" s="47">
        <f>10*LOG(B19/MAX(B16,B17),10)</f>
        <v>17.320847281160034</v>
      </c>
    </row>
    <row r="21" spans="1:3" x14ac:dyDescent="0.25">
      <c r="A21" t="s">
        <v>93</v>
      </c>
      <c r="B21" s="47">
        <f>10*LOG(B19/MAX(B16,B18),10)</f>
        <v>17.320847281160034</v>
      </c>
    </row>
    <row r="22" spans="1:3" s="1" customFormat="1" x14ac:dyDescent="0.25">
      <c r="A22" s="1" t="s">
        <v>95</v>
      </c>
      <c r="B22" s="54">
        <f>ERFC(SQRT(B19/MAX(B16,B17))/2)/2</f>
        <v>1.0274354645976482E-7</v>
      </c>
    </row>
    <row r="23" spans="1:3" s="1" customFormat="1" x14ac:dyDescent="0.25">
      <c r="A23" s="25" t="s">
        <v>96</v>
      </c>
      <c r="B23" s="54">
        <f>ERFC(SQRT(B19/MAX(B16,B18))/2)/2</f>
        <v>1.0274354645976482E-7</v>
      </c>
    </row>
    <row r="24" spans="1:3" s="1" customFormat="1" x14ac:dyDescent="0.25">
      <c r="A24" s="25" t="s">
        <v>101</v>
      </c>
      <c r="B24" s="60">
        <v>1000</v>
      </c>
    </row>
    <row r="25" spans="1:3" s="1" customFormat="1" x14ac:dyDescent="0.25">
      <c r="A25" s="25" t="s">
        <v>102</v>
      </c>
      <c r="B25" s="61">
        <f>1-(1-B22)^(B24*8)</f>
        <v>8.2161070690123239E-4</v>
      </c>
    </row>
    <row r="26" spans="1:3" s="1" customFormat="1" x14ac:dyDescent="0.25">
      <c r="A26" s="25" t="s">
        <v>103</v>
      </c>
      <c r="B26" s="61">
        <f>1-(1-B23)^(B24*8)</f>
        <v>8.2161070690123239E-4</v>
      </c>
    </row>
    <row r="27" spans="1:3" s="1" customFormat="1" x14ac:dyDescent="0.25">
      <c r="A27" s="1" t="s">
        <v>85</v>
      </c>
      <c r="B27" s="21">
        <f>683*10^(-1)</f>
        <v>68.3</v>
      </c>
      <c r="C27" s="1" t="s">
        <v>86</v>
      </c>
    </row>
    <row r="28" spans="1:3" x14ac:dyDescent="0.25">
      <c r="A28" t="s">
        <v>84</v>
      </c>
      <c r="B28" s="48">
        <f>B11*B27</f>
        <v>1.3054590426202147E-7</v>
      </c>
    </row>
    <row r="29" spans="1:3" x14ac:dyDescent="0.25">
      <c r="A29" s="1" t="s">
        <v>14</v>
      </c>
      <c r="B29" s="49">
        <f>-14.18-LOG(B28,10)*2.5</f>
        <v>3.0305918728792349</v>
      </c>
      <c r="C29" t="s">
        <v>88</v>
      </c>
    </row>
    <row r="30" spans="1:3" x14ac:dyDescent="0.25">
      <c r="B30" s="1"/>
    </row>
  </sheetData>
  <mergeCells count="2">
    <mergeCell ref="A1:E1"/>
    <mergeCell ref="A2:C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Notes</vt:lpstr>
      <vt:lpstr>GoundCamera</vt:lpstr>
      <vt:lpstr>Telescope</vt:lpstr>
      <vt:lpstr>LEDs</vt:lpstr>
      <vt:lpstr>Laser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</dc:creator>
  <cp:lastModifiedBy>Bradley</cp:lastModifiedBy>
  <cp:lastPrinted>2017-09-26T04:32:17Z</cp:lastPrinted>
  <dcterms:created xsi:type="dcterms:W3CDTF">2017-09-07T19:42:11Z</dcterms:created>
  <dcterms:modified xsi:type="dcterms:W3CDTF">2018-01-03T08:55:16Z</dcterms:modified>
</cp:coreProperties>
</file>