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ocuments\These\Manuscript\Local\expe_results\"/>
    </mc:Choice>
  </mc:AlternateContent>
  <bookViews>
    <workbookView xWindow="-120" yWindow="-120" windowWidth="29040" windowHeight="15840" tabRatio="956" activeTab="3"/>
  </bookViews>
  <sheets>
    <sheet name="Performances" sheetId="46" r:id="rId1"/>
    <sheet name="Minimum" sheetId="51" r:id="rId2"/>
    <sheet name="Maximum" sheetId="52" r:id="rId3"/>
    <sheet name="Normal intergroupe " sheetId="47" r:id="rId4"/>
    <sheet name="Intergroupe" sheetId="48" r:id="rId5"/>
    <sheet name="Normal intragroupe" sheetId="49" r:id="rId6"/>
    <sheet name="Intragroupe" sheetId="50" r:id="rId7"/>
    <sheet name="1" sheetId="1" r:id="rId8"/>
    <sheet name="4" sheetId="2" r:id="rId9"/>
    <sheet name="7" sheetId="3" r:id="rId10"/>
    <sheet name="10" sheetId="4" r:id="rId11"/>
    <sheet name="13" sheetId="5" r:id="rId12"/>
    <sheet name="16" sheetId="6" r:id="rId13"/>
    <sheet name="19" sheetId="7" r:id="rId14"/>
    <sheet name="22" sheetId="8" r:id="rId15"/>
    <sheet name="25" sheetId="9" r:id="rId16"/>
    <sheet name="28" sheetId="10" r:id="rId17"/>
    <sheet name="31" sheetId="11" r:id="rId18"/>
    <sheet name="34" sheetId="12" r:id="rId19"/>
    <sheet name="37" sheetId="13" r:id="rId20"/>
    <sheet name="40" sheetId="14" r:id="rId21"/>
    <sheet name="43" sheetId="15" r:id="rId22"/>
    <sheet name="2" sheetId="16" r:id="rId23"/>
    <sheet name="5" sheetId="17" r:id="rId24"/>
    <sheet name="8" sheetId="18" r:id="rId25"/>
    <sheet name="11" sheetId="19" r:id="rId26"/>
    <sheet name="14" sheetId="20" r:id="rId27"/>
    <sheet name="17" sheetId="21" r:id="rId28"/>
    <sheet name="20" sheetId="22" r:id="rId29"/>
    <sheet name="23" sheetId="23" r:id="rId30"/>
    <sheet name="26" sheetId="24" r:id="rId31"/>
    <sheet name="29" sheetId="25" r:id="rId32"/>
    <sheet name="32" sheetId="26" r:id="rId33"/>
    <sheet name="35" sheetId="27" r:id="rId34"/>
    <sheet name="38" sheetId="28" r:id="rId35"/>
    <sheet name="41" sheetId="29" r:id="rId36"/>
    <sheet name="44" sheetId="30" r:id="rId37"/>
    <sheet name="3" sheetId="31" r:id="rId38"/>
    <sheet name="6" sheetId="32" r:id="rId39"/>
    <sheet name="9" sheetId="33" r:id="rId40"/>
    <sheet name="12" sheetId="34" r:id="rId41"/>
    <sheet name="15" sheetId="35" r:id="rId42"/>
    <sheet name="18" sheetId="36" r:id="rId43"/>
    <sheet name="21" sheetId="37" r:id="rId44"/>
    <sheet name="24" sheetId="38" r:id="rId45"/>
    <sheet name="27" sheetId="39" r:id="rId46"/>
    <sheet name="30" sheetId="40" r:id="rId47"/>
    <sheet name="33" sheetId="41" r:id="rId48"/>
    <sheet name="36" sheetId="42" r:id="rId49"/>
    <sheet name="39" sheetId="43" r:id="rId50"/>
    <sheet name="42" sheetId="44" r:id="rId51"/>
    <sheet name="45" sheetId="45" r:id="rId52"/>
  </sheets>
  <externalReferences>
    <externalReference r:id="rId5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1" l="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32"/>
  <c r="B6" i="32" s="1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4"/>
  <c r="B6" i="34" s="1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5"/>
  <c r="B6" i="35" s="1"/>
  <c r="B7" i="35" s="1"/>
  <c r="B8" i="35" s="1"/>
  <c r="B9" i="35" s="1"/>
  <c r="B10" i="35" s="1"/>
  <c r="B11" i="35" s="1"/>
  <c r="B12" i="35" s="1"/>
  <c r="B14" i="35" s="1"/>
  <c r="B15" i="35" s="1"/>
  <c r="B16" i="35" s="1"/>
  <c r="B17" i="35" s="1"/>
  <c r="B18" i="35" s="1"/>
  <c r="B19" i="35" s="1"/>
  <c r="B20" i="35" s="1"/>
  <c r="B21" i="35" s="1"/>
  <c r="B22" i="35" s="1"/>
  <c r="B24" i="35" s="1"/>
  <c r="B25" i="35" s="1"/>
  <c r="B26" i="35" s="1"/>
  <c r="B27" i="35" s="1"/>
  <c r="B28" i="35" s="1"/>
  <c r="B29" i="35" s="1"/>
  <c r="B30" i="35" s="1"/>
  <c r="B31" i="35" s="1"/>
  <c r="B32" i="35" s="1"/>
  <c r="B34" i="35" s="1"/>
  <c r="B35" i="35" s="1"/>
  <c r="B36" i="35" s="1"/>
  <c r="B37" i="35" s="1"/>
  <c r="B38" i="35" s="1"/>
  <c r="B39" i="35" s="1"/>
  <c r="B40" i="35" s="1"/>
  <c r="B41" i="35" s="1"/>
  <c r="B42" i="35" s="1"/>
  <c r="B5" i="36" l="1"/>
  <c r="B6" i="36" s="1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5" i="38"/>
  <c r="B6" i="38" s="1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9"/>
  <c r="B6" i="39" s="1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5" i="41"/>
  <c r="B6" i="41" s="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6" i="42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5" i="42"/>
  <c r="B5" i="43"/>
  <c r="B6" i="43" s="1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5" i="45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48" i="47" l="1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AI118" i="50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S65" i="48" s="1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AD5" i="48"/>
  <c r="AC5" i="48"/>
  <c r="Y5" i="48"/>
  <c r="X5" i="48"/>
  <c r="R4" i="48"/>
  <c r="Q4" i="48"/>
  <c r="P4" i="48"/>
  <c r="S11" i="48" s="1"/>
  <c r="L7" i="47"/>
  <c r="K7" i="47"/>
  <c r="J7" i="47"/>
  <c r="I7" i="47"/>
  <c r="G12" i="48" l="1"/>
  <c r="G30" i="48"/>
  <c r="G66" i="48"/>
  <c r="G48" i="48"/>
  <c r="S47" i="48"/>
  <c r="B6" i="30" l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30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5" i="28"/>
  <c r="B6" i="28" s="1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6" i="24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5" i="24"/>
  <c r="B5" i="23"/>
  <c r="B6" i="23" s="1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6" i="2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5" i="11"/>
  <c r="B6" i="11" s="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0"/>
  <c r="B6" i="10" s="1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5" i="6"/>
  <c r="B6" i="6" s="1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5" i="3"/>
  <c r="B6" i="3" s="1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6" i="2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2"/>
  <c r="B6" i="1" l="1"/>
  <c r="B5" i="1"/>
  <c r="I18" i="46"/>
  <c r="D36" i="46"/>
  <c r="F62" i="46"/>
  <c r="G30" i="46"/>
  <c r="I65" i="46"/>
  <c r="E18" i="46"/>
  <c r="G4" i="46"/>
  <c r="G55" i="46"/>
  <c r="I66" i="46"/>
  <c r="C65" i="46"/>
  <c r="B60" i="46"/>
  <c r="H53" i="46"/>
  <c r="C37" i="46"/>
  <c r="E61" i="46"/>
  <c r="B61" i="46"/>
  <c r="I61" i="46"/>
  <c r="B16" i="46"/>
  <c r="C62" i="46"/>
  <c r="I58" i="46"/>
  <c r="F65" i="46"/>
  <c r="D53" i="46"/>
  <c r="D18" i="46"/>
  <c r="F55" i="46"/>
  <c r="D35" i="46"/>
  <c r="G54" i="46"/>
  <c r="B56" i="46"/>
  <c r="H52" i="46"/>
  <c r="C29" i="46"/>
  <c r="F36" i="46"/>
  <c r="D11" i="46"/>
  <c r="H33" i="46"/>
  <c r="C52" i="46"/>
  <c r="I9" i="46"/>
  <c r="G66" i="46"/>
  <c r="D40" i="46"/>
  <c r="C55" i="46"/>
  <c r="D17" i="46"/>
  <c r="G32" i="46"/>
  <c r="F42" i="46"/>
  <c r="F16" i="46"/>
  <c r="H65" i="46"/>
  <c r="E40" i="46"/>
  <c r="F64" i="46"/>
  <c r="D34" i="46"/>
  <c r="F39" i="46"/>
  <c r="B53" i="46"/>
  <c r="D13" i="46"/>
  <c r="B42" i="46"/>
  <c r="E53" i="46"/>
  <c r="B9" i="46"/>
  <c r="E38" i="46"/>
  <c r="C32" i="46"/>
  <c r="I35" i="46"/>
  <c r="E9" i="46"/>
  <c r="F33" i="46"/>
  <c r="F59" i="46"/>
  <c r="I8" i="46"/>
  <c r="C35" i="46"/>
  <c r="I28" i="46"/>
  <c r="E11" i="46"/>
  <c r="H37" i="46"/>
  <c r="I4" i="46"/>
  <c r="F35" i="46"/>
  <c r="C66" i="46"/>
  <c r="F37" i="46"/>
  <c r="D14" i="46"/>
  <c r="H32" i="46"/>
  <c r="B12" i="46"/>
  <c r="B7" i="46"/>
  <c r="F38" i="46"/>
  <c r="E39" i="46"/>
  <c r="F10" i="46"/>
  <c r="E32" i="46"/>
  <c r="E57" i="46"/>
  <c r="D8" i="46"/>
  <c r="B34" i="46"/>
  <c r="D15" i="46"/>
  <c r="I15" i="46"/>
  <c r="B39" i="46"/>
  <c r="C58" i="46"/>
  <c r="H4" i="46"/>
  <c r="E64" i="46"/>
  <c r="E29" i="46"/>
  <c r="B6" i="46"/>
  <c r="G53" i="46"/>
  <c r="E12" i="46"/>
  <c r="C56" i="46"/>
  <c r="B64" i="46"/>
  <c r="C63" i="46"/>
  <c r="G42" i="46"/>
  <c r="C36" i="46"/>
  <c r="I10" i="46"/>
  <c r="G33" i="46"/>
  <c r="G41" i="46"/>
  <c r="I32" i="46"/>
  <c r="F60" i="46"/>
  <c r="H6" i="46"/>
  <c r="G61" i="46"/>
  <c r="C15" i="46"/>
  <c r="G56" i="46"/>
  <c r="D59" i="46"/>
  <c r="I7" i="46"/>
  <c r="H66" i="46"/>
  <c r="H39" i="46"/>
  <c r="B38" i="46"/>
  <c r="B28" i="46"/>
  <c r="D4" i="46"/>
  <c r="E17" i="46"/>
  <c r="D6" i="46"/>
  <c r="B30" i="46"/>
  <c r="B58" i="46"/>
  <c r="E55" i="46"/>
  <c r="E60" i="46"/>
  <c r="G15" i="46"/>
  <c r="F18" i="46"/>
  <c r="G9" i="46"/>
  <c r="D60" i="46"/>
  <c r="H14" i="46"/>
  <c r="E62" i="46"/>
  <c r="G60" i="46"/>
  <c r="H58" i="46"/>
  <c r="H11" i="46"/>
  <c r="D32" i="46"/>
  <c r="F29" i="46"/>
  <c r="H63" i="46"/>
  <c r="D37" i="46"/>
  <c r="C61" i="46"/>
  <c r="I62" i="46"/>
  <c r="D58" i="46"/>
  <c r="H64" i="46"/>
  <c r="C9" i="46"/>
  <c r="H9" i="46"/>
  <c r="B32" i="46"/>
  <c r="C6" i="46"/>
  <c r="C17" i="46"/>
  <c r="I41" i="46"/>
  <c r="I16" i="46"/>
  <c r="B54" i="46"/>
  <c r="C39" i="46"/>
  <c r="I39" i="46"/>
  <c r="G7" i="46"/>
  <c r="G63" i="46"/>
  <c r="E52" i="46"/>
  <c r="G28" i="46"/>
  <c r="H7" i="46"/>
  <c r="F11" i="46"/>
  <c r="B62" i="46"/>
  <c r="E42" i="46"/>
  <c r="H56" i="46"/>
  <c r="B65" i="46"/>
  <c r="H34" i="46"/>
  <c r="C10" i="46"/>
  <c r="C12" i="46"/>
  <c r="E66" i="46"/>
  <c r="H40" i="46"/>
  <c r="E28" i="46"/>
  <c r="H12" i="46"/>
  <c r="H59" i="46"/>
  <c r="B52" i="46"/>
  <c r="F41" i="46"/>
  <c r="D12" i="46"/>
  <c r="E15" i="46"/>
  <c r="F9" i="46"/>
  <c r="D39" i="46"/>
  <c r="I31" i="46"/>
  <c r="D42" i="46"/>
  <c r="E31" i="46"/>
  <c r="F6" i="46"/>
  <c r="D61" i="46"/>
  <c r="C11" i="46"/>
  <c r="D55" i="46"/>
  <c r="G40" i="46"/>
  <c r="H29" i="46"/>
  <c r="F58" i="46"/>
  <c r="I14" i="46"/>
  <c r="I17" i="46"/>
  <c r="C31" i="46"/>
  <c r="G39" i="46"/>
  <c r="H35" i="46"/>
  <c r="C40" i="46"/>
  <c r="B13" i="46"/>
  <c r="E30" i="46"/>
  <c r="B66" i="46"/>
  <c r="I52" i="46"/>
  <c r="F63" i="46"/>
  <c r="H57" i="46"/>
  <c r="I40" i="46"/>
  <c r="I29" i="46"/>
  <c r="D62" i="46"/>
  <c r="E41" i="46"/>
  <c r="B10" i="46"/>
  <c r="I57" i="46"/>
  <c r="C14" i="46"/>
  <c r="D33" i="46"/>
  <c r="C28" i="46"/>
  <c r="H42" i="46"/>
  <c r="E10" i="46"/>
  <c r="F61" i="46"/>
  <c r="G14" i="46"/>
  <c r="C38" i="46"/>
  <c r="F13" i="46"/>
  <c r="D54" i="46"/>
  <c r="D41" i="46"/>
  <c r="H8" i="46"/>
  <c r="G12" i="46"/>
  <c r="G11" i="46"/>
  <c r="F5" i="46"/>
  <c r="I54" i="46"/>
  <c r="E4" i="46"/>
  <c r="B31" i="46"/>
  <c r="H28" i="46"/>
  <c r="E8" i="46"/>
  <c r="G10" i="46"/>
  <c r="F17" i="46"/>
  <c r="D7" i="46"/>
  <c r="G5" i="46"/>
  <c r="D56" i="46"/>
  <c r="F52" i="46"/>
  <c r="B57" i="46"/>
  <c r="D9" i="46"/>
  <c r="G35" i="46"/>
  <c r="D30" i="46"/>
  <c r="D52" i="46"/>
  <c r="I59" i="46"/>
  <c r="C60" i="46"/>
  <c r="H5" i="46"/>
  <c r="B8" i="46"/>
  <c r="H13" i="46"/>
  <c r="B35" i="46"/>
  <c r="G65" i="46"/>
  <c r="G29" i="46"/>
  <c r="F30" i="46"/>
  <c r="H61" i="46"/>
  <c r="B59" i="46"/>
  <c r="I30" i="46"/>
  <c r="F32" i="46"/>
  <c r="H18" i="46"/>
  <c r="H54" i="46"/>
  <c r="I38" i="46"/>
  <c r="F12" i="46"/>
  <c r="G62" i="46"/>
  <c r="H36" i="46"/>
  <c r="E59" i="46"/>
  <c r="B11" i="46"/>
  <c r="B63" i="46"/>
  <c r="D29" i="46"/>
  <c r="E6" i="46"/>
  <c r="B17" i="46"/>
  <c r="H62" i="46"/>
  <c r="H55" i="46"/>
  <c r="F66" i="46"/>
  <c r="H60" i="46"/>
  <c r="D65" i="46"/>
  <c r="C7" i="46"/>
  <c r="D5" i="46"/>
  <c r="C57" i="46"/>
  <c r="B4" i="46"/>
  <c r="H30" i="46"/>
  <c r="C13" i="46"/>
  <c r="C18" i="46"/>
  <c r="C8" i="46"/>
  <c r="I6" i="46"/>
  <c r="G36" i="46"/>
  <c r="C16" i="46"/>
  <c r="H15" i="46"/>
  <c r="B37" i="46"/>
  <c r="F4" i="46"/>
  <c r="B29" i="46"/>
  <c r="F57" i="46"/>
  <c r="E65" i="46"/>
  <c r="I42" i="46"/>
  <c r="C34" i="46"/>
  <c r="E14" i="46"/>
  <c r="E7" i="46"/>
  <c r="E58" i="46"/>
  <c r="D64" i="46"/>
  <c r="I33" i="46"/>
  <c r="H16" i="46"/>
  <c r="G64" i="46"/>
  <c r="C41" i="46"/>
  <c r="F54" i="46"/>
  <c r="E5" i="46"/>
  <c r="B14" i="46"/>
  <c r="I13" i="46"/>
  <c r="D10" i="46"/>
  <c r="C54" i="46"/>
  <c r="G8" i="46"/>
  <c r="E37" i="46"/>
  <c r="G52" i="46"/>
  <c r="H31" i="46"/>
  <c r="I55" i="46"/>
  <c r="C30" i="46"/>
  <c r="F14" i="46"/>
  <c r="B5" i="46"/>
  <c r="D28" i="46"/>
  <c r="I5" i="46"/>
  <c r="C59" i="46"/>
  <c r="I11" i="46"/>
  <c r="G13" i="46"/>
  <c r="I63" i="46"/>
  <c r="H41" i="46"/>
  <c r="G38" i="46"/>
  <c r="G17" i="46"/>
  <c r="D57" i="46"/>
  <c r="B40" i="46"/>
  <c r="E36" i="46"/>
  <c r="H17" i="46"/>
  <c r="G37" i="46"/>
  <c r="B55" i="46"/>
  <c r="I37" i="46"/>
  <c r="F53" i="46"/>
  <c r="C33" i="46"/>
  <c r="I12" i="46"/>
  <c r="G18" i="46"/>
  <c r="C42" i="46"/>
  <c r="E13" i="46"/>
  <c r="G34" i="46"/>
  <c r="G58" i="46"/>
  <c r="B15" i="46"/>
  <c r="G57" i="46"/>
  <c r="C64" i="46"/>
  <c r="E54" i="46"/>
  <c r="G6" i="46"/>
  <c r="E35" i="46"/>
  <c r="D63" i="46"/>
  <c r="H38" i="46"/>
  <c r="E56" i="46"/>
  <c r="H10" i="46"/>
  <c r="F7" i="46"/>
  <c r="I53" i="46"/>
  <c r="F28" i="46"/>
  <c r="C53" i="46"/>
  <c r="B33" i="46"/>
  <c r="G16" i="46"/>
  <c r="I34" i="46"/>
  <c r="F15" i="46"/>
  <c r="I64" i="46"/>
  <c r="I56" i="46"/>
  <c r="D16" i="46"/>
  <c r="E63" i="46"/>
  <c r="D31" i="46"/>
  <c r="G31" i="46"/>
  <c r="F31" i="46"/>
  <c r="F40" i="46"/>
  <c r="F56" i="46"/>
  <c r="F34" i="46"/>
  <c r="D38" i="46"/>
  <c r="E34" i="46"/>
  <c r="E33" i="46"/>
  <c r="I60" i="46"/>
  <c r="C4" i="46"/>
  <c r="B36" i="46"/>
  <c r="B41" i="46"/>
  <c r="B18" i="46"/>
  <c r="F8" i="46"/>
  <c r="G59" i="46"/>
  <c r="D66" i="46"/>
  <c r="E16" i="46"/>
  <c r="C5" i="46"/>
  <c r="I36" i="46"/>
  <c r="D86" i="49" l="1"/>
  <c r="N52" i="49"/>
  <c r="N33" i="49"/>
  <c r="C39" i="50"/>
  <c r="D48" i="47"/>
  <c r="C35" i="48"/>
  <c r="A51" i="50"/>
  <c r="L76" i="49"/>
  <c r="L57" i="49"/>
  <c r="A43" i="48"/>
  <c r="E8" i="47"/>
  <c r="B57" i="49"/>
  <c r="L18" i="49"/>
  <c r="A17" i="48"/>
  <c r="B52" i="49"/>
  <c r="A17" i="50"/>
  <c r="C18" i="47"/>
  <c r="B18" i="49"/>
  <c r="C51" i="49"/>
  <c r="B16" i="50"/>
  <c r="C32" i="47"/>
  <c r="B16" i="48"/>
  <c r="M17" i="49"/>
  <c r="C17" i="49"/>
  <c r="C46" i="49"/>
  <c r="M12" i="49"/>
  <c r="C27" i="47"/>
  <c r="C12" i="49"/>
  <c r="B11" i="50"/>
  <c r="B11" i="48"/>
  <c r="M29" i="49"/>
  <c r="M48" i="49"/>
  <c r="B31" i="48"/>
  <c r="D29" i="47"/>
  <c r="C82" i="49"/>
  <c r="B35" i="50"/>
  <c r="C59" i="49"/>
  <c r="B45" i="48"/>
  <c r="E25" i="47"/>
  <c r="B53" i="50"/>
  <c r="M78" i="49"/>
  <c r="M59" i="49"/>
  <c r="C51" i="50"/>
  <c r="N57" i="49"/>
  <c r="E38" i="47"/>
  <c r="C43" i="48"/>
  <c r="D57" i="49"/>
  <c r="N76" i="49"/>
  <c r="M84" i="49"/>
  <c r="E31" i="47"/>
  <c r="M65" i="49"/>
  <c r="B59" i="50"/>
  <c r="B51" i="48"/>
  <c r="C65" i="49"/>
  <c r="M56" i="49"/>
  <c r="B50" i="50"/>
  <c r="E22" i="47"/>
  <c r="C56" i="49"/>
  <c r="M75" i="49"/>
  <c r="B42" i="48"/>
  <c r="C75" i="49"/>
  <c r="D22" i="47"/>
  <c r="B28" i="50"/>
  <c r="M41" i="49"/>
  <c r="B24" i="48"/>
  <c r="M22" i="49"/>
  <c r="B84" i="49"/>
  <c r="A33" i="48"/>
  <c r="A37" i="50"/>
  <c r="D16" i="47"/>
  <c r="L50" i="49"/>
  <c r="L31" i="49"/>
  <c r="A50" i="48"/>
  <c r="E15" i="47"/>
  <c r="L64" i="49"/>
  <c r="L83" i="49"/>
  <c r="B64" i="49"/>
  <c r="A58" i="50"/>
  <c r="M9" i="49"/>
  <c r="C24" i="47"/>
  <c r="B8" i="48"/>
  <c r="B8" i="50"/>
  <c r="C43" i="49"/>
  <c r="C9" i="49"/>
  <c r="X14" i="46"/>
  <c r="Y21" i="46" s="1"/>
  <c r="T71" i="46" s="1"/>
  <c r="AN38" i="46"/>
  <c r="AN30" i="46"/>
  <c r="AM31" i="46"/>
  <c r="AM34" i="46"/>
  <c r="Y14" i="46"/>
  <c r="AN35" i="46"/>
  <c r="AM41" i="46"/>
  <c r="AM36" i="46"/>
  <c r="AN40" i="46"/>
  <c r="AN32" i="46"/>
  <c r="AM35" i="46"/>
  <c r="AM42" i="46"/>
  <c r="AN34" i="46"/>
  <c r="AM29" i="46"/>
  <c r="R5" i="46"/>
  <c r="AN42" i="46"/>
  <c r="AN29" i="46"/>
  <c r="AM28" i="46"/>
  <c r="AN37" i="46"/>
  <c r="AM37" i="46"/>
  <c r="Z14" i="46"/>
  <c r="AN33" i="46"/>
  <c r="AM30" i="46"/>
  <c r="AN31" i="46"/>
  <c r="AN28" i="46"/>
  <c r="B39" i="48"/>
  <c r="AM39" i="46"/>
  <c r="C53" i="49"/>
  <c r="AM33" i="46"/>
  <c r="AN41" i="46"/>
  <c r="AN39" i="46"/>
  <c r="AN36" i="46"/>
  <c r="AM32" i="46"/>
  <c r="M53" i="49"/>
  <c r="AM38" i="46"/>
  <c r="Q5" i="46"/>
  <c r="M72" i="49"/>
  <c r="E19" i="47"/>
  <c r="B47" i="50"/>
  <c r="AF50" i="50" s="1"/>
  <c r="AM40" i="46"/>
  <c r="L56" i="49"/>
  <c r="A50" i="50"/>
  <c r="L75" i="49"/>
  <c r="A42" i="48"/>
  <c r="E7" i="47"/>
  <c r="B56" i="49"/>
  <c r="A63" i="48"/>
  <c r="B93" i="49"/>
  <c r="B25" i="49"/>
  <c r="L93" i="49"/>
  <c r="A71" i="50"/>
  <c r="F10" i="47"/>
  <c r="B75" i="50"/>
  <c r="C97" i="49"/>
  <c r="M97" i="49"/>
  <c r="F29" i="47"/>
  <c r="B67" i="48"/>
  <c r="C29" i="49"/>
  <c r="C32" i="48"/>
  <c r="N30" i="49"/>
  <c r="D83" i="49"/>
  <c r="N49" i="49"/>
  <c r="C36" i="50"/>
  <c r="D45" i="47"/>
  <c r="A14" i="48"/>
  <c r="L15" i="49"/>
  <c r="C15" i="47"/>
  <c r="B15" i="49"/>
  <c r="B49" i="49"/>
  <c r="A14" i="50"/>
  <c r="D54" i="49"/>
  <c r="C48" i="50"/>
  <c r="E35" i="47"/>
  <c r="C40" i="48"/>
  <c r="N73" i="49"/>
  <c r="N54" i="49"/>
  <c r="D41" i="49"/>
  <c r="C37" i="47"/>
  <c r="C6" i="50"/>
  <c r="N7" i="49"/>
  <c r="D7" i="49"/>
  <c r="C6" i="48"/>
  <c r="F17" i="47"/>
  <c r="B100" i="49"/>
  <c r="L100" i="49"/>
  <c r="A78" i="50"/>
  <c r="B32" i="49"/>
  <c r="A70" i="48"/>
  <c r="B15" i="50"/>
  <c r="C50" i="49"/>
  <c r="B15" i="48"/>
  <c r="C16" i="49"/>
  <c r="C31" i="47"/>
  <c r="M16" i="49"/>
  <c r="D77" i="49"/>
  <c r="N24" i="49"/>
  <c r="C26" i="48"/>
  <c r="D39" i="47"/>
  <c r="C30" i="50"/>
  <c r="N43" i="49"/>
  <c r="B70" i="48"/>
  <c r="B78" i="50"/>
  <c r="C32" i="49"/>
  <c r="F32" i="47"/>
  <c r="M100" i="49"/>
  <c r="C100" i="49"/>
  <c r="AL40" i="46"/>
  <c r="AL32" i="46"/>
  <c r="AK39" i="46"/>
  <c r="AK31" i="46"/>
  <c r="T14" i="46"/>
  <c r="U21" i="46" s="1"/>
  <c r="U70" i="46" s="1"/>
  <c r="AL37" i="46"/>
  <c r="AL29" i="46"/>
  <c r="AK36" i="46"/>
  <c r="AK28" i="46"/>
  <c r="B21" i="48"/>
  <c r="U14" i="46"/>
  <c r="AL42" i="46"/>
  <c r="AL34" i="46"/>
  <c r="AK41" i="46"/>
  <c r="AK33" i="46"/>
  <c r="D19" i="47"/>
  <c r="O5" i="46"/>
  <c r="AL30" i="46"/>
  <c r="AK32" i="46"/>
  <c r="AL38" i="46"/>
  <c r="AK40" i="46"/>
  <c r="S14" i="46"/>
  <c r="Y5" i="46" s="1"/>
  <c r="AL33" i="46"/>
  <c r="AK35" i="46"/>
  <c r="M19" i="49"/>
  <c r="AK38" i="46"/>
  <c r="B25" i="50"/>
  <c r="AL41" i="46"/>
  <c r="AK37" i="46"/>
  <c r="AL39" i="46"/>
  <c r="AK34" i="46"/>
  <c r="AL35" i="46"/>
  <c r="AK29" i="46"/>
  <c r="AL36" i="46"/>
  <c r="AK30" i="46"/>
  <c r="AL28" i="46"/>
  <c r="C72" i="49"/>
  <c r="AK42" i="46"/>
  <c r="P5" i="46"/>
  <c r="AL31" i="46"/>
  <c r="M38" i="49"/>
  <c r="L5" i="49"/>
  <c r="A4" i="50"/>
  <c r="C5" i="47"/>
  <c r="B39" i="49"/>
  <c r="B5" i="49"/>
  <c r="A4" i="48"/>
  <c r="E14" i="47"/>
  <c r="B63" i="49"/>
  <c r="L63" i="49"/>
  <c r="L82" i="49"/>
  <c r="A49" i="48"/>
  <c r="A57" i="50"/>
  <c r="C90" i="49"/>
  <c r="B68" i="50"/>
  <c r="C22" i="49"/>
  <c r="B60" i="48"/>
  <c r="M90" i="49"/>
  <c r="F22" i="47"/>
  <c r="B78" i="49"/>
  <c r="D10" i="47"/>
  <c r="A27" i="48"/>
  <c r="L25" i="49"/>
  <c r="A31" i="50"/>
  <c r="L44" i="49"/>
  <c r="A13" i="48"/>
  <c r="B14" i="49"/>
  <c r="A13" i="50"/>
  <c r="B48" i="49"/>
  <c r="C14" i="47"/>
  <c r="L14" i="49"/>
  <c r="D55" i="49"/>
  <c r="C49" i="50"/>
  <c r="E36" i="47"/>
  <c r="C41" i="48"/>
  <c r="N55" i="49"/>
  <c r="N74" i="49"/>
  <c r="A77" i="50"/>
  <c r="B31" i="49"/>
  <c r="F16" i="47"/>
  <c r="L99" i="49"/>
  <c r="A69" i="48"/>
  <c r="B99" i="49"/>
  <c r="C37" i="50"/>
  <c r="C33" i="48"/>
  <c r="D84" i="49"/>
  <c r="N31" i="49"/>
  <c r="D46" i="47"/>
  <c r="N50" i="49"/>
  <c r="C44" i="48"/>
  <c r="D58" i="49"/>
  <c r="N58" i="49"/>
  <c r="N77" i="49"/>
  <c r="C52" i="50"/>
  <c r="E39" i="47"/>
  <c r="C20" i="47"/>
  <c r="B4" i="50"/>
  <c r="M5" i="49"/>
  <c r="C5" i="49"/>
  <c r="C39" i="49"/>
  <c r="B4" i="48"/>
  <c r="AN12" i="46"/>
  <c r="AM14" i="46"/>
  <c r="AM11" i="46"/>
  <c r="A39" i="48"/>
  <c r="R4" i="46"/>
  <c r="AN17" i="46"/>
  <c r="AN9" i="46"/>
  <c r="AM8" i="46"/>
  <c r="AM5" i="46"/>
  <c r="AN14" i="46"/>
  <c r="AM18" i="46"/>
  <c r="AN4" i="46"/>
  <c r="AM13" i="46"/>
  <c r="B53" i="49"/>
  <c r="Q4" i="46"/>
  <c r="AN10" i="46"/>
  <c r="AM15" i="46"/>
  <c r="E4" i="47"/>
  <c r="AN18" i="46"/>
  <c r="AM16" i="46"/>
  <c r="AM4" i="46"/>
  <c r="AN13" i="46"/>
  <c r="AN6" i="46"/>
  <c r="AM10" i="46"/>
  <c r="X13" i="46"/>
  <c r="AN5" i="46"/>
  <c r="Z13" i="46"/>
  <c r="AN16" i="46"/>
  <c r="AM7" i="46"/>
  <c r="AN11" i="46"/>
  <c r="AM17" i="46"/>
  <c r="Y13" i="46"/>
  <c r="AN15" i="46"/>
  <c r="AM6" i="46"/>
  <c r="AM12" i="46"/>
  <c r="AM9" i="46"/>
  <c r="L72" i="49"/>
  <c r="L53" i="49"/>
  <c r="A47" i="50"/>
  <c r="AN8" i="46"/>
  <c r="AN7" i="46"/>
  <c r="C28" i="47"/>
  <c r="B12" i="50"/>
  <c r="M13" i="49"/>
  <c r="C13" i="49"/>
  <c r="C47" i="49"/>
  <c r="B12" i="48"/>
  <c r="F15" i="47"/>
  <c r="B98" i="49"/>
  <c r="A68" i="48"/>
  <c r="L98" i="49"/>
  <c r="B30" i="49"/>
  <c r="A76" i="50"/>
  <c r="F21" i="47"/>
  <c r="M89" i="49"/>
  <c r="B59" i="48"/>
  <c r="C21" i="49"/>
  <c r="B67" i="50"/>
  <c r="C89" i="49"/>
  <c r="M4" i="46"/>
  <c r="AJ14" i="46"/>
  <c r="AJ6" i="46"/>
  <c r="AI14" i="46"/>
  <c r="AI13" i="46"/>
  <c r="N13" i="46"/>
  <c r="AJ11" i="46"/>
  <c r="AI15" i="46"/>
  <c r="AI8" i="46"/>
  <c r="AJ16" i="46"/>
  <c r="AJ8" i="46"/>
  <c r="AI18" i="46"/>
  <c r="AI4" i="46"/>
  <c r="P13" i="46"/>
  <c r="X4" i="46" s="1"/>
  <c r="Q13" i="46" s="1"/>
  <c r="AJ13" i="46"/>
  <c r="AI7" i="46"/>
  <c r="AJ9" i="46"/>
  <c r="AI10" i="46"/>
  <c r="AJ17" i="46"/>
  <c r="AJ4" i="46"/>
  <c r="AI17" i="46"/>
  <c r="O13" i="46"/>
  <c r="O20" i="46" s="1"/>
  <c r="O69" i="46" s="1"/>
  <c r="AJ15" i="46"/>
  <c r="AI6" i="46"/>
  <c r="B38" i="49"/>
  <c r="N4" i="46"/>
  <c r="AJ12" i="46"/>
  <c r="AI5" i="46"/>
  <c r="AJ10" i="46"/>
  <c r="AI9" i="46"/>
  <c r="A3" i="48"/>
  <c r="AJ7" i="46"/>
  <c r="B4" i="49"/>
  <c r="AJ5" i="46"/>
  <c r="AJ18" i="46"/>
  <c r="AI11" i="46"/>
  <c r="AI16" i="46"/>
  <c r="C4" i="47"/>
  <c r="AI12" i="46"/>
  <c r="L4" i="49"/>
  <c r="A3" i="50"/>
  <c r="L39" i="49"/>
  <c r="B73" i="49"/>
  <c r="A26" i="50"/>
  <c r="A22" i="48"/>
  <c r="L20" i="49"/>
  <c r="D5" i="47"/>
  <c r="C34" i="48"/>
  <c r="D47" i="47"/>
  <c r="C38" i="50"/>
  <c r="N32" i="49"/>
  <c r="D85" i="49"/>
  <c r="N51" i="49"/>
  <c r="C73" i="50"/>
  <c r="D95" i="49"/>
  <c r="C65" i="48"/>
  <c r="D27" i="49"/>
  <c r="F42" i="47"/>
  <c r="N95" i="49"/>
  <c r="E48" i="47"/>
  <c r="D67" i="49"/>
  <c r="C61" i="50"/>
  <c r="C53" i="48"/>
  <c r="N86" i="49"/>
  <c r="N67" i="49"/>
  <c r="C60" i="48"/>
  <c r="F37" i="47"/>
  <c r="D90" i="49"/>
  <c r="N90" i="49"/>
  <c r="D22" i="49"/>
  <c r="C68" i="50"/>
  <c r="C75" i="50"/>
  <c r="D29" i="49"/>
  <c r="C67" i="48"/>
  <c r="D97" i="49"/>
  <c r="N97" i="49"/>
  <c r="F44" i="47"/>
  <c r="B51" i="49"/>
  <c r="B17" i="49"/>
  <c r="A16" i="48"/>
  <c r="L17" i="49"/>
  <c r="C17" i="47"/>
  <c r="A16" i="50"/>
  <c r="M20" i="49"/>
  <c r="M39" i="49"/>
  <c r="B22" i="48"/>
  <c r="C73" i="49"/>
  <c r="D20" i="47"/>
  <c r="B26" i="50"/>
  <c r="D15" i="49"/>
  <c r="C14" i="48"/>
  <c r="D49" i="49"/>
  <c r="N15" i="49"/>
  <c r="C14" i="50"/>
  <c r="C45" i="47"/>
  <c r="B45" i="49"/>
  <c r="L11" i="49"/>
  <c r="C11" i="47"/>
  <c r="B11" i="49"/>
  <c r="A10" i="48"/>
  <c r="A10" i="50"/>
  <c r="F27" i="47"/>
  <c r="M95" i="49"/>
  <c r="C95" i="49"/>
  <c r="B73" i="50"/>
  <c r="B65" i="48"/>
  <c r="C27" i="49"/>
  <c r="E12" i="47"/>
  <c r="L61" i="49"/>
  <c r="A47" i="48"/>
  <c r="L80" i="49"/>
  <c r="B61" i="49"/>
  <c r="A55" i="50"/>
  <c r="D89" i="49"/>
  <c r="C59" i="48"/>
  <c r="D21" i="49"/>
  <c r="F36" i="47"/>
  <c r="C67" i="50"/>
  <c r="N89" i="49"/>
  <c r="A71" i="48"/>
  <c r="B33" i="49"/>
  <c r="B101" i="49"/>
  <c r="L101" i="49"/>
  <c r="F18" i="47"/>
  <c r="A79" i="50"/>
  <c r="B43" i="48"/>
  <c r="E23" i="47"/>
  <c r="M57" i="49"/>
  <c r="B51" i="50"/>
  <c r="M76" i="49"/>
  <c r="C57" i="49"/>
  <c r="C41" i="47"/>
  <c r="C10" i="48"/>
  <c r="D45" i="49"/>
  <c r="C10" i="50"/>
  <c r="N11" i="49"/>
  <c r="D11" i="49"/>
  <c r="D28" i="49"/>
  <c r="C74" i="50"/>
  <c r="C66" i="48"/>
  <c r="D96" i="49"/>
  <c r="N96" i="49"/>
  <c r="F43" i="47"/>
  <c r="E21" i="47"/>
  <c r="M55" i="49"/>
  <c r="B41" i="48"/>
  <c r="M74" i="49"/>
  <c r="C55" i="49"/>
  <c r="B49" i="50"/>
  <c r="B10" i="48"/>
  <c r="M11" i="49"/>
  <c r="C26" i="47"/>
  <c r="C45" i="49"/>
  <c r="C11" i="49"/>
  <c r="B10" i="50"/>
  <c r="B28" i="49"/>
  <c r="A74" i="50"/>
  <c r="B96" i="49"/>
  <c r="A66" i="48"/>
  <c r="L96" i="49"/>
  <c r="F13" i="47"/>
  <c r="C8" i="47"/>
  <c r="L8" i="49"/>
  <c r="A7" i="50"/>
  <c r="A7" i="48"/>
  <c r="B42" i="49"/>
  <c r="B8" i="49"/>
  <c r="A66" i="50"/>
  <c r="L88" i="49"/>
  <c r="A58" i="48"/>
  <c r="B88" i="49"/>
  <c r="B20" i="49"/>
  <c r="F5" i="47"/>
  <c r="AL66" i="46"/>
  <c r="AL58" i="46"/>
  <c r="AK65" i="46"/>
  <c r="AK57" i="46"/>
  <c r="S15" i="46"/>
  <c r="AL63" i="46"/>
  <c r="AL55" i="46"/>
  <c r="AK62" i="46"/>
  <c r="AK54" i="46"/>
  <c r="U15" i="46"/>
  <c r="AL60" i="46"/>
  <c r="AL52" i="46"/>
  <c r="AK59" i="46"/>
  <c r="P6" i="46"/>
  <c r="AL54" i="46"/>
  <c r="AK56" i="46"/>
  <c r="AL62" i="46"/>
  <c r="AK64" i="46"/>
  <c r="AK52" i="46"/>
  <c r="AL57" i="46"/>
  <c r="AK60" i="46"/>
  <c r="AL56" i="46"/>
  <c r="D72" i="49"/>
  <c r="AL53" i="46"/>
  <c r="AK66" i="46"/>
  <c r="N38" i="49"/>
  <c r="O6" i="46"/>
  <c r="AL65" i="46"/>
  <c r="T15" i="46"/>
  <c r="T22" i="46" s="1"/>
  <c r="Y70" i="46" s="1"/>
  <c r="AK63" i="46"/>
  <c r="N19" i="49"/>
  <c r="AK61" i="46"/>
  <c r="AK53" i="46"/>
  <c r="C25" i="50"/>
  <c r="D34" i="47"/>
  <c r="AL64" i="46"/>
  <c r="C21" i="48"/>
  <c r="AL61" i="46"/>
  <c r="AK58" i="46"/>
  <c r="AK55" i="46"/>
  <c r="AL59" i="46"/>
  <c r="B23" i="48"/>
  <c r="M40" i="49"/>
  <c r="B27" i="50"/>
  <c r="D21" i="47"/>
  <c r="M21" i="49"/>
  <c r="C74" i="49"/>
  <c r="L24" i="49"/>
  <c r="A26" i="48"/>
  <c r="L43" i="49"/>
  <c r="A30" i="50"/>
  <c r="B77" i="49"/>
  <c r="D9" i="47"/>
  <c r="D43" i="49"/>
  <c r="C8" i="48"/>
  <c r="N9" i="49"/>
  <c r="D9" i="49"/>
  <c r="C39" i="47"/>
  <c r="C8" i="50"/>
  <c r="Y15" i="46"/>
  <c r="AN62" i="46"/>
  <c r="AN54" i="46"/>
  <c r="AM56" i="46"/>
  <c r="AM61" i="46"/>
  <c r="AN59" i="46"/>
  <c r="AM66" i="46"/>
  <c r="AM63" i="46"/>
  <c r="R6" i="46"/>
  <c r="AN64" i="46"/>
  <c r="AN56" i="46"/>
  <c r="AM60" i="46"/>
  <c r="AM53" i="46"/>
  <c r="AN66" i="46"/>
  <c r="AN53" i="46"/>
  <c r="AM55" i="46"/>
  <c r="E34" i="47"/>
  <c r="AN61" i="46"/>
  <c r="AM62" i="46"/>
  <c r="Z15" i="46"/>
  <c r="AN57" i="46"/>
  <c r="AM52" i="46"/>
  <c r="C39" i="48"/>
  <c r="Q6" i="46"/>
  <c r="AN60" i="46"/>
  <c r="AM65" i="46"/>
  <c r="N72" i="49"/>
  <c r="AN58" i="46"/>
  <c r="AM57" i="46"/>
  <c r="AN55" i="46"/>
  <c r="D53" i="49"/>
  <c r="AN52" i="46"/>
  <c r="C47" i="50"/>
  <c r="AM64" i="46"/>
  <c r="X15" i="46"/>
  <c r="AA6" i="46" s="1"/>
  <c r="AN65" i="46"/>
  <c r="AN63" i="46"/>
  <c r="AM58" i="46"/>
  <c r="AM54" i="46"/>
  <c r="AM59" i="46"/>
  <c r="N53" i="49"/>
  <c r="N23" i="49"/>
  <c r="D38" i="47"/>
  <c r="N42" i="49"/>
  <c r="D76" i="49"/>
  <c r="C25" i="48"/>
  <c r="C29" i="50"/>
  <c r="D7" i="47"/>
  <c r="L22" i="49"/>
  <c r="A24" i="48"/>
  <c r="A28" i="50"/>
  <c r="B75" i="49"/>
  <c r="L41" i="49"/>
  <c r="B66" i="49"/>
  <c r="A52" i="48"/>
  <c r="L66" i="49"/>
  <c r="L85" i="49"/>
  <c r="E17" i="47"/>
  <c r="A60" i="50"/>
  <c r="T5" i="46"/>
  <c r="AP40" i="46"/>
  <c r="AP32" i="46"/>
  <c r="AO39" i="46"/>
  <c r="AO31" i="46"/>
  <c r="AC14" i="46"/>
  <c r="AP37" i="46"/>
  <c r="AP29" i="46"/>
  <c r="AO36" i="46"/>
  <c r="AO28" i="46"/>
  <c r="AP42" i="46"/>
  <c r="AP34" i="46"/>
  <c r="AO41" i="46"/>
  <c r="AO33" i="46"/>
  <c r="AP38" i="46"/>
  <c r="AO40" i="46"/>
  <c r="S5" i="46"/>
  <c r="AP33" i="46"/>
  <c r="AO35" i="46"/>
  <c r="AP41" i="46"/>
  <c r="AP28" i="46"/>
  <c r="AO30" i="46"/>
  <c r="AO42" i="46"/>
  <c r="B57" i="48"/>
  <c r="AO38" i="46"/>
  <c r="AO37" i="46"/>
  <c r="M87" i="49"/>
  <c r="AP36" i="46"/>
  <c r="AO32" i="46"/>
  <c r="AP39" i="46"/>
  <c r="AO34" i="46"/>
  <c r="AE14" i="46"/>
  <c r="AO29" i="46"/>
  <c r="AD14" i="46"/>
  <c r="C87" i="49"/>
  <c r="C19" i="49"/>
  <c r="AP31" i="46"/>
  <c r="AP30" i="46"/>
  <c r="AP35" i="46"/>
  <c r="F19" i="47"/>
  <c r="B65" i="50"/>
  <c r="C22" i="47"/>
  <c r="B6" i="50"/>
  <c r="M7" i="49"/>
  <c r="C41" i="49"/>
  <c r="C7" i="49"/>
  <c r="B6" i="48"/>
  <c r="L73" i="49"/>
  <c r="L54" i="49"/>
  <c r="A40" i="48"/>
  <c r="B54" i="49"/>
  <c r="E5" i="47"/>
  <c r="A48" i="50"/>
  <c r="A61" i="48"/>
  <c r="B23" i="49"/>
  <c r="L91" i="49"/>
  <c r="A69" i="50"/>
  <c r="F8" i="47"/>
  <c r="B91" i="49"/>
  <c r="D32" i="47"/>
  <c r="C85" i="49"/>
  <c r="M51" i="49"/>
  <c r="M32" i="49"/>
  <c r="B34" i="48"/>
  <c r="B38" i="50"/>
  <c r="N40" i="49"/>
  <c r="N21" i="49"/>
  <c r="D36" i="47"/>
  <c r="C23" i="48"/>
  <c r="D74" i="49"/>
  <c r="C27" i="50"/>
  <c r="L62" i="49"/>
  <c r="A56" i="50"/>
  <c r="B62" i="49"/>
  <c r="A48" i="48"/>
  <c r="L81" i="49"/>
  <c r="E13" i="47"/>
  <c r="C48" i="48"/>
  <c r="D62" i="49"/>
  <c r="E43" i="47"/>
  <c r="C56" i="50"/>
  <c r="N81" i="49"/>
  <c r="N62" i="49"/>
  <c r="M101" i="49"/>
  <c r="B71" i="48"/>
  <c r="B79" i="50"/>
  <c r="C33" i="49"/>
  <c r="C101" i="49"/>
  <c r="F33" i="47"/>
  <c r="M24" i="49"/>
  <c r="B30" i="50"/>
  <c r="D24" i="47"/>
  <c r="M43" i="49"/>
  <c r="B26" i="48"/>
  <c r="C77" i="49"/>
  <c r="L10" i="49"/>
  <c r="B10" i="49"/>
  <c r="A9" i="50"/>
  <c r="B44" i="49"/>
  <c r="C10" i="47"/>
  <c r="A9" i="48"/>
  <c r="D44" i="47"/>
  <c r="N48" i="49"/>
  <c r="C35" i="50"/>
  <c r="N29" i="49"/>
  <c r="C31" i="48"/>
  <c r="D82" i="49"/>
  <c r="F39" i="47"/>
  <c r="N92" i="49"/>
  <c r="C70" i="50"/>
  <c r="C62" i="48"/>
  <c r="D92" i="49"/>
  <c r="D24" i="49"/>
  <c r="D64" i="49"/>
  <c r="C58" i="50"/>
  <c r="N83" i="49"/>
  <c r="C50" i="48"/>
  <c r="N64" i="49"/>
  <c r="E45" i="47"/>
  <c r="D52" i="49"/>
  <c r="C17" i="50"/>
  <c r="C17" i="48"/>
  <c r="C48" i="47"/>
  <c r="N18" i="49"/>
  <c r="D18" i="49"/>
  <c r="A12" i="50"/>
  <c r="A12" i="48"/>
  <c r="L13" i="49"/>
  <c r="B13" i="49"/>
  <c r="B47" i="49"/>
  <c r="C13" i="47"/>
  <c r="C26" i="49"/>
  <c r="B72" i="50"/>
  <c r="M94" i="49"/>
  <c r="F26" i="47"/>
  <c r="C94" i="49"/>
  <c r="B64" i="48"/>
  <c r="N59" i="49"/>
  <c r="N78" i="49"/>
  <c r="D59" i="49"/>
  <c r="E40" i="47"/>
  <c r="C53" i="50"/>
  <c r="C45" i="48"/>
  <c r="C88" i="49"/>
  <c r="C20" i="49"/>
  <c r="B58" i="48"/>
  <c r="M88" i="49"/>
  <c r="F20" i="47"/>
  <c r="B66" i="50"/>
  <c r="C24" i="48"/>
  <c r="D75" i="49"/>
  <c r="N22" i="49"/>
  <c r="D37" i="47"/>
  <c r="N41" i="49"/>
  <c r="C28" i="50"/>
  <c r="N47" i="49"/>
  <c r="N28" i="49"/>
  <c r="D81" i="49"/>
  <c r="C34" i="50"/>
  <c r="C30" i="48"/>
  <c r="D43" i="47"/>
  <c r="B55" i="49"/>
  <c r="A49" i="50"/>
  <c r="L74" i="49"/>
  <c r="A41" i="48"/>
  <c r="L55" i="49"/>
  <c r="E6" i="47"/>
  <c r="M33" i="49"/>
  <c r="M52" i="49"/>
  <c r="D33" i="47"/>
  <c r="B39" i="50"/>
  <c r="C86" i="49"/>
  <c r="B35" i="48"/>
  <c r="M49" i="49"/>
  <c r="B36" i="50"/>
  <c r="B32" i="48"/>
  <c r="M30" i="49"/>
  <c r="C83" i="49"/>
  <c r="D30" i="47"/>
  <c r="L58" i="49"/>
  <c r="A52" i="50"/>
  <c r="B58" i="49"/>
  <c r="E9" i="47"/>
  <c r="A44" i="48"/>
  <c r="L77" i="49"/>
  <c r="A33" i="50"/>
  <c r="D12" i="47"/>
  <c r="L27" i="49"/>
  <c r="A29" i="48"/>
  <c r="L46" i="49"/>
  <c r="B80" i="49"/>
  <c r="B52" i="48"/>
  <c r="E32" i="47"/>
  <c r="M66" i="49"/>
  <c r="B60" i="50"/>
  <c r="M85" i="49"/>
  <c r="C66" i="49"/>
  <c r="N6" i="46"/>
  <c r="AJ66" i="46"/>
  <c r="AJ58" i="46"/>
  <c r="AI61" i="46"/>
  <c r="AI56" i="46"/>
  <c r="C3" i="50"/>
  <c r="AJ63" i="46"/>
  <c r="AJ55" i="46"/>
  <c r="AI66" i="46"/>
  <c r="AI63" i="46"/>
  <c r="P15" i="46"/>
  <c r="AJ60" i="46"/>
  <c r="AJ52" i="46"/>
  <c r="AI60" i="46"/>
  <c r="C34" i="47"/>
  <c r="AJ62" i="46"/>
  <c r="AI57" i="46"/>
  <c r="AI55" i="46"/>
  <c r="M6" i="46"/>
  <c r="AJ57" i="46"/>
  <c r="AI62" i="46"/>
  <c r="N4" i="49"/>
  <c r="AJ65" i="46"/>
  <c r="AJ53" i="46"/>
  <c r="AI52" i="46"/>
  <c r="D38" i="49"/>
  <c r="AJ59" i="46"/>
  <c r="AI59" i="46"/>
  <c r="D4" i="49"/>
  <c r="AJ56" i="46"/>
  <c r="AJ54" i="46"/>
  <c r="O15" i="46"/>
  <c r="AI65" i="46"/>
  <c r="AI53" i="46"/>
  <c r="AJ64" i="46"/>
  <c r="C3" i="48"/>
  <c r="N15" i="46"/>
  <c r="W6" i="46" s="1"/>
  <c r="AJ61" i="46"/>
  <c r="AI64" i="46"/>
  <c r="AI54" i="46"/>
  <c r="AI58" i="46"/>
  <c r="C64" i="48"/>
  <c r="C72" i="50"/>
  <c r="D94" i="49"/>
  <c r="D26" i="49"/>
  <c r="F41" i="47"/>
  <c r="N94" i="49"/>
  <c r="A73" i="50"/>
  <c r="B27" i="49"/>
  <c r="F12" i="47"/>
  <c r="A65" i="48"/>
  <c r="B95" i="49"/>
  <c r="L95" i="49"/>
  <c r="F31" i="47"/>
  <c r="B77" i="50"/>
  <c r="B69" i="48"/>
  <c r="C31" i="49"/>
  <c r="M99" i="49"/>
  <c r="C99" i="49"/>
  <c r="B63" i="48"/>
  <c r="C25" i="49"/>
  <c r="M93" i="49"/>
  <c r="C93" i="49"/>
  <c r="B71" i="50"/>
  <c r="F25" i="47"/>
  <c r="D51" i="49"/>
  <c r="C16" i="48"/>
  <c r="D17" i="49"/>
  <c r="C16" i="50"/>
  <c r="C47" i="47"/>
  <c r="N17" i="49"/>
  <c r="D23" i="49"/>
  <c r="D91" i="49"/>
  <c r="C69" i="50"/>
  <c r="F38" i="47"/>
  <c r="C61" i="48"/>
  <c r="N91" i="49"/>
  <c r="N14" i="49"/>
  <c r="C13" i="50"/>
  <c r="C13" i="48"/>
  <c r="D48" i="49"/>
  <c r="D14" i="49"/>
  <c r="C44" i="47"/>
  <c r="A46" i="48"/>
  <c r="B60" i="49"/>
  <c r="L60" i="49"/>
  <c r="A54" i="50"/>
  <c r="E11" i="47"/>
  <c r="L79" i="49"/>
  <c r="B90" i="49"/>
  <c r="F7" i="47"/>
  <c r="B22" i="49"/>
  <c r="L90" i="49"/>
  <c r="A60" i="48"/>
  <c r="A68" i="50"/>
  <c r="D6" i="49"/>
  <c r="C5" i="48"/>
  <c r="C36" i="47"/>
  <c r="N6" i="49"/>
  <c r="D40" i="49"/>
  <c r="C5" i="50"/>
  <c r="B7" i="50"/>
  <c r="B7" i="48"/>
  <c r="C8" i="49"/>
  <c r="C42" i="49"/>
  <c r="C23" i="47"/>
  <c r="M8" i="49"/>
  <c r="F9" i="47"/>
  <c r="A62" i="48"/>
  <c r="B24" i="49"/>
  <c r="L92" i="49"/>
  <c r="B92" i="49"/>
  <c r="A70" i="50"/>
  <c r="C77" i="50"/>
  <c r="D99" i="49"/>
  <c r="C69" i="48"/>
  <c r="N99" i="49"/>
  <c r="F46" i="47"/>
  <c r="D31" i="49"/>
  <c r="N25" i="49"/>
  <c r="C27" i="48"/>
  <c r="D78" i="49"/>
  <c r="D40" i="47"/>
  <c r="C31" i="50"/>
  <c r="N44" i="49"/>
  <c r="B30" i="48"/>
  <c r="C81" i="49"/>
  <c r="M28" i="49"/>
  <c r="M47" i="49"/>
  <c r="B34" i="50"/>
  <c r="D28" i="47"/>
  <c r="D30" i="49"/>
  <c r="F45" i="47"/>
  <c r="D98" i="49"/>
  <c r="C76" i="50"/>
  <c r="N98" i="49"/>
  <c r="C68" i="48"/>
  <c r="E20" i="47"/>
  <c r="C54" i="49"/>
  <c r="B40" i="48"/>
  <c r="B48" i="50"/>
  <c r="M73" i="49"/>
  <c r="M54" i="49"/>
  <c r="B25" i="48"/>
  <c r="B29" i="50"/>
  <c r="M42" i="49"/>
  <c r="M23" i="49"/>
  <c r="C76" i="49"/>
  <c r="D23" i="47"/>
  <c r="B94" i="49"/>
  <c r="A72" i="50"/>
  <c r="A64" i="48"/>
  <c r="F11" i="47"/>
  <c r="L94" i="49"/>
  <c r="B26" i="49"/>
  <c r="N93" i="49"/>
  <c r="D93" i="49"/>
  <c r="C63" i="48"/>
  <c r="D25" i="49"/>
  <c r="F40" i="47"/>
  <c r="C71" i="50"/>
  <c r="A75" i="50"/>
  <c r="B29" i="49"/>
  <c r="F14" i="47"/>
  <c r="L97" i="49"/>
  <c r="A67" i="48"/>
  <c r="B97" i="49"/>
  <c r="N46" i="49"/>
  <c r="D42" i="47"/>
  <c r="C33" i="50"/>
  <c r="D80" i="49"/>
  <c r="C29" i="48"/>
  <c r="N27" i="49"/>
  <c r="L67" i="49"/>
  <c r="A61" i="50"/>
  <c r="L86" i="49"/>
  <c r="E18" i="47"/>
  <c r="B67" i="49"/>
  <c r="A53" i="48"/>
  <c r="D44" i="49"/>
  <c r="C9" i="50"/>
  <c r="D10" i="49"/>
  <c r="C40" i="47"/>
  <c r="C9" i="48"/>
  <c r="N10" i="49"/>
  <c r="M6" i="49"/>
  <c r="B5" i="50"/>
  <c r="B5" i="48"/>
  <c r="C40" i="49"/>
  <c r="C21" i="47"/>
  <c r="C6" i="49"/>
  <c r="A27" i="50"/>
  <c r="L21" i="49"/>
  <c r="A23" i="48"/>
  <c r="B74" i="49"/>
  <c r="D6" i="47"/>
  <c r="L40" i="49"/>
  <c r="S13" i="46"/>
  <c r="Y4" i="46" s="1"/>
  <c r="AL16" i="46"/>
  <c r="AL8" i="46"/>
  <c r="AK12" i="46"/>
  <c r="AL4" i="46"/>
  <c r="O4" i="46"/>
  <c r="AL13" i="46"/>
  <c r="AK17" i="46"/>
  <c r="AK9" i="46"/>
  <c r="AK4" i="46"/>
  <c r="AL18" i="46"/>
  <c r="AL10" i="46"/>
  <c r="AK14" i="46"/>
  <c r="AL6" i="46"/>
  <c r="AL11" i="46"/>
  <c r="AK10" i="46"/>
  <c r="B72" i="49"/>
  <c r="P4" i="46"/>
  <c r="AK18" i="46"/>
  <c r="AL5" i="46"/>
  <c r="AL14" i="46"/>
  <c r="AK13" i="46"/>
  <c r="L19" i="49"/>
  <c r="AL17" i="46"/>
  <c r="AK8" i="46"/>
  <c r="A25" i="50"/>
  <c r="P74" i="50" s="1"/>
  <c r="AL15" i="46"/>
  <c r="AK7" i="46"/>
  <c r="AL12" i="46"/>
  <c r="AK6" i="46"/>
  <c r="AL7" i="46"/>
  <c r="AL9" i="46"/>
  <c r="AK5" i="46"/>
  <c r="D4" i="47"/>
  <c r="AK16" i="46"/>
  <c r="AK15" i="46"/>
  <c r="AK11" i="46"/>
  <c r="A21" i="48"/>
  <c r="T13" i="46"/>
  <c r="U13" i="46"/>
  <c r="U20" i="46" s="1"/>
  <c r="P70" i="46" s="1"/>
  <c r="L38" i="49"/>
  <c r="AJ42" i="46"/>
  <c r="AJ34" i="46"/>
  <c r="AI36" i="46"/>
  <c r="AI31" i="46"/>
  <c r="M5" i="46"/>
  <c r="AJ39" i="46"/>
  <c r="AJ31" i="46"/>
  <c r="AI41" i="46"/>
  <c r="AI38" i="46"/>
  <c r="N14" i="46"/>
  <c r="AJ36" i="46"/>
  <c r="AJ28" i="46"/>
  <c r="AI35" i="46"/>
  <c r="N5" i="46"/>
  <c r="AJ33" i="46"/>
  <c r="AI37" i="46"/>
  <c r="AJ41" i="46"/>
  <c r="AJ29" i="46"/>
  <c r="AI42" i="46"/>
  <c r="P14" i="46"/>
  <c r="AJ37" i="46"/>
  <c r="AI28" i="46"/>
  <c r="AJ38" i="46"/>
  <c r="AI29" i="46"/>
  <c r="B3" i="50"/>
  <c r="AE29" i="50" s="1"/>
  <c r="AJ35" i="46"/>
  <c r="AI34" i="46"/>
  <c r="AJ32" i="46"/>
  <c r="AI30" i="46"/>
  <c r="AJ30" i="46"/>
  <c r="B3" i="48"/>
  <c r="O14" i="46"/>
  <c r="O21" i="46" s="1"/>
  <c r="T69" i="46" s="1"/>
  <c r="AI40" i="46"/>
  <c r="AI32" i="46"/>
  <c r="AJ40" i="46"/>
  <c r="AI39" i="46"/>
  <c r="C38" i="49"/>
  <c r="AI33" i="46"/>
  <c r="C19" i="47"/>
  <c r="C4" i="49"/>
  <c r="M4" i="49"/>
  <c r="C29" i="47"/>
  <c r="C14" i="49"/>
  <c r="B13" i="48"/>
  <c r="C48" i="49"/>
  <c r="B13" i="50"/>
  <c r="M14" i="49"/>
  <c r="B76" i="50"/>
  <c r="C30" i="49"/>
  <c r="C98" i="49"/>
  <c r="F30" i="47"/>
  <c r="M98" i="49"/>
  <c r="B68" i="48"/>
  <c r="C79" i="50"/>
  <c r="D33" i="49"/>
  <c r="C71" i="48"/>
  <c r="N101" i="49"/>
  <c r="D101" i="49"/>
  <c r="F48" i="47"/>
  <c r="C28" i="48"/>
  <c r="C32" i="50"/>
  <c r="N45" i="49"/>
  <c r="D79" i="49"/>
  <c r="N26" i="49"/>
  <c r="D41" i="47"/>
  <c r="A59" i="48"/>
  <c r="B89" i="49"/>
  <c r="A67" i="50"/>
  <c r="F6" i="47"/>
  <c r="L89" i="49"/>
  <c r="B21" i="49"/>
  <c r="E42" i="47"/>
  <c r="C47" i="48"/>
  <c r="N61" i="49"/>
  <c r="N80" i="49"/>
  <c r="D61" i="49"/>
  <c r="C55" i="50"/>
  <c r="D50" i="49"/>
  <c r="N16" i="49"/>
  <c r="C15" i="50"/>
  <c r="C46" i="47"/>
  <c r="C15" i="48"/>
  <c r="D16" i="49"/>
  <c r="A5" i="50"/>
  <c r="A5" i="48"/>
  <c r="B6" i="49"/>
  <c r="L6" i="49"/>
  <c r="B40" i="49"/>
  <c r="C6" i="47"/>
  <c r="AD13" i="46"/>
  <c r="AP12" i="46"/>
  <c r="AO17" i="46"/>
  <c r="AO9" i="46"/>
  <c r="AP17" i="46"/>
  <c r="AP9" i="46"/>
  <c r="AO14" i="46"/>
  <c r="AO6" i="46"/>
  <c r="AE13" i="46"/>
  <c r="AP14" i="46"/>
  <c r="AP6" i="46"/>
  <c r="AO11" i="46"/>
  <c r="AO5" i="46"/>
  <c r="AP18" i="46"/>
  <c r="AO18" i="46"/>
  <c r="AP5" i="46"/>
  <c r="AC13" i="46"/>
  <c r="AC4" i="46" s="1"/>
  <c r="AP13" i="46"/>
  <c r="AO13" i="46"/>
  <c r="AP8" i="46"/>
  <c r="AO8" i="46"/>
  <c r="AO16" i="46"/>
  <c r="A57" i="48"/>
  <c r="AO15" i="46"/>
  <c r="T4" i="46"/>
  <c r="AO12" i="46"/>
  <c r="A65" i="50"/>
  <c r="AP15" i="46"/>
  <c r="AO7" i="46"/>
  <c r="S4" i="46"/>
  <c r="AP16" i="46"/>
  <c r="AO10" i="46"/>
  <c r="AO4" i="46"/>
  <c r="B87" i="49"/>
  <c r="L87" i="49"/>
  <c r="AP11" i="46"/>
  <c r="AP7" i="46"/>
  <c r="B19" i="49"/>
  <c r="AP4" i="46"/>
  <c r="F4" i="47"/>
  <c r="AP10" i="46"/>
  <c r="C30" i="47"/>
  <c r="B14" i="48"/>
  <c r="C49" i="49"/>
  <c r="B14" i="50"/>
  <c r="C15" i="49"/>
  <c r="M15" i="49"/>
  <c r="L30" i="49"/>
  <c r="A32" i="48"/>
  <c r="B83" i="49"/>
  <c r="D15" i="47"/>
  <c r="L49" i="49"/>
  <c r="A36" i="50"/>
  <c r="B9" i="48"/>
  <c r="M10" i="49"/>
  <c r="C10" i="49"/>
  <c r="C44" i="49"/>
  <c r="C25" i="47"/>
  <c r="B9" i="50"/>
  <c r="A29" i="50"/>
  <c r="A25" i="48"/>
  <c r="L23" i="49"/>
  <c r="D8" i="47"/>
  <c r="L42" i="49"/>
  <c r="B76" i="49"/>
  <c r="L78" i="49"/>
  <c r="L59" i="49"/>
  <c r="B59" i="49"/>
  <c r="A53" i="50"/>
  <c r="A45" i="48"/>
  <c r="E10" i="47"/>
  <c r="M63" i="49"/>
  <c r="B57" i="50"/>
  <c r="C63" i="49"/>
  <c r="E29" i="47"/>
  <c r="B49" i="48"/>
  <c r="M82" i="49"/>
  <c r="B41" i="49"/>
  <c r="B7" i="49"/>
  <c r="C7" i="47"/>
  <c r="L7" i="49"/>
  <c r="A6" i="48"/>
  <c r="A6" i="50"/>
  <c r="A11" i="48"/>
  <c r="C12" i="47"/>
  <c r="A11" i="50"/>
  <c r="B12" i="49"/>
  <c r="B46" i="49"/>
  <c r="L12" i="49"/>
  <c r="C23" i="49"/>
  <c r="B69" i="50"/>
  <c r="F23" i="47"/>
  <c r="C91" i="49"/>
  <c r="B61" i="48"/>
  <c r="M91" i="49"/>
  <c r="L48" i="49"/>
  <c r="D14" i="47"/>
  <c r="L29" i="49"/>
  <c r="B82" i="49"/>
  <c r="A35" i="50"/>
  <c r="A31" i="48"/>
  <c r="E28" i="47"/>
  <c r="B56" i="50"/>
  <c r="C62" i="49"/>
  <c r="B48" i="48"/>
  <c r="M62" i="49"/>
  <c r="M81" i="49"/>
  <c r="B54" i="50"/>
  <c r="M79" i="49"/>
  <c r="B46" i="48"/>
  <c r="C60" i="49"/>
  <c r="M60" i="49"/>
  <c r="E26" i="47"/>
  <c r="B66" i="48"/>
  <c r="F28" i="47"/>
  <c r="C96" i="49"/>
  <c r="C28" i="49"/>
  <c r="B74" i="50"/>
  <c r="M96" i="49"/>
  <c r="C46" i="48"/>
  <c r="E41" i="47"/>
  <c r="N60" i="49"/>
  <c r="N79" i="49"/>
  <c r="D60" i="49"/>
  <c r="C54" i="50"/>
  <c r="E24" i="47"/>
  <c r="M58" i="49"/>
  <c r="B52" i="50"/>
  <c r="B44" i="48"/>
  <c r="M77" i="49"/>
  <c r="C58" i="49"/>
  <c r="B9" i="49"/>
  <c r="A8" i="50"/>
  <c r="C9" i="47"/>
  <c r="A8" i="48"/>
  <c r="B43" i="49"/>
  <c r="L9" i="49"/>
  <c r="B17" i="50"/>
  <c r="C18" i="49"/>
  <c r="M18" i="49"/>
  <c r="B17" i="48"/>
  <c r="C33" i="47"/>
  <c r="C52" i="49"/>
  <c r="D13" i="47"/>
  <c r="L28" i="49"/>
  <c r="L47" i="49"/>
  <c r="A34" i="50"/>
  <c r="A30" i="48"/>
  <c r="B81" i="49"/>
  <c r="C4" i="50"/>
  <c r="D5" i="49"/>
  <c r="C35" i="47"/>
  <c r="D39" i="49"/>
  <c r="N5" i="49"/>
  <c r="C4" i="48"/>
  <c r="M83" i="49"/>
  <c r="C64" i="49"/>
  <c r="E30" i="47"/>
  <c r="B50" i="48"/>
  <c r="B58" i="50"/>
  <c r="M64" i="49"/>
  <c r="M44" i="49"/>
  <c r="D25" i="47"/>
  <c r="B27" i="48"/>
  <c r="M25" i="49"/>
  <c r="C78" i="49"/>
  <c r="B31" i="50"/>
  <c r="C51" i="48"/>
  <c r="E46" i="47"/>
  <c r="D65" i="49"/>
  <c r="C59" i="50"/>
  <c r="N65" i="49"/>
  <c r="N84" i="49"/>
  <c r="C78" i="50"/>
  <c r="D32" i="49"/>
  <c r="N100" i="49"/>
  <c r="C70" i="48"/>
  <c r="F47" i="47"/>
  <c r="D100" i="49"/>
  <c r="E16" i="47"/>
  <c r="B65" i="49"/>
  <c r="A59" i="50"/>
  <c r="L65" i="49"/>
  <c r="A51" i="48"/>
  <c r="L84" i="49"/>
  <c r="C67" i="49"/>
  <c r="M86" i="49"/>
  <c r="B53" i="48"/>
  <c r="B61" i="50"/>
  <c r="M67" i="49"/>
  <c r="E33" i="47"/>
  <c r="A34" i="48"/>
  <c r="A38" i="50"/>
  <c r="L51" i="49"/>
  <c r="D17" i="47"/>
  <c r="L32" i="49"/>
  <c r="B85" i="49"/>
  <c r="B37" i="50"/>
  <c r="M50" i="49"/>
  <c r="B33" i="48"/>
  <c r="C84" i="49"/>
  <c r="M31" i="49"/>
  <c r="D31" i="47"/>
  <c r="C24" i="49"/>
  <c r="B70" i="50"/>
  <c r="B62" i="48"/>
  <c r="F24" i="47"/>
  <c r="M92" i="49"/>
  <c r="C92" i="49"/>
  <c r="A28" i="48"/>
  <c r="A32" i="50"/>
  <c r="L45" i="49"/>
  <c r="L26" i="49"/>
  <c r="B79" i="49"/>
  <c r="D11" i="47"/>
  <c r="B55" i="50"/>
  <c r="C61" i="49"/>
  <c r="B47" i="48"/>
  <c r="M80" i="49"/>
  <c r="E27" i="47"/>
  <c r="M61" i="49"/>
  <c r="S6" i="46"/>
  <c r="AP60" i="46"/>
  <c r="AP52" i="46"/>
  <c r="AO59" i="46"/>
  <c r="AP65" i="46"/>
  <c r="AP57" i="46"/>
  <c r="AO64" i="46"/>
  <c r="AO56" i="46"/>
  <c r="N87" i="49"/>
  <c r="T6" i="46"/>
  <c r="AP62" i="46"/>
  <c r="AP54" i="46"/>
  <c r="AO61" i="46"/>
  <c r="AO53" i="46"/>
  <c r="C57" i="48"/>
  <c r="AP63" i="46"/>
  <c r="AO65" i="46"/>
  <c r="AO52" i="46"/>
  <c r="D87" i="49"/>
  <c r="AP58" i="46"/>
  <c r="AO60" i="46"/>
  <c r="F34" i="47"/>
  <c r="AC15" i="46"/>
  <c r="AD6" i="46" s="1"/>
  <c r="AF15" i="46" s="1"/>
  <c r="AF22" i="46" s="1"/>
  <c r="AP66" i="46"/>
  <c r="AP53" i="46"/>
  <c r="AO55" i="46"/>
  <c r="AO62" i="46"/>
  <c r="AE15" i="46"/>
  <c r="AP64" i="46"/>
  <c r="AO58" i="46"/>
  <c r="AD15" i="46"/>
  <c r="AP61" i="46"/>
  <c r="AO57" i="46"/>
  <c r="AP56" i="46"/>
  <c r="D19" i="49"/>
  <c r="AP59" i="46"/>
  <c r="AO54" i="46"/>
  <c r="AP55" i="46"/>
  <c r="AO63" i="46"/>
  <c r="AO66" i="46"/>
  <c r="C65" i="50"/>
  <c r="D42" i="49"/>
  <c r="C38" i="47"/>
  <c r="C7" i="48"/>
  <c r="D8" i="49"/>
  <c r="N8" i="49"/>
  <c r="C7" i="50"/>
  <c r="M45" i="49"/>
  <c r="D26" i="47"/>
  <c r="C79" i="49"/>
  <c r="B28" i="48"/>
  <c r="M26" i="49"/>
  <c r="B32" i="50"/>
  <c r="C50" i="50"/>
  <c r="N75" i="49"/>
  <c r="N56" i="49"/>
  <c r="D56" i="49"/>
  <c r="E37" i="47"/>
  <c r="C42" i="48"/>
  <c r="A35" i="48"/>
  <c r="B86" i="49"/>
  <c r="D18" i="47"/>
  <c r="L52" i="49"/>
  <c r="L33" i="49"/>
  <c r="A39" i="50"/>
  <c r="C22" i="48"/>
  <c r="N20" i="49"/>
  <c r="D73" i="49"/>
  <c r="C26" i="50"/>
  <c r="N39" i="49"/>
  <c r="D35" i="47"/>
  <c r="E47" i="47"/>
  <c r="N66" i="49"/>
  <c r="C52" i="48"/>
  <c r="C60" i="50"/>
  <c r="N85" i="49"/>
  <c r="D66" i="49"/>
  <c r="L16" i="49"/>
  <c r="A15" i="50"/>
  <c r="B16" i="49"/>
  <c r="C16" i="47"/>
  <c r="A15" i="48"/>
  <c r="B50" i="49"/>
  <c r="C12" i="48"/>
  <c r="C12" i="50"/>
  <c r="D47" i="49"/>
  <c r="D13" i="49"/>
  <c r="C43" i="47"/>
  <c r="N13" i="49"/>
  <c r="F35" i="47"/>
  <c r="D20" i="49"/>
  <c r="N88" i="49"/>
  <c r="C58" i="48"/>
  <c r="C66" i="50"/>
  <c r="D88" i="49"/>
  <c r="C11" i="48"/>
  <c r="D46" i="49"/>
  <c r="N12" i="49"/>
  <c r="D12" i="49"/>
  <c r="C42" i="47"/>
  <c r="C11" i="50"/>
  <c r="E44" i="47"/>
  <c r="N82" i="49"/>
  <c r="N63" i="49"/>
  <c r="C57" i="50"/>
  <c r="C49" i="48"/>
  <c r="D63" i="49"/>
  <c r="M46" i="49"/>
  <c r="M27" i="49"/>
  <c r="C80" i="49"/>
  <c r="B29" i="48"/>
  <c r="B33" i="50"/>
  <c r="D27" i="47"/>
  <c r="T20" i="46"/>
  <c r="O70" i="46" s="1"/>
  <c r="AD22" i="46"/>
  <c r="Y72" i="46" s="1"/>
  <c r="AB6" i="46"/>
  <c r="AE21" i="46"/>
  <c r="U72" i="46" s="1"/>
  <c r="Z21" i="46"/>
  <c r="U71" i="46" s="1"/>
  <c r="AE20" i="46"/>
  <c r="P72" i="46" s="1"/>
  <c r="B7" i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15"/>
  <c r="B6" i="15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Q75" i="49"/>
  <c r="Q76" i="49"/>
  <c r="G83" i="49"/>
  <c r="G82" i="49"/>
  <c r="V28" i="48"/>
  <c r="H15" i="49"/>
  <c r="H14" i="49"/>
  <c r="I41" i="49"/>
  <c r="I42" i="49"/>
  <c r="G49" i="49"/>
  <c r="G48" i="49"/>
  <c r="Q14" i="49"/>
  <c r="Q15" i="49"/>
  <c r="AT34" i="50"/>
  <c r="I48" i="49"/>
  <c r="I49" i="49"/>
  <c r="P12" i="50"/>
  <c r="P100" i="50"/>
  <c r="P122" i="50"/>
  <c r="R49" i="49"/>
  <c r="R48" i="49"/>
  <c r="I16" i="47"/>
  <c r="I15" i="47"/>
  <c r="S7" i="49"/>
  <c r="S8" i="49"/>
  <c r="Q48" i="49"/>
  <c r="Q49" i="49"/>
  <c r="G75" i="49"/>
  <c r="G76" i="49"/>
  <c r="Q41" i="49"/>
  <c r="Q42" i="49"/>
  <c r="AE61" i="48"/>
  <c r="AE60" i="48"/>
  <c r="R60" i="48"/>
  <c r="P6" i="48"/>
  <c r="AE42" i="48"/>
  <c r="AE43" i="48"/>
  <c r="R42" i="48"/>
  <c r="S41" i="49"/>
  <c r="S42" i="49"/>
  <c r="R83" i="49"/>
  <c r="R82" i="49"/>
  <c r="P56" i="50"/>
  <c r="P78" i="50"/>
  <c r="J9" i="47"/>
  <c r="J8" i="47"/>
  <c r="R75" i="49"/>
  <c r="R76" i="49"/>
  <c r="Q82" i="49"/>
  <c r="Q83" i="49"/>
  <c r="S75" i="49"/>
  <c r="S76" i="49"/>
  <c r="H83" i="49"/>
  <c r="H82" i="49"/>
  <c r="R15" i="49"/>
  <c r="R14" i="49"/>
  <c r="P42" i="48"/>
  <c r="V23" i="48"/>
  <c r="V24" i="48"/>
  <c r="V25" i="48"/>
  <c r="H41" i="49"/>
  <c r="H42" i="49"/>
  <c r="Q42" i="48"/>
  <c r="AE41" i="48"/>
  <c r="V64" i="48"/>
  <c r="AE5" i="48"/>
  <c r="Q6" i="48"/>
  <c r="AE56" i="50"/>
  <c r="AE78" i="50"/>
  <c r="H75" i="49"/>
  <c r="H76" i="49"/>
  <c r="I7" i="49"/>
  <c r="I8" i="49"/>
  <c r="I14" i="49"/>
  <c r="I15" i="49"/>
  <c r="P34" i="50"/>
  <c r="J16" i="47"/>
  <c r="J15" i="47"/>
  <c r="I9" i="47"/>
  <c r="I8" i="47"/>
  <c r="AT56" i="50"/>
  <c r="AT78" i="50"/>
  <c r="K9" i="47"/>
  <c r="K8" i="47"/>
  <c r="V7" i="48"/>
  <c r="V5" i="48"/>
  <c r="V6" i="48"/>
  <c r="V46" i="48"/>
  <c r="R7" i="49"/>
  <c r="R8" i="49"/>
  <c r="S83" i="49"/>
  <c r="S82" i="49"/>
  <c r="L8" i="47"/>
  <c r="L9" i="47"/>
  <c r="S15" i="49"/>
  <c r="S14" i="49"/>
  <c r="K15" i="47"/>
  <c r="K16" i="47"/>
  <c r="I75" i="49"/>
  <c r="I76" i="49"/>
  <c r="V10" i="48"/>
  <c r="AT12" i="50"/>
  <c r="AT100" i="50"/>
  <c r="AT122" i="50"/>
  <c r="AE6" i="48"/>
  <c r="AE7" i="48"/>
  <c r="R6" i="48"/>
  <c r="AE34" i="50"/>
  <c r="H7" i="49"/>
  <c r="H8" i="49"/>
  <c r="V60" i="48"/>
  <c r="V61" i="48"/>
  <c r="V59" i="48"/>
  <c r="R24" i="48"/>
  <c r="AE24" i="48"/>
  <c r="AE25" i="48"/>
  <c r="Q7" i="49"/>
  <c r="Q8" i="49"/>
  <c r="P60" i="48"/>
  <c r="AE59" i="48"/>
  <c r="Q60" i="48"/>
  <c r="AE23" i="48"/>
  <c r="Q24" i="48"/>
  <c r="I82" i="49"/>
  <c r="I83" i="49"/>
  <c r="P24" i="48"/>
  <c r="R41" i="49"/>
  <c r="R42" i="49"/>
  <c r="V42" i="48"/>
  <c r="V41" i="48"/>
  <c r="V43" i="48"/>
  <c r="G41" i="49"/>
  <c r="G42" i="49"/>
  <c r="G7" i="49"/>
  <c r="G8" i="49"/>
  <c r="S49" i="49"/>
  <c r="S48" i="49"/>
  <c r="G15" i="49"/>
  <c r="G14" i="49"/>
  <c r="AE12" i="50"/>
  <c r="AE122" i="50"/>
  <c r="AE100" i="50"/>
  <c r="L16" i="47"/>
  <c r="L15" i="47"/>
  <c r="H49" i="49"/>
  <c r="H48" i="49"/>
  <c r="X6" i="46" l="1"/>
  <c r="AJ7" i="50"/>
  <c r="AC5" i="46"/>
  <c r="Y22" i="46"/>
  <c r="Y71" i="46" s="1"/>
  <c r="T21" i="46"/>
  <c r="T70" i="46" s="1"/>
  <c r="AC6" i="46"/>
  <c r="AB15" i="46" s="1"/>
  <c r="P22" i="46"/>
  <c r="Z69" i="46" s="1"/>
  <c r="AL96" i="50"/>
  <c r="O22" i="46"/>
  <c r="Y69" i="46" s="1"/>
  <c r="P20" i="46"/>
  <c r="P69" i="46" s="1"/>
  <c r="H25" i="48"/>
  <c r="F117" i="50"/>
  <c r="AE72" i="50"/>
  <c r="I42" i="48"/>
  <c r="Q50" i="50"/>
  <c r="AT9" i="50"/>
  <c r="AT15" i="50" s="1"/>
  <c r="W8" i="50"/>
  <c r="F44" i="48"/>
  <c r="Z5" i="46"/>
  <c r="V14" i="46" s="1"/>
  <c r="V21" i="46" s="1"/>
  <c r="AT75" i="50"/>
  <c r="G30" i="50"/>
  <c r="AJ8" i="50"/>
  <c r="AJ9" i="50" s="1"/>
  <c r="AO9" i="50" s="1"/>
  <c r="AK14" i="50" s="1"/>
  <c r="H95" i="50"/>
  <c r="F8" i="48"/>
  <c r="F118" i="50"/>
  <c r="F119" i="50" s="1"/>
  <c r="K119" i="50" s="1"/>
  <c r="G124" i="50" s="1"/>
  <c r="X5" i="46"/>
  <c r="Q14" i="46" s="1"/>
  <c r="J24" i="48"/>
  <c r="Q5" i="48"/>
  <c r="G26" i="48"/>
  <c r="J60" i="48"/>
  <c r="F50" i="48"/>
  <c r="H50" i="48" s="1"/>
  <c r="Q23" i="48"/>
  <c r="AT97" i="50"/>
  <c r="AA24" i="48"/>
  <c r="W119" i="50" a="1"/>
  <c r="W119" i="50" s="1"/>
  <c r="AB13" i="46"/>
  <c r="AB20" i="46" s="1"/>
  <c r="AD4" i="46"/>
  <c r="AF13" i="46" s="1"/>
  <c r="AF20" i="46" s="1"/>
  <c r="AD20" i="46"/>
  <c r="O72" i="46" s="1"/>
  <c r="AF60" i="48"/>
  <c r="W5" i="46"/>
  <c r="M14" i="46" s="1"/>
  <c r="M21" i="46" s="1"/>
  <c r="R69" i="46" s="1"/>
  <c r="P97" i="50"/>
  <c r="P103" i="50" s="1"/>
  <c r="G25" i="48"/>
  <c r="AE95" i="50"/>
  <c r="W118" i="50"/>
  <c r="I26" i="48"/>
  <c r="F74" i="50"/>
  <c r="F75" i="50" s="1"/>
  <c r="K75" i="50" s="1"/>
  <c r="AK7" i="50"/>
  <c r="AK9" i="50" s="1"/>
  <c r="G118" i="50"/>
  <c r="AA4" i="46"/>
  <c r="W13" i="46" s="1"/>
  <c r="W20" i="46" s="1"/>
  <c r="M71" i="46" s="1"/>
  <c r="Q43" i="48"/>
  <c r="AT72" i="50"/>
  <c r="Z60" i="48"/>
  <c r="AU72" i="50"/>
  <c r="P52" i="50"/>
  <c r="Q7" i="48"/>
  <c r="Q8" i="48" s="1"/>
  <c r="V74" i="50"/>
  <c r="AL8" i="50"/>
  <c r="G6" i="48"/>
  <c r="F7" i="50"/>
  <c r="AT116" i="50"/>
  <c r="J8" i="48"/>
  <c r="P21" i="46"/>
  <c r="U69" i="46" s="1"/>
  <c r="F26" i="48"/>
  <c r="AA59" i="48"/>
  <c r="R13" i="46"/>
  <c r="R20" i="46" s="1"/>
  <c r="M70" i="46" s="1"/>
  <c r="AL51" i="50"/>
  <c r="Z23" i="48"/>
  <c r="Q25" i="48"/>
  <c r="W4" i="46"/>
  <c r="M13" i="46" s="1"/>
  <c r="M20" i="46" s="1"/>
  <c r="R14" i="46"/>
  <c r="R21" i="46" s="1"/>
  <c r="R70" i="46" s="1"/>
  <c r="AA5" i="46"/>
  <c r="W14" i="46" s="1"/>
  <c r="W21" i="46" s="1"/>
  <c r="R71" i="46" s="1"/>
  <c r="G61" i="48"/>
  <c r="F14" i="48"/>
  <c r="H75" i="50" a="1"/>
  <c r="H75" i="50" s="1"/>
  <c r="AJ30" i="50"/>
  <c r="AJ31" i="50" s="1"/>
  <c r="AO31" i="50" s="1"/>
  <c r="AK29" i="50"/>
  <c r="V95" i="50"/>
  <c r="AL29" i="50"/>
  <c r="Z7" i="48"/>
  <c r="Q41" i="48"/>
  <c r="G96" i="50"/>
  <c r="H73" i="50"/>
  <c r="Z24" i="48"/>
  <c r="H6" i="48"/>
  <c r="P96" i="50"/>
  <c r="I8" i="48"/>
  <c r="AJ96" i="50"/>
  <c r="AJ97" i="50" s="1"/>
  <c r="AO97" i="50" s="1"/>
  <c r="AK101" i="50" s="1"/>
  <c r="G44" i="48"/>
  <c r="W96" i="50"/>
  <c r="W30" i="50"/>
  <c r="AF41" i="48"/>
  <c r="AT74" i="50"/>
  <c r="AJ52" i="50"/>
  <c r="AJ53" i="50" s="1"/>
  <c r="AO53" i="50" s="1"/>
  <c r="AK58" i="50" s="1"/>
  <c r="J7" i="48"/>
  <c r="H44" i="48"/>
  <c r="Z6" i="46"/>
  <c r="V15" i="46" s="1"/>
  <c r="V22" i="46" s="1"/>
  <c r="AA70" i="46" s="1"/>
  <c r="Z61" i="48"/>
  <c r="H117" i="50"/>
  <c r="F25" i="48"/>
  <c r="G8" i="50"/>
  <c r="AF24" i="48"/>
  <c r="R61" i="48"/>
  <c r="R62" i="48" s="1"/>
  <c r="I43" i="48"/>
  <c r="AB14" i="46"/>
  <c r="AB21" i="46" s="1"/>
  <c r="AE30" i="50"/>
  <c r="P53" i="50"/>
  <c r="AE52" i="50"/>
  <c r="AA25" i="48"/>
  <c r="AU6" i="50"/>
  <c r="V7" i="50"/>
  <c r="AD5" i="46"/>
  <c r="AF14" i="46" s="1"/>
  <c r="AF21" i="46" s="1"/>
  <c r="V72" i="46" s="1"/>
  <c r="F62" i="48"/>
  <c r="AL9" i="50" a="1"/>
  <c r="AL9" i="50" s="1"/>
  <c r="F60" i="48"/>
  <c r="AL95" i="50"/>
  <c r="AJ95" i="50"/>
  <c r="J61" i="48"/>
  <c r="AF61" i="48"/>
  <c r="U73" i="50"/>
  <c r="G52" i="50"/>
  <c r="P6" i="50"/>
  <c r="P28" i="50"/>
  <c r="G7" i="50"/>
  <c r="AF7" i="48"/>
  <c r="U7" i="50"/>
  <c r="J25" i="48"/>
  <c r="R5" i="48"/>
  <c r="AT52" i="50"/>
  <c r="H97" i="50" a="1"/>
  <c r="H97" i="50" s="1"/>
  <c r="U30" i="50"/>
  <c r="U31" i="50" s="1"/>
  <c r="Z31" i="50" s="1"/>
  <c r="G117" i="50"/>
  <c r="H9" i="50" a="1"/>
  <c r="H9" i="50" s="1"/>
  <c r="AE50" i="50"/>
  <c r="AE6" i="50"/>
  <c r="Z6" i="48"/>
  <c r="Q94" i="50"/>
  <c r="Z20" i="46"/>
  <c r="P71" i="46" s="1"/>
  <c r="AT6" i="50"/>
  <c r="AL7" i="50"/>
  <c r="P59" i="48"/>
  <c r="F68" i="48"/>
  <c r="AL73" i="50"/>
  <c r="I61" i="48"/>
  <c r="V118" i="50"/>
  <c r="AF28" i="50"/>
  <c r="W95" i="50"/>
  <c r="J44" i="48"/>
  <c r="I24" i="48"/>
  <c r="F51" i="50"/>
  <c r="H31" i="50" a="1"/>
  <c r="H31" i="50" s="1"/>
  <c r="L31" i="50" s="1"/>
  <c r="Z25" i="48"/>
  <c r="P41" i="48"/>
  <c r="AA41" i="48"/>
  <c r="H62" i="48"/>
  <c r="AF6" i="48"/>
  <c r="P7" i="48"/>
  <c r="G8" i="48"/>
  <c r="Q116" i="50"/>
  <c r="AB4" i="46"/>
  <c r="AA13" i="46" s="1"/>
  <c r="AA20" i="46" s="1"/>
  <c r="Q71" i="46" s="1"/>
  <c r="Z22" i="46"/>
  <c r="Z71" i="46" s="1"/>
  <c r="AL31" i="50" a="1"/>
  <c r="AL31" i="50" s="1"/>
  <c r="AJ51" i="50"/>
  <c r="AK118" i="50"/>
  <c r="AK119" i="50" s="1"/>
  <c r="H60" i="48"/>
  <c r="G68" i="48"/>
  <c r="G67" i="48" s="1"/>
  <c r="K66" i="48" s="1"/>
  <c r="R23" i="48"/>
  <c r="F30" i="50"/>
  <c r="F31" i="50" s="1"/>
  <c r="K31" i="50" s="1"/>
  <c r="G36" i="50" s="1"/>
  <c r="W75" i="50" a="1"/>
  <c r="W75" i="50" s="1"/>
  <c r="W97" i="50" a="1"/>
  <c r="W97" i="50" s="1"/>
  <c r="H119" i="50" a="1"/>
  <c r="H119" i="50" s="1"/>
  <c r="Q72" i="50"/>
  <c r="R41" i="48"/>
  <c r="P23" i="48"/>
  <c r="H29" i="50"/>
  <c r="P8" i="50"/>
  <c r="G51" i="50"/>
  <c r="G53" i="50" s="1"/>
  <c r="F7" i="48"/>
  <c r="AE9" i="50"/>
  <c r="AE28" i="50"/>
  <c r="V29" i="50"/>
  <c r="U52" i="50"/>
  <c r="U53" i="50" s="1"/>
  <c r="Z53" i="50" s="1"/>
  <c r="V57" i="50" s="1"/>
  <c r="AE73" i="50"/>
  <c r="AL74" i="50"/>
  <c r="AK74" i="50"/>
  <c r="AK75" i="50" s="1"/>
  <c r="G43" i="48"/>
  <c r="I25" i="48"/>
  <c r="G50" i="48"/>
  <c r="G49" i="48" s="1"/>
  <c r="K48" i="48" s="1"/>
  <c r="AF42" i="48"/>
  <c r="R59" i="48"/>
  <c r="P5" i="48"/>
  <c r="I6" i="48"/>
  <c r="R7" i="48"/>
  <c r="R8" i="48" s="1"/>
  <c r="H118" i="50"/>
  <c r="AB5" i="46"/>
  <c r="AA14" i="46" s="1"/>
  <c r="AA21" i="46" s="1"/>
  <c r="Y6" i="46"/>
  <c r="R15" i="46" s="1"/>
  <c r="R22" i="46" s="1"/>
  <c r="Z4" i="46"/>
  <c r="V13" i="46" s="1"/>
  <c r="V20" i="46" s="1"/>
  <c r="Y20" i="46"/>
  <c r="O71" i="46" s="1"/>
  <c r="AE51" i="50"/>
  <c r="P25" i="48"/>
  <c r="P26" i="48" s="1"/>
  <c r="W31" i="50" a="1"/>
  <c r="W31" i="50" s="1"/>
  <c r="W117" i="50"/>
  <c r="AL52" i="50"/>
  <c r="J42" i="48"/>
  <c r="F49" i="48" s="1"/>
  <c r="H49" i="48" s="1"/>
  <c r="F6" i="48"/>
  <c r="Q6" i="50"/>
  <c r="H96" i="50"/>
  <c r="W15" i="46"/>
  <c r="W22" i="46" s="1"/>
  <c r="W71" i="46" s="1"/>
  <c r="AT28" i="50"/>
  <c r="AU94" i="50"/>
  <c r="AF59" i="48"/>
  <c r="AA60" i="48"/>
  <c r="AT94" i="50"/>
  <c r="H26" i="48"/>
  <c r="Q59" i="48"/>
  <c r="Q61" i="48"/>
  <c r="Q62" i="48" s="1"/>
  <c r="U118" i="50"/>
  <c r="U119" i="50" s="1"/>
  <c r="Z119" i="50" s="1"/>
  <c r="V123" i="50" s="1"/>
  <c r="F95" i="50"/>
  <c r="W73" i="50"/>
  <c r="U95" i="50"/>
  <c r="H74" i="50"/>
  <c r="H24" i="48"/>
  <c r="F24" i="48"/>
  <c r="F29" i="50"/>
  <c r="H51" i="50"/>
  <c r="AE8" i="50"/>
  <c r="AE116" i="50"/>
  <c r="V117" i="50"/>
  <c r="AL119" i="50" a="1"/>
  <c r="AL119" i="50" s="1"/>
  <c r="G42" i="48"/>
  <c r="J62" i="48"/>
  <c r="F67" i="48" s="1"/>
  <c r="H67" i="48" s="1"/>
  <c r="L66" i="48" s="1"/>
  <c r="AA15" i="46"/>
  <c r="AA22" i="46" s="1"/>
  <c r="AA71" i="46" s="1"/>
  <c r="AT53" i="50"/>
  <c r="AT59" i="50" s="1"/>
  <c r="J26" i="48"/>
  <c r="P31" i="50"/>
  <c r="I7" i="48"/>
  <c r="W7" i="50"/>
  <c r="W29" i="50"/>
  <c r="U29" i="50"/>
  <c r="AF72" i="50"/>
  <c r="AK117" i="50"/>
  <c r="J43" i="48"/>
  <c r="M15" i="46"/>
  <c r="M22" i="46" s="1"/>
  <c r="W69" i="46" s="1"/>
  <c r="AL53" i="50" a="1"/>
  <c r="AL53" i="50" s="1"/>
  <c r="AL75" i="50" a="1"/>
  <c r="AL75" i="50" s="1"/>
  <c r="AL30" i="50"/>
  <c r="F61" i="48"/>
  <c r="V8" i="50"/>
  <c r="V9" i="50" s="1"/>
  <c r="U8" i="50"/>
  <c r="U9" i="50" s="1"/>
  <c r="Z9" i="50" s="1"/>
  <c r="V14" i="50" s="1"/>
  <c r="Q28" i="50"/>
  <c r="AT30" i="50"/>
  <c r="AK51" i="50"/>
  <c r="AK8" i="50"/>
  <c r="AU116" i="50"/>
  <c r="I60" i="48"/>
  <c r="G60" i="48"/>
  <c r="AK95" i="50"/>
  <c r="AK73" i="50"/>
  <c r="R25" i="48"/>
  <c r="R26" i="48" s="1"/>
  <c r="H61" i="48"/>
  <c r="AF94" i="50"/>
  <c r="V96" i="50"/>
  <c r="V97" i="50" s="1"/>
  <c r="P94" i="50"/>
  <c r="G73" i="50"/>
  <c r="L75" i="50" s="1"/>
  <c r="AE94" i="50"/>
  <c r="AE75" i="50"/>
  <c r="G74" i="50"/>
  <c r="P116" i="50"/>
  <c r="I44" i="48"/>
  <c r="G24" i="48"/>
  <c r="H7" i="50"/>
  <c r="P9" i="50"/>
  <c r="H53" i="50" a="1"/>
  <c r="H53" i="50" s="1"/>
  <c r="H7" i="48"/>
  <c r="W53" i="50" a="1"/>
  <c r="W53" i="50" s="1"/>
  <c r="W9" i="50" a="1"/>
  <c r="W9" i="50" s="1"/>
  <c r="X9" i="50" s="1"/>
  <c r="AE31" i="50"/>
  <c r="W74" i="50"/>
  <c r="U117" i="50"/>
  <c r="AL117" i="50"/>
  <c r="AJ117" i="50"/>
  <c r="Z43" i="48"/>
  <c r="AF25" i="48"/>
  <c r="Z42" i="48"/>
  <c r="F42" i="48"/>
  <c r="G14" i="48"/>
  <c r="G13" i="48" s="1"/>
  <c r="K12" i="48" s="1"/>
  <c r="Z5" i="48"/>
  <c r="H8" i="48"/>
  <c r="F8" i="50"/>
  <c r="F9" i="50" s="1"/>
  <c r="K9" i="50" s="1"/>
  <c r="G13" i="50" s="1"/>
  <c r="AT118" i="50"/>
  <c r="G62" i="48"/>
  <c r="AJ73" i="50"/>
  <c r="AT119" i="50"/>
  <c r="AA43" i="48"/>
  <c r="H42" i="48"/>
  <c r="AA5" i="48"/>
  <c r="F96" i="50"/>
  <c r="F97" i="50" s="1"/>
  <c r="K97" i="50" s="1"/>
  <c r="G101" i="50" s="1"/>
  <c r="AE22" i="46"/>
  <c r="Z72" i="46" s="1"/>
  <c r="AT96" i="50"/>
  <c r="AF6" i="50"/>
  <c r="G95" i="50"/>
  <c r="P72" i="50"/>
  <c r="V73" i="50"/>
  <c r="H52" i="50"/>
  <c r="AF23" i="48"/>
  <c r="AE118" i="50"/>
  <c r="AK52" i="50"/>
  <c r="AT31" i="50"/>
  <c r="AJ118" i="50"/>
  <c r="AJ119" i="50" s="1"/>
  <c r="AO119" i="50" s="1"/>
  <c r="Z59" i="48"/>
  <c r="AL97" i="50" a="1"/>
  <c r="AL97" i="50" s="1"/>
  <c r="AA61" i="48"/>
  <c r="U96" i="50"/>
  <c r="U97" i="50" s="1"/>
  <c r="Z97" i="50" s="1"/>
  <c r="V101" i="50" s="1"/>
  <c r="AF116" i="50"/>
  <c r="H30" i="50"/>
  <c r="AE96" i="50"/>
  <c r="AE97" i="50"/>
  <c r="F52" i="50"/>
  <c r="F53" i="50" s="1"/>
  <c r="K53" i="50" s="1"/>
  <c r="G58" i="50" s="1"/>
  <c r="P118" i="50"/>
  <c r="R43" i="48"/>
  <c r="R44" i="48" s="1"/>
  <c r="F32" i="48"/>
  <c r="H32" i="48" s="1"/>
  <c r="G32" i="48"/>
  <c r="G31" i="48" s="1"/>
  <c r="K30" i="48" s="1"/>
  <c r="P30" i="50"/>
  <c r="G29" i="50"/>
  <c r="G7" i="48"/>
  <c r="V51" i="50"/>
  <c r="W51" i="50"/>
  <c r="AE53" i="50"/>
  <c r="V52" i="50"/>
  <c r="AE119" i="50"/>
  <c r="AU50" i="50"/>
  <c r="H43" i="48"/>
  <c r="AF43" i="48"/>
  <c r="AA42" i="48"/>
  <c r="Z41" i="48"/>
  <c r="I62" i="48"/>
  <c r="AA6" i="48"/>
  <c r="J6" i="48"/>
  <c r="U22" i="46"/>
  <c r="Z70" i="46" s="1"/>
  <c r="AD21" i="46"/>
  <c r="T72" i="46" s="1"/>
  <c r="Q15" i="46"/>
  <c r="Q22" i="46" s="1"/>
  <c r="AT50" i="50"/>
  <c r="AJ29" i="50"/>
  <c r="AK96" i="50"/>
  <c r="AK30" i="50"/>
  <c r="AK31" i="50" s="1"/>
  <c r="V30" i="50"/>
  <c r="W52" i="50"/>
  <c r="AT8" i="50"/>
  <c r="AL118" i="50"/>
  <c r="P61" i="48"/>
  <c r="P62" i="48" s="1"/>
  <c r="AU28" i="50"/>
  <c r="P75" i="50"/>
  <c r="F73" i="50"/>
  <c r="AE74" i="50"/>
  <c r="P119" i="50"/>
  <c r="AA23" i="48"/>
  <c r="P50" i="50"/>
  <c r="AA7" i="48"/>
  <c r="U51" i="50"/>
  <c r="U74" i="50"/>
  <c r="U75" i="50" s="1"/>
  <c r="Z75" i="50" s="1"/>
  <c r="V79" i="50" s="1"/>
  <c r="AJ74" i="50"/>
  <c r="AJ75" i="50" s="1"/>
  <c r="AO75" i="50" s="1"/>
  <c r="AK79" i="50" s="1"/>
  <c r="F43" i="48"/>
  <c r="P43" i="48"/>
  <c r="P44" i="48" s="1"/>
  <c r="AF5" i="48"/>
  <c r="H8" i="50"/>
  <c r="S10" i="49"/>
  <c r="R85" i="49"/>
  <c r="Q51" i="49"/>
  <c r="R17" i="49"/>
  <c r="Q85" i="49"/>
  <c r="H17" i="49"/>
  <c r="H78" i="49"/>
  <c r="I51" i="49"/>
  <c r="H85" i="49"/>
  <c r="S85" i="49"/>
  <c r="H10" i="49"/>
  <c r="L18" i="47"/>
  <c r="K18" i="47"/>
  <c r="G51" i="49"/>
  <c r="S17" i="49"/>
  <c r="Q10" i="49"/>
  <c r="G10" i="49"/>
  <c r="S51" i="49"/>
  <c r="R78" i="49"/>
  <c r="Q78" i="49"/>
  <c r="H44" i="49"/>
  <c r="I17" i="49"/>
  <c r="R10" i="49"/>
  <c r="G85" i="49"/>
  <c r="G78" i="49"/>
  <c r="H51" i="49"/>
  <c r="I11" i="47"/>
  <c r="R51" i="49"/>
  <c r="R44" i="49"/>
  <c r="J18" i="47"/>
  <c r="I44" i="49"/>
  <c r="G44" i="49"/>
  <c r="G17" i="49"/>
  <c r="L11" i="47"/>
  <c r="I18" i="47"/>
  <c r="I10" i="49"/>
  <c r="Q44" i="49"/>
  <c r="Q17" i="49"/>
  <c r="K11" i="47"/>
  <c r="J11" i="47"/>
  <c r="S44" i="49"/>
  <c r="I85" i="49"/>
  <c r="S78" i="49"/>
  <c r="I78" i="49"/>
  <c r="Q26" i="48"/>
  <c r="Q44" i="48"/>
  <c r="S22" i="46"/>
  <c r="X70" i="46" s="1"/>
  <c r="N22" i="46"/>
  <c r="X69" i="46" s="1"/>
  <c r="AC20" i="46"/>
  <c r="N72" i="46" s="1"/>
  <c r="Q20" i="46"/>
  <c r="Q69" i="46" s="1"/>
  <c r="D65" i="52"/>
  <c r="D66" i="52"/>
  <c r="A66" i="52"/>
  <c r="D63" i="52"/>
  <c r="D64" i="52"/>
  <c r="A62" i="52"/>
  <c r="D61" i="52"/>
  <c r="D62" i="52"/>
  <c r="D59" i="52"/>
  <c r="D60" i="52"/>
  <c r="A57" i="52"/>
  <c r="A58" i="52"/>
  <c r="D57" i="52"/>
  <c r="D58" i="52"/>
  <c r="D55" i="52"/>
  <c r="D56" i="52"/>
  <c r="B53" i="52"/>
  <c r="B54" i="52"/>
  <c r="D53" i="52"/>
  <c r="D54" i="52"/>
  <c r="AA72" i="46"/>
  <c r="D52" i="52"/>
  <c r="AA69" i="46"/>
  <c r="B41" i="52"/>
  <c r="B42" i="52"/>
  <c r="C41" i="52"/>
  <c r="C42" i="52"/>
  <c r="B39" i="52"/>
  <c r="B40" i="52"/>
  <c r="C39" i="52"/>
  <c r="C40" i="52"/>
  <c r="B37" i="52"/>
  <c r="B38" i="52"/>
  <c r="C37" i="52"/>
  <c r="C38" i="52"/>
  <c r="B35" i="52"/>
  <c r="B36" i="52"/>
  <c r="C35" i="52"/>
  <c r="C36" i="52"/>
  <c r="B33" i="52"/>
  <c r="B34" i="52"/>
  <c r="C33" i="52"/>
  <c r="C34" i="52"/>
  <c r="B31" i="52"/>
  <c r="B32" i="52"/>
  <c r="C31" i="52"/>
  <c r="C32" i="52"/>
  <c r="C30" i="52"/>
  <c r="B29" i="52"/>
  <c r="B30" i="52"/>
  <c r="V71" i="46"/>
  <c r="V70" i="46"/>
  <c r="B28" i="52"/>
  <c r="B66" i="51"/>
  <c r="A66" i="51"/>
  <c r="B63" i="51"/>
  <c r="B64" i="51"/>
  <c r="A64" i="51"/>
  <c r="B62" i="51"/>
  <c r="A62" i="51"/>
  <c r="A60" i="51"/>
  <c r="B57" i="51"/>
  <c r="B58" i="51"/>
  <c r="A58" i="51"/>
  <c r="A56" i="51"/>
  <c r="B53" i="51"/>
  <c r="A54" i="51"/>
  <c r="W70" i="46"/>
  <c r="B52" i="51"/>
  <c r="A52" i="51"/>
  <c r="B41" i="51"/>
  <c r="A41" i="51"/>
  <c r="B38" i="51"/>
  <c r="A37" i="51"/>
  <c r="B35" i="51"/>
  <c r="A33" i="51"/>
  <c r="B32" i="51"/>
  <c r="B29" i="51"/>
  <c r="B30" i="51"/>
  <c r="A29" i="51"/>
  <c r="R72" i="46"/>
  <c r="M72" i="46"/>
  <c r="D18" i="51"/>
  <c r="D6" i="51"/>
  <c r="D7" i="51"/>
  <c r="D13" i="51"/>
  <c r="D8" i="51"/>
  <c r="D10" i="51"/>
  <c r="D17" i="51"/>
  <c r="D15" i="51"/>
  <c r="D9" i="51"/>
  <c r="D16" i="51"/>
  <c r="D12" i="51"/>
  <c r="D5" i="51"/>
  <c r="D14" i="51"/>
  <c r="D11" i="51"/>
  <c r="D4" i="51"/>
  <c r="C15" i="51"/>
  <c r="C8" i="51"/>
  <c r="A7" i="52"/>
  <c r="A6" i="52"/>
  <c r="A12" i="52"/>
  <c r="A13" i="52"/>
  <c r="A16" i="52"/>
  <c r="A9" i="52"/>
  <c r="A15" i="52"/>
  <c r="A14" i="52"/>
  <c r="A10" i="52"/>
  <c r="A18" i="52"/>
  <c r="A5" i="52"/>
  <c r="A8" i="52"/>
  <c r="A11" i="52"/>
  <c r="A17" i="52"/>
  <c r="A4" i="52"/>
  <c r="M69" i="46"/>
  <c r="A13" i="51"/>
  <c r="A18" i="51"/>
  <c r="A5" i="51"/>
  <c r="A15" i="51"/>
  <c r="Q72" i="46"/>
  <c r="D10" i="52"/>
  <c r="D6" i="52"/>
  <c r="D17" i="52"/>
  <c r="D4" i="52"/>
  <c r="B7" i="51"/>
  <c r="B12" i="51"/>
  <c r="Q70" i="46"/>
  <c r="B6" i="52"/>
  <c r="B8" i="52"/>
  <c r="B17" i="52"/>
  <c r="B18" i="52"/>
  <c r="B13" i="52"/>
  <c r="B5" i="52"/>
  <c r="B12" i="52"/>
  <c r="AM53" i="50"/>
  <c r="AN53" i="50" s="1"/>
  <c r="AJ57" i="50" s="1"/>
  <c r="AN57" i="50" s="1"/>
  <c r="AT81" i="50"/>
  <c r="V124" i="50"/>
  <c r="AE125" i="50"/>
  <c r="AK123" i="50"/>
  <c r="AK124" i="50"/>
  <c r="AK13" i="50"/>
  <c r="AE81" i="50"/>
  <c r="AK53" i="50"/>
  <c r="V36" i="50"/>
  <c r="V35" i="50"/>
  <c r="G31" i="50"/>
  <c r="I9" i="50"/>
  <c r="V31" i="50"/>
  <c r="P8" i="48"/>
  <c r="G123" i="50"/>
  <c r="AT37" i="50"/>
  <c r="AK35" i="50"/>
  <c r="AK36" i="50"/>
  <c r="G119" i="50"/>
  <c r="AE37" i="50"/>
  <c r="H68" i="48"/>
  <c r="G80" i="50"/>
  <c r="G79" i="50"/>
  <c r="P59" i="50"/>
  <c r="P64" i="50"/>
  <c r="AE86" i="50"/>
  <c r="AE130" i="50"/>
  <c r="AE38" i="50"/>
  <c r="AT38" i="50"/>
  <c r="P86" i="50"/>
  <c r="P108" i="50"/>
  <c r="AT86" i="50"/>
  <c r="AE20" i="50"/>
  <c r="P42" i="50"/>
  <c r="P130" i="50"/>
  <c r="AT108" i="50"/>
  <c r="AT64" i="50"/>
  <c r="AT42" i="50"/>
  <c r="AE126" i="50"/>
  <c r="P60" i="50"/>
  <c r="AE64" i="50"/>
  <c r="AE42" i="50"/>
  <c r="AT130" i="50"/>
  <c r="AE108" i="50"/>
  <c r="AT82" i="50"/>
  <c r="P20" i="50"/>
  <c r="AT16" i="50"/>
  <c r="AE82" i="50"/>
  <c r="AT20" i="50"/>
  <c r="P104" i="50"/>
  <c r="AT60" i="50"/>
  <c r="AB22" i="46" l="1"/>
  <c r="W72" i="46" s="1"/>
  <c r="D65" i="51"/>
  <c r="D60" i="51"/>
  <c r="D66" i="51"/>
  <c r="D62" i="51"/>
  <c r="D55" i="51"/>
  <c r="D61" i="51"/>
  <c r="D63" i="51"/>
  <c r="D58" i="51"/>
  <c r="D64" i="51"/>
  <c r="D53" i="51"/>
  <c r="D59" i="51"/>
  <c r="AC22" i="46"/>
  <c r="X72" i="46" s="1"/>
  <c r="D57" i="51"/>
  <c r="D56" i="51"/>
  <c r="D52" i="51"/>
  <c r="D54" i="51"/>
  <c r="AM97" i="50"/>
  <c r="B31" i="51"/>
  <c r="D33" i="52"/>
  <c r="AK102" i="50"/>
  <c r="AL102" i="50" s="1"/>
  <c r="D16" i="52"/>
  <c r="A6" i="51"/>
  <c r="B28" i="51"/>
  <c r="B40" i="51"/>
  <c r="B61" i="51"/>
  <c r="B37" i="51"/>
  <c r="V58" i="50"/>
  <c r="B39" i="51"/>
  <c r="AM31" i="50"/>
  <c r="AN31" i="50" s="1"/>
  <c r="D8" i="52"/>
  <c r="A7" i="51"/>
  <c r="B33" i="51"/>
  <c r="B56" i="51"/>
  <c r="B60" i="51"/>
  <c r="B65" i="51"/>
  <c r="AP53" i="50"/>
  <c r="X53" i="50"/>
  <c r="X58" i="50" s="1"/>
  <c r="B34" i="51"/>
  <c r="I75" i="50"/>
  <c r="J75" i="50" s="1"/>
  <c r="D12" i="52"/>
  <c r="A17" i="51"/>
  <c r="B36" i="51"/>
  <c r="B42" i="51"/>
  <c r="B54" i="51"/>
  <c r="B55" i="51"/>
  <c r="B59" i="51"/>
  <c r="S21" i="46"/>
  <c r="S70" i="46" s="1"/>
  <c r="AM9" i="50"/>
  <c r="H14" i="48"/>
  <c r="AA119" i="50"/>
  <c r="AF108" i="50"/>
  <c r="Q42" i="50"/>
  <c r="Q21" i="46"/>
  <c r="V69" i="46" s="1"/>
  <c r="A28" i="52"/>
  <c r="AP9" i="50"/>
  <c r="G14" i="50"/>
  <c r="D37" i="51"/>
  <c r="C53" i="51"/>
  <c r="V75" i="50"/>
  <c r="V13" i="50"/>
  <c r="G102" i="50"/>
  <c r="AP31" i="50"/>
  <c r="I97" i="50"/>
  <c r="J97" i="50" s="1"/>
  <c r="F102" i="50" s="1"/>
  <c r="J102" i="50" s="1"/>
  <c r="B11" i="51"/>
  <c r="B4" i="51"/>
  <c r="C9" i="51"/>
  <c r="B60" i="52"/>
  <c r="A63" i="52"/>
  <c r="AA53" i="50"/>
  <c r="B16" i="51"/>
  <c r="P15" i="50"/>
  <c r="L53" i="50"/>
  <c r="B10" i="51"/>
  <c r="C16" i="51"/>
  <c r="V102" i="50"/>
  <c r="B13" i="51"/>
  <c r="C10" i="51"/>
  <c r="C17" i="51"/>
  <c r="C42" i="51"/>
  <c r="D41" i="52"/>
  <c r="B56" i="52"/>
  <c r="B59" i="52"/>
  <c r="AE103" i="50"/>
  <c r="G97" i="50"/>
  <c r="AT125" i="50"/>
  <c r="AT120" i="50" s="1"/>
  <c r="AT121" i="50" s="1"/>
  <c r="AP75" i="50"/>
  <c r="AM119" i="50"/>
  <c r="AN119" i="50" s="1"/>
  <c r="AQ119" i="50" s="1"/>
  <c r="AA31" i="50"/>
  <c r="F13" i="48"/>
  <c r="H13" i="48" s="1"/>
  <c r="K7" i="48" s="1"/>
  <c r="B15" i="51"/>
  <c r="C13" i="51"/>
  <c r="AE59" i="50"/>
  <c r="B17" i="51"/>
  <c r="D33" i="51"/>
  <c r="S20" i="46"/>
  <c r="N70" i="46" s="1"/>
  <c r="X119" i="50"/>
  <c r="Y119" i="50" s="1"/>
  <c r="U124" i="50" s="1"/>
  <c r="Y124" i="50" s="1"/>
  <c r="S7" i="48"/>
  <c r="L97" i="50"/>
  <c r="V119" i="50"/>
  <c r="B14" i="51"/>
  <c r="B18" i="51"/>
  <c r="C4" i="51"/>
  <c r="C12" i="51"/>
  <c r="A31" i="51"/>
  <c r="A35" i="51"/>
  <c r="A39" i="51"/>
  <c r="B55" i="52"/>
  <c r="AC21" i="46"/>
  <c r="S72" i="46" s="1"/>
  <c r="AK97" i="50"/>
  <c r="AK80" i="50"/>
  <c r="D29" i="51"/>
  <c r="B52" i="52"/>
  <c r="B9" i="51"/>
  <c r="B58" i="52"/>
  <c r="A42" i="51"/>
  <c r="P125" i="50"/>
  <c r="P120" i="50" s="1"/>
  <c r="P121" i="50" s="1"/>
  <c r="P37" i="50"/>
  <c r="P32" i="50" s="1"/>
  <c r="P33" i="50" s="1"/>
  <c r="AE15" i="50"/>
  <c r="AM75" i="50"/>
  <c r="AN75" i="50" s="1"/>
  <c r="AQ75" i="50" s="1"/>
  <c r="C14" i="51"/>
  <c r="P81" i="50"/>
  <c r="C11" i="51"/>
  <c r="S8" i="48"/>
  <c r="B8" i="51"/>
  <c r="C6" i="51"/>
  <c r="C18" i="51"/>
  <c r="D31" i="51"/>
  <c r="D35" i="51"/>
  <c r="D39" i="51"/>
  <c r="X97" i="50"/>
  <c r="AT103" i="50"/>
  <c r="B5" i="51"/>
  <c r="B6" i="51"/>
  <c r="C5" i="51"/>
  <c r="C7" i="51"/>
  <c r="D28" i="51"/>
  <c r="C61" i="51"/>
  <c r="D34" i="52"/>
  <c r="A59" i="52"/>
  <c r="A65" i="52"/>
  <c r="X20" i="46"/>
  <c r="N71" i="46" s="1"/>
  <c r="C41" i="51"/>
  <c r="D32" i="52"/>
  <c r="D40" i="52"/>
  <c r="X21" i="46"/>
  <c r="S71" i="46" s="1"/>
  <c r="F31" i="48"/>
  <c r="H31" i="48" s="1"/>
  <c r="M30" i="48" s="1"/>
  <c r="G57" i="50"/>
  <c r="B14" i="52"/>
  <c r="B9" i="52"/>
  <c r="D18" i="52"/>
  <c r="D13" i="52"/>
  <c r="A4" i="51"/>
  <c r="A16" i="51"/>
  <c r="C15" i="52"/>
  <c r="A28" i="51"/>
  <c r="A30" i="51"/>
  <c r="A32" i="51"/>
  <c r="A34" i="51"/>
  <c r="A36" i="51"/>
  <c r="A38" i="51"/>
  <c r="A40" i="51"/>
  <c r="C57" i="51"/>
  <c r="C65" i="51"/>
  <c r="D30" i="52"/>
  <c r="D38" i="52"/>
  <c r="A56" i="52"/>
  <c r="B57" i="52"/>
  <c r="C60" i="52"/>
  <c r="A61" i="52"/>
  <c r="B64" i="52"/>
  <c r="N21" i="46"/>
  <c r="S69" i="46" s="1"/>
  <c r="AN9" i="50"/>
  <c r="AQ9" i="50" s="1"/>
  <c r="C5" i="52"/>
  <c r="D31" i="52"/>
  <c r="AP119" i="50"/>
  <c r="AA97" i="50"/>
  <c r="I53" i="50"/>
  <c r="I58" i="50" s="1"/>
  <c r="B7" i="52"/>
  <c r="B16" i="52"/>
  <c r="D7" i="52"/>
  <c r="D9" i="52"/>
  <c r="A14" i="51"/>
  <c r="A10" i="51"/>
  <c r="C30" i="51"/>
  <c r="C32" i="51"/>
  <c r="C34" i="51"/>
  <c r="C36" i="51"/>
  <c r="C38" i="51"/>
  <c r="C40" i="51"/>
  <c r="D42" i="51"/>
  <c r="D37" i="52"/>
  <c r="A54" i="52"/>
  <c r="A55" i="52"/>
  <c r="C58" i="52"/>
  <c r="B62" i="52"/>
  <c r="B63" i="52"/>
  <c r="L119" i="50"/>
  <c r="L9" i="50"/>
  <c r="D39" i="52"/>
  <c r="D42" i="52"/>
  <c r="AK57" i="50"/>
  <c r="B4" i="52"/>
  <c r="B15" i="52"/>
  <c r="D14" i="52"/>
  <c r="D11" i="52"/>
  <c r="A12" i="51"/>
  <c r="A11" i="51"/>
  <c r="C29" i="51"/>
  <c r="C31" i="51"/>
  <c r="C33" i="51"/>
  <c r="C35" i="51"/>
  <c r="C37" i="51"/>
  <c r="C39" i="51"/>
  <c r="D41" i="51"/>
  <c r="C55" i="51"/>
  <c r="C63" i="51"/>
  <c r="D29" i="52"/>
  <c r="D36" i="52"/>
  <c r="A53" i="52"/>
  <c r="C56" i="52"/>
  <c r="B61" i="52"/>
  <c r="B66" i="52"/>
  <c r="C64" i="52"/>
  <c r="C59" i="51"/>
  <c r="AP97" i="50"/>
  <c r="B11" i="52"/>
  <c r="B10" i="52"/>
  <c r="D5" i="52"/>
  <c r="D15" i="52"/>
  <c r="A8" i="51"/>
  <c r="A9" i="51"/>
  <c r="C28" i="51"/>
  <c r="D30" i="51"/>
  <c r="D32" i="51"/>
  <c r="D34" i="51"/>
  <c r="D36" i="51"/>
  <c r="D38" i="51"/>
  <c r="D40" i="51"/>
  <c r="D28" i="52"/>
  <c r="D35" i="52"/>
  <c r="A52" i="52"/>
  <c r="C54" i="52"/>
  <c r="A60" i="52"/>
  <c r="A64" i="52"/>
  <c r="B65" i="52"/>
  <c r="N20" i="46"/>
  <c r="N69" i="46" s="1"/>
  <c r="AA9" i="50"/>
  <c r="AN97" i="50"/>
  <c r="AQ97" i="50" s="1"/>
  <c r="C6" i="52"/>
  <c r="C54" i="51"/>
  <c r="C58" i="51"/>
  <c r="C64" i="51"/>
  <c r="Y9" i="50"/>
  <c r="U13" i="50" s="1"/>
  <c r="Y13" i="50" s="1"/>
  <c r="AA75" i="50"/>
  <c r="C9" i="52"/>
  <c r="C11" i="52"/>
  <c r="A32" i="52"/>
  <c r="A36" i="52"/>
  <c r="A38" i="52"/>
  <c r="A40" i="52"/>
  <c r="A42" i="52"/>
  <c r="C52" i="52"/>
  <c r="C66" i="52"/>
  <c r="C66" i="51"/>
  <c r="G75" i="50"/>
  <c r="X31" i="50"/>
  <c r="Y31" i="50" s="1"/>
  <c r="U35" i="50" s="1"/>
  <c r="Y35" i="50" s="1"/>
  <c r="S43" i="48"/>
  <c r="X75" i="50"/>
  <c r="Y75" i="50" s="1"/>
  <c r="AB75" i="50" s="1"/>
  <c r="C17" i="52"/>
  <c r="C18" i="52"/>
  <c r="A53" i="51"/>
  <c r="A55" i="51"/>
  <c r="A57" i="51"/>
  <c r="A59" i="51"/>
  <c r="A61" i="51"/>
  <c r="A63" i="51"/>
  <c r="A65" i="51"/>
  <c r="C29" i="52"/>
  <c r="A31" i="52"/>
  <c r="A33" i="52"/>
  <c r="A35" i="52"/>
  <c r="A37" i="52"/>
  <c r="A39" i="52"/>
  <c r="A41" i="52"/>
  <c r="C65" i="52"/>
  <c r="C8" i="52"/>
  <c r="C60" i="51"/>
  <c r="C59" i="52"/>
  <c r="A34" i="52"/>
  <c r="S25" i="48"/>
  <c r="G35" i="50"/>
  <c r="J9" i="50"/>
  <c r="F13" i="50" s="1"/>
  <c r="J13" i="50" s="1"/>
  <c r="I119" i="50"/>
  <c r="J119" i="50" s="1"/>
  <c r="F123" i="50" s="1"/>
  <c r="J123" i="50" s="1"/>
  <c r="C12" i="52"/>
  <c r="C28" i="52"/>
  <c r="A30" i="52"/>
  <c r="C52" i="51"/>
  <c r="C55" i="52"/>
  <c r="V80" i="50"/>
  <c r="W80" i="50" s="1"/>
  <c r="V53" i="50"/>
  <c r="G9" i="50"/>
  <c r="C10" i="52"/>
  <c r="C7" i="52"/>
  <c r="C62" i="52"/>
  <c r="C56" i="51"/>
  <c r="C62" i="51"/>
  <c r="C53" i="52"/>
  <c r="C57" i="52"/>
  <c r="C63" i="52"/>
  <c r="X22" i="46"/>
  <c r="X71" i="46" s="1"/>
  <c r="I31" i="50"/>
  <c r="I36" i="50" s="1"/>
  <c r="C13" i="52"/>
  <c r="C14" i="52"/>
  <c r="A29" i="52"/>
  <c r="S61" i="48"/>
  <c r="C4" i="52"/>
  <c r="C16" i="52"/>
  <c r="C61" i="52"/>
  <c r="Q86" i="50"/>
  <c r="AF130" i="50"/>
  <c r="AU86" i="50"/>
  <c r="AU20" i="50"/>
  <c r="AU130" i="50"/>
  <c r="AF20" i="50"/>
  <c r="AU108" i="50"/>
  <c r="AF86" i="50"/>
  <c r="AF42" i="50"/>
  <c r="AF64" i="50"/>
  <c r="M66" i="48"/>
  <c r="Q64" i="50"/>
  <c r="AU42" i="50"/>
  <c r="Q130" i="50"/>
  <c r="AU64" i="50"/>
  <c r="Q108" i="50"/>
  <c r="Q20" i="50"/>
  <c r="S26" i="48"/>
  <c r="S44" i="48"/>
  <c r="S62" i="48"/>
  <c r="AL58" i="50"/>
  <c r="K61" i="48"/>
  <c r="M61" i="48" s="1"/>
  <c r="AM14" i="50"/>
  <c r="K62" i="48"/>
  <c r="L62" i="48" s="1"/>
  <c r="K60" i="48"/>
  <c r="L60" i="48" s="1"/>
  <c r="F66" i="48"/>
  <c r="H66" i="48" s="1"/>
  <c r="I66" i="48" s="1"/>
  <c r="J66" i="48" s="1"/>
  <c r="AL14" i="50"/>
  <c r="AJ79" i="50"/>
  <c r="AN79" i="50" s="1"/>
  <c r="AJ80" i="50"/>
  <c r="AN80" i="50" s="1"/>
  <c r="AJ58" i="50"/>
  <c r="AN58" i="50" s="1"/>
  <c r="F12" i="48"/>
  <c r="H12" i="48" s="1"/>
  <c r="I12" i="48" s="1"/>
  <c r="J12" i="48" s="1"/>
  <c r="AQ53" i="50"/>
  <c r="AM58" i="50"/>
  <c r="I14" i="50"/>
  <c r="X14" i="50"/>
  <c r="J31" i="50"/>
  <c r="F36" i="50" s="1"/>
  <c r="J36" i="50" s="1"/>
  <c r="AM80" i="50"/>
  <c r="U36" i="50"/>
  <c r="Y36" i="50" s="1"/>
  <c r="AB31" i="50"/>
  <c r="AT76" i="50"/>
  <c r="AT77" i="50" s="1"/>
  <c r="AM124" i="50"/>
  <c r="X124" i="50"/>
  <c r="H14" i="50"/>
  <c r="P10" i="50"/>
  <c r="P11" i="50" s="1"/>
  <c r="H80" i="50"/>
  <c r="L30" i="48"/>
  <c r="K26" i="48"/>
  <c r="F48" i="48"/>
  <c r="H48" i="48" s="1"/>
  <c r="I48" i="48" s="1"/>
  <c r="J48" i="48" s="1"/>
  <c r="AE32" i="50"/>
  <c r="AE33" i="50" s="1"/>
  <c r="AT32" i="50"/>
  <c r="AT33" i="50" s="1"/>
  <c r="W14" i="50"/>
  <c r="AE10" i="50"/>
  <c r="AE11" i="50" s="1"/>
  <c r="P98" i="50"/>
  <c r="P99" i="50" s="1"/>
  <c r="AJ13" i="50"/>
  <c r="AN13" i="50" s="1"/>
  <c r="AE76" i="50"/>
  <c r="AE77" i="50" s="1"/>
  <c r="K6" i="48"/>
  <c r="L12" i="48"/>
  <c r="F30" i="48"/>
  <c r="H30" i="48" s="1"/>
  <c r="I30" i="48" s="1"/>
  <c r="J30" i="48" s="1"/>
  <c r="M48" i="48"/>
  <c r="L48" i="48"/>
  <c r="K44" i="48"/>
  <c r="K43" i="48"/>
  <c r="K42" i="48"/>
  <c r="P54" i="50"/>
  <c r="P55" i="50" s="1"/>
  <c r="AT10" i="50"/>
  <c r="AT11" i="50" s="1"/>
  <c r="F101" i="50"/>
  <c r="J101" i="50" s="1"/>
  <c r="AT54" i="50"/>
  <c r="AT55" i="50" s="1"/>
  <c r="AE54" i="50"/>
  <c r="AE55" i="50" s="1"/>
  <c r="AT98" i="50"/>
  <c r="AT99" i="50" s="1"/>
  <c r="AE98" i="50"/>
  <c r="AE99" i="50" s="1"/>
  <c r="AE120" i="50"/>
  <c r="AE121" i="50" s="1"/>
  <c r="AE104" i="50"/>
  <c r="AT104" i="50"/>
  <c r="AE60" i="50"/>
  <c r="P126" i="50"/>
  <c r="AT126" i="50"/>
  <c r="P38" i="50"/>
  <c r="AE16" i="50"/>
  <c r="P16" i="50"/>
  <c r="P82" i="50"/>
  <c r="F79" i="50" l="1"/>
  <c r="J79" i="50" s="1"/>
  <c r="M75" i="50"/>
  <c r="AJ36" i="50"/>
  <c r="AN36" i="50" s="1"/>
  <c r="AJ35" i="50"/>
  <c r="AN35" i="50" s="1"/>
  <c r="AQ31" i="50"/>
  <c r="AJ14" i="50"/>
  <c r="AN14" i="50" s="1"/>
  <c r="AL36" i="50"/>
  <c r="AM36" i="50"/>
  <c r="Y53" i="50"/>
  <c r="W36" i="50"/>
  <c r="S27" i="48"/>
  <c r="K24" i="48"/>
  <c r="L24" i="48" s="1"/>
  <c r="AL124" i="50"/>
  <c r="AJ123" i="50"/>
  <c r="AN123" i="50" s="1"/>
  <c r="AL80" i="50"/>
  <c r="I80" i="50"/>
  <c r="X102" i="50"/>
  <c r="W58" i="50"/>
  <c r="M97" i="50"/>
  <c r="X36" i="50"/>
  <c r="K25" i="48"/>
  <c r="AJ124" i="50"/>
  <c r="AN124" i="50" s="1"/>
  <c r="AM102" i="50"/>
  <c r="S9" i="48"/>
  <c r="I102" i="50"/>
  <c r="H102" i="50"/>
  <c r="J53" i="50"/>
  <c r="P76" i="50"/>
  <c r="P77" i="50" s="1"/>
  <c r="M12" i="48"/>
  <c r="AJ101" i="50"/>
  <c r="AN101" i="50" s="1"/>
  <c r="W124" i="50"/>
  <c r="H36" i="50"/>
  <c r="H58" i="50"/>
  <c r="AJ102" i="50"/>
  <c r="AN102" i="50" s="1"/>
  <c r="W102" i="50"/>
  <c r="AB119" i="50"/>
  <c r="Y97" i="50"/>
  <c r="U102" i="50" s="1"/>
  <c r="Y102" i="50" s="1"/>
  <c r="K8" i="48"/>
  <c r="M8" i="48" s="1"/>
  <c r="U123" i="50"/>
  <c r="Y123" i="50" s="1"/>
  <c r="F80" i="50"/>
  <c r="J80" i="50" s="1"/>
  <c r="X80" i="50"/>
  <c r="AB53" i="50"/>
  <c r="F14" i="50"/>
  <c r="J14" i="50" s="1"/>
  <c r="U14" i="50"/>
  <c r="Y14" i="50" s="1"/>
  <c r="M9" i="50"/>
  <c r="I124" i="50"/>
  <c r="H124" i="50"/>
  <c r="S63" i="48"/>
  <c r="U80" i="50"/>
  <c r="Y80" i="50" s="1"/>
  <c r="S45" i="48"/>
  <c r="U79" i="50"/>
  <c r="Y79" i="50" s="1"/>
  <c r="M119" i="50"/>
  <c r="F124" i="50"/>
  <c r="J124" i="50" s="1"/>
  <c r="AB9" i="50"/>
  <c r="L61" i="48"/>
  <c r="M62" i="48"/>
  <c r="M60" i="48"/>
  <c r="AB97" i="50"/>
  <c r="U101" i="50"/>
  <c r="Y101" i="50" s="1"/>
  <c r="M31" i="50"/>
  <c r="F35" i="50"/>
  <c r="J35" i="50" s="1"/>
  <c r="P83" i="50"/>
  <c r="AT105" i="50"/>
  <c r="AE83" i="50"/>
  <c r="AE61" i="50"/>
  <c r="P39" i="50"/>
  <c r="AT17" i="50"/>
  <c r="AE105" i="50"/>
  <c r="AT61" i="50"/>
  <c r="P61" i="50"/>
  <c r="AE127" i="50"/>
  <c r="AE17" i="50"/>
  <c r="AT127" i="50"/>
  <c r="P105" i="50"/>
  <c r="AE39" i="50"/>
  <c r="P127" i="50"/>
  <c r="AT39" i="50"/>
  <c r="P17" i="50"/>
  <c r="AT83" i="50"/>
  <c r="M42" i="48"/>
  <c r="L42" i="48"/>
  <c r="M6" i="48"/>
  <c r="L6" i="48"/>
  <c r="M43" i="48"/>
  <c r="L43" i="48"/>
  <c r="L44" i="48"/>
  <c r="M44" i="48"/>
  <c r="L7" i="48"/>
  <c r="M7" i="48"/>
  <c r="L25" i="48"/>
  <c r="M25" i="48"/>
  <c r="M26" i="48"/>
  <c r="L26" i="48"/>
  <c r="S10" i="48"/>
  <c r="S28" i="48"/>
  <c r="S64" i="48"/>
  <c r="S46" i="48"/>
  <c r="S30" i="48" l="1"/>
  <c r="S32" i="48" s="1"/>
  <c r="S12" i="48"/>
  <c r="S14" i="48" s="1"/>
  <c r="M24" i="48"/>
  <c r="L8" i="48"/>
  <c r="U58" i="50"/>
  <c r="Y58" i="50" s="1"/>
  <c r="U57" i="50"/>
  <c r="Y57" i="50" s="1"/>
  <c r="M53" i="50"/>
  <c r="F58" i="50"/>
  <c r="J58" i="50" s="1"/>
  <c r="F57" i="50"/>
  <c r="J57" i="50" s="1"/>
  <c r="S48" i="48"/>
  <c r="S50" i="48" s="1"/>
  <c r="S66" i="48"/>
  <c r="S68" i="48" s="1"/>
  <c r="AT84" i="50"/>
  <c r="AT85" i="50"/>
  <c r="AU85" i="50" s="1"/>
  <c r="P129" i="50"/>
  <c r="Q129" i="50" s="1"/>
  <c r="P128" i="50"/>
  <c r="AE18" i="50"/>
  <c r="AE19" i="50"/>
  <c r="AF19" i="50" s="1"/>
  <c r="AT62" i="50"/>
  <c r="AT63" i="50"/>
  <c r="AU63" i="50" s="1"/>
  <c r="AE62" i="50"/>
  <c r="AF62" i="50" s="1"/>
  <c r="AE63" i="50"/>
  <c r="AF63" i="50" s="1"/>
  <c r="AE40" i="50"/>
  <c r="AF40" i="50" s="1"/>
  <c r="AE41" i="50"/>
  <c r="AF41" i="50" s="1"/>
  <c r="AE129" i="50"/>
  <c r="AF129" i="50" s="1"/>
  <c r="AE128" i="50"/>
  <c r="AF128" i="50" s="1"/>
  <c r="AE107" i="50"/>
  <c r="AF107" i="50" s="1"/>
  <c r="AE106" i="50"/>
  <c r="AF106" i="50" s="1"/>
  <c r="AE84" i="50"/>
  <c r="AF84" i="50" s="1"/>
  <c r="AE85" i="50"/>
  <c r="AF85" i="50" s="1"/>
  <c r="P18" i="50"/>
  <c r="P19" i="50"/>
  <c r="Q19" i="50" s="1"/>
  <c r="P107" i="50"/>
  <c r="Q107" i="50" s="1"/>
  <c r="P106" i="50"/>
  <c r="AT19" i="50"/>
  <c r="AU19" i="50" s="1"/>
  <c r="AT18" i="50"/>
  <c r="AT106" i="50"/>
  <c r="AT107" i="50"/>
  <c r="AU107" i="50" s="1"/>
  <c r="AT41" i="50"/>
  <c r="AU41" i="50" s="1"/>
  <c r="AT40" i="50"/>
  <c r="AT129" i="50"/>
  <c r="AU129" i="50" s="1"/>
  <c r="AT128" i="50"/>
  <c r="P62" i="50"/>
  <c r="P63" i="50"/>
  <c r="Q63" i="50" s="1"/>
  <c r="P41" i="50"/>
  <c r="Q41" i="50" s="1"/>
  <c r="P40" i="50"/>
  <c r="P85" i="50"/>
  <c r="Q85" i="50" s="1"/>
  <c r="P84" i="50"/>
  <c r="E8" i="52" l="1"/>
  <c r="E10" i="52"/>
  <c r="E4" i="52"/>
  <c r="E12" i="52"/>
  <c r="E15" i="52"/>
  <c r="E11" i="52"/>
  <c r="E5" i="52"/>
  <c r="E6" i="52"/>
  <c r="E16" i="52"/>
  <c r="E14" i="52"/>
  <c r="E7" i="52"/>
  <c r="E17" i="52"/>
  <c r="E9" i="52"/>
  <c r="E13" i="52"/>
</calcChain>
</file>

<file path=xl/sharedStrings.xml><?xml version="1.0" encoding="utf-8"?>
<sst xmlns="http://schemas.openxmlformats.org/spreadsheetml/2006/main" count="4300" uniqueCount="319">
  <si>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</si>
  <si>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</si>
  <si>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</si>
  <si>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</si>
  <si>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</si>
  <si>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</si>
  <si>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</si>
  <si>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</si>
  <si>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</si>
  <si>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</si>
  <si>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</si>
  <si>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</si>
  <si>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</si>
  <si>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</si>
  <si>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</si>
  <si>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</si>
  <si>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</si>
  <si>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</si>
  <si>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</si>
  <si>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</si>
  <si>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</si>
  <si>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</si>
  <si>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</si>
  <si>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</si>
  <si>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</si>
  <si>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</si>
  <si>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</si>
  <si>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</si>
  <si>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</si>
  <si>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</si>
  <si>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</si>
  <si>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</si>
  <si>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</si>
  <si>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</si>
  <si>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</si>
  <si>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</si>
  <si>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</si>
  <si>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</si>
  <si>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</si>
  <si>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</si>
  <si>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</si>
  <si>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</si>
  <si>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</si>
  <si>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</si>
  <si>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</si>
  <si>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</si>
  <si>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</si>
  <si>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</si>
  <si>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</si>
  <si>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</si>
  <si>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</si>
  <si>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</si>
  <si>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</si>
  <si>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</si>
  <si>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</si>
  <si>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</si>
  <si>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</si>
  <si>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</si>
  <si>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</si>
  <si>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</si>
  <si>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</si>
  <si>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</si>
  <si>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</si>
  <si>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</si>
  <si>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</si>
  <si>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</si>
  <si>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</si>
  <si>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</si>
  <si>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</si>
  <si>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</si>
  <si>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</si>
  <si>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</si>
  <si>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</si>
  <si>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</si>
  <si>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</si>
  <si>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</si>
  <si>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</si>
  <si>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</si>
  <si>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</si>
  <si>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</si>
  <si>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</si>
  <si>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</si>
  <si>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</si>
  <si>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</si>
  <si>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</si>
  <si>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</si>
  <si>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</si>
  <si>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</si>
  <si>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</si>
  <si>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</si>
  <si>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</si>
  <si>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</si>
  <si>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</si>
  <si>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</si>
  <si>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</si>
  <si>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</si>
  <si>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</si>
  <si>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</si>
  <si>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</si>
  <si>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</si>
  <si>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</si>
  <si>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</si>
  <si>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</si>
  <si>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</si>
  <si>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</si>
  <si>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</si>
  <si>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</si>
  <si>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</si>
  <si>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</si>
  <si>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</si>
  <si>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</si>
  <si>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</si>
  <si>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</si>
  <si>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</si>
  <si>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</si>
  <si>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</si>
  <si>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</si>
  <si>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</si>
  <si>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</si>
  <si>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</si>
  <si>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</si>
  <si>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</si>
  <si>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</si>
  <si>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</si>
  <si>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</si>
  <si>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</si>
  <si>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</si>
  <si>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</si>
  <si>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</si>
  <si>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</si>
  <si>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</si>
  <si>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</si>
  <si>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</si>
  <si>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</si>
  <si>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</si>
  <si>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</si>
  <si>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</si>
  <si>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</si>
  <si>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</si>
  <si>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</si>
  <si>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</si>
  <si>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</si>
  <si>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</si>
  <si>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</si>
  <si>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</si>
  <si>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</si>
  <si>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</si>
  <si>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</si>
  <si>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</si>
  <si>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</si>
  <si>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</si>
  <si>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</si>
  <si>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</si>
  <si>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</si>
  <si>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</si>
  <si>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</si>
  <si>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</si>
  <si>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</si>
  <si>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</si>
  <si>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</si>
  <si>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</si>
  <si>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</si>
  <si>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</si>
  <si>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</si>
  <si>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</si>
  <si>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</si>
  <si>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</si>
  <si>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</si>
  <si>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</si>
  <si>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</si>
  <si>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</si>
  <si>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</si>
  <si>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</si>
  <si>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</si>
  <si>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</si>
  <si>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</si>
  <si>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</si>
  <si>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</si>
  <si>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</si>
  <si>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</si>
  <si>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</si>
  <si>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</si>
  <si>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</si>
  <si>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</si>
  <si>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</si>
  <si>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</si>
  <si>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</si>
  <si>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</si>
  <si>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</si>
  <si>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</si>
  <si>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</si>
  <si>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</si>
  <si>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</si>
  <si>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</si>
  <si>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</si>
  <si>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</si>
  <si>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</si>
  <si>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</si>
  <si>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</si>
  <si>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</si>
  <si>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</si>
  <si>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</si>
  <si>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</si>
  <si>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</si>
  <si>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</si>
  <si>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</si>
  <si>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</si>
  <si>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</si>
  <si>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</si>
  <si>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</si>
  <si>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</si>
  <si>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</si>
  <si>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</si>
  <si>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</si>
  <si>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</si>
  <si>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</si>
  <si>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</si>
  <si>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</si>
  <si>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</si>
  <si>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</si>
  <si>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</si>
  <si>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</si>
  <si>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</si>
  <si>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</si>
  <si>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</si>
  <si>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</si>
  <si>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</si>
  <si>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</si>
  <si>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</si>
  <si>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</si>
  <si>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</si>
  <si>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</si>
  <si>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</si>
  <si>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</si>
  <si>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</si>
  <si>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</si>
  <si>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</si>
  <si>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</si>
  <si>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</si>
  <si>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</si>
  <si>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</si>
  <si>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</si>
  <si>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</si>
  <si>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</si>
  <si>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</si>
  <si>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</si>
  <si>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</si>
  <si>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</si>
  <si>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</si>
  <si>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</si>
  <si>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</si>
  <si>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</si>
  <si>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</si>
  <si>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</si>
  <si>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</si>
  <si>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</si>
  <si>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</si>
  <si>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interagroupes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</si>
  <si>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</si>
  <si>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</si>
  <si>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</si>
  <si>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</si>
  <si>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</si>
  <si>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</si>
  <si>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</si>
  <si>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</si>
  <si>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</si>
  <si>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</si>
  <si>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</si>
  <si>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</si>
  <si>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</si>
  <si>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</si>
  <si>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</si>
  <si>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</si>
  <si>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</si>
  <si>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</si>
  <si>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</si>
  <si>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</si>
  <si>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</si>
  <si>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</si>
  <si>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</si>
  <si>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</si>
  <si>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</si>
  <si>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</si>
  <si>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</si>
  <si>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</si>
  <si>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</si>
  <si>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</si>
  <si>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</si>
  <si>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</si>
  <si>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</si>
  <si>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</si>
  <si>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</si>
  <si>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</si>
  <si>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</si>
  <si>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</si>
  <si>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</si>
  <si>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</si>
  <si>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</si>
  <si>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</si>
  <si>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</si>
  <si>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Groupe1 maximum</t>
  </si>
  <si>
    <t>Outliers</t>
  </si>
  <si>
    <t>Groupe2 maximum</t>
  </si>
  <si>
    <t>Groupe3 maximum</t>
  </si>
  <si>
    <t>Groupe1 minimum</t>
  </si>
  <si>
    <t>Groupe2 minimum</t>
  </si>
  <si>
    <t>Groupe3 minimum</t>
  </si>
  <si>
    <t>Croissant</t>
  </si>
  <si>
    <t>Décroissant</t>
  </si>
  <si>
    <t>1,5(Q3-Q1)</t>
  </si>
  <si>
    <t>Q1-1,5(Q3-Q1)</t>
  </si>
  <si>
    <t>Q3+1,5(Q3-Q1)</t>
  </si>
  <si>
    <t>Low</t>
  </si>
  <si>
    <t>High</t>
  </si>
  <si>
    <t>FirstQuartile-Low</t>
  </si>
  <si>
    <t>High-ThirdQuartile</t>
  </si>
  <si>
    <t>Conseil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</si>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</sst>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9999"/>
        <bgColor rgb="FF808080"/>
      </patternFill>
    </fill>
  </fills>
  <borders count="4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7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6" borderId="29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8" borderId="0" xfId="0" applyFont="1" applyFill="1" applyBorder="1"/>
    <xf numFmtId="0" fontId="4" fillId="4" borderId="12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9" borderId="0" xfId="0" applyFont="1" applyFill="1" applyBorder="1"/>
    <xf numFmtId="0" fontId="4" fillId="9" borderId="0" xfId="0" applyFont="1" applyFill="1" applyBorder="1" applyAlignment="1">
      <alignment horizontal="center"/>
    </xf>
    <xf numFmtId="0" fontId="4" fillId="9" borderId="0" xfId="0" applyFont="1" applyFill="1"/>
    <xf numFmtId="0" fontId="4" fillId="9" borderId="26" xfId="0" applyFont="1" applyFill="1" applyBorder="1"/>
    <xf numFmtId="0" fontId="4" fillId="9" borderId="25" xfId="0" applyFont="1" applyFill="1" applyBorder="1"/>
    <xf numFmtId="0" fontId="4" fillId="9" borderId="29" xfId="0" applyFont="1" applyFill="1" applyBorder="1"/>
    <xf numFmtId="0" fontId="4" fillId="9" borderId="28" xfId="0" applyFont="1" applyFill="1" applyBorder="1"/>
    <xf numFmtId="0" fontId="4" fillId="4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4" borderId="20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1" fillId="0" borderId="4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64" fontId="3" fillId="0" borderId="42" xfId="0" applyNumberFormat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/>
    <xf numFmtId="0" fontId="3" fillId="0" borderId="43" xfId="0" applyFont="1" applyBorder="1" applyAlignment="1">
      <alignment horizontal="center"/>
    </xf>
    <xf numFmtId="0" fontId="3" fillId="0" borderId="43" xfId="0" applyFont="1" applyBorder="1"/>
    <xf numFmtId="0" fontId="3" fillId="0" borderId="41" xfId="0" applyFont="1" applyBorder="1"/>
    <xf numFmtId="0" fontId="0" fillId="10" borderId="44" xfId="0" applyFill="1" applyBorder="1"/>
    <xf numFmtId="0" fontId="0" fillId="10" borderId="45" xfId="0" applyFill="1" applyBorder="1"/>
    <xf numFmtId="0" fontId="0" fillId="10" borderId="46" xfId="0" applyFill="1" applyBorder="1"/>
    <xf numFmtId="0" fontId="0" fillId="0" borderId="42" xfId="0" applyBorder="1"/>
    <xf numFmtId="0" fontId="4" fillId="0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0" xfId="0" applyFont="1" applyFill="1" applyBorder="1"/>
    <xf numFmtId="0" fontId="4" fillId="0" borderId="11" xfId="0" applyFont="1" applyFill="1" applyBorder="1"/>
    <xf numFmtId="0" fontId="4" fillId="8" borderId="0" xfId="0" applyFont="1" applyFill="1"/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6.9111111159953803E-2</c:v>
                </c:pt>
                <c:pt idx="1">
                  <c:v>8.278888888888887E-2</c:v>
                </c:pt>
                <c:pt idx="2">
                  <c:v>7.6622222222222217E-2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4-443F-AA4A-95F7DB352278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7.7188888461225541E-2</c:v>
                </c:pt>
                <c:pt idx="1">
                  <c:v>7.452777777777779E-2</c:v>
                </c:pt>
                <c:pt idx="2">
                  <c:v>2.4372222222222226E-2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84-443F-AA4A-95F7DB352278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1.948888931009507E-2</c:v>
                </c:pt>
                <c:pt idx="1">
                  <c:v>1.812777777777777E-2</c:v>
                </c:pt>
                <c:pt idx="2">
                  <c:v>1.7972222222222223E-2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84-443F-AA4A-95F7DB352278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4.0094444321261524E-2</c:v>
                </c:pt>
                <c:pt idx="1">
                  <c:v>3.3316666666666689E-2</c:v>
                </c:pt>
                <c:pt idx="2">
                  <c:v>3.0155555555555547E-2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84-443F-AA4A-95F7DB352278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5.9838891857200205E-2</c:v>
                </c:pt>
                <c:pt idx="1">
                  <c:v>3.4094444444444399E-2</c:v>
                </c:pt>
                <c:pt idx="2">
                  <c:v>6.8100000000000022E-2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84-443F-AA4A-95F7DB352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Performances!$M$4:$M$6</c:f>
              <c:numCache>
                <c:formatCode>General</c:formatCode>
                <c:ptCount val="3"/>
                <c:pt idx="0">
                  <c:v>0.17913185213864952</c:v>
                </c:pt>
                <c:pt idx="1">
                  <c:v>0.17888666666666664</c:v>
                </c:pt>
                <c:pt idx="2">
                  <c:v>0.13296666666666665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7-4A61-A6C3-B99723D55DD7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(Maximum!$A$7,Maximum!$A$33,Maximum!$A$56)</c:f>
              <c:numCache>
                <c:formatCode>General</c:formatCode>
                <c:ptCount val="3"/>
                <c:pt idx="0">
                  <c:v>0.3538111084037357</c:v>
                </c:pt>
                <c:pt idx="1">
                  <c:v>0.32334444444444449</c:v>
                </c:pt>
                <c:pt idx="2">
                  <c:v>0.25618888888888885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7-4A61-A6C3-B99723D55DD7}"/>
            </c:ext>
          </c:extLst>
        </c:ser>
        <c:ser>
          <c:idx val="7"/>
          <c:order val="7"/>
          <c:tx>
            <c:strRef>
              <c:f>Minimum!$F$3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(Minimum!$A$10,Minimum!$G$4,Minimum!$G$4)</c:f>
              <c:numCache>
                <c:formatCode>General</c:formatCode>
                <c:ptCount val="3"/>
                <c:pt idx="0">
                  <c:v>5.4133333265781403E-2</c:v>
                </c:pt>
                <c:pt idx="1">
                  <c:v>-1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5-4618-A043-94A9BAEB1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  <c:minorUnit val="2.0000000000000004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4.4800000472201243E-2</c:v>
                </c:pt>
                <c:pt idx="1">
                  <c:v>5.6011111111111109E-2</c:v>
                </c:pt>
                <c:pt idx="2">
                  <c:v>7.0266666666666672E-2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F-4830-B1DB-171ED5E0379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4.5738888076610029E-2</c:v>
                </c:pt>
                <c:pt idx="1">
                  <c:v>3.9705555555555563E-2</c:v>
                </c:pt>
                <c:pt idx="2">
                  <c:v>2.2522222222222221E-2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F-4830-B1DB-171ED5E03795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3.6161108770304248E-2</c:v>
                </c:pt>
                <c:pt idx="1">
                  <c:v>3.4705555555555545E-2</c:v>
                </c:pt>
                <c:pt idx="2">
                  <c:v>2.4055555555555566E-2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F-4830-B1DB-171ED5E03795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4.9066667755444854E-2</c:v>
                </c:pt>
                <c:pt idx="1">
                  <c:v>4.0344444444444461E-2</c:v>
                </c:pt>
                <c:pt idx="2">
                  <c:v>2.1133333333333296E-2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4F-4830-B1DB-171ED5E0379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0.12081111470858255</c:v>
                </c:pt>
                <c:pt idx="1">
                  <c:v>6.4911111111111086E-2</c:v>
                </c:pt>
                <c:pt idx="2">
                  <c:v>5.296666666666669E-2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4F-4830-B1DB-171ED5E03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Performances!$O$3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Performances!$O$4:$O$6</c:f>
              <c:numCache>
                <c:formatCode>General</c:formatCode>
                <c:ptCount val="3"/>
                <c:pt idx="0">
                  <c:v>0.14446814805269242</c:v>
                </c:pt>
                <c:pt idx="1">
                  <c:v>0.14522296296296294</c:v>
                </c:pt>
                <c:pt idx="2">
                  <c:v>0.11745481481481483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8F-4BEE-BDF5-A94739D03B8B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(Maximum!$B$7,Maximum!$B$38,Maximum!$G$4)</c:f>
              <c:numCache>
                <c:formatCode>General</c:formatCode>
                <c:ptCount val="3"/>
                <c:pt idx="0">
                  <c:v>0.33148889078034294</c:v>
                </c:pt>
                <c:pt idx="1">
                  <c:v>0.33035555555555551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8F-4BEE-BDF5-A94739D03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5.4244444188144475E-2</c:v>
                </c:pt>
                <c:pt idx="1">
                  <c:v>6.8388888888888888E-2</c:v>
                </c:pt>
                <c:pt idx="2">
                  <c:v>7.3944444444444438E-2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6C-4B92-911A-6E9B2A76A55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4.2544444815980062E-2</c:v>
                </c:pt>
                <c:pt idx="1">
                  <c:v>2.8233333333333333E-2</c:v>
                </c:pt>
                <c:pt idx="2">
                  <c:v>3.1261111111111115E-2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6C-4B92-911A-6E9B2A76A55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6.9666666289170578E-2</c:v>
                </c:pt>
                <c:pt idx="1">
                  <c:v>1.6877777777777769E-2</c:v>
                </c:pt>
                <c:pt idx="2">
                  <c:v>2.4238888888888893E-2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6C-4B92-911A-6E9B2A76A55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2.0455555783377766E-2</c:v>
                </c:pt>
                <c:pt idx="1">
                  <c:v>6.0877777777777781E-2</c:v>
                </c:pt>
                <c:pt idx="2">
                  <c:v>1.3705555555555554E-2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6C-4B92-911A-6E9B2A76A55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0.10774444374773237</c:v>
                </c:pt>
                <c:pt idx="1">
                  <c:v>5.4777777777777814E-2</c:v>
                </c:pt>
                <c:pt idx="2">
                  <c:v>4.2638888888888893E-2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6C-4B92-911A-6E9B2A76A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Performances!$Q$3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Performances!$Q$4:$Q$6</c:f>
              <c:numCache>
                <c:formatCode>General</c:formatCode>
                <c:ptCount val="3"/>
                <c:pt idx="0">
                  <c:v>0.14920962957872286</c:v>
                </c:pt>
                <c:pt idx="1">
                  <c:v>0.15113925925925925</c:v>
                </c:pt>
                <c:pt idx="2">
                  <c:v>0.12609111111111113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1-41E9-BCF2-31FF25D13887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(Maximum!$G$4,Maximum!$C$38,Maximum!$G$4)</c:f>
              <c:numCache>
                <c:formatCode>General</c:formatCode>
                <c:ptCount val="3"/>
                <c:pt idx="0">
                  <c:v>-1</c:v>
                </c:pt>
                <c:pt idx="1">
                  <c:v>0.42844444444444441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1-41E9-BCF2-31FF25D13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4.3266666432221733E-2</c:v>
                </c:pt>
                <c:pt idx="1">
                  <c:v>4.8011111111111109E-2</c:v>
                </c:pt>
                <c:pt idx="2">
                  <c:v>6.582222222222224E-2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3-4109-A3F2-DC7491ADCF5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5.2994444138473935E-2</c:v>
                </c:pt>
                <c:pt idx="1">
                  <c:v>2.5166666666666677E-2</c:v>
                </c:pt>
                <c:pt idx="2">
                  <c:v>2.687777777777775E-2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3-4109-A3F2-DC7491ADCF52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6.6794443461630076E-2</c:v>
                </c:pt>
                <c:pt idx="1">
                  <c:v>2.7155555555555544E-2</c:v>
                </c:pt>
                <c:pt idx="2">
                  <c:v>2.147777777777779E-2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03-4109-A3F2-DC7491ADCF52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2.4127780563301504E-2</c:v>
                </c:pt>
                <c:pt idx="1">
                  <c:v>3.284999999999999E-2</c:v>
                </c:pt>
                <c:pt idx="2">
                  <c:v>2.9183333333333325E-2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03-4109-A3F2-DC7491ADCF5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0.10782778180307812</c:v>
                </c:pt>
                <c:pt idx="1">
                  <c:v>5.7505555555555532E-2</c:v>
                </c:pt>
                <c:pt idx="2">
                  <c:v>4.965E-2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03-4109-A3F2-DC7491ADC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scatterChart>
        <c:scatterStyle val="lineMarker"/>
        <c:varyColors val="0"/>
        <c:ser>
          <c:idx val="5"/>
          <c:order val="5"/>
          <c:tx>
            <c:strRef>
              <c:f>Performances!$S$3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Performances!$S$4:$S$6</c:f>
              <c:numCache>
                <c:formatCode>General</c:formatCode>
                <c:ptCount val="3"/>
                <c:pt idx="0">
                  <c:v>0.14673925994171039</c:v>
                </c:pt>
                <c:pt idx="1">
                  <c:v>0.11406592592592592</c:v>
                </c:pt>
                <c:pt idx="2">
                  <c:v>0.12071555555555555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C-4764-B539-1678FF88F247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(Maximum!$G$4,Maximum!$D$38,Maximum!$G$4)</c:f>
              <c:numCache>
                <c:formatCode>General</c:formatCode>
                <c:ptCount val="3"/>
                <c:pt idx="0">
                  <c:v>-1</c:v>
                </c:pt>
                <c:pt idx="1">
                  <c:v>0.23782222222222224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0C-4764-B539-1678FF88F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12072"/>
        <c:axId val="726210760"/>
      </c:scatte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6.9111111159953803E-2</c:v>
                </c:pt>
                <c:pt idx="1">
                  <c:v>4.4800000472201243E-2</c:v>
                </c:pt>
                <c:pt idx="2">
                  <c:v>5.4244444188144475E-2</c:v>
                </c:pt>
                <c:pt idx="3">
                  <c:v>4.3266666432221733E-2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2-4D17-9377-1A4AC6B5CFF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7.7188888461225541E-2</c:v>
                </c:pt>
                <c:pt idx="1">
                  <c:v>4.5738888076610029E-2</c:v>
                </c:pt>
                <c:pt idx="2">
                  <c:v>4.2544444815980062E-2</c:v>
                </c:pt>
                <c:pt idx="3">
                  <c:v>5.2994444138473935E-2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42-4D17-9377-1A4AC6B5CFF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1.948888931009507E-2</c:v>
                </c:pt>
                <c:pt idx="1">
                  <c:v>3.6161108770304248E-2</c:v>
                </c:pt>
                <c:pt idx="2">
                  <c:v>6.9666666289170578E-2</c:v>
                </c:pt>
                <c:pt idx="3">
                  <c:v>6.6794443461630076E-2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42-4D17-9377-1A4AC6B5CFF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4.0094444321261524E-2</c:v>
                </c:pt>
                <c:pt idx="1">
                  <c:v>4.9066667755444854E-2</c:v>
                </c:pt>
                <c:pt idx="2">
                  <c:v>2.0455555783377766E-2</c:v>
                </c:pt>
                <c:pt idx="3">
                  <c:v>2.4127780563301504E-2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42-4D17-9377-1A4AC6B5CFF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5.9838891857200205E-2</c:v>
                </c:pt>
                <c:pt idx="1">
                  <c:v>0.12081111470858255</c:v>
                </c:pt>
                <c:pt idx="2">
                  <c:v>0.10774444374773237</c:v>
                </c:pt>
                <c:pt idx="3">
                  <c:v>0.10782778180307812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42-4D17-9377-1A4AC6B5C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(Performances!$M$4,Performances!$O$4,Performances!$Q$4,Performances!$S$4)</c:f>
              <c:numCache>
                <c:formatCode>General</c:formatCode>
                <c:ptCount val="4"/>
                <c:pt idx="0">
                  <c:v>0.17913185213864952</c:v>
                </c:pt>
                <c:pt idx="1">
                  <c:v>0.14446814805269242</c:v>
                </c:pt>
                <c:pt idx="2">
                  <c:v>0.14920962957872286</c:v>
                </c:pt>
                <c:pt idx="3">
                  <c:v>0.14673925994171039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6-4AAE-A4DE-6DC4B5DD4889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(Maximum!$A$7,Maximum!$B$7,Maximum!$G$4,Maximum!$G$4)</c:f>
              <c:numCache>
                <c:formatCode>General</c:formatCode>
                <c:ptCount val="4"/>
                <c:pt idx="0">
                  <c:v>0.3538111084037357</c:v>
                </c:pt>
                <c:pt idx="1">
                  <c:v>0.33148889078034294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6-4AAE-A4DE-6DC4B5DD4889}"/>
            </c:ext>
          </c:extLst>
        </c:ser>
        <c:ser>
          <c:idx val="7"/>
          <c:order val="7"/>
          <c:tx>
            <c:strRef>
              <c:f>Minimum!$F$3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(Minimum!$A$10,Minimum!$G$4,Minimum!$G$4)</c:f>
              <c:numCache>
                <c:formatCode>General</c:formatCode>
                <c:ptCount val="3"/>
                <c:pt idx="0">
                  <c:v>5.4133333265781403E-2</c:v>
                </c:pt>
                <c:pt idx="1">
                  <c:v>-1</c:v>
                </c:pt>
                <c:pt idx="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1-4BB1-A8D6-9CDFAB7D3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8.278888888888887E-2</c:v>
                </c:pt>
                <c:pt idx="1">
                  <c:v>5.6011111111111109E-2</c:v>
                </c:pt>
                <c:pt idx="2">
                  <c:v>6.8388888888888888E-2</c:v>
                </c:pt>
                <c:pt idx="3">
                  <c:v>4.8011111111111109E-2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C-44CD-8C68-FBCEE3847CE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7.452777777777779E-2</c:v>
                </c:pt>
                <c:pt idx="1">
                  <c:v>3.9705555555555563E-2</c:v>
                </c:pt>
                <c:pt idx="2">
                  <c:v>2.8233333333333333E-2</c:v>
                </c:pt>
                <c:pt idx="3">
                  <c:v>2.5166666666666677E-2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C-44CD-8C68-FBCEE3847CEF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1.812777777777777E-2</c:v>
                </c:pt>
                <c:pt idx="1">
                  <c:v>3.4705555555555545E-2</c:v>
                </c:pt>
                <c:pt idx="2">
                  <c:v>1.6877777777777769E-2</c:v>
                </c:pt>
                <c:pt idx="3">
                  <c:v>2.7155555555555544E-2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C-44CD-8C68-FBCEE3847CEF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3.3316666666666689E-2</c:v>
                </c:pt>
                <c:pt idx="1">
                  <c:v>4.0344444444444461E-2</c:v>
                </c:pt>
                <c:pt idx="2">
                  <c:v>6.0877777777777781E-2</c:v>
                </c:pt>
                <c:pt idx="3">
                  <c:v>3.284999999999999E-2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EC-44CD-8C68-FBCEE3847CE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3.4094444444444399E-2</c:v>
                </c:pt>
                <c:pt idx="1">
                  <c:v>6.4911111111111086E-2</c:v>
                </c:pt>
                <c:pt idx="2">
                  <c:v>5.4777777777777814E-2</c:v>
                </c:pt>
                <c:pt idx="3">
                  <c:v>5.7505555555555532E-2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EC-44CD-8C68-FBCEE3847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(Performances!$M$5,Performances!$O$5,Performances!$Q$5,Performances!$S$5)</c:f>
              <c:numCache>
                <c:formatCode>General</c:formatCode>
                <c:ptCount val="4"/>
                <c:pt idx="0">
                  <c:v>0.17888666666666664</c:v>
                </c:pt>
                <c:pt idx="1">
                  <c:v>0.14522296296296294</c:v>
                </c:pt>
                <c:pt idx="2">
                  <c:v>0.15113925925925925</c:v>
                </c:pt>
                <c:pt idx="3">
                  <c:v>0.11406592592592592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3-4735-89D3-898314870159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(Maximum!$A$33,Maximum!$B$38:$D$38)</c:f>
              <c:numCache>
                <c:formatCode>General</c:formatCode>
                <c:ptCount val="4"/>
                <c:pt idx="0">
                  <c:v>0.32334444444444449</c:v>
                </c:pt>
                <c:pt idx="1">
                  <c:v>0.33035555555555551</c:v>
                </c:pt>
                <c:pt idx="2">
                  <c:v>0.42844444444444441</c:v>
                </c:pt>
                <c:pt idx="3">
                  <c:v>0.23782222222222224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3-4735-89D3-898314870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7.6622222222222217E-2</c:v>
                </c:pt>
                <c:pt idx="1">
                  <c:v>7.0266666666666672E-2</c:v>
                </c:pt>
                <c:pt idx="2">
                  <c:v>7.3944444444444438E-2</c:v>
                </c:pt>
                <c:pt idx="3">
                  <c:v>6.582222222222224E-2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1-4B8A-A3D5-50ED93884274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2.4372222222222226E-2</c:v>
                </c:pt>
                <c:pt idx="1">
                  <c:v>2.2522222222222221E-2</c:v>
                </c:pt>
                <c:pt idx="2">
                  <c:v>3.1261111111111115E-2</c:v>
                </c:pt>
                <c:pt idx="3">
                  <c:v>2.687777777777775E-2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21-4B8A-A3D5-50ED93884274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1.7972222222222223E-2</c:v>
                </c:pt>
                <c:pt idx="1">
                  <c:v>2.4055555555555566E-2</c:v>
                </c:pt>
                <c:pt idx="2">
                  <c:v>2.4238888888888893E-2</c:v>
                </c:pt>
                <c:pt idx="3">
                  <c:v>2.147777777777779E-2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21-4B8A-A3D5-50ED93884274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3.0155555555555547E-2</c:v>
                </c:pt>
                <c:pt idx="1">
                  <c:v>2.1133333333333296E-2</c:v>
                </c:pt>
                <c:pt idx="2">
                  <c:v>1.3705555555555554E-2</c:v>
                </c:pt>
                <c:pt idx="3">
                  <c:v>2.9183333333333325E-2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21-4B8A-A3D5-50ED93884274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6.8100000000000022E-2</c:v>
                </c:pt>
                <c:pt idx="1">
                  <c:v>5.296666666666669E-2</c:v>
                </c:pt>
                <c:pt idx="2">
                  <c:v>4.2638888888888893E-2</c:v>
                </c:pt>
                <c:pt idx="3">
                  <c:v>4.965E-2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21-4B8A-A3D5-50ED93884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scatterChart>
        <c:scatterStyle val="lineMarker"/>
        <c:varyColors val="0"/>
        <c:ser>
          <c:idx val="5"/>
          <c:order val="5"/>
          <c:tx>
            <c:strRef>
              <c:f>Performances!$M$3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yVal>
            <c:numRef>
              <c:f>(Performances!$M$6,Performances!$O$6,Performances!$Q$6,Performances!$S$6)</c:f>
              <c:numCache>
                <c:formatCode>General</c:formatCode>
                <c:ptCount val="4"/>
                <c:pt idx="0">
                  <c:v>0.13296666666666665</c:v>
                </c:pt>
                <c:pt idx="1">
                  <c:v>0.11745481481481483</c:v>
                </c:pt>
                <c:pt idx="2">
                  <c:v>0.12609111111111113</c:v>
                </c:pt>
                <c:pt idx="3">
                  <c:v>0.12071555555555555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9B-422D-B08A-106EEBBC2DF7}"/>
            </c:ext>
          </c:extLst>
        </c:ser>
        <c:ser>
          <c:idx val="6"/>
          <c:order val="6"/>
          <c:tx>
            <c:strRef>
              <c:f>Maximum!$F$3</c:f>
              <c:strCache>
                <c:ptCount val="1"/>
                <c:pt idx="0">
                  <c:v>Outliers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yVal>
            <c:numRef>
              <c:f>(Maximum!$A$56,Maximum!$G$4,Maximum!$G$4,Maximum!$G$4)</c:f>
              <c:numCache>
                <c:formatCode>General</c:formatCode>
                <c:ptCount val="4"/>
                <c:pt idx="0">
                  <c:v>0.25618888888888885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B-422D-B08A-106EEBBC2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75088"/>
        <c:axId val="758981648"/>
      </c:scatte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1B3AE592-0A76-4CAC-BF34-FE9AB6932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D3DC1C67-C741-4F7A-9B26-61DDC1B62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8" name="Graphique 17">
          <a:extLst>
            <a:ext uri="{FF2B5EF4-FFF2-40B4-BE49-F238E27FC236}">
              <a16:creationId xmlns:a16="http://schemas.microsoft.com/office/drawing/2014/main" id="{B6D9C7EA-9B29-4646-A007-D3E1C44CB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9" name="Graphique 18">
          <a:extLst>
            <a:ext uri="{FF2B5EF4-FFF2-40B4-BE49-F238E27FC236}">
              <a16:creationId xmlns:a16="http://schemas.microsoft.com/office/drawing/2014/main" id="{FB587CD2-A73F-475E-B4DA-42593DB33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4E8E99ED-AADB-4172-A9F6-9E9758C6E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AF156E0A-CC80-4979-B980-0795750E1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F5293F51-69E0-425F-9E00-257911846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entin/Desktop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2"/>
  <sheetViews>
    <sheetView topLeftCell="L10" zoomScale="70" zoomScaleNormal="70" workbookViewId="0">
      <selection activeCell="Z51" sqref="Z51"/>
    </sheetView>
  </sheetViews>
  <sheetFormatPr baseColWidth="10" defaultRowHeight="13.2" x14ac:dyDescent="0.25"/>
  <cols>
    <col min="5" max="5" width="12" bestFit="1" customWidth="1"/>
    <col min="12" max="12" width="22.5546875" customWidth="1"/>
    <col min="13" max="13" width="22" customWidth="1"/>
    <col min="14" max="14" width="19.109375" customWidth="1"/>
    <col min="15" max="15" width="15.88671875" customWidth="1"/>
    <col min="16" max="16" width="16.109375" customWidth="1"/>
    <col min="17" max="17" width="18" customWidth="1"/>
    <col min="18" max="22" width="11.44140625" customWidth="1"/>
  </cols>
  <sheetData>
    <row r="1" spans="1:42" x14ac:dyDescent="0.25">
      <c r="A1" s="135" t="s">
        <v>182</v>
      </c>
      <c r="B1" s="135"/>
      <c r="C1" s="135"/>
      <c r="D1" s="135"/>
      <c r="E1" s="135"/>
      <c r="F1" s="135"/>
      <c r="G1" s="135"/>
      <c r="H1" s="135"/>
      <c r="I1" s="135"/>
      <c r="L1" s="138" t="s">
        <v>183</v>
      </c>
      <c r="M1" s="139"/>
      <c r="N1" s="139"/>
      <c r="O1" s="139"/>
      <c r="P1" s="139"/>
      <c r="Q1" s="139"/>
      <c r="R1" s="139"/>
      <c r="S1" s="139"/>
      <c r="T1" s="139"/>
      <c r="V1" s="138" t="s">
        <v>310</v>
      </c>
      <c r="W1" s="139"/>
      <c r="X1" s="139"/>
      <c r="Y1" s="139"/>
      <c r="Z1" s="139"/>
      <c r="AA1" s="139"/>
      <c r="AB1" s="139"/>
      <c r="AC1" s="139"/>
      <c r="AD1" s="139"/>
      <c r="AI1" s="135" t="s">
        <v>182</v>
      </c>
      <c r="AJ1" s="135"/>
      <c r="AK1" s="135"/>
      <c r="AL1" s="135"/>
      <c r="AM1" s="135"/>
      <c r="AN1" s="135"/>
      <c r="AO1" s="135"/>
      <c r="AP1" s="135"/>
    </row>
    <row r="2" spans="1:42" x14ac:dyDescent="0.25">
      <c r="A2" s="14"/>
      <c r="B2" s="136" t="s">
        <v>184</v>
      </c>
      <c r="C2" s="137"/>
      <c r="D2" s="136" t="s">
        <v>185</v>
      </c>
      <c r="E2" s="137"/>
      <c r="F2" s="136" t="s">
        <v>186</v>
      </c>
      <c r="G2" s="137"/>
      <c r="H2" s="136" t="s">
        <v>187</v>
      </c>
      <c r="I2" s="137"/>
      <c r="L2" s="115"/>
      <c r="M2" s="140" t="s">
        <v>184</v>
      </c>
      <c r="N2" s="140"/>
      <c r="O2" s="140" t="s">
        <v>185</v>
      </c>
      <c r="P2" s="140"/>
      <c r="Q2" s="140" t="s">
        <v>186</v>
      </c>
      <c r="R2" s="140"/>
      <c r="S2" s="140" t="s">
        <v>187</v>
      </c>
      <c r="T2" s="140"/>
      <c r="V2" s="115"/>
      <c r="W2" s="140" t="s">
        <v>184</v>
      </c>
      <c r="X2" s="140"/>
      <c r="Y2" s="140" t="s">
        <v>185</v>
      </c>
      <c r="Z2" s="140"/>
      <c r="AA2" s="140" t="s">
        <v>186</v>
      </c>
      <c r="AB2" s="140"/>
      <c r="AC2" s="140" t="s">
        <v>187</v>
      </c>
      <c r="AD2" s="140"/>
      <c r="AI2" s="136" t="s">
        <v>184</v>
      </c>
      <c r="AJ2" s="137"/>
      <c r="AK2" s="136" t="s">
        <v>185</v>
      </c>
      <c r="AL2" s="137"/>
      <c r="AM2" s="136" t="s">
        <v>186</v>
      </c>
      <c r="AN2" s="137"/>
      <c r="AO2" s="136" t="s">
        <v>187</v>
      </c>
      <c r="AP2" s="137"/>
    </row>
    <row r="3" spans="1:42" x14ac:dyDescent="0.25">
      <c r="A3" s="15" t="s">
        <v>188</v>
      </c>
      <c r="B3" s="103" t="s">
        <v>189</v>
      </c>
      <c r="C3" s="103" t="s">
        <v>190</v>
      </c>
      <c r="D3" s="103" t="s">
        <v>189</v>
      </c>
      <c r="E3" s="103" t="s">
        <v>190</v>
      </c>
      <c r="F3" s="103" t="s">
        <v>189</v>
      </c>
      <c r="G3" s="103" t="s">
        <v>190</v>
      </c>
      <c r="H3" s="103" t="s">
        <v>189</v>
      </c>
      <c r="I3" s="103" t="s">
        <v>190</v>
      </c>
      <c r="L3" s="115" t="s">
        <v>5</v>
      </c>
      <c r="M3" s="115" t="s">
        <v>189</v>
      </c>
      <c r="N3" s="115" t="s">
        <v>190</v>
      </c>
      <c r="O3" s="115" t="s">
        <v>189</v>
      </c>
      <c r="P3" s="115" t="s">
        <v>190</v>
      </c>
      <c r="Q3" s="115" t="s">
        <v>189</v>
      </c>
      <c r="R3" s="115" t="s">
        <v>190</v>
      </c>
      <c r="S3" s="115" t="s">
        <v>189</v>
      </c>
      <c r="T3" s="115" t="s">
        <v>190</v>
      </c>
      <c r="V3" s="115" t="s">
        <v>5</v>
      </c>
      <c r="W3" s="115" t="s">
        <v>311</v>
      </c>
      <c r="X3" s="115" t="s">
        <v>312</v>
      </c>
      <c r="Y3" s="115" t="s">
        <v>311</v>
      </c>
      <c r="Z3" s="115" t="s">
        <v>312</v>
      </c>
      <c r="AA3" s="115" t="s">
        <v>311</v>
      </c>
      <c r="AB3" s="115" t="s">
        <v>312</v>
      </c>
      <c r="AC3" s="115" t="s">
        <v>311</v>
      </c>
      <c r="AD3" s="115" t="s">
        <v>312</v>
      </c>
      <c r="AI3" s="115" t="s">
        <v>308</v>
      </c>
      <c r="AJ3" s="115" t="s">
        <v>309</v>
      </c>
      <c r="AK3" s="115" t="s">
        <v>308</v>
      </c>
      <c r="AL3" s="115" t="s">
        <v>309</v>
      </c>
      <c r="AM3" s="115" t="s">
        <v>308</v>
      </c>
      <c r="AN3" s="115" t="s">
        <v>309</v>
      </c>
      <c r="AO3" s="115" t="s">
        <v>308</v>
      </c>
      <c r="AP3" s="115" t="s">
        <v>309</v>
      </c>
    </row>
    <row r="4" spans="1:42" x14ac:dyDescent="0.25">
      <c r="A4" s="14">
        <v>3</v>
      </c>
      <c r="B4" s="16">
        <f t="shared" ref="B4:B18" ca="1" si="0">AVERAGE(INDIRECT(A4&amp;"!K4:K12"))</f>
        <v>0.14957777659098304</v>
      </c>
      <c r="C4" s="17">
        <f t="shared" ref="C4:C18" ca="1" si="1">_xlfn.STDEV.P(INDIRECT(A4&amp;"!K4:K12"))</f>
        <v>3.2454336528044629E-2</v>
      </c>
      <c r="D4" s="16">
        <f t="shared" ref="D4:D18" ca="1" si="2">AVERAGE(INDIRECT(A4&amp;"!K14:K22"))</f>
        <v>0.1551222221718894</v>
      </c>
      <c r="E4" s="17">
        <f t="shared" ref="E4:E18" ca="1" si="3">_xlfn.STDEV.P(INDIRECT(A4&amp;"!K14:K22"))</f>
        <v>3.3781347616387375E-2</v>
      </c>
      <c r="F4" s="16">
        <f t="shared" ref="F4:F18" ca="1" si="4">AVERAGE(INDIRECT(A4&amp;"!K24:K32"))</f>
        <v>0.18912222319179112</v>
      </c>
      <c r="G4" s="17">
        <f t="shared" ref="G4:G18" ca="1" si="5">_xlfn.STDEV.P(INDIRECT(A4&amp;"!K24:K32"))</f>
        <v>4.9430644892978014E-2</v>
      </c>
      <c r="H4" s="16">
        <f t="shared" ref="H4:H18" ca="1" si="6">AVERAGE(INDIRECT(A4&amp;"!K34:K42"))</f>
        <v>0.16962222092681462</v>
      </c>
      <c r="I4" s="17">
        <f t="shared" ref="I4:I18" ca="1" si="7">_xlfn.STDEV.P(INDIRECT(A4&amp;"!K34:K42"))</f>
        <v>7.2090001139528237E-2</v>
      </c>
      <c r="L4" s="18">
        <v>1</v>
      </c>
      <c r="M4" s="19">
        <f ca="1">AVERAGE(OFFSET(B4,0,0,15,1))</f>
        <v>0.17913185213864952</v>
      </c>
      <c r="N4" s="19">
        <f ca="1">_xlfn.STDEV.P(OFFSET(B4,0,0,15,1))</f>
        <v>7.2029999660903246E-2</v>
      </c>
      <c r="O4" s="19">
        <f ca="1">AVERAGE(OFFSET(D4,0,0,15,1))</f>
        <v>0.14446814805269242</v>
      </c>
      <c r="P4" s="19">
        <f ca="1">_xlfn.STDEV.P(OFFSET(D4,0,0,15,1))</f>
        <v>7.9838069051816368E-2</v>
      </c>
      <c r="Q4" s="19">
        <f ca="1">AVERAGE(OFFSET(F4,0,0,15,1))</f>
        <v>0.14920962957872286</v>
      </c>
      <c r="R4" s="19">
        <f ca="1">_xlfn.STDEV.P(OFFSET(F4,0,0,15,1))</f>
        <v>6.5752294778817999E-2</v>
      </c>
      <c r="S4" s="19">
        <f ca="1">AVERAGE(OFFSET(H4,0,0,15,1))</f>
        <v>0.14673925994171039</v>
      </c>
      <c r="T4" s="19">
        <f ca="1">_xlfn.STDEV.P(OFFSET(H4,0,0,15,1))</f>
        <v>6.8944937727837316E-2</v>
      </c>
      <c r="V4" s="18">
        <v>1</v>
      </c>
      <c r="W4" s="19">
        <f ca="1">N13-1.5*(P13-N13)</f>
        <v>5.6924999174144453E-2</v>
      </c>
      <c r="X4" s="19">
        <f ca="1">1.5*(P13-N13)+P13</f>
        <v>0.29525833369957083</v>
      </c>
      <c r="Y4" s="19">
        <f ca="1">S13-1.5*(U13-S13)</f>
        <v>-3.7302776239812388E-2</v>
      </c>
      <c r="Z4" s="19">
        <f ca="1">1.5*(U13-S13)+U13</f>
        <v>0.30360832986318403</v>
      </c>
      <c r="AA4" s="19">
        <f ca="1" xml:space="preserve"> X13-1.5*(Z13-X13)</f>
        <v>-3.8394444104697986E-2</v>
      </c>
      <c r="AB4" s="19">
        <f ca="1">1.5*(Z13-X13)+Z13</f>
        <v>0.32209444418549538</v>
      </c>
      <c r="AC4" s="19">
        <f ca="1">AC13-1.5*(AE13-AC13)</f>
        <v>-4.0122225466701716E-2</v>
      </c>
      <c r="AD4" s="19">
        <f ca="1">1.5*(AE13-AC13)+AE13</f>
        <v>0.32356667063302463</v>
      </c>
      <c r="AI4" s="16">
        <f ca="1">SMALL(B$4:B$18,ROWS(B$4:B4))</f>
        <v>5.4133333265781403E-2</v>
      </c>
      <c r="AJ4" s="17">
        <f ca="1">LARGE(B$4:B$18,ROWS(B$4:B4))</f>
        <v>0.3538111084037357</v>
      </c>
      <c r="AK4" s="16">
        <f ca="1">SMALL(D$4:D$18,ROWS(D$4:D4))</f>
        <v>4.4800000472201243E-2</v>
      </c>
      <c r="AL4" s="17">
        <f ca="1">LARGE(D$4:D$18,ROWS(D$4:D4))</f>
        <v>0.33148889078034294</v>
      </c>
      <c r="AM4" s="16">
        <f ca="1">SMALL(F$4:F$18,ROWS(F$4:F4))</f>
        <v>5.4244444188144475E-2</v>
      </c>
      <c r="AN4" s="17">
        <f ca="1">LARGE(F$4:F$18,ROWS(F$4:F4))</f>
        <v>0.29465555482440525</v>
      </c>
      <c r="AO4" s="16">
        <f ca="1">SMALL(H$4:H$18,ROWS(H$4:H4))</f>
        <v>4.3266666432221733E-2</v>
      </c>
      <c r="AP4" s="17">
        <f ca="1">LARGE(H$4:H$18,ROWS(H$4:H4))</f>
        <v>0.29501111639870536</v>
      </c>
    </row>
    <row r="5" spans="1:42" x14ac:dyDescent="0.25">
      <c r="A5" s="14">
        <v>6</v>
      </c>
      <c r="B5" s="16">
        <f t="shared" ca="1" si="0"/>
        <v>0.15566666920979819</v>
      </c>
      <c r="C5" s="17">
        <f t="shared" ca="1" si="1"/>
        <v>2.7417144553968049E-2</v>
      </c>
      <c r="D5" s="16">
        <f t="shared" ca="1" si="2"/>
        <v>0.12669999731911552</v>
      </c>
      <c r="E5" s="17">
        <f t="shared" ca="1" si="3"/>
        <v>2.1131386099790362E-2</v>
      </c>
      <c r="F5" s="16">
        <f t="shared" ca="1" si="4"/>
        <v>0.12896666841374504</v>
      </c>
      <c r="G5" s="17">
        <f t="shared" ca="1" si="5"/>
        <v>1.7724185038371823E-2</v>
      </c>
      <c r="H5" s="16">
        <f t="shared" ca="1" si="6"/>
        <v>0.13750000049670538</v>
      </c>
      <c r="I5" s="17">
        <f t="shared" ca="1" si="7"/>
        <v>2.9156057326273296E-2</v>
      </c>
      <c r="L5" s="18">
        <v>2</v>
      </c>
      <c r="M5" s="19">
        <f ca="1">AVERAGE(OFFSET(B4,24,0,15,1))</f>
        <v>0.17888666666666664</v>
      </c>
      <c r="N5" s="19">
        <f ca="1">_xlfn.STDEV.P(OFFSET(B4,24,0,15,1))</f>
        <v>5.9449851633618538E-2</v>
      </c>
      <c r="O5" s="19">
        <f ca="1">AVERAGE(OFFSET(D4,24,0,15,1))</f>
        <v>0.14522296296296294</v>
      </c>
      <c r="P5" s="19">
        <f ca="1">_xlfn.STDEV.P(OFFSET(D4,24,0,15,1))</f>
        <v>7.1750976588661294E-2</v>
      </c>
      <c r="Q5" s="19">
        <f ca="1">AVERAGE(OFFSET(F4,24,0,15,1))</f>
        <v>0.15113925925925925</v>
      </c>
      <c r="R5" s="19">
        <f ca="1">_xlfn.STDEV.P(OFFSET(F4,24,0,15,1))</f>
        <v>8.8822190148778651E-2</v>
      </c>
      <c r="S5" s="19">
        <f ca="1">AVERAGE(OFFSET(H4,24,0,15,1))</f>
        <v>0.11406592592592592</v>
      </c>
      <c r="T5" s="19">
        <f ca="1">_xlfn.STDEV.P(OFFSET(H4,24,0,15,1))</f>
        <v>5.1252643086182569E-2</v>
      </c>
      <c r="V5" s="18">
        <v>2</v>
      </c>
      <c r="W5" s="19">
        <f ca="1">N14-1.5*(P14-N14)</f>
        <v>8.0149999999999971E-2</v>
      </c>
      <c r="X5" s="19">
        <f ca="1">1.5*(P14-N14)+P14</f>
        <v>0.28592777777777778</v>
      </c>
      <c r="Y5" s="19">
        <f ca="1">S14-1.5*(U14-S14)</f>
        <v>-1.6858333333333336E-2</v>
      </c>
      <c r="Z5" s="19">
        <f ca="1">1.5*(U14-S14)+U14</f>
        <v>0.28334166666666671</v>
      </c>
      <c r="AA5" s="19">
        <f ca="1" xml:space="preserve"> X14-1.5*(Z14-X14)</f>
        <v>-2.0011111111111105E-2</v>
      </c>
      <c r="AB5" s="19">
        <f ca="1">1.5*(Z14-X14)+Z14</f>
        <v>0.29101111111111111</v>
      </c>
      <c r="AC5" s="19">
        <f ca="1">AC14-1.5*(AE14-AC14)</f>
        <v>-1.6830555555555515E-2</v>
      </c>
      <c r="AD5" s="19">
        <f ca="1">1.5*(AE14-AC14)+AE14</f>
        <v>0.22319166666666662</v>
      </c>
      <c r="AI5" s="16">
        <f ca="1">SMALL(B$4:B$18,ROWS(B$4:B5))</f>
        <v>6.9111111159953803E-2</v>
      </c>
      <c r="AJ5" s="17">
        <f ca="1">LARGE(B$4:B$18,ROWS(B$4:B5))</f>
        <v>0.26572222510973614</v>
      </c>
      <c r="AK5" s="16">
        <f ca="1">SMALL(D$4:D$18,ROWS(D$4:D5))</f>
        <v>6.1388889120684728E-2</v>
      </c>
      <c r="AL5" s="17">
        <f ca="1">LARGE(D$4:D$18,ROWS(D$4:D5))</f>
        <v>0.29657777978314293</v>
      </c>
      <c r="AM5" s="16">
        <f ca="1">SMALL(F$4:F$18,ROWS(F$4:F5))</f>
        <v>5.8533332828018397E-2</v>
      </c>
      <c r="AN5" s="17">
        <f ca="1">LARGE(F$4:F$18,ROWS(F$4:F5))</f>
        <v>0.22275555464956495</v>
      </c>
      <c r="AO5" s="16">
        <f ca="1">SMALL(H$4:H$18,ROWS(H$4:H5))</f>
        <v>5.2411111278666399E-2</v>
      </c>
      <c r="AP5" s="17">
        <f ca="1">LARGE(H$4:H$18,ROWS(H$4:H5))</f>
        <v>0.22394444545110068</v>
      </c>
    </row>
    <row r="6" spans="1:42" x14ac:dyDescent="0.25">
      <c r="A6" s="14">
        <v>9</v>
      </c>
      <c r="B6" s="16">
        <f t="shared" ca="1" si="0"/>
        <v>0.18758889039357501</v>
      </c>
      <c r="C6" s="17">
        <f t="shared" ca="1" si="1"/>
        <v>1.2672494595572273E-2</v>
      </c>
      <c r="D6" s="16">
        <f t="shared" ca="1" si="2"/>
        <v>9.6811111188597143E-2</v>
      </c>
      <c r="E6" s="17">
        <f t="shared" ca="1" si="3"/>
        <v>3.3520821205315472E-2</v>
      </c>
      <c r="F6" s="16">
        <f t="shared" ca="1" si="4"/>
        <v>0.10931111127138138</v>
      </c>
      <c r="G6" s="17">
        <f t="shared" ca="1" si="5"/>
        <v>2.4874059292567509E-2</v>
      </c>
      <c r="H6" s="16">
        <f t="shared" ca="1" si="6"/>
        <v>0.11404444442854987</v>
      </c>
      <c r="I6" s="17">
        <f t="shared" ca="1" si="7"/>
        <v>2.8459058878005199E-2</v>
      </c>
      <c r="L6" s="18">
        <v>3</v>
      </c>
      <c r="M6" s="19">
        <f ca="1">AVERAGE(OFFSET(B28,24,0,15,1))</f>
        <v>0.13296666666666665</v>
      </c>
      <c r="N6" s="19">
        <f ca="1">_xlfn.STDEV.P(OFFSET(B28,24,0,15,1))</f>
        <v>5.1317256421055508E-2</v>
      </c>
      <c r="O6" s="19">
        <f ca="1">AVERAGE(OFFSET(D28,24,0,15,1))</f>
        <v>0.11745481481481483</v>
      </c>
      <c r="P6" s="19">
        <f ca="1">_xlfn.STDEV.P(OFFSET(D28,24,0,15,1))</f>
        <v>3.2123667022779266E-2</v>
      </c>
      <c r="Q6" s="19">
        <f ca="1">AVERAGE(OFFSET(F28,24,0,15,1))</f>
        <v>0.12609111111111113</v>
      </c>
      <c r="R6" s="19">
        <f ca="1">_xlfn.STDEV.P(OFFSET(F28,24,0,15,1))</f>
        <v>3.1447783411259374E-2</v>
      </c>
      <c r="S6" s="19">
        <f ca="1">AVERAGE(OFFSET(H28,24,0,15,1))</f>
        <v>0.12071555555555555</v>
      </c>
      <c r="T6" s="19">
        <f ca="1">_xlfn.STDEV.P(OFFSET(H28,24,0,15,1))</f>
        <v>3.7502795901259448E-2</v>
      </c>
      <c r="V6" s="18">
        <v>3</v>
      </c>
      <c r="W6" s="19">
        <f ca="1">N15-1.5*(P15-N15)</f>
        <v>2.8802777777777788E-2</v>
      </c>
      <c r="X6" s="19">
        <f ca="1">1.5*(P15-N15)+P15</f>
        <v>0.22131388888888887</v>
      </c>
      <c r="Y6" s="19">
        <f ca="1">S15-1.5*(U15-S15)</f>
        <v>2.50055555555556E-2</v>
      </c>
      <c r="Z6" s="19">
        <f ca="1">1.5*(U15-S15)+U15</f>
        <v>0.20576111111111106</v>
      </c>
      <c r="AA6" s="19">
        <f ca="1" xml:space="preserve"> X15-1.5*(Z15-X15)</f>
        <v>4.8288888888888881E-2</v>
      </c>
      <c r="AB6" s="19">
        <f ca="1">1.5*(Z15-X15)+Z15</f>
        <v>0.20006666666666667</v>
      </c>
      <c r="AC6" s="19">
        <f ca="1">AC15-1.5*(AE15-AC15)</f>
        <v>1.6708333333333311E-2</v>
      </c>
      <c r="AD6" s="19">
        <f ca="1">1.5*(AE15-AC15)+AE15</f>
        <v>0.21935277777777779</v>
      </c>
      <c r="AI6" s="16">
        <f ca="1">SMALL(B$4:B$18,ROWS(B$4:B6))</f>
        <v>0.13382222337855232</v>
      </c>
      <c r="AJ6" s="17">
        <f ca="1">LARGE(B$4:B$18,ROWS(B$4:B6))</f>
        <v>0.24845555590258706</v>
      </c>
      <c r="AK6" s="16">
        <f ca="1">SMALL(D$4:D$18,ROWS(D$4:D6))</f>
        <v>6.6966666943497122E-2</v>
      </c>
      <c r="AL6" s="17">
        <f ca="1">LARGE(D$4:D$18,ROWS(D$4:D6))</f>
        <v>0.20073333382606506</v>
      </c>
      <c r="AM6" s="16">
        <f ca="1">SMALL(F$4:F$18,ROWS(F$4:F6))</f>
        <v>6.3700000031126872E-2</v>
      </c>
      <c r="AN6" s="17">
        <f ca="1">LARGE(F$4:F$18,ROWS(F$4:F6))</f>
        <v>0.19798888928360409</v>
      </c>
      <c r="AO6" s="16">
        <f ca="1">SMALL(H$4:H$18,ROWS(H$4:H6))</f>
        <v>5.3011111087269254E-2</v>
      </c>
      <c r="AP6" s="17">
        <f ca="1">LARGE(H$4:H$18,ROWS(H$4:H6))</f>
        <v>0.20937778055667877</v>
      </c>
    </row>
    <row r="7" spans="1:42" x14ac:dyDescent="0.25">
      <c r="A7" s="14">
        <v>12</v>
      </c>
      <c r="B7" s="16">
        <f t="shared" ca="1" si="0"/>
        <v>0.3538111084037357</v>
      </c>
      <c r="C7" s="17">
        <f t="shared" ca="1" si="1"/>
        <v>1.0865996626829348E-2</v>
      </c>
      <c r="D7" s="16">
        <f t="shared" ca="1" si="2"/>
        <v>0.33148889078034294</v>
      </c>
      <c r="E7" s="17">
        <f t="shared" ca="1" si="3"/>
        <v>1.3595621597602895E-2</v>
      </c>
      <c r="F7" s="16">
        <f t="shared" ca="1" si="4"/>
        <v>0.22275555464956495</v>
      </c>
      <c r="G7" s="17">
        <f t="shared" ca="1" si="5"/>
        <v>2.1770325426541851E-2</v>
      </c>
      <c r="H7" s="16">
        <f t="shared" ca="1" si="6"/>
        <v>0.22394444545110068</v>
      </c>
      <c r="I7" s="17">
        <f t="shared" ca="1" si="7"/>
        <v>2.2954403608495468E-2</v>
      </c>
      <c r="AI7" s="16">
        <f ca="1">SMALL(B$4:B$18,ROWS(B$4:B7))</f>
        <v>0.14302222265137565</v>
      </c>
      <c r="AJ7" s="17">
        <f ca="1">LARGE(B$4:B$18,ROWS(B$4:B7))</f>
        <v>0.21198888785309261</v>
      </c>
      <c r="AK7" s="16">
        <f ca="1">SMALL(D$4:D$18,ROWS(D$4:D7))</f>
        <v>8.4266665909025401E-2</v>
      </c>
      <c r="AL7" s="17">
        <f ca="1">LARGE(D$4:D$18,ROWS(D$4:D7))</f>
        <v>0.19641110797723135</v>
      </c>
      <c r="AM7" s="16">
        <f ca="1">SMALL(F$4:F$18,ROWS(F$4:F7))</f>
        <v>8.4266666736867696E-2</v>
      </c>
      <c r="AN7" s="17">
        <f ca="1">LARGE(F$4:F$18,ROWS(F$4:F7))</f>
        <v>0.18912222319179112</v>
      </c>
      <c r="AO7" s="16">
        <f ca="1">SMALL(H$4:H$18,ROWS(H$4:H7))</f>
        <v>9.1644443571567535E-2</v>
      </c>
      <c r="AP7" s="17">
        <f ca="1">LARGE(H$4:H$18,ROWS(H$4:H7))</f>
        <v>0.18800000184112126</v>
      </c>
    </row>
    <row r="8" spans="1:42" x14ac:dyDescent="0.25">
      <c r="A8" s="14">
        <v>15</v>
      </c>
      <c r="B8" s="16">
        <f t="shared" ca="1" si="0"/>
        <v>0.15561111023028695</v>
      </c>
      <c r="C8" s="17">
        <f t="shared" ca="1" si="1"/>
        <v>5.3488471449778897E-2</v>
      </c>
      <c r="D8" s="16">
        <f t="shared" ca="1" si="2"/>
        <v>0.1521666662560569</v>
      </c>
      <c r="E8" s="17">
        <f t="shared" ca="1" si="3"/>
        <v>2.9018387146336422E-2</v>
      </c>
      <c r="F8" s="16">
        <f t="shared" ca="1" si="4"/>
        <v>0.18469999896155465</v>
      </c>
      <c r="G8" s="17">
        <f t="shared" ca="1" si="5"/>
        <v>1.6194445275184741E-2</v>
      </c>
      <c r="H8" s="16">
        <f t="shared" ca="1" si="6"/>
        <v>0.18636666735013327</v>
      </c>
      <c r="I8" s="17">
        <f t="shared" ca="1" si="7"/>
        <v>1.4865323238586435E-2</v>
      </c>
      <c r="AI8" s="16">
        <f ca="1">SMALL(B$4:B$18,ROWS(B$4:B8))</f>
        <v>0.14957777659098304</v>
      </c>
      <c r="AJ8" s="17">
        <f ca="1">LARGE(B$4:B$18,ROWS(B$4:B8))</f>
        <v>0.19977777865197924</v>
      </c>
      <c r="AK8" s="16">
        <f ca="1">SMALL(D$4:D$18,ROWS(D$4:D8))</f>
        <v>9.6811111188597143E-2</v>
      </c>
      <c r="AL8" s="17">
        <f ca="1">LARGE(D$4:D$18,ROWS(D$4:D8))</f>
        <v>0.1551222221718894</v>
      </c>
      <c r="AM8" s="16">
        <f ca="1">SMALL(F$4:F$18,ROWS(F$4:F8))</f>
        <v>0.10931111127138138</v>
      </c>
      <c r="AN8" s="17">
        <f ca="1">LARGE(F$4:F$18,ROWS(F$4:F8))</f>
        <v>0.18469999896155465</v>
      </c>
      <c r="AO8" s="16">
        <f ca="1">SMALL(H$4:H$18,ROWS(H$4:H8))</f>
        <v>0.1008777775698238</v>
      </c>
      <c r="AP8" s="17">
        <f ca="1">LARGE(H$4:H$18,ROWS(H$4:H8))</f>
        <v>0.18636666735013327</v>
      </c>
    </row>
    <row r="9" spans="1:42" x14ac:dyDescent="0.25">
      <c r="A9" s="14">
        <v>18</v>
      </c>
      <c r="B9" s="16">
        <f t="shared" ca="1" si="0"/>
        <v>0.14302222265137565</v>
      </c>
      <c r="C9" s="17">
        <f t="shared" ca="1" si="1"/>
        <v>1.7400240274019402E-2</v>
      </c>
      <c r="D9" s="16">
        <f t="shared" ca="1" si="2"/>
        <v>0.12140000032054053</v>
      </c>
      <c r="E9" s="17">
        <f t="shared" ca="1" si="3"/>
        <v>3.7203316065617199E-2</v>
      </c>
      <c r="F9" s="16">
        <f t="shared" ca="1" si="4"/>
        <v>0.17569999893506369</v>
      </c>
      <c r="G9" s="17">
        <f t="shared" ca="1" si="5"/>
        <v>1.2908225643476193E-2</v>
      </c>
      <c r="H9" s="16">
        <f t="shared" ca="1" si="6"/>
        <v>0.17295555770397186</v>
      </c>
      <c r="I9" s="17">
        <f t="shared" ca="1" si="7"/>
        <v>2.4020643319050912E-2</v>
      </c>
      <c r="AI9" s="16">
        <f ca="1">SMALL(B$4:B$18,ROWS(B$4:B9))</f>
        <v>0.15561111023028695</v>
      </c>
      <c r="AJ9" s="17">
        <f ca="1">LARGE(B$4:B$18,ROWS(B$4:B9))</f>
        <v>0.19290000034703148</v>
      </c>
      <c r="AK9" s="16">
        <f ca="1">SMALL(D$4:D$18,ROWS(D$4:D9))</f>
        <v>0.10457777728637059</v>
      </c>
      <c r="AL9" s="17">
        <f ca="1">LARGE(D$4:D$18,ROWS(D$4:D9))</f>
        <v>0.1521666662560569</v>
      </c>
      <c r="AM9" s="16">
        <f ca="1">SMALL(F$4:F$18,ROWS(F$4:F9))</f>
        <v>0.12896666758590275</v>
      </c>
      <c r="AN9" s="17">
        <f ca="1">LARGE(F$4:F$18,ROWS(F$4:F9))</f>
        <v>0.1787777774863773</v>
      </c>
      <c r="AO9" s="16">
        <f ca="1">SMALL(H$4:H$18,ROWS(H$4:H9))</f>
        <v>0.11404444442854987</v>
      </c>
      <c r="AP9" s="17">
        <f ca="1">LARGE(H$4:H$18,ROWS(H$4:H9))</f>
        <v>0.17295555770397186</v>
      </c>
    </row>
    <row r="10" spans="1:42" x14ac:dyDescent="0.25">
      <c r="A10" s="14">
        <v>21</v>
      </c>
      <c r="B10" s="16">
        <f t="shared" ca="1" si="0"/>
        <v>5.4133333265781403E-2</v>
      </c>
      <c r="C10" s="17">
        <f t="shared" ca="1" si="1"/>
        <v>1.6230150117556137E-2</v>
      </c>
      <c r="D10" s="16">
        <f t="shared" ca="1" si="2"/>
        <v>8.4266665909025401E-2</v>
      </c>
      <c r="E10" s="17">
        <f t="shared" ca="1" si="3"/>
        <v>2.046150789397987E-2</v>
      </c>
      <c r="F10" s="16">
        <f t="shared" ca="1" si="4"/>
        <v>0.12896666758590275</v>
      </c>
      <c r="G10" s="17">
        <f t="shared" ca="1" si="5"/>
        <v>1.8708642925069647E-2</v>
      </c>
      <c r="H10" s="16">
        <f t="shared" ca="1" si="6"/>
        <v>9.1644443571567535E-2</v>
      </c>
      <c r="I10" s="17">
        <f t="shared" ca="1" si="7"/>
        <v>2.0441032985706337E-2</v>
      </c>
      <c r="L10" s="138" t="s">
        <v>191</v>
      </c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I10" s="16">
        <f ca="1">SMALL(B$4:B$18,ROWS(B$4:B10))</f>
        <v>0.15566666920979819</v>
      </c>
      <c r="AJ10" s="17">
        <f ca="1">LARGE(B$4:B$18,ROWS(B$4:B10))</f>
        <v>0.18758889039357501</v>
      </c>
      <c r="AK10" s="16">
        <f ca="1">SMALL(D$4:D$18,ROWS(D$4:D10))</f>
        <v>0.12140000032054053</v>
      </c>
      <c r="AL10" s="17">
        <f ca="1">LARGE(D$4:D$18,ROWS(D$4:D10))</f>
        <v>0.12761111143562529</v>
      </c>
      <c r="AM10" s="16">
        <f ca="1">SMALL(F$4:F$18,ROWS(F$4:F10))</f>
        <v>0.12896666841374504</v>
      </c>
      <c r="AN10" s="17">
        <f ca="1">LARGE(F$4:F$18,ROWS(F$4:F10))</f>
        <v>0.17569999893506369</v>
      </c>
      <c r="AO10" s="16">
        <f ca="1">SMALL(H$4:H$18,ROWS(H$4:H10))</f>
        <v>0.13750000049670538</v>
      </c>
      <c r="AP10" s="17">
        <f ca="1">LARGE(H$4:H$18,ROWS(H$4:H10))</f>
        <v>0.16962222092681462</v>
      </c>
    </row>
    <row r="11" spans="1:42" x14ac:dyDescent="0.25">
      <c r="A11" s="14">
        <v>24</v>
      </c>
      <c r="B11" s="16">
        <f t="shared" ca="1" si="0"/>
        <v>0.24845555590258706</v>
      </c>
      <c r="C11" s="17">
        <f t="shared" ca="1" si="1"/>
        <v>3.3775737295819355E-2</v>
      </c>
      <c r="D11" s="16">
        <f t="shared" ca="1" si="2"/>
        <v>0.12761111143562529</v>
      </c>
      <c r="E11" s="17">
        <f t="shared" ca="1" si="3"/>
        <v>1.2093931866302005E-2</v>
      </c>
      <c r="F11" s="16">
        <f t="shared" ca="1" si="4"/>
        <v>0.1787777774863773</v>
      </c>
      <c r="G11" s="17">
        <f t="shared" ca="1" si="5"/>
        <v>2.2270348807007737E-2</v>
      </c>
      <c r="H11" s="16">
        <f t="shared" ca="1" si="6"/>
        <v>0.18800000184112126</v>
      </c>
      <c r="I11" s="17">
        <f t="shared" ca="1" si="7"/>
        <v>2.3659250055808739E-2</v>
      </c>
      <c r="L11" s="115"/>
      <c r="M11" s="141" t="s">
        <v>184</v>
      </c>
      <c r="N11" s="142"/>
      <c r="O11" s="142"/>
      <c r="P11" s="142"/>
      <c r="Q11" s="143"/>
      <c r="R11" s="141" t="s">
        <v>185</v>
      </c>
      <c r="S11" s="142"/>
      <c r="T11" s="142"/>
      <c r="U11" s="142"/>
      <c r="V11" s="143"/>
      <c r="W11" s="141" t="s">
        <v>186</v>
      </c>
      <c r="X11" s="142"/>
      <c r="Y11" s="142"/>
      <c r="Z11" s="142"/>
      <c r="AA11" s="143"/>
      <c r="AB11" s="141" t="s">
        <v>187</v>
      </c>
      <c r="AC11" s="142"/>
      <c r="AD11" s="142"/>
      <c r="AE11" s="142"/>
      <c r="AF11" s="143"/>
      <c r="AI11" s="16">
        <f ca="1">SMALL(B$4:B$18,ROWS(B$4:B11))</f>
        <v>0.16578888893127441</v>
      </c>
      <c r="AJ11" s="17">
        <f ca="1">LARGE(B$4:B$18,ROWS(B$4:B11))</f>
        <v>0.16578888893127441</v>
      </c>
      <c r="AK11" s="16">
        <f ca="1">SMALL(D$4:D$18,ROWS(D$4:D11))</f>
        <v>0.12669999731911552</v>
      </c>
      <c r="AL11" s="17">
        <f ca="1">LARGE(D$4:D$18,ROWS(D$4:D11))</f>
        <v>0.12669999731911552</v>
      </c>
      <c r="AM11" s="16">
        <f ca="1">SMALL(F$4:F$18,ROWS(F$4:F11))</f>
        <v>0.16645555529329512</v>
      </c>
      <c r="AN11" s="17">
        <f ca="1">LARGE(F$4:F$18,ROWS(F$4:F11))</f>
        <v>0.16645555529329512</v>
      </c>
      <c r="AO11" s="16">
        <f ca="1">SMALL(H$4:H$18,ROWS(H$4:H11))</f>
        <v>0.16305555403232574</v>
      </c>
      <c r="AP11" s="17">
        <f ca="1">LARGE(H$4:H$18,ROWS(H$4:H11))</f>
        <v>0.16305555403232574</v>
      </c>
    </row>
    <row r="12" spans="1:42" x14ac:dyDescent="0.25">
      <c r="A12" s="14">
        <v>27</v>
      </c>
      <c r="B12" s="16">
        <f t="shared" ca="1" si="0"/>
        <v>0.19290000034703148</v>
      </c>
      <c r="C12" s="17">
        <f t="shared" ca="1" si="1"/>
        <v>3.2321303402858576E-2</v>
      </c>
      <c r="D12" s="16">
        <f t="shared" ca="1" si="2"/>
        <v>0.29657777978314293</v>
      </c>
      <c r="E12" s="17">
        <f t="shared" ca="1" si="3"/>
        <v>4.7988863344204713E-2</v>
      </c>
      <c r="F12" s="16">
        <f t="shared" ca="1" si="4"/>
        <v>0.29465555482440525</v>
      </c>
      <c r="G12" s="17">
        <f t="shared" ca="1" si="5"/>
        <v>3.5450723050656822E-2</v>
      </c>
      <c r="H12" s="16">
        <f t="shared" ca="1" si="6"/>
        <v>0.29501111639870536</v>
      </c>
      <c r="I12" s="17">
        <f t="shared" ca="1" si="7"/>
        <v>4.0543049899027128E-2</v>
      </c>
      <c r="L12" s="115" t="s">
        <v>5</v>
      </c>
      <c r="M12" s="115" t="s">
        <v>313</v>
      </c>
      <c r="N12" s="115" t="s">
        <v>193</v>
      </c>
      <c r="O12" s="115" t="s">
        <v>194</v>
      </c>
      <c r="P12" s="115" t="s">
        <v>195</v>
      </c>
      <c r="Q12" s="115" t="s">
        <v>314</v>
      </c>
      <c r="R12" s="115" t="s">
        <v>313</v>
      </c>
      <c r="S12" s="115" t="s">
        <v>193</v>
      </c>
      <c r="T12" s="115" t="s">
        <v>194</v>
      </c>
      <c r="U12" s="115" t="s">
        <v>195</v>
      </c>
      <c r="V12" s="115" t="s">
        <v>314</v>
      </c>
      <c r="W12" s="115" t="s">
        <v>313</v>
      </c>
      <c r="X12" s="115" t="s">
        <v>193</v>
      </c>
      <c r="Y12" s="115" t="s">
        <v>194</v>
      </c>
      <c r="Z12" s="115" t="s">
        <v>195</v>
      </c>
      <c r="AA12" s="115" t="s">
        <v>314</v>
      </c>
      <c r="AB12" s="115" t="s">
        <v>313</v>
      </c>
      <c r="AC12" s="115" t="s">
        <v>193</v>
      </c>
      <c r="AD12" s="115" t="s">
        <v>194</v>
      </c>
      <c r="AE12" s="115" t="s">
        <v>195</v>
      </c>
      <c r="AF12" s="115" t="s">
        <v>314</v>
      </c>
      <c r="AI12" s="16">
        <f ca="1">SMALL(B$4:B$18,ROWS(B$4:B12))</f>
        <v>0.18758889039357501</v>
      </c>
      <c r="AJ12" s="17">
        <f ca="1">LARGE(B$4:B$18,ROWS(B$4:B12))</f>
        <v>0.15566666920979819</v>
      </c>
      <c r="AK12" s="16">
        <f ca="1">SMALL(D$4:D$18,ROWS(D$4:D12))</f>
        <v>0.12761111143562529</v>
      </c>
      <c r="AL12" s="17">
        <f ca="1">LARGE(D$4:D$18,ROWS(D$4:D12))</f>
        <v>0.12140000032054053</v>
      </c>
      <c r="AM12" s="16">
        <f ca="1">SMALL(F$4:F$18,ROWS(F$4:F12))</f>
        <v>0.17569999893506369</v>
      </c>
      <c r="AN12" s="17">
        <f ca="1">LARGE(F$4:F$18,ROWS(F$4:F12))</f>
        <v>0.12896666841374504</v>
      </c>
      <c r="AO12" s="16">
        <f ca="1">SMALL(H$4:H$18,ROWS(H$4:H12))</f>
        <v>0.16962222092681462</v>
      </c>
      <c r="AP12" s="17">
        <f ca="1">LARGE(H$4:H$18,ROWS(H$4:H12))</f>
        <v>0.13750000049670538</v>
      </c>
    </row>
    <row r="13" spans="1:42" x14ac:dyDescent="0.25">
      <c r="A13" s="14">
        <v>30</v>
      </c>
      <c r="B13" s="16">
        <f t="shared" ca="1" si="0"/>
        <v>0.13382222337855232</v>
      </c>
      <c r="C13" s="17">
        <f t="shared" ca="1" si="1"/>
        <v>1.349862476612425E-2</v>
      </c>
      <c r="D13" s="16">
        <f t="shared" ca="1" si="2"/>
        <v>6.1388889120684728E-2</v>
      </c>
      <c r="E13" s="17">
        <f t="shared" ca="1" si="3"/>
        <v>1.6860568244307865E-2</v>
      </c>
      <c r="F13" s="16">
        <f t="shared" ca="1" si="4"/>
        <v>8.4266666736867696E-2</v>
      </c>
      <c r="G13" s="17">
        <f t="shared" ca="1" si="5"/>
        <v>1.448968909817318E-2</v>
      </c>
      <c r="H13" s="16">
        <f t="shared" ca="1" si="6"/>
        <v>0.1008777775698238</v>
      </c>
      <c r="I13" s="17">
        <f t="shared" ca="1" si="7"/>
        <v>1.6002276679656705E-2</v>
      </c>
      <c r="L13" s="18">
        <v>1</v>
      </c>
      <c r="M13" s="19">
        <f ca="1">INDEX(OFFSET($AJ$4,0,0,15,1),MATCH(W4,OFFSET($AJ$4,0,0,15,1),-1))</f>
        <v>6.9111111159953803E-2</v>
      </c>
      <c r="N13" s="19">
        <f ca="1">_xlfn.QUARTILE.INC(OFFSET(B$4,0,0,15,1),1)</f>
        <v>0.14629999962117934</v>
      </c>
      <c r="O13" s="19">
        <f ca="1">_xlfn.QUARTILE.INC(OFFSET(B$4,0,0,15,1),2)</f>
        <v>0.16578888893127441</v>
      </c>
      <c r="P13" s="19">
        <f ca="1">_xlfn.QUARTILE.INC(OFFSET(B$4,0,0,15,1),3)</f>
        <v>0.20588333325253594</v>
      </c>
      <c r="Q13" s="19">
        <f ca="1">INDEX(OFFSET(AI$4,0,0,15,1),MATCH(X4,OFFSET(AI$4,0,0,15,1),1))</f>
        <v>0.26572222510973614</v>
      </c>
      <c r="R13" s="19">
        <f ca="1">INDEX(OFFSET(AL$4,0,0,15,1),MATCH(Y4,OFFSET(AL$4,0,0,15,1),-1))</f>
        <v>4.4800000472201243E-2</v>
      </c>
      <c r="S13" s="19">
        <f ca="1">_xlfn.QUARTILE.INC(OFFSET(D$4,0,0,15,1),1)</f>
        <v>9.0538888548811272E-2</v>
      </c>
      <c r="T13" s="19">
        <f ca="1">_xlfn.QUARTILE.INC(OFFSET(D$4,0,0,15,1),2)</f>
        <v>0.12669999731911552</v>
      </c>
      <c r="U13" s="19">
        <f ca="1">_xlfn.QUARTILE.INC(OFFSET(D$4,0,0,15,1),3)</f>
        <v>0.17576666507456037</v>
      </c>
      <c r="V13" s="19">
        <f ca="1">INDEX(OFFSET(AK$4,0,0,15,1),MATCH(Z4,OFFSET(AK$4,0,0,15,1),1))</f>
        <v>0.29657777978314293</v>
      </c>
      <c r="W13" s="19">
        <f ca="1">INDEX(OFFSET(AN$4,0,0,15,1),MATCH(AA4,OFFSET(AN$4,0,0,15,1),-1))</f>
        <v>5.4244444188144475E-2</v>
      </c>
      <c r="X13" s="19">
        <f ca="1">_xlfn.QUARTILE.INC(OFFSET(F$4,0,0,15,1),1)</f>
        <v>9.6788889004124537E-2</v>
      </c>
      <c r="Y13" s="19">
        <f ca="1">_xlfn.QUARTILE.INC(OFFSET(F$4,0,0,15,1),2)</f>
        <v>0.16645555529329512</v>
      </c>
      <c r="Z13" s="19">
        <f ca="1">_xlfn.QUARTILE.INC(OFFSET(F$4,0,0,15,1),3)</f>
        <v>0.18691111107667288</v>
      </c>
      <c r="AA13" s="19">
        <f ca="1">INDEX(OFFSET(AM$4,0,0,15,1),MATCH(AB4,OFFSET(AM$4,0,0,15,1),1))</f>
        <v>0.29465555482440525</v>
      </c>
      <c r="AB13" s="19">
        <f ca="1">INDEX(OFFSET(AP$4,0,0,15,1),MATCH(AC4,OFFSET(AP$4,0,0,15,1),-1))</f>
        <v>4.3266666432221733E-2</v>
      </c>
      <c r="AC13" s="19">
        <f ca="1">_xlfn.QUARTILE.INC(OFFSET(H$4,0,0,15,1),1)</f>
        <v>9.6261110570695668E-2</v>
      </c>
      <c r="AD13" s="19">
        <f ca="1">_xlfn.QUARTILE.INC(OFFSET(H$4,0,0,15,1),2)</f>
        <v>0.16305555403232574</v>
      </c>
      <c r="AE13" s="19">
        <f ca="1">_xlfn.QUARTILE.INC(OFFSET(H$4,0,0,15,1),3)</f>
        <v>0.18718333459562725</v>
      </c>
      <c r="AF13" s="19">
        <f ca="1">INDEX(OFFSET(AO$4,0,0,15,1),MATCH(AD4,OFFSET(AO$4,0,0,15,1),1))</f>
        <v>0.29501111639870536</v>
      </c>
      <c r="AI13" s="16">
        <f ca="1">SMALL(B$4:B$18,ROWS(B$4:B13))</f>
        <v>0.19290000034703148</v>
      </c>
      <c r="AJ13" s="17">
        <f ca="1">LARGE(B$4:B$18,ROWS(B$4:B13))</f>
        <v>0.15561111023028695</v>
      </c>
      <c r="AK13" s="16">
        <f ca="1">SMALL(D$4:D$18,ROWS(D$4:D13))</f>
        <v>0.1521666662560569</v>
      </c>
      <c r="AL13" s="17">
        <f ca="1">LARGE(D$4:D$18,ROWS(D$4:D13))</f>
        <v>0.10457777728637059</v>
      </c>
      <c r="AM13" s="16">
        <f ca="1">SMALL(F$4:F$18,ROWS(F$4:F13))</f>
        <v>0.1787777774863773</v>
      </c>
      <c r="AN13" s="17">
        <f ca="1">LARGE(F$4:F$18,ROWS(F$4:F13))</f>
        <v>0.12896666758590275</v>
      </c>
      <c r="AO13" s="16">
        <f ca="1">SMALL(H$4:H$18,ROWS(H$4:H13))</f>
        <v>0.17295555770397186</v>
      </c>
      <c r="AP13" s="17">
        <f ca="1">LARGE(H$4:H$18,ROWS(H$4:H13))</f>
        <v>0.11404444442854987</v>
      </c>
    </row>
    <row r="14" spans="1:42" x14ac:dyDescent="0.25">
      <c r="A14" s="14">
        <v>33</v>
      </c>
      <c r="B14" s="16">
        <f t="shared" ca="1" si="0"/>
        <v>0.16578888893127441</v>
      </c>
      <c r="C14" s="17">
        <f t="shared" ca="1" si="1"/>
        <v>1.420480848301792E-2</v>
      </c>
      <c r="D14" s="16">
        <f t="shared" ca="1" si="2"/>
        <v>4.4800000472201243E-2</v>
      </c>
      <c r="E14" s="17">
        <f t="shared" ca="1" si="3"/>
        <v>1.7497174856602928E-2</v>
      </c>
      <c r="F14" s="16">
        <f t="shared" ca="1" si="4"/>
        <v>5.8533332828018397E-2</v>
      </c>
      <c r="G14" s="17">
        <f t="shared" ca="1" si="5"/>
        <v>2.5378687533317353E-2</v>
      </c>
      <c r="H14" s="16">
        <f t="shared" ca="1" si="6"/>
        <v>5.2411111278666399E-2</v>
      </c>
      <c r="I14" s="17">
        <f t="shared" ca="1" si="7"/>
        <v>3.7644786305490542E-2</v>
      </c>
      <c r="L14" s="18">
        <v>2</v>
      </c>
      <c r="M14" s="19">
        <f ca="1">INDEX(OFFSET($AJ$4,24,0,15,1),MATCH(W5,OFFSET($AJ$4,24,0,15,1),-1))</f>
        <v>8.278888888888887E-2</v>
      </c>
      <c r="N14" s="19">
        <f ca="1">_xlfn.QUARTILE.INC(OFFSET(B$4,24,0,15,1),1)</f>
        <v>0.15731666666666666</v>
      </c>
      <c r="O14" s="19">
        <f ca="1">_xlfn.QUARTILE.INC(OFFSET(B$4,24,0,15,1),2)</f>
        <v>0.17544444444444443</v>
      </c>
      <c r="P14" s="19">
        <f ca="1">_xlfn.QUARTILE.INC(OFFSET(B$4,24,0,15,1),3)</f>
        <v>0.20876111111111112</v>
      </c>
      <c r="Q14" s="19">
        <f ca="1">INDEX(OFFSET(AI$4,24,0,15,1),MATCH(X5,OFFSET(AI$4,24,0,15,1),1))</f>
        <v>0.24285555555555552</v>
      </c>
      <c r="R14" s="19">
        <f ca="1">INDEX(OFFSET(AL$4,24,0,15,1),MATCH(Y5,OFFSET(AL$4,24,0,15,1),-1))</f>
        <v>5.6011111111111109E-2</v>
      </c>
      <c r="S14" s="19">
        <f ca="1">_xlfn.QUARTILE.INC(OFFSET(D$4,24,0,15,1),1)</f>
        <v>9.5716666666666672E-2</v>
      </c>
      <c r="T14" s="19">
        <f ca="1">_xlfn.QUARTILE.INC(OFFSET(D$4,24,0,15,1),2)</f>
        <v>0.13042222222222222</v>
      </c>
      <c r="U14" s="19">
        <f ca="1">_xlfn.QUARTILE.INC(OFFSET(D$4,24,0,15,1),3)</f>
        <v>0.17076666666666668</v>
      </c>
      <c r="V14" s="19">
        <f ca="1">INDEX(OFFSET(AK$4,24,0,15,1),MATCH(Z5,OFFSET(AK$4,24,0,15,1),1))</f>
        <v>0.23567777777777776</v>
      </c>
      <c r="W14" s="19">
        <f ca="1">INDEX(OFFSET(AN$4,24,0,15,1),MATCH(AA5,OFFSET(AN$4,24,0,15,1),-1))</f>
        <v>6.8388888888888888E-2</v>
      </c>
      <c r="X14" s="19">
        <f ca="1">_xlfn.QUARTILE.INC(OFFSET(F$4,24,0,15,1),1)</f>
        <v>9.662222222222222E-2</v>
      </c>
      <c r="Y14" s="19">
        <f ca="1">_xlfn.QUARTILE.INC(OFFSET(F$4,24,0,15,1),2)</f>
        <v>0.11349999999999999</v>
      </c>
      <c r="Z14" s="19">
        <f ca="1">_xlfn.QUARTILE.INC(OFFSET(F$4,24,0,15,1),3)</f>
        <v>0.17437777777777777</v>
      </c>
      <c r="AA14" s="19">
        <f ca="1">INDEX(OFFSET(AM$4,24,0,15,1),MATCH(AB5,OFFSET(AM$4,24,0,15,1),1))</f>
        <v>0.22915555555555558</v>
      </c>
      <c r="AB14" s="19">
        <f ca="1">INDEX(OFFSET(AP$4,24,0,15,1),MATCH(AC5,OFFSET(AP$4,24,0,15,1),-1))</f>
        <v>4.8011111111111109E-2</v>
      </c>
      <c r="AC14" s="19">
        <f ca="1">_xlfn.QUARTILE.INC(OFFSET(H$4,24,0,15,1),1)</f>
        <v>7.3177777777777786E-2</v>
      </c>
      <c r="AD14" s="19">
        <f ca="1">_xlfn.QUARTILE.INC(OFFSET(H$4,24,0,15,1),2)</f>
        <v>0.10033333333333333</v>
      </c>
      <c r="AE14" s="19">
        <f ca="1">_xlfn.QUARTILE.INC(OFFSET(H$4,24,0,15,1),3)</f>
        <v>0.13318333333333332</v>
      </c>
      <c r="AF14" s="19">
        <f ca="1">INDEX(OFFSET(AO$4,24,0,15,1),MATCH(AD5,OFFSET(AO$4,24,0,15,1),1))</f>
        <v>0.19068888888888885</v>
      </c>
      <c r="AI14" s="16">
        <f ca="1">SMALL(B$4:B$18,ROWS(B$4:B14))</f>
        <v>0.19977777865197924</v>
      </c>
      <c r="AJ14" s="17">
        <f ca="1">LARGE(B$4:B$18,ROWS(B$4:B14))</f>
        <v>0.14957777659098304</v>
      </c>
      <c r="AK14" s="16">
        <f ca="1">SMALL(D$4:D$18,ROWS(D$4:D14))</f>
        <v>0.1551222221718894</v>
      </c>
      <c r="AL14" s="17">
        <f ca="1">LARGE(D$4:D$18,ROWS(D$4:D14))</f>
        <v>9.6811111188597143E-2</v>
      </c>
      <c r="AM14" s="16">
        <f ca="1">SMALL(F$4:F$18,ROWS(F$4:F14))</f>
        <v>0.18469999896155465</v>
      </c>
      <c r="AN14" s="17">
        <f ca="1">LARGE(F$4:F$18,ROWS(F$4:F14))</f>
        <v>0.10931111127138138</v>
      </c>
      <c r="AO14" s="16">
        <f ca="1">SMALL(H$4:H$18,ROWS(H$4:H14))</f>
        <v>0.18636666735013327</v>
      </c>
      <c r="AP14" s="17">
        <f ca="1">LARGE(H$4:H$18,ROWS(H$4:H14))</f>
        <v>0.1008777775698238</v>
      </c>
    </row>
    <row r="15" spans="1:42" x14ac:dyDescent="0.25">
      <c r="A15" s="14">
        <v>36</v>
      </c>
      <c r="B15" s="16">
        <f t="shared" ca="1" si="0"/>
        <v>0.26572222510973614</v>
      </c>
      <c r="C15" s="17">
        <f t="shared" ca="1" si="1"/>
        <v>4.385522804234817E-3</v>
      </c>
      <c r="D15" s="16">
        <f t="shared" ca="1" si="2"/>
        <v>0.19641110797723135</v>
      </c>
      <c r="E15" s="17">
        <f t="shared" ca="1" si="3"/>
        <v>2.4929832295648508E-2</v>
      </c>
      <c r="F15" s="16">
        <f t="shared" ca="1" si="4"/>
        <v>0.16645555529329512</v>
      </c>
      <c r="G15" s="17">
        <f t="shared" ca="1" si="5"/>
        <v>2.2828105026595002E-2</v>
      </c>
      <c r="H15" s="16">
        <f t="shared" ca="1" si="6"/>
        <v>0.16305555403232574</v>
      </c>
      <c r="I15" s="17">
        <f t="shared" ca="1" si="7"/>
        <v>2.6264049072524998E-2</v>
      </c>
      <c r="L15" s="18">
        <v>3</v>
      </c>
      <c r="M15" s="19">
        <f ca="1">INDEX(OFFSET($AJ$28,24,0,15,1),MATCH(W6,OFFSET($AJ$28,24,0,15,1),-1))</f>
        <v>7.6622222222222217E-2</v>
      </c>
      <c r="N15" s="19">
        <f ca="1">_xlfn.QUARTILE.INC(OFFSET(B$28,24,0,15,1),1)</f>
        <v>0.10099444444444444</v>
      </c>
      <c r="O15" s="19">
        <f ca="1">_xlfn.QUARTILE.INC(OFFSET(B$28,24,0,15,1),2)</f>
        <v>0.11896666666666667</v>
      </c>
      <c r="P15" s="19">
        <f ca="1">_xlfn.QUARTILE.INC(OFFSET(B$28,24,0,15,1),3)</f>
        <v>0.14912222222222221</v>
      </c>
      <c r="Q15" s="19">
        <f ca="1">INDEX(OFFSET(AI$28,24,0,15,1),MATCH(X6,OFFSET(AI$28,24,0,15,1),1))</f>
        <v>0.21722222222222223</v>
      </c>
      <c r="R15" s="19">
        <f ca="1">INDEX(OFFSET(AL$28,24,0,15,1),MATCH(Y6,OFFSET(AL$28,24,0,15,1),-1))</f>
        <v>7.0266666666666672E-2</v>
      </c>
      <c r="S15" s="19">
        <f ca="1">_xlfn.QUARTILE.INC(OFFSET(D$28,24,0,15,1),1)</f>
        <v>9.2788888888888893E-2</v>
      </c>
      <c r="T15" s="19">
        <f ca="1">_xlfn.QUARTILE.INC(OFFSET(D$28,24,0,15,1),2)</f>
        <v>0.11684444444444446</v>
      </c>
      <c r="U15" s="19">
        <f ca="1">_xlfn.QUARTILE.INC(OFFSET(D$28,24,0,15,1),3)</f>
        <v>0.13797777777777775</v>
      </c>
      <c r="V15" s="19">
        <f ca="1">INDEX(OFFSET(AK$28,24,0,15,1),MATCH(Z6,OFFSET(AK$28,24,0,15,1),1))</f>
        <v>0.19094444444444444</v>
      </c>
      <c r="W15" s="19">
        <f ca="1">INDEX(OFFSET(AN$28,24,0,15,1),MATCH(AA6,OFFSET(AN$28,24,0,15,1),-1))</f>
        <v>7.3944444444444438E-2</v>
      </c>
      <c r="X15" s="19">
        <f ca="1">_xlfn.QUARTILE.INC(OFFSET(F$28,24,0,15,1),1)</f>
        <v>0.10520555555555555</v>
      </c>
      <c r="Y15" s="19">
        <f ca="1">_xlfn.QUARTILE.INC(OFFSET(F$28,24,0,15,1),2)</f>
        <v>0.12944444444444445</v>
      </c>
      <c r="Z15" s="19">
        <f ca="1">_xlfn.QUARTILE.INC(OFFSET(F$28,24,0,15,1),3)</f>
        <v>0.14315</v>
      </c>
      <c r="AA15" s="19">
        <f ca="1">INDEX(OFFSET(AM$28,24,0,15,1),MATCH(AB6,OFFSET(AM$28,24,0,15,1),1))</f>
        <v>0.18578888888888889</v>
      </c>
      <c r="AB15" s="19">
        <f ca="1">INDEX(OFFSET(AP$28,24,0,15,1),MATCH(AC6,OFFSET(AP$28,24,0,15,1),-1))</f>
        <v>6.582222222222224E-2</v>
      </c>
      <c r="AC15" s="19">
        <f ca="1">_xlfn.QUARTILE.INC(OFFSET(H$28,24,0,15,1),1)</f>
        <v>9.2699999999999991E-2</v>
      </c>
      <c r="AD15" s="19">
        <f ca="1">_xlfn.QUARTILE.INC(OFFSET(H$28,24,0,15,1),2)</f>
        <v>0.11417777777777778</v>
      </c>
      <c r="AE15" s="19">
        <f ca="1">_xlfn.QUARTILE.INC(OFFSET(H$28,24,0,15,1),3)</f>
        <v>0.14336111111111111</v>
      </c>
      <c r="AF15" s="19">
        <f ca="1">INDEX(OFFSET(AO$28,24,0,15,1),MATCH(AD6,OFFSET(AO$28,24,0,15,1),1))</f>
        <v>0.19301111111111111</v>
      </c>
      <c r="AI15" s="16">
        <f ca="1">SMALL(B$4:B$18,ROWS(B$4:B15))</f>
        <v>0.21198888785309261</v>
      </c>
      <c r="AJ15" s="17">
        <f ca="1">LARGE(B$4:B$18,ROWS(B$4:B15))</f>
        <v>0.14302222265137565</v>
      </c>
      <c r="AK15" s="16">
        <f ca="1">SMALL(D$4:D$18,ROWS(D$4:D15))</f>
        <v>0.19641110797723135</v>
      </c>
      <c r="AL15" s="17">
        <f ca="1">LARGE(D$4:D$18,ROWS(D$4:D15))</f>
        <v>8.4266665909025401E-2</v>
      </c>
      <c r="AM15" s="16">
        <f ca="1">SMALL(F$4:F$18,ROWS(F$4:F15))</f>
        <v>0.18912222319179112</v>
      </c>
      <c r="AN15" s="17">
        <f ca="1">LARGE(F$4:F$18,ROWS(F$4:F15))</f>
        <v>8.4266666736867696E-2</v>
      </c>
      <c r="AO15" s="16">
        <f ca="1">SMALL(H$4:H$18,ROWS(H$4:H15))</f>
        <v>0.18800000184112126</v>
      </c>
      <c r="AP15" s="17">
        <f ca="1">LARGE(H$4:H$18,ROWS(H$4:H15))</f>
        <v>9.1644443571567535E-2</v>
      </c>
    </row>
    <row r="16" spans="1:42" x14ac:dyDescent="0.25">
      <c r="A16" s="14">
        <v>39</v>
      </c>
      <c r="B16" s="16">
        <f t="shared" ca="1" si="0"/>
        <v>0.21198888785309261</v>
      </c>
      <c r="C16" s="17">
        <f t="shared" ca="1" si="1"/>
        <v>1.4491948183448249E-2</v>
      </c>
      <c r="D16" s="16">
        <f t="shared" ca="1" si="2"/>
        <v>0.20073333382606506</v>
      </c>
      <c r="E16" s="17">
        <f t="shared" ca="1" si="3"/>
        <v>1.8641112702733349E-2</v>
      </c>
      <c r="F16" s="16">
        <f t="shared" ca="1" si="4"/>
        <v>0.19798888928360409</v>
      </c>
      <c r="G16" s="17">
        <f t="shared" ca="1" si="5"/>
        <v>1.9664148157611302E-2</v>
      </c>
      <c r="H16" s="16">
        <f t="shared" ca="1" si="6"/>
        <v>0.20937778055667877</v>
      </c>
      <c r="I16" s="17">
        <f t="shared" ca="1" si="7"/>
        <v>1.370253697254937E-2</v>
      </c>
      <c r="AI16" s="16">
        <f ca="1">SMALL(B$4:B$18,ROWS(B$4:B16))</f>
        <v>0.24845555590258706</v>
      </c>
      <c r="AJ16" s="17">
        <f ca="1">LARGE(B$4:B$18,ROWS(B$4:B16))</f>
        <v>0.13382222337855232</v>
      </c>
      <c r="AK16" s="16">
        <f ca="1">SMALL(D$4:D$18,ROWS(D$4:D16))</f>
        <v>0.20073333382606506</v>
      </c>
      <c r="AL16" s="17">
        <f ca="1">LARGE(D$4:D$18,ROWS(D$4:D16))</f>
        <v>6.6966666943497122E-2</v>
      </c>
      <c r="AM16" s="16">
        <f ca="1">SMALL(F$4:F$18,ROWS(F$4:F16))</f>
        <v>0.19798888928360409</v>
      </c>
      <c r="AN16" s="17">
        <f ca="1">LARGE(F$4:F$18,ROWS(F$4:F16))</f>
        <v>6.3700000031126872E-2</v>
      </c>
      <c r="AO16" s="16">
        <f ca="1">SMALL(H$4:H$18,ROWS(H$4:H16))</f>
        <v>0.20937778055667877</v>
      </c>
      <c r="AP16" s="17">
        <f ca="1">LARGE(H$4:H$18,ROWS(H$4:H16))</f>
        <v>5.3011111087269254E-2</v>
      </c>
    </row>
    <row r="17" spans="1:42" x14ac:dyDescent="0.25">
      <c r="A17" s="14">
        <v>42</v>
      </c>
      <c r="B17" s="16">
        <f t="shared" ca="1" si="0"/>
        <v>0.19977777865197924</v>
      </c>
      <c r="C17" s="17">
        <f t="shared" ca="1" si="1"/>
        <v>2.272691942371784E-2</v>
      </c>
      <c r="D17" s="16">
        <f t="shared" ca="1" si="2"/>
        <v>0.10457777728637059</v>
      </c>
      <c r="E17" s="17">
        <f t="shared" ca="1" si="3"/>
        <v>2.0319491271546565E-2</v>
      </c>
      <c r="F17" s="16">
        <f t="shared" ca="1" si="4"/>
        <v>5.4244444188144475E-2</v>
      </c>
      <c r="G17" s="17">
        <f t="shared" ca="1" si="5"/>
        <v>1.3629471071517709E-2</v>
      </c>
      <c r="H17" s="16">
        <f t="shared" ca="1" si="6"/>
        <v>4.3266666432221733E-2</v>
      </c>
      <c r="I17" s="17">
        <f t="shared" ca="1" si="7"/>
        <v>1.9806396211151572E-2</v>
      </c>
      <c r="L17" s="144" t="s">
        <v>196</v>
      </c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I17" s="16">
        <f ca="1">SMALL(B$4:B$18,ROWS(B$4:B17))</f>
        <v>0.26572222510973614</v>
      </c>
      <c r="AJ17" s="17">
        <f ca="1">LARGE(B$4:B$18,ROWS(B$4:B17))</f>
        <v>6.9111111159953803E-2</v>
      </c>
      <c r="AK17" s="16">
        <f ca="1">SMALL(D$4:D$18,ROWS(D$4:D17))</f>
        <v>0.29657777978314293</v>
      </c>
      <c r="AL17" s="17">
        <f ca="1">LARGE(D$4:D$18,ROWS(D$4:D17))</f>
        <v>6.1388889120684728E-2</v>
      </c>
      <c r="AM17" s="16">
        <f ca="1">SMALL(F$4:F$18,ROWS(F$4:F17))</f>
        <v>0.22275555464956495</v>
      </c>
      <c r="AN17" s="17">
        <f ca="1">LARGE(F$4:F$18,ROWS(F$4:F17))</f>
        <v>5.8533332828018397E-2</v>
      </c>
      <c r="AO17" s="16">
        <f ca="1">SMALL(H$4:H$18,ROWS(H$4:H17))</f>
        <v>0.22394444545110068</v>
      </c>
      <c r="AP17" s="17">
        <f ca="1">LARGE(H$4:H$18,ROWS(H$4:H17))</f>
        <v>5.2411111278666399E-2</v>
      </c>
    </row>
    <row r="18" spans="1:42" x14ac:dyDescent="0.25">
      <c r="A18" s="14">
        <v>45</v>
      </c>
      <c r="B18" s="16">
        <f t="shared" ca="1" si="0"/>
        <v>6.9111111159953803E-2</v>
      </c>
      <c r="C18" s="17">
        <f t="shared" ca="1" si="1"/>
        <v>3.8719459684661728E-2</v>
      </c>
      <c r="D18" s="16">
        <f t="shared" ca="1" si="2"/>
        <v>6.6966666943497122E-2</v>
      </c>
      <c r="E18" s="17">
        <f t="shared" ca="1" si="3"/>
        <v>3.5232403448043036E-2</v>
      </c>
      <c r="F18" s="16">
        <f t="shared" ca="1" si="4"/>
        <v>6.3700000031126872E-2</v>
      </c>
      <c r="G18" s="17">
        <f t="shared" ca="1" si="5"/>
        <v>2.5494007887659091E-2</v>
      </c>
      <c r="H18" s="16">
        <f t="shared" ca="1" si="6"/>
        <v>5.3011111087269254E-2</v>
      </c>
      <c r="I18" s="17">
        <f t="shared" ca="1" si="7"/>
        <v>1.2023259319226718E-2</v>
      </c>
      <c r="L18" s="116"/>
      <c r="M18" s="146" t="s">
        <v>184</v>
      </c>
      <c r="N18" s="146"/>
      <c r="O18" s="146"/>
      <c r="P18" s="146"/>
      <c r="Q18" s="147"/>
      <c r="R18" s="148" t="s">
        <v>185</v>
      </c>
      <c r="S18" s="146"/>
      <c r="T18" s="146"/>
      <c r="U18" s="146"/>
      <c r="V18" s="147"/>
      <c r="W18" s="148" t="s">
        <v>186</v>
      </c>
      <c r="X18" s="146"/>
      <c r="Y18" s="146"/>
      <c r="Z18" s="146"/>
      <c r="AA18" s="147"/>
      <c r="AB18" s="148" t="s">
        <v>187</v>
      </c>
      <c r="AC18" s="146"/>
      <c r="AD18" s="146"/>
      <c r="AE18" s="146"/>
      <c r="AF18" s="147"/>
      <c r="AG18" s="19"/>
      <c r="AI18" s="16">
        <f ca="1">SMALL(B$4:B$18,ROWS(B$4:B18))</f>
        <v>0.3538111084037357</v>
      </c>
      <c r="AJ18" s="17">
        <f ca="1">LARGE(B$4:B$18,ROWS(B$4:B18))</f>
        <v>5.4133333265781403E-2</v>
      </c>
      <c r="AK18" s="16">
        <f ca="1">SMALL(D$4:D$18,ROWS(D$4:D18))</f>
        <v>0.33148889078034294</v>
      </c>
      <c r="AL18" s="17">
        <f ca="1">LARGE(D$4:D$18,ROWS(D$4:D18))</f>
        <v>4.4800000472201243E-2</v>
      </c>
      <c r="AM18" s="16">
        <f ca="1">SMALL(F$4:F$18,ROWS(F$4:F18))</f>
        <v>0.29465555482440525</v>
      </c>
      <c r="AN18" s="17">
        <f ca="1">LARGE(F$4:F$18,ROWS(F$4:F18))</f>
        <v>5.4244444188144475E-2</v>
      </c>
      <c r="AO18" s="16">
        <f ca="1">SMALL(H$4:H$18,ROWS(H$4:H18))</f>
        <v>0.29501111639870536</v>
      </c>
      <c r="AP18" s="17">
        <f ca="1">LARGE(H$4:H$18,ROWS(H$4:H18))</f>
        <v>4.3266666432221733E-2</v>
      </c>
    </row>
    <row r="19" spans="1:42" ht="39.6" x14ac:dyDescent="0.25">
      <c r="L19" s="20" t="s">
        <v>5</v>
      </c>
      <c r="M19" s="20" t="s">
        <v>313</v>
      </c>
      <c r="N19" s="21" t="s">
        <v>315</v>
      </c>
      <c r="O19" s="21" t="s">
        <v>198</v>
      </c>
      <c r="P19" s="21" t="s">
        <v>199</v>
      </c>
      <c r="Q19" s="21" t="s">
        <v>316</v>
      </c>
      <c r="R19" s="20" t="s">
        <v>313</v>
      </c>
      <c r="S19" s="21" t="s">
        <v>315</v>
      </c>
      <c r="T19" s="21" t="s">
        <v>198</v>
      </c>
      <c r="U19" s="21" t="s">
        <v>199</v>
      </c>
      <c r="V19" s="21" t="s">
        <v>316</v>
      </c>
      <c r="W19" s="20" t="s">
        <v>313</v>
      </c>
      <c r="X19" s="21" t="s">
        <v>315</v>
      </c>
      <c r="Y19" s="21" t="s">
        <v>198</v>
      </c>
      <c r="Z19" s="21" t="s">
        <v>199</v>
      </c>
      <c r="AA19" s="21" t="s">
        <v>316</v>
      </c>
      <c r="AB19" s="20" t="s">
        <v>313</v>
      </c>
      <c r="AC19" s="21" t="s">
        <v>315</v>
      </c>
      <c r="AD19" s="21" t="s">
        <v>198</v>
      </c>
      <c r="AE19" s="21" t="s">
        <v>199</v>
      </c>
      <c r="AF19" s="21" t="s">
        <v>316</v>
      </c>
    </row>
    <row r="20" spans="1:42" x14ac:dyDescent="0.25">
      <c r="B20" s="22"/>
      <c r="L20" s="18">
        <v>1</v>
      </c>
      <c r="M20" s="23">
        <f ca="1">M13</f>
        <v>6.9111111159953803E-2</v>
      </c>
      <c r="N20" s="24">
        <f t="shared" ref="N20:Q22" ca="1" si="8">N13-M13</f>
        <v>7.7188888461225541E-2</v>
      </c>
      <c r="O20" s="24">
        <f t="shared" ca="1" si="8"/>
        <v>1.948888931009507E-2</v>
      </c>
      <c r="P20" s="24">
        <f t="shared" ca="1" si="8"/>
        <v>4.0094444321261524E-2</v>
      </c>
      <c r="Q20" s="24">
        <f t="shared" ca="1" si="8"/>
        <v>5.9838891857200205E-2</v>
      </c>
      <c r="R20" s="24">
        <f ca="1">R13</f>
        <v>4.4800000472201243E-2</v>
      </c>
      <c r="S20" s="24">
        <f t="shared" ref="S20:V22" ca="1" si="9">S13-R13</f>
        <v>4.5738888076610029E-2</v>
      </c>
      <c r="T20" s="24">
        <f t="shared" ca="1" si="9"/>
        <v>3.6161108770304248E-2</v>
      </c>
      <c r="U20" s="24">
        <f t="shared" ca="1" si="9"/>
        <v>4.9066667755444854E-2</v>
      </c>
      <c r="V20" s="24">
        <f t="shared" ca="1" si="9"/>
        <v>0.12081111470858255</v>
      </c>
      <c r="W20" s="24">
        <f ca="1">W13</f>
        <v>5.4244444188144475E-2</v>
      </c>
      <c r="X20" s="24">
        <f t="shared" ref="X20:AA22" ca="1" si="10">X13-W13</f>
        <v>4.2544444815980062E-2</v>
      </c>
      <c r="Y20" s="24">
        <f t="shared" ca="1" si="10"/>
        <v>6.9666666289170578E-2</v>
      </c>
      <c r="Z20" s="24">
        <f t="shared" ca="1" si="10"/>
        <v>2.0455555783377766E-2</v>
      </c>
      <c r="AA20" s="24">
        <f t="shared" ca="1" si="10"/>
        <v>0.10774444374773237</v>
      </c>
      <c r="AB20" s="24">
        <f ca="1">AB13</f>
        <v>4.3266666432221733E-2</v>
      </c>
      <c r="AC20" s="24">
        <f t="shared" ref="AC20:AF22" ca="1" si="11">AC13-AB13</f>
        <v>5.2994444138473935E-2</v>
      </c>
      <c r="AD20" s="24">
        <f t="shared" ca="1" si="11"/>
        <v>6.6794443461630076E-2</v>
      </c>
      <c r="AE20" s="24">
        <f t="shared" ca="1" si="11"/>
        <v>2.4127780563301504E-2</v>
      </c>
      <c r="AF20" s="24">
        <f t="shared" ca="1" si="11"/>
        <v>0.10782778180307812</v>
      </c>
      <c r="AI20" s="22"/>
    </row>
    <row r="21" spans="1:42" x14ac:dyDescent="0.25">
      <c r="L21" s="18">
        <v>2</v>
      </c>
      <c r="M21" s="23">
        <f ca="1">M14</f>
        <v>8.278888888888887E-2</v>
      </c>
      <c r="N21" s="24">
        <f t="shared" ca="1" si="8"/>
        <v>7.452777777777779E-2</v>
      </c>
      <c r="O21" s="24">
        <f t="shared" ca="1" si="8"/>
        <v>1.812777777777777E-2</v>
      </c>
      <c r="P21" s="24">
        <f t="shared" ca="1" si="8"/>
        <v>3.3316666666666689E-2</v>
      </c>
      <c r="Q21" s="24">
        <f t="shared" ca="1" si="8"/>
        <v>3.4094444444444399E-2</v>
      </c>
      <c r="R21" s="24">
        <f ca="1">R14</f>
        <v>5.6011111111111109E-2</v>
      </c>
      <c r="S21" s="24">
        <f t="shared" ca="1" si="9"/>
        <v>3.9705555555555563E-2</v>
      </c>
      <c r="T21" s="24">
        <f t="shared" ca="1" si="9"/>
        <v>3.4705555555555545E-2</v>
      </c>
      <c r="U21" s="24">
        <f t="shared" ca="1" si="9"/>
        <v>4.0344444444444461E-2</v>
      </c>
      <c r="V21" s="24">
        <f t="shared" ca="1" si="9"/>
        <v>6.4911111111111086E-2</v>
      </c>
      <c r="W21" s="24">
        <f ca="1">W14</f>
        <v>6.8388888888888888E-2</v>
      </c>
      <c r="X21" s="24">
        <f t="shared" ca="1" si="10"/>
        <v>2.8233333333333333E-2</v>
      </c>
      <c r="Y21" s="24">
        <f t="shared" ca="1" si="10"/>
        <v>1.6877777777777769E-2</v>
      </c>
      <c r="Z21" s="24">
        <f t="shared" ca="1" si="10"/>
        <v>6.0877777777777781E-2</v>
      </c>
      <c r="AA21" s="24">
        <f t="shared" ca="1" si="10"/>
        <v>5.4777777777777814E-2</v>
      </c>
      <c r="AB21" s="24">
        <f ca="1">AB14</f>
        <v>4.8011111111111109E-2</v>
      </c>
      <c r="AC21" s="24">
        <f t="shared" ca="1" si="11"/>
        <v>2.5166666666666677E-2</v>
      </c>
      <c r="AD21" s="24">
        <f t="shared" ca="1" si="11"/>
        <v>2.7155555555555544E-2</v>
      </c>
      <c r="AE21" s="24">
        <f t="shared" ca="1" si="11"/>
        <v>3.284999999999999E-2</v>
      </c>
      <c r="AF21" s="24">
        <f t="shared" ca="1" si="11"/>
        <v>5.7505555555555532E-2</v>
      </c>
    </row>
    <row r="22" spans="1:42" x14ac:dyDescent="0.25">
      <c r="L22" s="18">
        <v>3</v>
      </c>
      <c r="M22" s="23">
        <f ca="1">M15</f>
        <v>7.6622222222222217E-2</v>
      </c>
      <c r="N22" s="24">
        <f t="shared" ca="1" si="8"/>
        <v>2.4372222222222226E-2</v>
      </c>
      <c r="O22" s="24">
        <f t="shared" ca="1" si="8"/>
        <v>1.7972222222222223E-2</v>
      </c>
      <c r="P22" s="24">
        <f t="shared" ca="1" si="8"/>
        <v>3.0155555555555547E-2</v>
      </c>
      <c r="Q22" s="24">
        <f t="shared" ca="1" si="8"/>
        <v>6.8100000000000022E-2</v>
      </c>
      <c r="R22" s="24">
        <f ca="1">R15</f>
        <v>7.0266666666666672E-2</v>
      </c>
      <c r="S22" s="24">
        <f t="shared" ca="1" si="9"/>
        <v>2.2522222222222221E-2</v>
      </c>
      <c r="T22" s="24">
        <f t="shared" ca="1" si="9"/>
        <v>2.4055555555555566E-2</v>
      </c>
      <c r="U22" s="24">
        <f t="shared" ca="1" si="9"/>
        <v>2.1133333333333296E-2</v>
      </c>
      <c r="V22" s="24">
        <f t="shared" ca="1" si="9"/>
        <v>5.296666666666669E-2</v>
      </c>
      <c r="W22" s="24">
        <f ca="1">W15</f>
        <v>7.3944444444444438E-2</v>
      </c>
      <c r="X22" s="24">
        <f t="shared" ca="1" si="10"/>
        <v>3.1261111111111115E-2</v>
      </c>
      <c r="Y22" s="24">
        <f t="shared" ca="1" si="10"/>
        <v>2.4238888888888893E-2</v>
      </c>
      <c r="Z22" s="24">
        <f t="shared" ca="1" si="10"/>
        <v>1.3705555555555554E-2</v>
      </c>
      <c r="AA22" s="24">
        <f t="shared" ca="1" si="10"/>
        <v>4.2638888888888893E-2</v>
      </c>
      <c r="AB22" s="24">
        <f ca="1">AB15</f>
        <v>6.582222222222224E-2</v>
      </c>
      <c r="AC22" s="24">
        <f t="shared" ca="1" si="11"/>
        <v>2.687777777777775E-2</v>
      </c>
      <c r="AD22" s="24">
        <f t="shared" ca="1" si="11"/>
        <v>2.147777777777779E-2</v>
      </c>
      <c r="AE22" s="24">
        <f t="shared" ca="1" si="11"/>
        <v>2.9183333333333325E-2</v>
      </c>
      <c r="AF22" s="24">
        <f t="shared" ca="1" si="11"/>
        <v>4.965E-2</v>
      </c>
    </row>
    <row r="25" spans="1:42" x14ac:dyDescent="0.25">
      <c r="A25" s="135" t="s">
        <v>201</v>
      </c>
      <c r="B25" s="135"/>
      <c r="C25" s="135"/>
      <c r="D25" s="135"/>
      <c r="E25" s="135"/>
      <c r="F25" s="135"/>
      <c r="G25" s="135"/>
      <c r="H25" s="135"/>
      <c r="I25" s="135"/>
      <c r="AI25" s="135" t="s">
        <v>201</v>
      </c>
      <c r="AJ25" s="135"/>
      <c r="AK25" s="135"/>
      <c r="AL25" s="135"/>
      <c r="AM25" s="135"/>
      <c r="AN25" s="135"/>
      <c r="AO25" s="135"/>
      <c r="AP25" s="135"/>
    </row>
    <row r="26" spans="1:42" x14ac:dyDescent="0.25">
      <c r="A26" s="14"/>
      <c r="B26" s="136" t="s">
        <v>184</v>
      </c>
      <c r="C26" s="137"/>
      <c r="D26" s="136" t="s">
        <v>185</v>
      </c>
      <c r="E26" s="137"/>
      <c r="F26" s="136" t="s">
        <v>186</v>
      </c>
      <c r="G26" s="137"/>
      <c r="H26" s="136" t="s">
        <v>187</v>
      </c>
      <c r="I26" s="137"/>
      <c r="AI26" s="136" t="s">
        <v>184</v>
      </c>
      <c r="AJ26" s="137"/>
      <c r="AK26" s="136" t="s">
        <v>185</v>
      </c>
      <c r="AL26" s="137"/>
      <c r="AM26" s="136" t="s">
        <v>186</v>
      </c>
      <c r="AN26" s="137"/>
      <c r="AO26" s="136" t="s">
        <v>187</v>
      </c>
      <c r="AP26" s="137"/>
    </row>
    <row r="27" spans="1:42" x14ac:dyDescent="0.25">
      <c r="A27" s="15" t="s">
        <v>188</v>
      </c>
      <c r="B27" s="25" t="s">
        <v>189</v>
      </c>
      <c r="C27" s="25" t="s">
        <v>190</v>
      </c>
      <c r="D27" s="25" t="s">
        <v>189</v>
      </c>
      <c r="E27" s="25" t="s">
        <v>190</v>
      </c>
      <c r="F27" s="25" t="s">
        <v>189</v>
      </c>
      <c r="G27" s="25" t="s">
        <v>190</v>
      </c>
      <c r="H27" s="25" t="s">
        <v>189</v>
      </c>
      <c r="I27" s="25" t="s">
        <v>190</v>
      </c>
      <c r="AI27" s="115" t="s">
        <v>308</v>
      </c>
      <c r="AJ27" s="115" t="s">
        <v>309</v>
      </c>
      <c r="AK27" s="115" t="s">
        <v>308</v>
      </c>
      <c r="AL27" s="115" t="s">
        <v>309</v>
      </c>
      <c r="AM27" s="115" t="s">
        <v>308</v>
      </c>
      <c r="AN27" s="115" t="s">
        <v>309</v>
      </c>
      <c r="AO27" s="115" t="s">
        <v>308</v>
      </c>
      <c r="AP27" s="115" t="s">
        <v>309</v>
      </c>
    </row>
    <row r="28" spans="1:42" x14ac:dyDescent="0.25">
      <c r="A28" s="14">
        <v>1</v>
      </c>
      <c r="B28" s="16">
        <f t="shared" ref="B28:B42" ca="1" si="12">AVERAGE(INDIRECT(A28&amp;"!K4:K12"))</f>
        <v>8.278888888888887E-2</v>
      </c>
      <c r="C28" s="17">
        <f t="shared" ref="C28:C42" ca="1" si="13">_xlfn.STDEV.P(INDIRECT(A28&amp;"!K4:K12"))</f>
        <v>2.1892537766932028E-2</v>
      </c>
      <c r="D28" s="16">
        <f t="shared" ref="D28:D42" ca="1" si="14">AVERAGE(INDIRECT(A28&amp;"!K14:K22"))</f>
        <v>5.6011111111111109E-2</v>
      </c>
      <c r="E28" s="17">
        <f t="shared" ref="E28:E42" ca="1" si="15">_xlfn.STDEV.P(INDIRECT(A28&amp;"!K14:K22"))</f>
        <v>1.9143170783710875E-2</v>
      </c>
      <c r="F28" s="16">
        <f t="shared" ref="F28:F42" ca="1" si="16">AVERAGE(INDIRECT(A28&amp;"!K24:K32"))</f>
        <v>6.9600000000000009E-2</v>
      </c>
      <c r="G28" s="17">
        <f t="shared" ref="G28:G42" ca="1" si="17">_xlfn.STDEV.P(INDIRECT(A28&amp;"!K24:K32"))</f>
        <v>1.1268540278137127E-2</v>
      </c>
      <c r="H28" s="16">
        <f t="shared" ref="H28:H42" ca="1" si="18">AVERAGE(INDIRECT(A28&amp;"!K34:K42"))</f>
        <v>6.5955555555555559E-2</v>
      </c>
      <c r="I28" s="17">
        <f t="shared" ref="I28:I42" ca="1" si="19">_xlfn.STDEV.P(INDIRECT(A28&amp;"!K34:K42"))</f>
        <v>1.6640587002941597E-2</v>
      </c>
      <c r="AI28" s="16">
        <f ca="1">SMALL(B$28:B$42,ROWS(B$28:B28))</f>
        <v>8.278888888888887E-2</v>
      </c>
      <c r="AJ28" s="17">
        <f ca="1">LARGE(B$28:B$42,ROWS(B$28:B28))</f>
        <v>0.32334444444444449</v>
      </c>
      <c r="AK28" s="16">
        <f ca="1">SMALL(D$28:D$42,ROWS(D$28:D28))</f>
        <v>5.6011111111111109E-2</v>
      </c>
      <c r="AL28" s="17">
        <f ca="1">LARGE(D$28:D$42,ROWS(D$28:D28))</f>
        <v>0.33035555555555551</v>
      </c>
      <c r="AM28" s="16">
        <f ca="1">SMALL(F$28:F$42,ROWS(F$28:F28))</f>
        <v>6.8388888888888888E-2</v>
      </c>
      <c r="AN28" s="17">
        <f ca="1">LARGE(F$28:F$42,ROWS(F$28:F28))</f>
        <v>0.42844444444444441</v>
      </c>
      <c r="AO28" s="16">
        <f ca="1">SMALL(H$28:H$42,ROWS(H$28:H28))</f>
        <v>4.8011111111111109E-2</v>
      </c>
      <c r="AP28" s="17">
        <f ca="1">LARGE(H$28:H$42,ROWS(H$28:H28))</f>
        <v>0.23782222222222224</v>
      </c>
    </row>
    <row r="29" spans="1:42" x14ac:dyDescent="0.25">
      <c r="A29" s="14">
        <v>4</v>
      </c>
      <c r="B29" s="16">
        <f t="shared" ca="1" si="12"/>
        <v>0.16982222222222221</v>
      </c>
      <c r="C29" s="17">
        <f t="shared" ca="1" si="13"/>
        <v>2.9570547576103876E-2</v>
      </c>
      <c r="D29" s="16">
        <f t="shared" ca="1" si="14"/>
        <v>5.842222222222223E-2</v>
      </c>
      <c r="E29" s="17">
        <f t="shared" ca="1" si="15"/>
        <v>2.4161943344293293E-2</v>
      </c>
      <c r="F29" s="16">
        <f t="shared" ca="1" si="16"/>
        <v>6.8388888888888888E-2</v>
      </c>
      <c r="G29" s="17">
        <f t="shared" ca="1" si="17"/>
        <v>1.7787289122319527E-2</v>
      </c>
      <c r="H29" s="16">
        <f t="shared" ca="1" si="18"/>
        <v>4.8011111111111109E-2</v>
      </c>
      <c r="I29" s="17">
        <f t="shared" ca="1" si="19"/>
        <v>9.3634566794349346E-3</v>
      </c>
      <c r="AI29" s="16">
        <f ca="1">SMALL(B$28:B$42,ROWS(B$28:B29))</f>
        <v>8.7644444444444428E-2</v>
      </c>
      <c r="AJ29" s="17">
        <f ca="1">LARGE(B$28:B$42,ROWS(B$28:B29))</f>
        <v>0.24285555555555552</v>
      </c>
      <c r="AK29" s="16">
        <f ca="1">SMALL(D$28:D$42,ROWS(D$28:D29))</f>
        <v>5.842222222222223E-2</v>
      </c>
      <c r="AL29" s="17">
        <f ca="1">LARGE(D$28:D$42,ROWS(D$28:D29))</f>
        <v>0.23567777777777776</v>
      </c>
      <c r="AM29" s="16">
        <f ca="1">SMALL(F$28:F$42,ROWS(F$28:F29))</f>
        <v>6.9600000000000009E-2</v>
      </c>
      <c r="AN29" s="17">
        <f ca="1">LARGE(F$28:F$42,ROWS(F$28:F29))</f>
        <v>0.22915555555555558</v>
      </c>
      <c r="AO29" s="16">
        <f ca="1">SMALL(H$28:H$42,ROWS(H$28:H29))</f>
        <v>5.8733333333333332E-2</v>
      </c>
      <c r="AP29" s="17">
        <f ca="1">LARGE(H$28:H$42,ROWS(H$28:H29))</f>
        <v>0.19068888888888885</v>
      </c>
    </row>
    <row r="30" spans="1:42" x14ac:dyDescent="0.25">
      <c r="A30" s="14">
        <v>7</v>
      </c>
      <c r="B30" s="16">
        <f t="shared" ca="1" si="12"/>
        <v>0.20902222222222225</v>
      </c>
      <c r="C30" s="17">
        <f t="shared" ca="1" si="13"/>
        <v>3.3875778884945439E-2</v>
      </c>
      <c r="D30" s="16">
        <f t="shared" ca="1" si="14"/>
        <v>0.16975555555555555</v>
      </c>
      <c r="E30" s="17">
        <f t="shared" ca="1" si="15"/>
        <v>2.096654006909902E-2</v>
      </c>
      <c r="F30" s="16">
        <f t="shared" ca="1" si="16"/>
        <v>0.16007777777777779</v>
      </c>
      <c r="G30" s="17">
        <f t="shared" ca="1" si="17"/>
        <v>0.10646647649511067</v>
      </c>
      <c r="H30" s="16">
        <f t="shared" ca="1" si="18"/>
        <v>0.12066666666666667</v>
      </c>
      <c r="I30" s="17">
        <f t="shared" ca="1" si="19"/>
        <v>2.4466121701469407E-2</v>
      </c>
      <c r="AI30" s="16">
        <f ca="1">SMALL(B$28:B$42,ROWS(B$28:B30))</f>
        <v>0.10271111111111113</v>
      </c>
      <c r="AJ30" s="17">
        <f ca="1">LARGE(B$28:B$42,ROWS(B$28:B30))</f>
        <v>0.21356666666666665</v>
      </c>
      <c r="AK30" s="16">
        <f ca="1">SMALL(D$28:D$42,ROWS(D$28:D30))</f>
        <v>7.7333333333333323E-2</v>
      </c>
      <c r="AL30" s="17">
        <f ca="1">LARGE(D$28:D$42,ROWS(D$28:D30))</f>
        <v>0.22505555555555551</v>
      </c>
      <c r="AM30" s="16">
        <f ca="1">SMALL(F$28:F$42,ROWS(F$28:F30))</f>
        <v>9.2044444444444443E-2</v>
      </c>
      <c r="AN30" s="17">
        <f ca="1">LARGE(F$28:F$42,ROWS(F$28:F30))</f>
        <v>0.22434444444444443</v>
      </c>
      <c r="AO30" s="16">
        <f ca="1">SMALL(H$28:H$42,ROWS(H$28:H30))</f>
        <v>6.4655555555555549E-2</v>
      </c>
      <c r="AP30" s="17">
        <f ca="1">LARGE(H$28:H$42,ROWS(H$28:H30))</f>
        <v>0.16977777777777778</v>
      </c>
    </row>
    <row r="31" spans="1:42" x14ac:dyDescent="0.25">
      <c r="A31" s="14">
        <v>10</v>
      </c>
      <c r="B31" s="16">
        <f t="shared" ca="1" si="12"/>
        <v>0.24285555555555552</v>
      </c>
      <c r="C31" s="17">
        <f t="shared" ca="1" si="13"/>
        <v>1.3791552254197014E-2</v>
      </c>
      <c r="D31" s="16">
        <f t="shared" ca="1" si="14"/>
        <v>0.22505555555555551</v>
      </c>
      <c r="E31" s="17">
        <f t="shared" ca="1" si="15"/>
        <v>8.2634551706912956E-3</v>
      </c>
      <c r="F31" s="16">
        <f t="shared" ca="1" si="16"/>
        <v>0.22434444444444443</v>
      </c>
      <c r="G31" s="17">
        <f t="shared" ca="1" si="17"/>
        <v>2.7526920605558051E-2</v>
      </c>
      <c r="H31" s="16">
        <f t="shared" ca="1" si="18"/>
        <v>0.19068888888888885</v>
      </c>
      <c r="I31" s="17">
        <f t="shared" ca="1" si="19"/>
        <v>1.2484696805328818E-2</v>
      </c>
      <c r="AI31" s="16">
        <f ca="1">SMALL(B$28:B$42,ROWS(B$28:B31))</f>
        <v>0.15295555555555557</v>
      </c>
      <c r="AJ31" s="17">
        <f ca="1">LARGE(B$28:B$42,ROWS(B$28:B31))</f>
        <v>0.20902222222222225</v>
      </c>
      <c r="AK31" s="16">
        <f ca="1">SMALL(D$28:D$42,ROWS(D$28:D31))</f>
        <v>8.2833333333333342E-2</v>
      </c>
      <c r="AL31" s="17">
        <f ca="1">LARGE(D$28:D$42,ROWS(D$28:D31))</f>
        <v>0.17177777777777781</v>
      </c>
      <c r="AM31" s="16">
        <f ca="1">SMALL(F$28:F$42,ROWS(F$28:F31))</f>
        <v>9.6277777777777782E-2</v>
      </c>
      <c r="AN31" s="17">
        <f ca="1">LARGE(F$28:F$42,ROWS(F$28:F31))</f>
        <v>0.18293333333333334</v>
      </c>
      <c r="AO31" s="16">
        <f ca="1">SMALL(H$28:H$42,ROWS(H$28:H31))</f>
        <v>6.5955555555555559E-2</v>
      </c>
      <c r="AP31" s="17">
        <f ca="1">LARGE(H$28:H$42,ROWS(H$28:H31))</f>
        <v>0.13501111111111111</v>
      </c>
    </row>
    <row r="32" spans="1:42" x14ac:dyDescent="0.25">
      <c r="A32" s="14">
        <v>13</v>
      </c>
      <c r="B32" s="16">
        <f t="shared" ca="1" si="12"/>
        <v>0.20850000000000002</v>
      </c>
      <c r="C32" s="17">
        <f t="shared" ca="1" si="13"/>
        <v>2.9533671931843791E-2</v>
      </c>
      <c r="D32" s="16">
        <f t="shared" ca="1" si="14"/>
        <v>0.17177777777777781</v>
      </c>
      <c r="E32" s="17">
        <f t="shared" ca="1" si="15"/>
        <v>0.1233668312867295</v>
      </c>
      <c r="F32" s="16">
        <f t="shared" ca="1" si="16"/>
        <v>0.18293333333333334</v>
      </c>
      <c r="G32" s="17">
        <f t="shared" ca="1" si="17"/>
        <v>0.13270968314331846</v>
      </c>
      <c r="H32" s="16">
        <f t="shared" ca="1" si="18"/>
        <v>0.13501111111111111</v>
      </c>
      <c r="I32" s="17">
        <f t="shared" ca="1" si="19"/>
        <v>2.5795281413659246E-2</v>
      </c>
      <c r="AI32" s="16">
        <f ca="1">SMALL(B$28:B$42,ROWS(B$28:B32))</f>
        <v>0.16167777777777775</v>
      </c>
      <c r="AJ32" s="17">
        <f ca="1">LARGE(B$28:B$42,ROWS(B$28:B32))</f>
        <v>0.20850000000000002</v>
      </c>
      <c r="AK32" s="16">
        <f ca="1">SMALL(D$28:D$42,ROWS(D$28:D32))</f>
        <v>0.1086</v>
      </c>
      <c r="AL32" s="17">
        <f ca="1">LARGE(D$28:D$42,ROWS(D$28:D32))</f>
        <v>0.16975555555555555</v>
      </c>
      <c r="AM32" s="16">
        <f ca="1">SMALL(F$28:F$42,ROWS(F$28:F32))</f>
        <v>9.6966666666666673E-2</v>
      </c>
      <c r="AN32" s="17">
        <f ca="1">LARGE(F$28:F$42,ROWS(F$28:F32))</f>
        <v>0.1658222222222222</v>
      </c>
      <c r="AO32" s="16">
        <f ca="1">SMALL(H$28:H$42,ROWS(H$28:H32))</f>
        <v>8.0399999999999999E-2</v>
      </c>
      <c r="AP32" s="17">
        <f ca="1">LARGE(H$28:H$42,ROWS(H$28:H32))</f>
        <v>0.13135555555555556</v>
      </c>
    </row>
    <row r="33" spans="1:42" x14ac:dyDescent="0.25">
      <c r="A33" s="14">
        <v>16</v>
      </c>
      <c r="B33" s="16">
        <f t="shared" ca="1" si="12"/>
        <v>0.32334444444444449</v>
      </c>
      <c r="C33" s="17">
        <f t="shared" ca="1" si="13"/>
        <v>4.3710566002362485E-2</v>
      </c>
      <c r="D33" s="16">
        <f t="shared" ca="1" si="14"/>
        <v>0.12373333333333332</v>
      </c>
      <c r="E33" s="17">
        <f t="shared" ca="1" si="15"/>
        <v>1.9297207627587586E-2</v>
      </c>
      <c r="F33" s="16">
        <f t="shared" ca="1" si="16"/>
        <v>0.11022222222222224</v>
      </c>
      <c r="G33" s="17">
        <f t="shared" ca="1" si="17"/>
        <v>4.5572525294615737E-2</v>
      </c>
      <c r="H33" s="16">
        <f t="shared" ca="1" si="18"/>
        <v>8.0399999999999999E-2</v>
      </c>
      <c r="I33" s="17">
        <f t="shared" ca="1" si="19"/>
        <v>3.7554996708531053E-2</v>
      </c>
      <c r="AI33" s="16">
        <f ca="1">SMALL(B$28:B$42,ROWS(B$28:B33))</f>
        <v>0.16982222222222221</v>
      </c>
      <c r="AJ33" s="17">
        <f ca="1">LARGE(B$28:B$42,ROWS(B$28:B33))</f>
        <v>0.20279999999999998</v>
      </c>
      <c r="AK33" s="16">
        <f ca="1">SMALL(D$28:D$42,ROWS(D$28:D33))</f>
        <v>0.11454444444444443</v>
      </c>
      <c r="AL33" s="17">
        <f ca="1">LARGE(D$28:D$42,ROWS(D$28:D33))</f>
        <v>0.15475555555555556</v>
      </c>
      <c r="AM33" s="16">
        <f ca="1">SMALL(F$28:F$42,ROWS(F$28:F33))</f>
        <v>0.11022222222222224</v>
      </c>
      <c r="AN33" s="17">
        <f ca="1">LARGE(F$28:F$42,ROWS(F$28:F33))</f>
        <v>0.16007777777777779</v>
      </c>
      <c r="AO33" s="16">
        <f ca="1">SMALL(H$28:H$42,ROWS(H$28:H33))</f>
        <v>9.3811111111111109E-2</v>
      </c>
      <c r="AP33" s="17">
        <f ca="1">LARGE(H$28:H$42,ROWS(H$28:H33))</f>
        <v>0.12066666666666667</v>
      </c>
    </row>
    <row r="34" spans="1:42" x14ac:dyDescent="0.25">
      <c r="A34" s="14">
        <v>19</v>
      </c>
      <c r="B34" s="16">
        <f t="shared" ca="1" si="12"/>
        <v>0.17957777777777773</v>
      </c>
      <c r="C34" s="17">
        <f t="shared" ca="1" si="13"/>
        <v>2.6496866807554857E-2</v>
      </c>
      <c r="D34" s="16">
        <f t="shared" ca="1" si="14"/>
        <v>0.15475555555555556</v>
      </c>
      <c r="E34" s="17">
        <f t="shared" ca="1" si="15"/>
        <v>6.197250485517497E-2</v>
      </c>
      <c r="F34" s="16">
        <f t="shared" ca="1" si="16"/>
        <v>0.1658222222222222</v>
      </c>
      <c r="G34" s="17">
        <f t="shared" ca="1" si="17"/>
        <v>7.1956279592816003E-2</v>
      </c>
      <c r="H34" s="16">
        <f t="shared" ca="1" si="18"/>
        <v>9.4344444444444425E-2</v>
      </c>
      <c r="I34" s="17">
        <f t="shared" ca="1" si="19"/>
        <v>1.2394004922731619E-2</v>
      </c>
      <c r="AI34" s="16">
        <f ca="1">SMALL(B$28:B$42,ROWS(B$28:B34))</f>
        <v>0.17058888888888887</v>
      </c>
      <c r="AJ34" s="17">
        <f ca="1">LARGE(B$28:B$42,ROWS(B$28:B34))</f>
        <v>0.17957777777777773</v>
      </c>
      <c r="AK34" s="16">
        <f ca="1">SMALL(D$28:D$42,ROWS(D$28:D34))</f>
        <v>0.12373333333333332</v>
      </c>
      <c r="AL34" s="17">
        <f ca="1">LARGE(D$28:D$42,ROWS(D$28:D34))</f>
        <v>0.13906666666666667</v>
      </c>
      <c r="AM34" s="16">
        <f ca="1">SMALL(F$28:F$42,ROWS(F$28:F34))</f>
        <v>0.11312222222222225</v>
      </c>
      <c r="AN34" s="17">
        <f ca="1">LARGE(F$28:F$42,ROWS(F$28:F34))</f>
        <v>0.1161888888888889</v>
      </c>
      <c r="AO34" s="16">
        <f ca="1">SMALL(H$28:H$42,ROWS(H$28:H34))</f>
        <v>9.4344444444444425E-2</v>
      </c>
      <c r="AP34" s="17">
        <f ca="1">LARGE(H$28:H$42,ROWS(H$28:H34))</f>
        <v>0.11942222222222219</v>
      </c>
    </row>
    <row r="35" spans="1:42" x14ac:dyDescent="0.25">
      <c r="A35" s="14">
        <v>22</v>
      </c>
      <c r="B35" s="16">
        <f t="shared" ca="1" si="12"/>
        <v>0.16167777777777775</v>
      </c>
      <c r="C35" s="17">
        <f t="shared" ca="1" si="13"/>
        <v>1.6827806206645018E-2</v>
      </c>
      <c r="D35" s="16">
        <f t="shared" ca="1" si="14"/>
        <v>0.1086</v>
      </c>
      <c r="E35" s="17">
        <f t="shared" ca="1" si="15"/>
        <v>2.065031611272708E-2</v>
      </c>
      <c r="F35" s="16">
        <f t="shared" ca="1" si="16"/>
        <v>0.11312222222222225</v>
      </c>
      <c r="G35" s="17">
        <f t="shared" ca="1" si="17"/>
        <v>2.6070237512355186E-2</v>
      </c>
      <c r="H35" s="16">
        <f t="shared" ca="1" si="18"/>
        <v>0.13135555555555556</v>
      </c>
      <c r="I35" s="17">
        <f t="shared" ca="1" si="19"/>
        <v>1.7639230967811795E-2</v>
      </c>
      <c r="AI35" s="16">
        <f ca="1">SMALL(B$28:B$42,ROWS(B$28:B35))</f>
        <v>0.17544444444444443</v>
      </c>
      <c r="AJ35" s="17">
        <f ca="1">LARGE(B$28:B$42,ROWS(B$28:B35))</f>
        <v>0.17544444444444443</v>
      </c>
      <c r="AK35" s="16">
        <f ca="1">SMALL(D$28:D$42,ROWS(D$28:D35))</f>
        <v>0.13042222222222222</v>
      </c>
      <c r="AL35" s="17">
        <f ca="1">LARGE(D$28:D$42,ROWS(D$28:D35))</f>
        <v>0.13042222222222222</v>
      </c>
      <c r="AM35" s="16">
        <f ca="1">SMALL(F$28:F$42,ROWS(F$28:F35))</f>
        <v>0.11349999999999999</v>
      </c>
      <c r="AN35" s="17">
        <f ca="1">LARGE(F$28:F$42,ROWS(F$28:F35))</f>
        <v>0.11349999999999999</v>
      </c>
      <c r="AO35" s="16">
        <f ca="1">SMALL(H$28:H$42,ROWS(H$28:H35))</f>
        <v>0.10033333333333333</v>
      </c>
      <c r="AP35" s="17">
        <f ca="1">LARGE(H$28:H$42,ROWS(H$28:H35))</f>
        <v>0.10033333333333333</v>
      </c>
    </row>
    <row r="36" spans="1:42" x14ac:dyDescent="0.25">
      <c r="A36" s="14">
        <v>25</v>
      </c>
      <c r="B36" s="16">
        <f t="shared" ca="1" si="12"/>
        <v>0.10271111111111113</v>
      </c>
      <c r="C36" s="17">
        <f t="shared" ca="1" si="13"/>
        <v>2.2971985085434618E-2</v>
      </c>
      <c r="D36" s="16">
        <f t="shared" ca="1" si="14"/>
        <v>8.2833333333333342E-2</v>
      </c>
      <c r="E36" s="17">
        <f t="shared" ca="1" si="15"/>
        <v>2.4281405780280998E-2</v>
      </c>
      <c r="F36" s="16">
        <f t="shared" ca="1" si="16"/>
        <v>9.6277777777777782E-2</v>
      </c>
      <c r="G36" s="17">
        <f t="shared" ca="1" si="17"/>
        <v>1.1404363470743943E-2</v>
      </c>
      <c r="H36" s="16">
        <f t="shared" ca="1" si="18"/>
        <v>0.11942222222222219</v>
      </c>
      <c r="I36" s="17">
        <f t="shared" ca="1" si="19"/>
        <v>1.6572988584358888E-2</v>
      </c>
      <c r="AI36" s="16">
        <f ca="1">SMALL(B$28:B$42,ROWS(B$28:B36))</f>
        <v>0.17957777777777773</v>
      </c>
      <c r="AJ36" s="17">
        <f ca="1">LARGE(B$28:B$42,ROWS(B$28:B36))</f>
        <v>0.17058888888888887</v>
      </c>
      <c r="AK36" s="16">
        <f ca="1">SMALL(D$28:D$42,ROWS(D$28:D36))</f>
        <v>0.13906666666666667</v>
      </c>
      <c r="AL36" s="17">
        <f ca="1">LARGE(D$28:D$42,ROWS(D$28:D36))</f>
        <v>0.12373333333333332</v>
      </c>
      <c r="AM36" s="16">
        <f ca="1">SMALL(F$28:F$42,ROWS(F$28:F36))</f>
        <v>0.1161888888888889</v>
      </c>
      <c r="AN36" s="17">
        <f ca="1">LARGE(F$28:F$42,ROWS(F$28:F36))</f>
        <v>0.11312222222222225</v>
      </c>
      <c r="AO36" s="16">
        <f ca="1">SMALL(H$28:H$42,ROWS(H$28:H36))</f>
        <v>0.11942222222222219</v>
      </c>
      <c r="AP36" s="17">
        <f ca="1">LARGE(H$28:H$42,ROWS(H$28:H36))</f>
        <v>9.4344444444444425E-2</v>
      </c>
    </row>
    <row r="37" spans="1:42" x14ac:dyDescent="0.25">
      <c r="A37" s="14">
        <v>28</v>
      </c>
      <c r="B37" s="16">
        <f t="shared" ca="1" si="12"/>
        <v>0.17058888888888887</v>
      </c>
      <c r="C37" s="17">
        <f t="shared" ca="1" si="13"/>
        <v>2.9742616056368552E-2</v>
      </c>
      <c r="D37" s="16">
        <f t="shared" ca="1" si="14"/>
        <v>0.11454444444444443</v>
      </c>
      <c r="E37" s="17">
        <f t="shared" ca="1" si="15"/>
        <v>2.4283149672657586E-2</v>
      </c>
      <c r="F37" s="16">
        <f t="shared" ca="1" si="16"/>
        <v>0.11349999999999999</v>
      </c>
      <c r="G37" s="17">
        <f t="shared" ca="1" si="17"/>
        <v>3.1872802756512601E-2</v>
      </c>
      <c r="H37" s="16">
        <f t="shared" ca="1" si="18"/>
        <v>6.4655555555555549E-2</v>
      </c>
      <c r="I37" s="17">
        <f t="shared" ca="1" si="19"/>
        <v>1.6406239403288791E-2</v>
      </c>
      <c r="AI37" s="16">
        <f ca="1">SMALL(B$28:B$42,ROWS(B$28:B37))</f>
        <v>0.20279999999999998</v>
      </c>
      <c r="AJ37" s="17">
        <f ca="1">LARGE(B$28:B$42,ROWS(B$28:B37))</f>
        <v>0.16982222222222221</v>
      </c>
      <c r="AK37" s="16">
        <f ca="1">SMALL(D$28:D$42,ROWS(D$28:D37))</f>
        <v>0.15475555555555556</v>
      </c>
      <c r="AL37" s="17">
        <f ca="1">LARGE(D$28:D$42,ROWS(D$28:D37))</f>
        <v>0.11454444444444443</v>
      </c>
      <c r="AM37" s="16">
        <f ca="1">SMALL(F$28:F$42,ROWS(F$28:F37))</f>
        <v>0.16007777777777779</v>
      </c>
      <c r="AN37" s="17">
        <f ca="1">LARGE(F$28:F$42,ROWS(F$28:F37))</f>
        <v>0.11022222222222224</v>
      </c>
      <c r="AO37" s="16">
        <f ca="1">SMALL(H$28:H$42,ROWS(H$28:H37))</f>
        <v>0.12066666666666667</v>
      </c>
      <c r="AP37" s="17">
        <f ca="1">LARGE(H$28:H$42,ROWS(H$28:H37))</f>
        <v>9.3811111111111109E-2</v>
      </c>
    </row>
    <row r="38" spans="1:42" x14ac:dyDescent="0.25">
      <c r="A38" s="14">
        <v>31</v>
      </c>
      <c r="B38" s="16">
        <f t="shared" ca="1" si="12"/>
        <v>0.15295555555555557</v>
      </c>
      <c r="C38" s="17">
        <f t="shared" ca="1" si="13"/>
        <v>0.13136985203878154</v>
      </c>
      <c r="D38" s="16">
        <f t="shared" ca="1" si="14"/>
        <v>0.33035555555555551</v>
      </c>
      <c r="E38" s="17">
        <f t="shared" ca="1" si="15"/>
        <v>0.1889711683541587</v>
      </c>
      <c r="F38" s="16">
        <f t="shared" ca="1" si="16"/>
        <v>0.42844444444444441</v>
      </c>
      <c r="G38" s="17">
        <f t="shared" ca="1" si="17"/>
        <v>0.12043184435938224</v>
      </c>
      <c r="H38" s="16">
        <f t="shared" ca="1" si="18"/>
        <v>0.23782222222222224</v>
      </c>
      <c r="I38" s="17">
        <f t="shared" ca="1" si="19"/>
        <v>0.18166706286059411</v>
      </c>
      <c r="AI38" s="16">
        <f ca="1">SMALL(B$28:B$42,ROWS(B$28:B38))</f>
        <v>0.20850000000000002</v>
      </c>
      <c r="AJ38" s="17">
        <f ca="1">LARGE(B$28:B$42,ROWS(B$28:B38))</f>
        <v>0.16167777777777775</v>
      </c>
      <c r="AK38" s="16">
        <f ca="1">SMALL(D$28:D$42,ROWS(D$28:D38))</f>
        <v>0.16975555555555555</v>
      </c>
      <c r="AL38" s="17">
        <f ca="1">LARGE(D$28:D$42,ROWS(D$28:D38))</f>
        <v>0.1086</v>
      </c>
      <c r="AM38" s="16">
        <f ca="1">SMALL(F$28:F$42,ROWS(F$28:F38))</f>
        <v>0.1658222222222222</v>
      </c>
      <c r="AN38" s="17">
        <f ca="1">LARGE(F$28:F$42,ROWS(F$28:F38))</f>
        <v>9.6966666666666673E-2</v>
      </c>
      <c r="AO38" s="16">
        <f ca="1">SMALL(H$28:H$42,ROWS(H$28:H38))</f>
        <v>0.13135555555555556</v>
      </c>
      <c r="AP38" s="17">
        <f ca="1">LARGE(H$28:H$42,ROWS(H$28:H38))</f>
        <v>8.0399999999999999E-2</v>
      </c>
    </row>
    <row r="39" spans="1:42" x14ac:dyDescent="0.25">
      <c r="A39" s="14">
        <v>34</v>
      </c>
      <c r="B39" s="16">
        <f t="shared" ca="1" si="12"/>
        <v>8.7644444444444428E-2</v>
      </c>
      <c r="C39" s="17">
        <f t="shared" ca="1" si="13"/>
        <v>1.8679228577404273E-2</v>
      </c>
      <c r="D39" s="16">
        <f t="shared" ca="1" si="14"/>
        <v>7.7333333333333323E-2</v>
      </c>
      <c r="E39" s="17">
        <f t="shared" ca="1" si="15"/>
        <v>1.7204715115985529E-2</v>
      </c>
      <c r="F39" s="16">
        <f t="shared" ca="1" si="16"/>
        <v>9.2044444444444443E-2</v>
      </c>
      <c r="G39" s="17">
        <f t="shared" ca="1" si="17"/>
        <v>3.5086404809685709E-2</v>
      </c>
      <c r="H39" s="16">
        <f t="shared" ca="1" si="18"/>
        <v>9.3811111111111109E-2</v>
      </c>
      <c r="I39" s="17">
        <f t="shared" ca="1" si="19"/>
        <v>2.4561598049911825E-2</v>
      </c>
      <c r="AI39" s="16">
        <f ca="1">SMALL(B$28:B$42,ROWS(B$28:B39))</f>
        <v>0.20902222222222225</v>
      </c>
      <c r="AJ39" s="17">
        <f ca="1">LARGE(B$28:B$42,ROWS(B$28:B39))</f>
        <v>0.15295555555555557</v>
      </c>
      <c r="AK39" s="16">
        <f ca="1">SMALL(D$28:D$42,ROWS(D$28:D39))</f>
        <v>0.17177777777777781</v>
      </c>
      <c r="AL39" s="17">
        <f ca="1">LARGE(D$28:D$42,ROWS(D$28:D39))</f>
        <v>8.2833333333333342E-2</v>
      </c>
      <c r="AM39" s="16">
        <f ca="1">SMALL(F$28:F$42,ROWS(F$28:F39))</f>
        <v>0.18293333333333334</v>
      </c>
      <c r="AN39" s="17">
        <f ca="1">LARGE(F$28:F$42,ROWS(F$28:F39))</f>
        <v>9.6277777777777782E-2</v>
      </c>
      <c r="AO39" s="16">
        <f ca="1">SMALL(H$28:H$42,ROWS(H$28:H39))</f>
        <v>0.13501111111111111</v>
      </c>
      <c r="AP39" s="17">
        <f ca="1">LARGE(H$28:H$42,ROWS(H$28:H39))</f>
        <v>6.5955555555555559E-2</v>
      </c>
    </row>
    <row r="40" spans="1:42" x14ac:dyDescent="0.25">
      <c r="A40" s="14">
        <v>37</v>
      </c>
      <c r="B40" s="16">
        <f t="shared" ca="1" si="12"/>
        <v>0.20279999999999998</v>
      </c>
      <c r="C40" s="17">
        <f t="shared" ca="1" si="13"/>
        <v>3.7726442244723463E-2</v>
      </c>
      <c r="D40" s="16">
        <f t="shared" ca="1" si="14"/>
        <v>0.23567777777777776</v>
      </c>
      <c r="E40" s="17">
        <f t="shared" ca="1" si="15"/>
        <v>2.8440494517414556E-2</v>
      </c>
      <c r="F40" s="16">
        <f t="shared" ca="1" si="16"/>
        <v>0.22915555555555558</v>
      </c>
      <c r="G40" s="17">
        <f t="shared" ca="1" si="17"/>
        <v>4.4228550635963766E-2</v>
      </c>
      <c r="H40" s="16">
        <f t="shared" ca="1" si="18"/>
        <v>0.16977777777777778</v>
      </c>
      <c r="I40" s="17">
        <f t="shared" ca="1" si="19"/>
        <v>3.780933975672552E-2</v>
      </c>
      <c r="AI40" s="16">
        <f ca="1">SMALL(B$28:B$42,ROWS(B$28:B40))</f>
        <v>0.21356666666666665</v>
      </c>
      <c r="AJ40" s="17">
        <f ca="1">LARGE(B$28:B$42,ROWS(B$28:B40))</f>
        <v>0.10271111111111113</v>
      </c>
      <c r="AK40" s="16">
        <f ca="1">SMALL(D$28:D$42,ROWS(D$28:D40))</f>
        <v>0.22505555555555551</v>
      </c>
      <c r="AL40" s="17">
        <f ca="1">LARGE(D$28:D$42,ROWS(D$28:D40))</f>
        <v>7.7333333333333323E-2</v>
      </c>
      <c r="AM40" s="16">
        <f ca="1">SMALL(F$28:F$42,ROWS(F$28:F40))</f>
        <v>0.22434444444444443</v>
      </c>
      <c r="AN40" s="17">
        <f ca="1">LARGE(F$28:F$42,ROWS(F$28:F40))</f>
        <v>9.2044444444444443E-2</v>
      </c>
      <c r="AO40" s="16">
        <f ca="1">SMALL(H$28:H$42,ROWS(H$28:H40))</f>
        <v>0.16977777777777778</v>
      </c>
      <c r="AP40" s="17">
        <f ca="1">LARGE(H$28:H$42,ROWS(H$28:H40))</f>
        <v>6.4655555555555549E-2</v>
      </c>
    </row>
    <row r="41" spans="1:42" x14ac:dyDescent="0.25">
      <c r="A41" s="14">
        <v>40</v>
      </c>
      <c r="B41" s="16">
        <f t="shared" ca="1" si="12"/>
        <v>0.21356666666666665</v>
      </c>
      <c r="C41" s="17">
        <f t="shared" ca="1" si="13"/>
        <v>2.8173707206858124E-2</v>
      </c>
      <c r="D41" s="16">
        <f t="shared" ca="1" si="14"/>
        <v>0.13906666666666667</v>
      </c>
      <c r="E41" s="17">
        <f t="shared" ca="1" si="15"/>
        <v>1.3680480823258935E-2</v>
      </c>
      <c r="F41" s="16">
        <f t="shared" ca="1" si="16"/>
        <v>9.6966666666666673E-2</v>
      </c>
      <c r="G41" s="17">
        <f t="shared" ca="1" si="17"/>
        <v>1.123427295773464E-2</v>
      </c>
      <c r="H41" s="16">
        <f t="shared" ca="1" si="18"/>
        <v>5.8733333333333332E-2</v>
      </c>
      <c r="I41" s="17">
        <f t="shared" ca="1" si="19"/>
        <v>1.1876400502209807E-2</v>
      </c>
      <c r="AI41" s="16">
        <f ca="1">SMALL(B$28:B$42,ROWS(B$28:B41))</f>
        <v>0.24285555555555552</v>
      </c>
      <c r="AJ41" s="17">
        <f ca="1">LARGE(B$28:B$42,ROWS(B$28:B41))</f>
        <v>8.7644444444444428E-2</v>
      </c>
      <c r="AK41" s="16">
        <f ca="1">SMALL(D$28:D$42,ROWS(D$28:D41))</f>
        <v>0.23567777777777776</v>
      </c>
      <c r="AL41" s="17">
        <f ca="1">LARGE(D$28:D$42,ROWS(D$28:D41))</f>
        <v>5.842222222222223E-2</v>
      </c>
      <c r="AM41" s="16">
        <f ca="1">SMALL(F$28:F$42,ROWS(F$28:F41))</f>
        <v>0.22915555555555558</v>
      </c>
      <c r="AN41" s="17">
        <f ca="1">LARGE(F$28:F$42,ROWS(F$28:F41))</f>
        <v>6.9600000000000009E-2</v>
      </c>
      <c r="AO41" s="16">
        <f ca="1">SMALL(H$28:H$42,ROWS(H$28:H41))</f>
        <v>0.19068888888888885</v>
      </c>
      <c r="AP41" s="17">
        <f ca="1">LARGE(H$28:H$42,ROWS(H$28:H41))</f>
        <v>5.8733333333333332E-2</v>
      </c>
    </row>
    <row r="42" spans="1:42" x14ac:dyDescent="0.25">
      <c r="A42" s="14">
        <v>43</v>
      </c>
      <c r="B42" s="16">
        <f t="shared" ca="1" si="12"/>
        <v>0.17544444444444443</v>
      </c>
      <c r="C42" s="17">
        <f t="shared" ca="1" si="13"/>
        <v>1.7139176118608834E-2</v>
      </c>
      <c r="D42" s="16">
        <f t="shared" ca="1" si="14"/>
        <v>0.13042222222222222</v>
      </c>
      <c r="E42" s="17">
        <f t="shared" ca="1" si="15"/>
        <v>2.1085581054243276E-2</v>
      </c>
      <c r="F42" s="16">
        <f t="shared" ca="1" si="16"/>
        <v>0.1161888888888889</v>
      </c>
      <c r="G42" s="17">
        <f t="shared" ca="1" si="17"/>
        <v>1.012603294532842E-2</v>
      </c>
      <c r="H42" s="16">
        <f t="shared" ca="1" si="18"/>
        <v>0.10033333333333333</v>
      </c>
      <c r="I42" s="17">
        <f t="shared" ca="1" si="19"/>
        <v>2.017214801540863E-2</v>
      </c>
      <c r="AI42" s="16">
        <f ca="1">SMALL(B$28:B$42,ROWS(B$28:B42))</f>
        <v>0.32334444444444449</v>
      </c>
      <c r="AJ42" s="17">
        <f ca="1">LARGE(B$28:B$42,ROWS(B$28:B42))</f>
        <v>8.278888888888887E-2</v>
      </c>
      <c r="AK42" s="16">
        <f ca="1">SMALL(D$28:D$42,ROWS(D$28:D42))</f>
        <v>0.33035555555555551</v>
      </c>
      <c r="AL42" s="17">
        <f ca="1">LARGE(D$28:D$42,ROWS(D$28:D42))</f>
        <v>5.6011111111111109E-2</v>
      </c>
      <c r="AM42" s="16">
        <f ca="1">SMALL(F$28:F$42,ROWS(F$28:F42))</f>
        <v>0.42844444444444441</v>
      </c>
      <c r="AN42" s="17">
        <f ca="1">LARGE(F$28:F$42,ROWS(F$28:F42))</f>
        <v>6.8388888888888888E-2</v>
      </c>
      <c r="AO42" s="16">
        <f ca="1">SMALL(H$28:H$42,ROWS(H$28:H42))</f>
        <v>0.23782222222222224</v>
      </c>
      <c r="AP42" s="17">
        <f ca="1">LARGE(H$28:H$42,ROWS(H$28:H42))</f>
        <v>4.8011111111111109E-2</v>
      </c>
    </row>
    <row r="49" spans="1:42" x14ac:dyDescent="0.25">
      <c r="A49" s="135" t="s">
        <v>202</v>
      </c>
      <c r="B49" s="135"/>
      <c r="C49" s="135"/>
      <c r="D49" s="135"/>
      <c r="E49" s="135"/>
      <c r="F49" s="135"/>
      <c r="G49" s="135"/>
      <c r="H49" s="135"/>
      <c r="I49" s="135"/>
      <c r="AI49" s="135" t="s">
        <v>202</v>
      </c>
      <c r="AJ49" s="135"/>
      <c r="AK49" s="135"/>
      <c r="AL49" s="135"/>
      <c r="AM49" s="135"/>
      <c r="AN49" s="135"/>
      <c r="AO49" s="135"/>
      <c r="AP49" s="135"/>
    </row>
    <row r="50" spans="1:42" x14ac:dyDescent="0.25">
      <c r="A50" s="14"/>
      <c r="B50" s="136" t="s">
        <v>184</v>
      </c>
      <c r="C50" s="137"/>
      <c r="D50" s="136" t="s">
        <v>185</v>
      </c>
      <c r="E50" s="137"/>
      <c r="F50" s="136" t="s">
        <v>186</v>
      </c>
      <c r="G50" s="137"/>
      <c r="H50" s="136" t="s">
        <v>187</v>
      </c>
      <c r="I50" s="137"/>
      <c r="AI50" s="136" t="s">
        <v>184</v>
      </c>
      <c r="AJ50" s="137"/>
      <c r="AK50" s="136" t="s">
        <v>185</v>
      </c>
      <c r="AL50" s="137"/>
      <c r="AM50" s="136" t="s">
        <v>186</v>
      </c>
      <c r="AN50" s="137"/>
      <c r="AO50" s="136" t="s">
        <v>187</v>
      </c>
      <c r="AP50" s="137"/>
    </row>
    <row r="51" spans="1:42" x14ac:dyDescent="0.25">
      <c r="A51" s="15" t="s">
        <v>188</v>
      </c>
      <c r="B51" s="25" t="s">
        <v>189</v>
      </c>
      <c r="C51" s="25" t="s">
        <v>190</v>
      </c>
      <c r="D51" s="25" t="s">
        <v>189</v>
      </c>
      <c r="E51" s="25" t="s">
        <v>190</v>
      </c>
      <c r="F51" s="25" t="s">
        <v>189</v>
      </c>
      <c r="G51" s="25" t="s">
        <v>190</v>
      </c>
      <c r="H51" s="25" t="s">
        <v>189</v>
      </c>
      <c r="I51" s="25" t="s">
        <v>190</v>
      </c>
      <c r="AI51" s="115" t="s">
        <v>308</v>
      </c>
      <c r="AJ51" s="115" t="s">
        <v>309</v>
      </c>
      <c r="AK51" s="115" t="s">
        <v>308</v>
      </c>
      <c r="AL51" s="115" t="s">
        <v>309</v>
      </c>
      <c r="AM51" s="115" t="s">
        <v>308</v>
      </c>
      <c r="AN51" s="115" t="s">
        <v>309</v>
      </c>
      <c r="AO51" s="115" t="s">
        <v>308</v>
      </c>
      <c r="AP51" s="115" t="s">
        <v>309</v>
      </c>
    </row>
    <row r="52" spans="1:42" x14ac:dyDescent="0.25">
      <c r="A52" s="14">
        <v>2</v>
      </c>
      <c r="B52" s="16">
        <f t="shared" ref="B52:B66" ca="1" si="20">AVERAGE(INDIRECT(A52&amp;"!K4:K12"))</f>
        <v>0.11896666666666667</v>
      </c>
      <c r="C52" s="17">
        <f t="shared" ref="C52:C66" ca="1" si="21">_xlfn.STDEV.P(INDIRECT(A52&amp;"!K4:K12"))</f>
        <v>1.6810248196991191E-2</v>
      </c>
      <c r="D52" s="16">
        <f t="shared" ref="D52:D66" ca="1" si="22">AVERAGE(INDIRECT(A52&amp;"!K14:K22"))</f>
        <v>0.14289999999999997</v>
      </c>
      <c r="E52" s="17">
        <f t="shared" ref="E52:E66" ca="1" si="23">_xlfn.STDEV.P(INDIRECT(A52&amp;"!K14:K22"))</f>
        <v>3.4410108333970166E-2</v>
      </c>
      <c r="F52" s="16">
        <f t="shared" ref="F52:F66" ca="1" si="24">AVERAGE(INDIRECT(A52&amp;"!K24:K32"))</f>
        <v>0.12554444444444446</v>
      </c>
      <c r="G52" s="17">
        <f t="shared" ref="G52:G66" ca="1" si="25">_xlfn.STDEV.P(INDIRECT(A52&amp;"!K24:K32"))</f>
        <v>3.5247162568578426E-2</v>
      </c>
      <c r="H52" s="16">
        <f t="shared" ref="H52:H66" ca="1" si="26">AVERAGE(INDIRECT(A52&amp;"!K34:K42"))</f>
        <v>0.19301111111111111</v>
      </c>
      <c r="I52" s="17">
        <f t="shared" ref="I52:I66" ca="1" si="27">_xlfn.STDEV.P(INDIRECT(A52&amp;"!K34:K42"))</f>
        <v>6.6498946431828673E-2</v>
      </c>
      <c r="AI52" s="16">
        <f ca="1">SMALL(B$52:B$66,ROWS(B$52:B52))</f>
        <v>7.6622222222222217E-2</v>
      </c>
      <c r="AJ52" s="17">
        <f ca="1">LARGE(B$52:B$66,ROWS(B$52:B52))</f>
        <v>0.25618888888888885</v>
      </c>
      <c r="AK52" s="16">
        <f ca="1">SMALL(D$52:D$66,ROWS(D$52:D52))</f>
        <v>7.0266666666666672E-2</v>
      </c>
      <c r="AL52" s="17">
        <f ca="1">LARGE(D$52:D$66,ROWS(D$52:D52))</f>
        <v>0.19094444444444444</v>
      </c>
      <c r="AM52" s="16">
        <f ca="1">SMALL(F$52:F$66,ROWS(F$52:F52))</f>
        <v>7.3944444444444438E-2</v>
      </c>
      <c r="AN52" s="17">
        <f ca="1">LARGE(F$52:F$66,ROWS(F$52:F52))</f>
        <v>0.18578888888888889</v>
      </c>
      <c r="AO52" s="16">
        <f ca="1">SMALL(H$52:H$66,ROWS(H$52:H52))</f>
        <v>6.582222222222224E-2</v>
      </c>
      <c r="AP52" s="17">
        <f ca="1">LARGE(H$52:H$66,ROWS(H$52:H52))</f>
        <v>0.19301111111111111</v>
      </c>
    </row>
    <row r="53" spans="1:42" x14ac:dyDescent="0.25">
      <c r="A53" s="14">
        <v>5</v>
      </c>
      <c r="B53" s="16">
        <f t="shared" ca="1" si="20"/>
        <v>0.12055555555555555</v>
      </c>
      <c r="C53" s="17">
        <f t="shared" ca="1" si="21"/>
        <v>2.4128365561955537E-2</v>
      </c>
      <c r="D53" s="16">
        <f t="shared" ca="1" si="22"/>
        <v>9.01E-2</v>
      </c>
      <c r="E53" s="17">
        <f t="shared" ca="1" si="23"/>
        <v>2.5554777765941662E-2</v>
      </c>
      <c r="F53" s="16">
        <f t="shared" ca="1" si="24"/>
        <v>0.12944444444444445</v>
      </c>
      <c r="G53" s="17">
        <f t="shared" ca="1" si="25"/>
        <v>1.2265770901271112E-2</v>
      </c>
      <c r="H53" s="16">
        <f t="shared" ca="1" si="26"/>
        <v>0.11417777777777778</v>
      </c>
      <c r="I53" s="17">
        <f t="shared" ca="1" si="27"/>
        <v>2.2240992073085712E-2</v>
      </c>
      <c r="AI53" s="16">
        <f ca="1">SMALL(B$52:B$66,ROWS(B$52:B53))</f>
        <v>8.0688888888888893E-2</v>
      </c>
      <c r="AJ53" s="17">
        <f ca="1">LARGE(B$52:B$66,ROWS(B$52:B53))</f>
        <v>0.21722222222222223</v>
      </c>
      <c r="AK53" s="16">
        <f ca="1">SMALL(D$52:D$66,ROWS(D$52:D53))</f>
        <v>7.6511111111111113E-2</v>
      </c>
      <c r="AL53" s="17">
        <f ca="1">LARGE(D$52:D$66,ROWS(D$52:D53))</f>
        <v>0.15913333333333332</v>
      </c>
      <c r="AM53" s="16">
        <f ca="1">SMALL(F$52:F$66,ROWS(F$52:F53))</f>
        <v>7.9111111111111104E-2</v>
      </c>
      <c r="AN53" s="17">
        <f ca="1">LARGE(F$52:F$66,ROWS(F$52:F53))</f>
        <v>0.17912222222222224</v>
      </c>
      <c r="AO53" s="16">
        <f ca="1">SMALL(H$52:H$66,ROWS(H$52:H53))</f>
        <v>7.3177777777777772E-2</v>
      </c>
      <c r="AP53" s="17">
        <f ca="1">LARGE(H$52:H$66,ROWS(H$52:H53))</f>
        <v>0.18522222222222223</v>
      </c>
    </row>
    <row r="54" spans="1:42" x14ac:dyDescent="0.25">
      <c r="A54" s="14">
        <v>8</v>
      </c>
      <c r="B54" s="16">
        <f t="shared" ca="1" si="20"/>
        <v>0.13216666666666668</v>
      </c>
      <c r="C54" s="17">
        <f t="shared" ca="1" si="21"/>
        <v>1.1359381829816077E-2</v>
      </c>
      <c r="D54" s="16">
        <f t="shared" ca="1" si="22"/>
        <v>0.11761111111111111</v>
      </c>
      <c r="E54" s="17">
        <f t="shared" ca="1" si="23"/>
        <v>4.0880433908450739E-2</v>
      </c>
      <c r="F54" s="16">
        <f t="shared" ca="1" si="24"/>
        <v>0.11051111111111112</v>
      </c>
      <c r="G54" s="17">
        <f t="shared" ca="1" si="25"/>
        <v>1.542346296642041E-2</v>
      </c>
      <c r="H54" s="16">
        <f t="shared" ca="1" si="26"/>
        <v>0.12665555555555555</v>
      </c>
      <c r="I54" s="17">
        <f t="shared" ca="1" si="27"/>
        <v>8.0338327799253113E-3</v>
      </c>
      <c r="AI54" s="16">
        <f ca="1">SMALL(B$52:B$66,ROWS(B$52:B54))</f>
        <v>9.0933333333333324E-2</v>
      </c>
      <c r="AJ54" s="17">
        <f ca="1">LARGE(B$52:B$66,ROWS(B$52:B54))</f>
        <v>0.1996111111111111</v>
      </c>
      <c r="AK54" s="16">
        <f ca="1">SMALL(D$52:D$66,ROWS(D$52:D54))</f>
        <v>8.3077777777777778E-2</v>
      </c>
      <c r="AL54" s="17">
        <f ca="1">LARGE(D$52:D$66,ROWS(D$52:D54))</f>
        <v>0.14785555555555555</v>
      </c>
      <c r="AM54" s="16">
        <f ca="1">SMALL(F$52:F$66,ROWS(F$52:F54))</f>
        <v>8.9633333333333329E-2</v>
      </c>
      <c r="AN54" s="17">
        <f ca="1">LARGE(F$52:F$66,ROWS(F$52:F54))</f>
        <v>0.14705555555555558</v>
      </c>
      <c r="AO54" s="16">
        <f ca="1">SMALL(H$52:H$66,ROWS(H$52:H54))</f>
        <v>7.7600000000000002E-2</v>
      </c>
      <c r="AP54" s="17">
        <f ca="1">LARGE(H$52:H$66,ROWS(H$52:H54))</f>
        <v>0.15772222222222221</v>
      </c>
    </row>
    <row r="55" spans="1:42" x14ac:dyDescent="0.25">
      <c r="A55" s="14">
        <v>11</v>
      </c>
      <c r="B55" s="16">
        <f t="shared" ca="1" si="20"/>
        <v>9.98E-2</v>
      </c>
      <c r="C55" s="17">
        <f t="shared" ca="1" si="21"/>
        <v>3.0003147982984917E-2</v>
      </c>
      <c r="D55" s="16">
        <f t="shared" ca="1" si="22"/>
        <v>0.11684444444444446</v>
      </c>
      <c r="E55" s="17">
        <f t="shared" ca="1" si="23"/>
        <v>1.5925249770314787E-2</v>
      </c>
      <c r="F55" s="16">
        <f t="shared" ca="1" si="24"/>
        <v>0.13743333333333335</v>
      </c>
      <c r="G55" s="17">
        <f t="shared" ca="1" si="25"/>
        <v>2.4412337500170248E-2</v>
      </c>
      <c r="H55" s="16">
        <f t="shared" ca="1" si="26"/>
        <v>7.3177777777777772E-2</v>
      </c>
      <c r="I55" s="17">
        <f t="shared" ca="1" si="27"/>
        <v>2.1373336336960612E-2</v>
      </c>
      <c r="AI55" s="16">
        <f ca="1">SMALL(B$52:B$66,ROWS(B$52:B55))</f>
        <v>9.98E-2</v>
      </c>
      <c r="AJ55" s="17">
        <f ca="1">LARGE(B$52:B$66,ROWS(B$52:B55))</f>
        <v>0.16607777777777777</v>
      </c>
      <c r="AK55" s="16">
        <f ca="1">SMALL(D$52:D$66,ROWS(D$52:D55))</f>
        <v>9.01E-2</v>
      </c>
      <c r="AL55" s="17">
        <f ca="1">LARGE(D$52:D$66,ROWS(D$52:D55))</f>
        <v>0.14289999999999997</v>
      </c>
      <c r="AM55" s="16">
        <f ca="1">SMALL(F$52:F$66,ROWS(F$52:F55))</f>
        <v>9.9900000000000003E-2</v>
      </c>
      <c r="AN55" s="17">
        <f ca="1">LARGE(F$52:F$66,ROWS(F$52:F55))</f>
        <v>0.14655555555555555</v>
      </c>
      <c r="AO55" s="16">
        <f ca="1">SMALL(H$52:H$66,ROWS(H$52:H55))</f>
        <v>8.6411111111111105E-2</v>
      </c>
      <c r="AP55" s="17">
        <f ca="1">LARGE(H$52:H$66,ROWS(H$52:H55))</f>
        <v>0.1482</v>
      </c>
    </row>
    <row r="56" spans="1:42" x14ac:dyDescent="0.25">
      <c r="A56" s="14">
        <v>14</v>
      </c>
      <c r="B56" s="16">
        <f t="shared" ca="1" si="20"/>
        <v>0.25618888888888885</v>
      </c>
      <c r="C56" s="17">
        <f t="shared" ca="1" si="21"/>
        <v>5.5581120784438436E-2</v>
      </c>
      <c r="D56" s="16">
        <f t="shared" ca="1" si="22"/>
        <v>7.6511111111111113E-2</v>
      </c>
      <c r="E56" s="17">
        <f t="shared" ca="1" si="23"/>
        <v>4.7938697994752616E-2</v>
      </c>
      <c r="F56" s="16">
        <f t="shared" ca="1" si="24"/>
        <v>7.9111111111111104E-2</v>
      </c>
      <c r="G56" s="17">
        <f t="shared" ca="1" si="25"/>
        <v>3.4401564707451746E-2</v>
      </c>
      <c r="H56" s="16">
        <f t="shared" ca="1" si="26"/>
        <v>0.10416666666666666</v>
      </c>
      <c r="I56" s="17">
        <f t="shared" ca="1" si="27"/>
        <v>2.1746315141242287E-2</v>
      </c>
      <c r="AI56" s="16">
        <f ca="1">SMALL(B$52:B$66,ROWS(B$52:B56))</f>
        <v>0.10218888888888888</v>
      </c>
      <c r="AJ56" s="17">
        <f ca="1">LARGE(B$52:B$66,ROWS(B$52:B56))</f>
        <v>0.13216666666666668</v>
      </c>
      <c r="AK56" s="16">
        <f ca="1">SMALL(D$52:D$66,ROWS(D$52:D56))</f>
        <v>9.5477777777777786E-2</v>
      </c>
      <c r="AL56" s="17">
        <f ca="1">LARGE(D$52:D$66,ROWS(D$52:D56))</f>
        <v>0.13305555555555557</v>
      </c>
      <c r="AM56" s="16">
        <f ca="1">SMALL(F$52:F$66,ROWS(F$52:F56))</f>
        <v>0.11051111111111112</v>
      </c>
      <c r="AN56" s="17">
        <f ca="1">LARGE(F$52:F$66,ROWS(F$52:F56))</f>
        <v>0.13974444444444442</v>
      </c>
      <c r="AO56" s="16">
        <f ca="1">SMALL(H$52:H$66,ROWS(H$52:H56))</f>
        <v>9.8988888888888876E-2</v>
      </c>
      <c r="AP56" s="17">
        <f ca="1">LARGE(H$52:H$66,ROWS(H$52:H56))</f>
        <v>0.13852222222222224</v>
      </c>
    </row>
    <row r="57" spans="1:42" x14ac:dyDescent="0.25">
      <c r="A57" s="14">
        <v>17</v>
      </c>
      <c r="B57" s="16">
        <f t="shared" ca="1" si="20"/>
        <v>0.16607777777777777</v>
      </c>
      <c r="C57" s="17">
        <f t="shared" ca="1" si="21"/>
        <v>2.2083718375399401E-2</v>
      </c>
      <c r="D57" s="16">
        <f t="shared" ca="1" si="22"/>
        <v>0.19094444444444444</v>
      </c>
      <c r="E57" s="17">
        <f t="shared" ca="1" si="23"/>
        <v>3.2137278841837695E-2</v>
      </c>
      <c r="F57" s="16">
        <f t="shared" ca="1" si="24"/>
        <v>0.18578888888888889</v>
      </c>
      <c r="G57" s="17">
        <f t="shared" ca="1" si="25"/>
        <v>2.9607147952421035E-2</v>
      </c>
      <c r="H57" s="16">
        <f t="shared" ca="1" si="26"/>
        <v>0.15772222222222221</v>
      </c>
      <c r="I57" s="17">
        <f t="shared" ca="1" si="27"/>
        <v>2.952444477896533E-2</v>
      </c>
      <c r="AI57" s="16">
        <f ca="1">SMALL(B$52:B$66,ROWS(B$52:B57))</f>
        <v>0.10392222222222222</v>
      </c>
      <c r="AJ57" s="17">
        <f ca="1">LARGE(B$52:B$66,ROWS(B$52:B57))</f>
        <v>0.12197777777777777</v>
      </c>
      <c r="AK57" s="16">
        <f ca="1">SMALL(D$52:D$66,ROWS(D$52:D57))</f>
        <v>0.10701111111111111</v>
      </c>
      <c r="AL57" s="17">
        <f ca="1">LARGE(D$52:D$66,ROWS(D$52:D57))</f>
        <v>0.12233333333333334</v>
      </c>
      <c r="AM57" s="16">
        <f ca="1">SMALL(F$52:F$66,ROWS(F$52:F57))</f>
        <v>0.11752222222222224</v>
      </c>
      <c r="AN57" s="17">
        <f ca="1">LARGE(F$52:F$66,ROWS(F$52:F57))</f>
        <v>0.13743333333333335</v>
      </c>
      <c r="AO57" s="16">
        <f ca="1">SMALL(H$52:H$66,ROWS(H$52:H57))</f>
        <v>0.10416666666666666</v>
      </c>
      <c r="AP57" s="17">
        <f ca="1">LARGE(H$52:H$66,ROWS(H$52:H57))</f>
        <v>0.12872222222222221</v>
      </c>
    </row>
    <row r="58" spans="1:42" x14ac:dyDescent="0.25">
      <c r="A58" s="14">
        <v>20</v>
      </c>
      <c r="B58" s="16">
        <f t="shared" ca="1" si="20"/>
        <v>8.0688888888888893E-2</v>
      </c>
      <c r="C58" s="17">
        <f t="shared" ca="1" si="21"/>
        <v>2.1133777305769891E-2</v>
      </c>
      <c r="D58" s="16">
        <f t="shared" ca="1" si="22"/>
        <v>0.14785555555555555</v>
      </c>
      <c r="E58" s="17">
        <f t="shared" ca="1" si="23"/>
        <v>2.2466325967303542E-2</v>
      </c>
      <c r="F58" s="16">
        <f t="shared" ca="1" si="24"/>
        <v>0.13974444444444442</v>
      </c>
      <c r="G58" s="17">
        <f t="shared" ca="1" si="25"/>
        <v>2.4916130924501883E-2</v>
      </c>
      <c r="H58" s="16">
        <f t="shared" ca="1" si="26"/>
        <v>0.1482</v>
      </c>
      <c r="I58" s="17">
        <f t="shared" ca="1" si="27"/>
        <v>1.3496172296865012E-2</v>
      </c>
      <c r="AI58" s="16">
        <f ca="1">SMALL(B$52:B$66,ROWS(B$52:B58))</f>
        <v>0.10757777777777777</v>
      </c>
      <c r="AJ58" s="17">
        <f ca="1">LARGE(B$52:B$66,ROWS(B$52:B58))</f>
        <v>0.12055555555555555</v>
      </c>
      <c r="AK58" s="16">
        <f ca="1">SMALL(D$52:D$66,ROWS(D$52:D58))</f>
        <v>0.10870000000000002</v>
      </c>
      <c r="AL58" s="17">
        <f ca="1">LARGE(D$52:D$66,ROWS(D$52:D58))</f>
        <v>0.11761111111111111</v>
      </c>
      <c r="AM58" s="16">
        <f ca="1">SMALL(F$52:F$66,ROWS(F$52:F58))</f>
        <v>0.12554444444444446</v>
      </c>
      <c r="AN58" s="17">
        <f ca="1">LARGE(F$52:F$66,ROWS(F$52:F58))</f>
        <v>0.13005555555555556</v>
      </c>
      <c r="AO58" s="16">
        <f ca="1">SMALL(H$52:H$66,ROWS(H$52:H58))</f>
        <v>0.11233333333333334</v>
      </c>
      <c r="AP58" s="17">
        <f ca="1">LARGE(H$52:H$66,ROWS(H$52:H58))</f>
        <v>0.12665555555555555</v>
      </c>
    </row>
    <row r="59" spans="1:42" x14ac:dyDescent="0.25">
      <c r="A59" s="14">
        <v>23</v>
      </c>
      <c r="B59" s="16">
        <f t="shared" ca="1" si="20"/>
        <v>0.12197777777777777</v>
      </c>
      <c r="C59" s="17">
        <f t="shared" ca="1" si="21"/>
        <v>3.1673430076951059E-2</v>
      </c>
      <c r="D59" s="16">
        <f t="shared" ca="1" si="22"/>
        <v>0.10870000000000002</v>
      </c>
      <c r="E59" s="17">
        <f t="shared" ca="1" si="23"/>
        <v>1.4222517358048645E-2</v>
      </c>
      <c r="F59" s="16">
        <f t="shared" ca="1" si="24"/>
        <v>0.14655555555555555</v>
      </c>
      <c r="G59" s="17">
        <f t="shared" ca="1" si="25"/>
        <v>3.7485822834509651E-2</v>
      </c>
      <c r="H59" s="16">
        <f t="shared" ca="1" si="26"/>
        <v>8.6411111111111105E-2</v>
      </c>
      <c r="I59" s="17">
        <f t="shared" ca="1" si="27"/>
        <v>1.1784966359679057E-2</v>
      </c>
      <c r="AI59" s="16">
        <f ca="1">SMALL(B$52:B$66,ROWS(B$52:B59))</f>
        <v>0.11896666666666667</v>
      </c>
      <c r="AJ59" s="17">
        <f ca="1">LARGE(B$52:B$66,ROWS(B$52:B59))</f>
        <v>0.11896666666666667</v>
      </c>
      <c r="AK59" s="16">
        <f ca="1">SMALL(D$52:D$66,ROWS(D$52:D59))</f>
        <v>0.11684444444444446</v>
      </c>
      <c r="AL59" s="17">
        <f ca="1">LARGE(D$52:D$66,ROWS(D$52:D59))</f>
        <v>0.11684444444444446</v>
      </c>
      <c r="AM59" s="16">
        <f ca="1">SMALL(F$52:F$66,ROWS(F$52:F59))</f>
        <v>0.12944444444444445</v>
      </c>
      <c r="AN59" s="17">
        <f ca="1">LARGE(F$52:F$66,ROWS(F$52:F59))</f>
        <v>0.12944444444444445</v>
      </c>
      <c r="AO59" s="16">
        <f ca="1">SMALL(H$52:H$66,ROWS(H$52:H59))</f>
        <v>0.11417777777777778</v>
      </c>
      <c r="AP59" s="17">
        <f ca="1">LARGE(H$52:H$66,ROWS(H$52:H59))</f>
        <v>0.11417777777777778</v>
      </c>
    </row>
    <row r="60" spans="1:42" x14ac:dyDescent="0.25">
      <c r="A60" s="14">
        <v>26</v>
      </c>
      <c r="B60" s="16">
        <f t="shared" ca="1" si="20"/>
        <v>0.1996111111111111</v>
      </c>
      <c r="C60" s="17">
        <f t="shared" ca="1" si="21"/>
        <v>2.2786762455642533E-2</v>
      </c>
      <c r="D60" s="16">
        <f t="shared" ca="1" si="22"/>
        <v>0.13305555555555557</v>
      </c>
      <c r="E60" s="17">
        <f t="shared" ca="1" si="23"/>
        <v>2.204410281993353E-2</v>
      </c>
      <c r="F60" s="16">
        <f t="shared" ca="1" si="24"/>
        <v>0.14705555555555558</v>
      </c>
      <c r="G60" s="17">
        <f t="shared" ca="1" si="25"/>
        <v>3.261360013215716E-2</v>
      </c>
      <c r="H60" s="16">
        <f t="shared" ca="1" si="26"/>
        <v>9.8988888888888876E-2</v>
      </c>
      <c r="I60" s="17">
        <f t="shared" ca="1" si="27"/>
        <v>1.1786380505995014E-2</v>
      </c>
      <c r="AI60" s="16">
        <f ca="1">SMALL(B$52:B$66,ROWS(B$52:B60))</f>
        <v>0.12055555555555555</v>
      </c>
      <c r="AJ60" s="17">
        <f ca="1">LARGE(B$52:B$66,ROWS(B$52:B60))</f>
        <v>0.10757777777777777</v>
      </c>
      <c r="AK60" s="16">
        <f ca="1">SMALL(D$52:D$66,ROWS(D$52:D60))</f>
        <v>0.11761111111111111</v>
      </c>
      <c r="AL60" s="17">
        <f ca="1">LARGE(D$52:D$66,ROWS(D$52:D60))</f>
        <v>0.10870000000000002</v>
      </c>
      <c r="AM60" s="16">
        <f ca="1">SMALL(F$52:F$66,ROWS(F$52:F60))</f>
        <v>0.13005555555555556</v>
      </c>
      <c r="AN60" s="17">
        <f ca="1">LARGE(F$52:F$66,ROWS(F$52:F60))</f>
        <v>0.12554444444444446</v>
      </c>
      <c r="AO60" s="16">
        <f ca="1">SMALL(H$52:H$66,ROWS(H$52:H60))</f>
        <v>0.12665555555555555</v>
      </c>
      <c r="AP60" s="17">
        <f ca="1">LARGE(H$52:H$66,ROWS(H$52:H60))</f>
        <v>0.11233333333333334</v>
      </c>
    </row>
    <row r="61" spans="1:42" x14ac:dyDescent="0.25">
      <c r="A61" s="14">
        <v>29</v>
      </c>
      <c r="B61" s="16">
        <f t="shared" ca="1" si="20"/>
        <v>7.6622222222222217E-2</v>
      </c>
      <c r="C61" s="17">
        <f t="shared" ca="1" si="21"/>
        <v>1.7979913346582548E-2</v>
      </c>
      <c r="D61" s="16">
        <f t="shared" ca="1" si="22"/>
        <v>8.3077777777777778E-2</v>
      </c>
      <c r="E61" s="17">
        <f t="shared" ca="1" si="23"/>
        <v>1.4791948093306077E-2</v>
      </c>
      <c r="F61" s="16">
        <f t="shared" ca="1" si="24"/>
        <v>9.9900000000000003E-2</v>
      </c>
      <c r="G61" s="17">
        <f t="shared" ca="1" si="25"/>
        <v>2.3827761586481887E-2</v>
      </c>
      <c r="H61" s="16">
        <f t="shared" ca="1" si="26"/>
        <v>0.12872222222222221</v>
      </c>
      <c r="I61" s="17">
        <f t="shared" ca="1" si="27"/>
        <v>3.4879467942481895E-2</v>
      </c>
      <c r="AI61" s="16">
        <f ca="1">SMALL(B$52:B$66,ROWS(B$52:B61))</f>
        <v>0.12197777777777777</v>
      </c>
      <c r="AJ61" s="17">
        <f ca="1">LARGE(B$52:B$66,ROWS(B$52:B61))</f>
        <v>0.10392222222222222</v>
      </c>
      <c r="AK61" s="16">
        <f ca="1">SMALL(D$52:D$66,ROWS(D$52:D61))</f>
        <v>0.12233333333333334</v>
      </c>
      <c r="AL61" s="17">
        <f ca="1">LARGE(D$52:D$66,ROWS(D$52:D61))</f>
        <v>0.10701111111111111</v>
      </c>
      <c r="AM61" s="16">
        <f ca="1">SMALL(F$52:F$66,ROWS(F$52:F61))</f>
        <v>0.13743333333333335</v>
      </c>
      <c r="AN61" s="17">
        <f ca="1">LARGE(F$52:F$66,ROWS(F$52:F61))</f>
        <v>0.11752222222222224</v>
      </c>
      <c r="AO61" s="16">
        <f ca="1">SMALL(H$52:H$66,ROWS(H$52:H61))</f>
        <v>0.12872222222222221</v>
      </c>
      <c r="AP61" s="17">
        <f ca="1">LARGE(H$52:H$66,ROWS(H$52:H61))</f>
        <v>0.10416666666666666</v>
      </c>
    </row>
    <row r="62" spans="1:42" x14ac:dyDescent="0.25">
      <c r="A62" s="14">
        <v>32</v>
      </c>
      <c r="B62" s="16">
        <f t="shared" ca="1" si="20"/>
        <v>0.10392222222222222</v>
      </c>
      <c r="C62" s="17">
        <f t="shared" ca="1" si="21"/>
        <v>1.6228355005139583E-2</v>
      </c>
      <c r="D62" s="16">
        <f t="shared" ca="1" si="22"/>
        <v>0.15913333333333332</v>
      </c>
      <c r="E62" s="17">
        <f t="shared" ca="1" si="23"/>
        <v>1.5763318883478265E-2</v>
      </c>
      <c r="F62" s="16">
        <f t="shared" ca="1" si="24"/>
        <v>0.11752222222222224</v>
      </c>
      <c r="G62" s="17">
        <f t="shared" ca="1" si="25"/>
        <v>1.5372831574478473E-2</v>
      </c>
      <c r="H62" s="16">
        <f t="shared" ca="1" si="26"/>
        <v>0.11233333333333334</v>
      </c>
      <c r="I62" s="17">
        <f t="shared" ca="1" si="27"/>
        <v>2.0654620144977983E-2</v>
      </c>
      <c r="AI62" s="16">
        <f ca="1">SMALL(B$52:B$66,ROWS(B$52:B62))</f>
        <v>0.13216666666666668</v>
      </c>
      <c r="AJ62" s="17">
        <f ca="1">LARGE(B$52:B$66,ROWS(B$52:B62))</f>
        <v>0.10218888888888888</v>
      </c>
      <c r="AK62" s="16">
        <f ca="1">SMALL(D$52:D$66,ROWS(D$52:D62))</f>
        <v>0.13305555555555557</v>
      </c>
      <c r="AL62" s="17">
        <f ca="1">LARGE(D$52:D$66,ROWS(D$52:D62))</f>
        <v>9.5477777777777786E-2</v>
      </c>
      <c r="AM62" s="16">
        <f ca="1">SMALL(F$52:F$66,ROWS(F$52:F62))</f>
        <v>0.13974444444444442</v>
      </c>
      <c r="AN62" s="17">
        <f ca="1">LARGE(F$52:F$66,ROWS(F$52:F62))</f>
        <v>0.11051111111111112</v>
      </c>
      <c r="AO62" s="16">
        <f ca="1">SMALL(H$52:H$66,ROWS(H$52:H62))</f>
        <v>0.13852222222222224</v>
      </c>
      <c r="AP62" s="17">
        <f ca="1">LARGE(H$52:H$66,ROWS(H$52:H62))</f>
        <v>9.8988888888888876E-2</v>
      </c>
    </row>
    <row r="63" spans="1:42" x14ac:dyDescent="0.25">
      <c r="A63" s="14">
        <v>35</v>
      </c>
      <c r="B63" s="16">
        <f t="shared" ca="1" si="20"/>
        <v>9.0933333333333324E-2</v>
      </c>
      <c r="C63" s="17">
        <f t="shared" ca="1" si="21"/>
        <v>1.4605326273505805E-2</v>
      </c>
      <c r="D63" s="16">
        <f t="shared" ca="1" si="22"/>
        <v>7.0266666666666672E-2</v>
      </c>
      <c r="E63" s="17">
        <f t="shared" ca="1" si="23"/>
        <v>1.5245545797598235E-2</v>
      </c>
      <c r="F63" s="16">
        <f t="shared" ca="1" si="24"/>
        <v>8.9633333333333329E-2</v>
      </c>
      <c r="G63" s="17">
        <f t="shared" ca="1" si="25"/>
        <v>1.8683088015041271E-2</v>
      </c>
      <c r="H63" s="16">
        <f t="shared" ca="1" si="26"/>
        <v>7.7600000000000002E-2</v>
      </c>
      <c r="I63" s="17">
        <f t="shared" ca="1" si="27"/>
        <v>2.4229183505296504E-2</v>
      </c>
      <c r="AI63" s="16">
        <f ca="1">SMALL(B$52:B$66,ROWS(B$52:B63))</f>
        <v>0.16607777777777777</v>
      </c>
      <c r="AJ63" s="17">
        <f ca="1">LARGE(B$52:B$66,ROWS(B$52:B63))</f>
        <v>9.98E-2</v>
      </c>
      <c r="AK63" s="16">
        <f ca="1">SMALL(D$52:D$66,ROWS(D$52:D63))</f>
        <v>0.14289999999999997</v>
      </c>
      <c r="AL63" s="17">
        <f ca="1">LARGE(D$52:D$66,ROWS(D$52:D63))</f>
        <v>9.01E-2</v>
      </c>
      <c r="AM63" s="16">
        <f ca="1">SMALL(F$52:F$66,ROWS(F$52:F63))</f>
        <v>0.14655555555555555</v>
      </c>
      <c r="AN63" s="17">
        <f ca="1">LARGE(F$52:F$66,ROWS(F$52:F63))</f>
        <v>9.9900000000000003E-2</v>
      </c>
      <c r="AO63" s="16">
        <f ca="1">SMALL(H$52:H$66,ROWS(H$52:H63))</f>
        <v>0.1482</v>
      </c>
      <c r="AP63" s="17">
        <f ca="1">LARGE(H$52:H$66,ROWS(H$52:H63))</f>
        <v>8.6411111111111105E-2</v>
      </c>
    </row>
    <row r="64" spans="1:42" x14ac:dyDescent="0.25">
      <c r="A64" s="14">
        <v>38</v>
      </c>
      <c r="B64" s="16">
        <f t="shared" ca="1" si="20"/>
        <v>0.10757777777777777</v>
      </c>
      <c r="C64" s="17">
        <f t="shared" ca="1" si="21"/>
        <v>2.4697718193197937E-2</v>
      </c>
      <c r="D64" s="16">
        <f t="shared" ca="1" si="22"/>
        <v>0.10701111111111111</v>
      </c>
      <c r="E64" s="17">
        <f t="shared" ca="1" si="23"/>
        <v>2.0455395617698113E-2</v>
      </c>
      <c r="F64" s="16">
        <f t="shared" ca="1" si="24"/>
        <v>0.13005555555555556</v>
      </c>
      <c r="G64" s="17">
        <f t="shared" ca="1" si="25"/>
        <v>2.2267570396386435E-2</v>
      </c>
      <c r="H64" s="16">
        <f t="shared" ca="1" si="26"/>
        <v>0.13852222222222224</v>
      </c>
      <c r="I64" s="17">
        <f t="shared" ca="1" si="27"/>
        <v>2.8506247961447032E-2</v>
      </c>
      <c r="AI64" s="16">
        <f ca="1">SMALL(B$52:B$66,ROWS(B$52:B64))</f>
        <v>0.1996111111111111</v>
      </c>
      <c r="AJ64" s="17">
        <f ca="1">LARGE(B$52:B$66,ROWS(B$52:B64))</f>
        <v>9.0933333333333324E-2</v>
      </c>
      <c r="AK64" s="16">
        <f ca="1">SMALL(D$52:D$66,ROWS(D$52:D64))</f>
        <v>0.14785555555555555</v>
      </c>
      <c r="AL64" s="17">
        <f ca="1">LARGE(D$52:D$66,ROWS(D$52:D64))</f>
        <v>8.3077777777777778E-2</v>
      </c>
      <c r="AM64" s="16">
        <f ca="1">SMALL(F$52:F$66,ROWS(F$52:F64))</f>
        <v>0.14705555555555558</v>
      </c>
      <c r="AN64" s="17">
        <f ca="1">LARGE(F$52:F$66,ROWS(F$52:F64))</f>
        <v>8.9633333333333329E-2</v>
      </c>
      <c r="AO64" s="16">
        <f ca="1">SMALL(H$52:H$66,ROWS(H$52:H64))</f>
        <v>0.15772222222222221</v>
      </c>
      <c r="AP64" s="17">
        <f ca="1">LARGE(H$52:H$66,ROWS(H$52:H64))</f>
        <v>7.7600000000000002E-2</v>
      </c>
    </row>
    <row r="65" spans="1:42" x14ac:dyDescent="0.25">
      <c r="A65" s="14">
        <v>41</v>
      </c>
      <c r="B65" s="16">
        <f t="shared" ca="1" si="20"/>
        <v>0.21722222222222223</v>
      </c>
      <c r="C65" s="17">
        <f t="shared" ca="1" si="21"/>
        <v>2.6564963466013013E-2</v>
      </c>
      <c r="D65" s="16">
        <f t="shared" ca="1" si="22"/>
        <v>0.12233333333333334</v>
      </c>
      <c r="E65" s="17">
        <f t="shared" ca="1" si="23"/>
        <v>1.9535949767885235E-2</v>
      </c>
      <c r="F65" s="16">
        <f t="shared" ca="1" si="24"/>
        <v>0.17912222222222224</v>
      </c>
      <c r="G65" s="17">
        <f t="shared" ca="1" si="25"/>
        <v>8.3411666886830053E-3</v>
      </c>
      <c r="H65" s="16">
        <f t="shared" ca="1" si="26"/>
        <v>0.18522222222222223</v>
      </c>
      <c r="I65" s="17">
        <f t="shared" ca="1" si="27"/>
        <v>1.8524744879201603E-2</v>
      </c>
      <c r="AI65" s="16">
        <f ca="1">SMALL(B$52:B$66,ROWS(B$52:B65))</f>
        <v>0.21722222222222223</v>
      </c>
      <c r="AJ65" s="17">
        <f ca="1">LARGE(B$52:B$66,ROWS(B$52:B65))</f>
        <v>8.0688888888888893E-2</v>
      </c>
      <c r="AK65" s="16">
        <f ca="1">SMALL(D$52:D$66,ROWS(D$52:D65))</f>
        <v>0.15913333333333332</v>
      </c>
      <c r="AL65" s="17">
        <f ca="1">LARGE(D$52:D$66,ROWS(D$52:D65))</f>
        <v>7.6511111111111113E-2</v>
      </c>
      <c r="AM65" s="16">
        <f ca="1">SMALL(F$52:F$66,ROWS(F$52:F65))</f>
        <v>0.17912222222222224</v>
      </c>
      <c r="AN65" s="17">
        <f ca="1">LARGE(F$52:F$66,ROWS(F$52:F65))</f>
        <v>7.9111111111111104E-2</v>
      </c>
      <c r="AO65" s="16">
        <f ca="1">SMALL(H$52:H$66,ROWS(H$52:H65))</f>
        <v>0.18522222222222223</v>
      </c>
      <c r="AP65" s="17">
        <f ca="1">LARGE(H$52:H$66,ROWS(H$52:H65))</f>
        <v>7.3177777777777772E-2</v>
      </c>
    </row>
    <row r="66" spans="1:42" ht="12.75" customHeight="1" x14ac:dyDescent="0.25">
      <c r="A66" s="14">
        <v>44</v>
      </c>
      <c r="B66" s="16">
        <f t="shared" ca="1" si="20"/>
        <v>0.10218888888888888</v>
      </c>
      <c r="C66" s="17">
        <f t="shared" ca="1" si="21"/>
        <v>1.054223721190618E-2</v>
      </c>
      <c r="D66" s="16">
        <f t="shared" ca="1" si="22"/>
        <v>9.5477777777777786E-2</v>
      </c>
      <c r="E66" s="17">
        <f t="shared" ca="1" si="23"/>
        <v>9.0777331700250388E-2</v>
      </c>
      <c r="F66" s="16">
        <f t="shared" ca="1" si="24"/>
        <v>7.3944444444444438E-2</v>
      </c>
      <c r="G66" s="17">
        <f t="shared" ca="1" si="25"/>
        <v>8.1709663662277252E-3</v>
      </c>
      <c r="H66" s="16">
        <f t="shared" ca="1" si="26"/>
        <v>6.582222222222224E-2</v>
      </c>
      <c r="I66" s="17">
        <f t="shared" ca="1" si="27"/>
        <v>1.5137134454914882E-2</v>
      </c>
      <c r="L66" s="144" t="s">
        <v>203</v>
      </c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I66" s="16">
        <f ca="1">SMALL(B$52:B$66,ROWS(B$52:B66))</f>
        <v>0.25618888888888885</v>
      </c>
      <c r="AJ66" s="17">
        <f ca="1">LARGE(B$52:B$66,ROWS(B$52:B66))</f>
        <v>7.6622222222222217E-2</v>
      </c>
      <c r="AK66" s="16">
        <f ca="1">SMALL(D$52:D$66,ROWS(D$52:D66))</f>
        <v>0.19094444444444444</v>
      </c>
      <c r="AL66" s="17">
        <f ca="1">LARGE(D$52:D$66,ROWS(D$52:D66))</f>
        <v>7.0266666666666672E-2</v>
      </c>
      <c r="AM66" s="16">
        <f ca="1">SMALL(F$52:F$66,ROWS(F$52:F66))</f>
        <v>0.18578888888888889</v>
      </c>
      <c r="AN66" s="17">
        <f ca="1">LARGE(F$52:F$66,ROWS(F$52:F66))</f>
        <v>7.3944444444444438E-2</v>
      </c>
      <c r="AO66" s="16">
        <f ca="1">SMALL(H$52:H$66,ROWS(H$52:H66))</f>
        <v>0.19301111111111111</v>
      </c>
      <c r="AP66" s="17">
        <f ca="1">LARGE(H$52:H$66,ROWS(H$52:H66))</f>
        <v>6.582222222222224E-2</v>
      </c>
    </row>
    <row r="67" spans="1:42" x14ac:dyDescent="0.25">
      <c r="L67" s="102"/>
      <c r="M67" s="146" t="s">
        <v>182</v>
      </c>
      <c r="N67" s="146"/>
      <c r="O67" s="146"/>
      <c r="P67" s="146"/>
      <c r="Q67" s="147"/>
      <c r="R67" s="148" t="s">
        <v>201</v>
      </c>
      <c r="S67" s="146"/>
      <c r="T67" s="146"/>
      <c r="U67" s="146"/>
      <c r="V67" s="147"/>
      <c r="W67" s="148" t="s">
        <v>202</v>
      </c>
      <c r="X67" s="146"/>
      <c r="Y67" s="146"/>
      <c r="Z67" s="146"/>
      <c r="AA67" s="147"/>
    </row>
    <row r="68" spans="1:42" ht="39.6" x14ac:dyDescent="0.25">
      <c r="L68" s="20" t="s">
        <v>204</v>
      </c>
      <c r="M68" s="20" t="s">
        <v>192</v>
      </c>
      <c r="N68" s="21" t="s">
        <v>197</v>
      </c>
      <c r="O68" s="21" t="s">
        <v>198</v>
      </c>
      <c r="P68" s="21" t="s">
        <v>199</v>
      </c>
      <c r="Q68" s="21" t="s">
        <v>200</v>
      </c>
      <c r="R68" s="21" t="s">
        <v>192</v>
      </c>
      <c r="S68" s="21" t="s">
        <v>197</v>
      </c>
      <c r="T68" s="21" t="s">
        <v>198</v>
      </c>
      <c r="U68" s="21" t="s">
        <v>199</v>
      </c>
      <c r="V68" s="21" t="s">
        <v>200</v>
      </c>
      <c r="W68" s="21" t="s">
        <v>192</v>
      </c>
      <c r="X68" s="21" t="s">
        <v>197</v>
      </c>
      <c r="Y68" s="21" t="s">
        <v>198</v>
      </c>
      <c r="Z68" s="21" t="s">
        <v>199</v>
      </c>
      <c r="AA68" s="21" t="s">
        <v>200</v>
      </c>
    </row>
    <row r="69" spans="1:42" x14ac:dyDescent="0.25">
      <c r="L69" s="18">
        <v>1</v>
      </c>
      <c r="M69" s="23">
        <f ca="1">M20</f>
        <v>6.9111111159953803E-2</v>
      </c>
      <c r="N69" s="23">
        <f ca="1">N20</f>
        <v>7.7188888461225541E-2</v>
      </c>
      <c r="O69" s="23">
        <f ca="1">O20</f>
        <v>1.948888931009507E-2</v>
      </c>
      <c r="P69" s="23">
        <f ca="1">P20</f>
        <v>4.0094444321261524E-2</v>
      </c>
      <c r="Q69" s="23">
        <f ca="1">Q20</f>
        <v>5.9838891857200205E-2</v>
      </c>
      <c r="R69" s="24">
        <f ca="1">M21</f>
        <v>8.278888888888887E-2</v>
      </c>
      <c r="S69" s="24">
        <f ca="1">N21</f>
        <v>7.452777777777779E-2</v>
      </c>
      <c r="T69" s="24">
        <f ca="1">O21</f>
        <v>1.812777777777777E-2</v>
      </c>
      <c r="U69" s="24">
        <f ca="1">P21</f>
        <v>3.3316666666666689E-2</v>
      </c>
      <c r="V69" s="24">
        <f ca="1">Q21</f>
        <v>3.4094444444444399E-2</v>
      </c>
      <c r="W69" s="24">
        <f ca="1">M22</f>
        <v>7.6622222222222217E-2</v>
      </c>
      <c r="X69" s="24">
        <f ca="1">N22</f>
        <v>2.4372222222222226E-2</v>
      </c>
      <c r="Y69" s="24">
        <f ca="1">O22</f>
        <v>1.7972222222222223E-2</v>
      </c>
      <c r="Z69" s="24">
        <f ca="1">P22</f>
        <v>3.0155555555555547E-2</v>
      </c>
      <c r="AA69" s="24">
        <f ca="1">Q22</f>
        <v>6.8100000000000022E-2</v>
      </c>
    </row>
    <row r="70" spans="1:42" x14ac:dyDescent="0.25">
      <c r="L70" s="18">
        <v>2</v>
      </c>
      <c r="M70" s="23">
        <f ca="1">R20</f>
        <v>4.4800000472201243E-2</v>
      </c>
      <c r="N70" s="23">
        <f ca="1">S20</f>
        <v>4.5738888076610029E-2</v>
      </c>
      <c r="O70" s="23">
        <f ca="1">T20</f>
        <v>3.6161108770304248E-2</v>
      </c>
      <c r="P70" s="23">
        <f ca="1">U20</f>
        <v>4.9066667755444854E-2</v>
      </c>
      <c r="Q70" s="23">
        <f ca="1">V20</f>
        <v>0.12081111470858255</v>
      </c>
      <c r="R70" s="24">
        <f ca="1">R21</f>
        <v>5.6011111111111109E-2</v>
      </c>
      <c r="S70" s="24">
        <f ca="1">S21</f>
        <v>3.9705555555555563E-2</v>
      </c>
      <c r="T70" s="24">
        <f ca="1">T21</f>
        <v>3.4705555555555545E-2</v>
      </c>
      <c r="U70" s="24">
        <f ca="1">U21</f>
        <v>4.0344444444444461E-2</v>
      </c>
      <c r="V70" s="24">
        <f ca="1">V21</f>
        <v>6.4911111111111086E-2</v>
      </c>
      <c r="W70" s="24">
        <f ca="1">R22</f>
        <v>7.0266666666666672E-2</v>
      </c>
      <c r="X70" s="24">
        <f ca="1">S22</f>
        <v>2.2522222222222221E-2</v>
      </c>
      <c r="Y70" s="24">
        <f ca="1">T22</f>
        <v>2.4055555555555566E-2</v>
      </c>
      <c r="Z70" s="24">
        <f ca="1">U22</f>
        <v>2.1133333333333296E-2</v>
      </c>
      <c r="AA70" s="24">
        <f ca="1">V22</f>
        <v>5.296666666666669E-2</v>
      </c>
    </row>
    <row r="71" spans="1:42" x14ac:dyDescent="0.25">
      <c r="L71" s="18">
        <v>3</v>
      </c>
      <c r="M71" s="23">
        <f ca="1">W20</f>
        <v>5.4244444188144475E-2</v>
      </c>
      <c r="N71" s="23">
        <f ca="1">X20</f>
        <v>4.2544444815980062E-2</v>
      </c>
      <c r="O71" s="23">
        <f ca="1">Y20</f>
        <v>6.9666666289170578E-2</v>
      </c>
      <c r="P71" s="23">
        <f ca="1">Z20</f>
        <v>2.0455555783377766E-2</v>
      </c>
      <c r="Q71" s="23">
        <f ca="1">AA20</f>
        <v>0.10774444374773237</v>
      </c>
      <c r="R71" s="24">
        <f ca="1">W21</f>
        <v>6.8388888888888888E-2</v>
      </c>
      <c r="S71" s="24">
        <f ca="1">X21</f>
        <v>2.8233333333333333E-2</v>
      </c>
      <c r="T71" s="24">
        <f ca="1">Y21</f>
        <v>1.6877777777777769E-2</v>
      </c>
      <c r="U71" s="24">
        <f ca="1">Z21</f>
        <v>6.0877777777777781E-2</v>
      </c>
      <c r="V71" s="24">
        <f ca="1">AA21</f>
        <v>5.4777777777777814E-2</v>
      </c>
      <c r="W71" s="24">
        <f ca="1">W22</f>
        <v>7.3944444444444438E-2</v>
      </c>
      <c r="X71" s="24">
        <f ca="1">X22</f>
        <v>3.1261111111111115E-2</v>
      </c>
      <c r="Y71" s="24">
        <f ca="1">Y22</f>
        <v>2.4238888888888893E-2</v>
      </c>
      <c r="Z71" s="24">
        <f ca="1">Z22</f>
        <v>1.3705555555555554E-2</v>
      </c>
      <c r="AA71" s="24">
        <f ca="1">AA22</f>
        <v>4.2638888888888893E-2</v>
      </c>
    </row>
    <row r="72" spans="1:42" x14ac:dyDescent="0.25">
      <c r="L72" s="18">
        <v>3</v>
      </c>
      <c r="M72" s="23">
        <f ca="1">AB20</f>
        <v>4.3266666432221733E-2</v>
      </c>
      <c r="N72" s="23">
        <f ca="1">AC20</f>
        <v>5.2994444138473935E-2</v>
      </c>
      <c r="O72" s="23">
        <f ca="1">AD20</f>
        <v>6.6794443461630076E-2</v>
      </c>
      <c r="P72" s="23">
        <f ca="1">AE20</f>
        <v>2.4127780563301504E-2</v>
      </c>
      <c r="Q72" s="23">
        <f ca="1">AF20</f>
        <v>0.10782778180307812</v>
      </c>
      <c r="R72" s="24">
        <f ca="1">AB21</f>
        <v>4.8011111111111109E-2</v>
      </c>
      <c r="S72" s="24">
        <f ca="1">AC21</f>
        <v>2.5166666666666677E-2</v>
      </c>
      <c r="T72" s="24">
        <f ca="1">AD21</f>
        <v>2.7155555555555544E-2</v>
      </c>
      <c r="U72" s="24">
        <f ca="1">AE21</f>
        <v>3.284999999999999E-2</v>
      </c>
      <c r="V72" s="24">
        <f ca="1">AF21</f>
        <v>5.7505555555555532E-2</v>
      </c>
      <c r="W72" s="24">
        <f ca="1">AB22</f>
        <v>6.582222222222224E-2</v>
      </c>
      <c r="X72" s="24">
        <f ca="1">AC22</f>
        <v>2.687777777777775E-2</v>
      </c>
      <c r="Y72" s="24">
        <f ca="1">AD22</f>
        <v>2.147777777777779E-2</v>
      </c>
      <c r="Z72" s="24">
        <f ca="1">AE22</f>
        <v>2.9183333333333325E-2</v>
      </c>
      <c r="AA72" s="24">
        <f ca="1">AF22</f>
        <v>4.965E-2</v>
      </c>
    </row>
  </sheetData>
  <mergeCells count="54">
    <mergeCell ref="V1:AD1"/>
    <mergeCell ref="W2:X2"/>
    <mergeCell ref="Y2:Z2"/>
    <mergeCell ref="AA2:AB2"/>
    <mergeCell ref="AC2:AD2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AI1:AP1"/>
    <mergeCell ref="AI2:AJ2"/>
    <mergeCell ref="AK2:AL2"/>
    <mergeCell ref="AM2:AN2"/>
    <mergeCell ref="AO2:AP2"/>
    <mergeCell ref="AI25:AP25"/>
    <mergeCell ref="AI26:AJ26"/>
    <mergeCell ref="AK26:AL26"/>
    <mergeCell ref="AM26:AN26"/>
    <mergeCell ref="AO26:AP26"/>
    <mergeCell ref="AI49:AP49"/>
    <mergeCell ref="AI50:AJ50"/>
    <mergeCell ref="AK50:AL50"/>
    <mergeCell ref="AM50:AN50"/>
    <mergeCell ref="AO50:AP5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3" workbookViewId="0">
      <selection activeCell="F3" sqref="F3:F7"/>
    </sheetView>
  </sheetViews>
  <sheetFormatPr baseColWidth="10" defaultRowHeight="13.2" x14ac:dyDescent="0.25"/>
  <sheetData>
    <row r="1" spans="1:7" x14ac:dyDescent="0.25">
      <c r="A1" s="135" t="s">
        <v>305</v>
      </c>
      <c r="B1" s="135"/>
      <c r="C1" s="135"/>
      <c r="D1" s="135"/>
    </row>
    <row r="2" spans="1:7" x14ac:dyDescent="0.25">
      <c r="A2" s="113" t="s">
        <v>184</v>
      </c>
      <c r="B2" s="113" t="s">
        <v>185</v>
      </c>
      <c r="C2" s="113" t="s">
        <v>186</v>
      </c>
      <c r="D2" s="113" t="s">
        <v>187</v>
      </c>
    </row>
    <row r="3" spans="1:7" x14ac:dyDescent="0.25">
      <c r="A3" s="112" t="s">
        <v>302</v>
      </c>
      <c r="B3" s="112" t="s">
        <v>302</v>
      </c>
      <c r="C3" s="112" t="s">
        <v>302</v>
      </c>
      <c r="D3" s="112" t="s">
        <v>302</v>
      </c>
      <c r="F3" s="114" t="s">
        <v>302</v>
      </c>
    </row>
    <row r="4" spans="1:7" x14ac:dyDescent="0.25">
      <c r="A4" s="16" t="str">
        <f ca="1">IF(Performances!B4&lt;Performances!M$13,Performances!B4,"")</f>
        <v/>
      </c>
      <c r="B4" s="16" t="str">
        <f ca="1">IF(Performances!D4&lt;Performances!R$13,Performances!D4,"")</f>
        <v/>
      </c>
      <c r="C4" s="16" t="str">
        <f ca="1">IF(Performances!F4&lt;Performances!W$13,Performances!F4,"")</f>
        <v/>
      </c>
      <c r="D4" s="16" t="str">
        <f ca="1">IF(Performances!H4&lt;Performances!AB$13,Performances!H4,"")</f>
        <v/>
      </c>
      <c r="F4">
        <v>0.1</v>
      </c>
      <c r="G4">
        <v>-1</v>
      </c>
    </row>
    <row r="5" spans="1:7" x14ac:dyDescent="0.25">
      <c r="A5" s="16" t="str">
        <f ca="1">IF(Performances!B5&lt;Performances!M$13,Performances!B5,"")</f>
        <v/>
      </c>
      <c r="B5" s="16" t="str">
        <f ca="1">IF(Performances!D5&lt;Performances!R$13,Performances!D5,"")</f>
        <v/>
      </c>
      <c r="C5" s="16" t="str">
        <f ca="1">IF(Performances!F5&lt;Performances!W$13,Performances!F5,"")</f>
        <v/>
      </c>
      <c r="D5" s="16" t="str">
        <f ca="1">IF(Performances!H5&lt;Performances!AB$13,Performances!H5,"")</f>
        <v/>
      </c>
      <c r="F5">
        <v>0.1</v>
      </c>
    </row>
    <row r="6" spans="1:7" x14ac:dyDescent="0.25">
      <c r="A6" s="16" t="str">
        <f ca="1">IF(Performances!B6&lt;Performances!M$13,Performances!B6,"")</f>
        <v/>
      </c>
      <c r="B6" s="16" t="str">
        <f ca="1">IF(Performances!D6&lt;Performances!R$13,Performances!D6,"")</f>
        <v/>
      </c>
      <c r="C6" s="16" t="str">
        <f ca="1">IF(Performances!F6&lt;Performances!W$13,Performances!F6,"")</f>
        <v/>
      </c>
      <c r="D6" s="16" t="str">
        <f ca="1">IF(Performances!H6&lt;Performances!AB$13,Performances!H6,"")</f>
        <v/>
      </c>
      <c r="F6">
        <v>0.1</v>
      </c>
    </row>
    <row r="7" spans="1:7" x14ac:dyDescent="0.25">
      <c r="A7" s="16" t="str">
        <f ca="1">IF(Performances!B7&lt;Performances!M$13,Performances!B7,"")</f>
        <v/>
      </c>
      <c r="B7" s="16" t="str">
        <f ca="1">IF(Performances!D7&lt;Performances!R$13,Performances!D7,"")</f>
        <v/>
      </c>
      <c r="C7" s="16" t="str">
        <f ca="1">IF(Performances!F7&lt;Performances!W$13,Performances!F7,"")</f>
        <v/>
      </c>
      <c r="D7" s="16" t="str">
        <f ca="1">IF(Performances!H7&lt;Performances!AB$13,Performances!H7,"")</f>
        <v/>
      </c>
      <c r="F7">
        <v>0.1</v>
      </c>
    </row>
    <row r="8" spans="1:7" x14ac:dyDescent="0.25">
      <c r="A8" s="16" t="str">
        <f ca="1">IF(Performances!B8&lt;Performances!M$13,Performances!B8,"")</f>
        <v/>
      </c>
      <c r="B8" s="16" t="str">
        <f ca="1">IF(Performances!D8&lt;Performances!R$13,Performances!D8,"")</f>
        <v/>
      </c>
      <c r="C8" s="16" t="str">
        <f ca="1">IF(Performances!F8&lt;Performances!W$13,Performances!F8,"")</f>
        <v/>
      </c>
      <c r="D8" s="16" t="str">
        <f ca="1">IF(Performances!H8&lt;Performances!AB$13,Performances!H8,"")</f>
        <v/>
      </c>
    </row>
    <row r="9" spans="1:7" x14ac:dyDescent="0.25">
      <c r="A9" s="16" t="str">
        <f ca="1">IF(Performances!B9&lt;Performances!M$13,Performances!B9,"")</f>
        <v/>
      </c>
      <c r="B9" s="16" t="str">
        <f ca="1">IF(Performances!D9&lt;Performances!R$13,Performances!D9,"")</f>
        <v/>
      </c>
      <c r="C9" s="16" t="str">
        <f ca="1">IF(Performances!F9&lt;Performances!W$13,Performances!F9,"")</f>
        <v/>
      </c>
      <c r="D9" s="16" t="str">
        <f ca="1">IF(Performances!H9&lt;Performances!AB$13,Performances!H9,"")</f>
        <v/>
      </c>
    </row>
    <row r="10" spans="1:7" x14ac:dyDescent="0.25">
      <c r="A10" s="16">
        <f ca="1">IF(Performances!B10&lt;Performances!M$13,Performances!B10,"")</f>
        <v>5.4133333265781403E-2</v>
      </c>
      <c r="B10" s="16" t="str">
        <f ca="1">IF(Performances!D10&lt;Performances!R$13,Performances!D10,"")</f>
        <v/>
      </c>
      <c r="C10" s="16" t="str">
        <f ca="1">IF(Performances!F10&lt;Performances!W$13,Performances!F10,"")</f>
        <v/>
      </c>
      <c r="D10" s="16" t="str">
        <f ca="1">IF(Performances!H10&lt;Performances!AB$13,Performances!H10,"")</f>
        <v/>
      </c>
    </row>
    <row r="11" spans="1:7" x14ac:dyDescent="0.25">
      <c r="A11" s="16" t="str">
        <f ca="1">IF(Performances!B11&lt;Performances!M$13,Performances!B11,"")</f>
        <v/>
      </c>
      <c r="B11" s="16" t="str">
        <f ca="1">IF(Performances!D11&lt;Performances!R$13,Performances!D11,"")</f>
        <v/>
      </c>
      <c r="C11" s="16" t="str">
        <f ca="1">IF(Performances!F11&lt;Performances!W$13,Performances!F11,"")</f>
        <v/>
      </c>
      <c r="D11" s="16" t="str">
        <f ca="1">IF(Performances!H11&lt;Performances!AB$13,Performances!H11,"")</f>
        <v/>
      </c>
    </row>
    <row r="12" spans="1:7" x14ac:dyDescent="0.25">
      <c r="A12" s="16" t="str">
        <f ca="1">IF(Performances!B12&lt;Performances!M$13,Performances!B12,"")</f>
        <v/>
      </c>
      <c r="B12" s="16" t="str">
        <f ca="1">IF(Performances!D12&lt;Performances!R$13,Performances!D12,"")</f>
        <v/>
      </c>
      <c r="C12" s="16" t="str">
        <f ca="1">IF(Performances!F12&lt;Performances!W$13,Performances!F12,"")</f>
        <v/>
      </c>
      <c r="D12" s="16" t="str">
        <f ca="1">IF(Performances!H12&lt;Performances!AB$13,Performances!H12,"")</f>
        <v/>
      </c>
    </row>
    <row r="13" spans="1:7" x14ac:dyDescent="0.25">
      <c r="A13" s="16" t="str">
        <f ca="1">IF(Performances!B13&lt;Performances!M$13,Performances!B13,"")</f>
        <v/>
      </c>
      <c r="B13" s="16" t="str">
        <f ca="1">IF(Performances!D13&lt;Performances!R$13,Performances!D13,"")</f>
        <v/>
      </c>
      <c r="C13" s="16" t="str">
        <f ca="1">IF(Performances!F13&lt;Performances!W$13,Performances!F13,"")</f>
        <v/>
      </c>
      <c r="D13" s="16" t="str">
        <f ca="1">IF(Performances!H13&lt;Performances!AB$13,Performances!H13,"")</f>
        <v/>
      </c>
    </row>
    <row r="14" spans="1:7" x14ac:dyDescent="0.25">
      <c r="A14" s="16" t="str">
        <f ca="1">IF(Performances!B14&lt;Performances!M$13,Performances!B14,"")</f>
        <v/>
      </c>
      <c r="B14" s="16" t="str">
        <f ca="1">IF(Performances!D14&lt;Performances!R$13,Performances!D14,"")</f>
        <v/>
      </c>
      <c r="C14" s="16" t="str">
        <f ca="1">IF(Performances!F14&lt;Performances!W$13,Performances!F14,"")</f>
        <v/>
      </c>
      <c r="D14" s="16" t="str">
        <f ca="1">IF(Performances!H14&lt;Performances!AB$13,Performances!H14,"")</f>
        <v/>
      </c>
    </row>
    <row r="15" spans="1:7" x14ac:dyDescent="0.25">
      <c r="A15" s="16" t="str">
        <f ca="1">IF(Performances!B15&lt;Performances!M$13,Performances!B15,"")</f>
        <v/>
      </c>
      <c r="B15" s="16" t="str">
        <f ca="1">IF(Performances!D15&lt;Performances!R$13,Performances!D15,"")</f>
        <v/>
      </c>
      <c r="C15" s="16" t="str">
        <f ca="1">IF(Performances!F15&lt;Performances!W$13,Performances!F15,"")</f>
        <v/>
      </c>
      <c r="D15" s="16" t="str">
        <f ca="1">IF(Performances!H15&lt;Performances!AB$13,Performances!H15,"")</f>
        <v/>
      </c>
    </row>
    <row r="16" spans="1:7" x14ac:dyDescent="0.25">
      <c r="A16" s="16" t="str">
        <f ca="1">IF(Performances!B16&lt;Performances!M$13,Performances!B16,"")</f>
        <v/>
      </c>
      <c r="B16" s="16" t="str">
        <f ca="1">IF(Performances!D16&lt;Performances!R$13,Performances!D16,"")</f>
        <v/>
      </c>
      <c r="C16" s="16" t="str">
        <f ca="1">IF(Performances!F16&lt;Performances!W$13,Performances!F16,"")</f>
        <v/>
      </c>
      <c r="D16" s="16" t="str">
        <f ca="1">IF(Performances!H16&lt;Performances!AB$13,Performances!H16,"")</f>
        <v/>
      </c>
    </row>
    <row r="17" spans="1:4" x14ac:dyDescent="0.25">
      <c r="A17" s="16" t="str">
        <f ca="1">IF(Performances!B17&lt;Performances!M$13,Performances!B17,"")</f>
        <v/>
      </c>
      <c r="B17" s="16" t="str">
        <f ca="1">IF(Performances!D17&lt;Performances!R$13,Performances!D17,"")</f>
        <v/>
      </c>
      <c r="C17" s="16" t="str">
        <f ca="1">IF(Performances!F17&lt;Performances!W$13,Performances!F17,"")</f>
        <v/>
      </c>
      <c r="D17" s="16" t="str">
        <f ca="1">IF(Performances!H17&lt;Performances!AB$13,Performances!H17,"")</f>
        <v/>
      </c>
    </row>
    <row r="18" spans="1:4" x14ac:dyDescent="0.25">
      <c r="A18" s="16" t="str">
        <f ca="1">IF(Performances!B18&lt;Performances!M$13,Performances!B18,"")</f>
        <v/>
      </c>
      <c r="B18" s="16" t="str">
        <f ca="1">IF(Performances!D18&lt;Performances!R$13,Performances!D18,"")</f>
        <v/>
      </c>
      <c r="C18" s="16" t="str">
        <f ca="1">IF(Performances!F18&lt;Performances!W$13,Performances!F18,"")</f>
        <v/>
      </c>
      <c r="D18" s="16" t="str">
        <f ca="1">IF(Performances!H18&lt;Performances!AB$13,Performances!H18,"")</f>
        <v/>
      </c>
    </row>
    <row r="25" spans="1:4" x14ac:dyDescent="0.25">
      <c r="A25" s="135" t="s">
        <v>306</v>
      </c>
      <c r="B25" s="135"/>
      <c r="C25" s="135"/>
      <c r="D25" s="135"/>
    </row>
    <row r="26" spans="1:4" x14ac:dyDescent="0.25">
      <c r="A26" s="113" t="s">
        <v>184</v>
      </c>
      <c r="B26" s="113" t="s">
        <v>185</v>
      </c>
      <c r="C26" s="113" t="s">
        <v>186</v>
      </c>
      <c r="D26" s="113" t="s">
        <v>187</v>
      </c>
    </row>
    <row r="27" spans="1:4" x14ac:dyDescent="0.25">
      <c r="A27" s="112" t="s">
        <v>302</v>
      </c>
      <c r="B27" s="112" t="s">
        <v>302</v>
      </c>
      <c r="C27" s="112" t="s">
        <v>302</v>
      </c>
      <c r="D27" s="112" t="s">
        <v>302</v>
      </c>
    </row>
    <row r="28" spans="1:4" x14ac:dyDescent="0.25">
      <c r="A28" s="16" t="str">
        <f ca="1">IF(Performances!B28&lt;Performances!M$14,Performances!B28,"")</f>
        <v/>
      </c>
      <c r="B28" s="16" t="str">
        <f ca="1">IF(Performances!D28&lt;Performances!R$14,Performances!D28,"")</f>
        <v/>
      </c>
      <c r="C28" s="16" t="str">
        <f ca="1">IF(Performances!F28&lt;Performances!W$14,Performances!F28,"")</f>
        <v/>
      </c>
      <c r="D28" s="16" t="str">
        <f ca="1">IF(Performances!H28&lt;Performances!AB$14,Performances!H28,"")</f>
        <v/>
      </c>
    </row>
    <row r="29" spans="1:4" x14ac:dyDescent="0.25">
      <c r="A29" s="16" t="str">
        <f ca="1">IF(Performances!B29&lt;Performances!M$14,Performances!B29,"")</f>
        <v/>
      </c>
      <c r="B29" s="16" t="str">
        <f ca="1">IF(Performances!D29&lt;Performances!R$14,Performances!D29,"")</f>
        <v/>
      </c>
      <c r="C29" s="16" t="str">
        <f ca="1">IF(Performances!F29&lt;Performances!W$14,Performances!F29,"")</f>
        <v/>
      </c>
      <c r="D29" s="16" t="str">
        <f ca="1">IF(Performances!H29&lt;Performances!AB$14,Performances!H29,"")</f>
        <v/>
      </c>
    </row>
    <row r="30" spans="1:4" x14ac:dyDescent="0.25">
      <c r="A30" s="16" t="str">
        <f ca="1">IF(Performances!B30&lt;Performances!M$14,Performances!B30,"")</f>
        <v/>
      </c>
      <c r="B30" s="16" t="str">
        <f ca="1">IF(Performances!D30&lt;Performances!R$14,Performances!D30,"")</f>
        <v/>
      </c>
      <c r="C30" s="16" t="str">
        <f ca="1">IF(Performances!F30&lt;Performances!W$14,Performances!F30,"")</f>
        <v/>
      </c>
      <c r="D30" s="16" t="str">
        <f ca="1">IF(Performances!H30&lt;Performances!AB$14,Performances!H30,"")</f>
        <v/>
      </c>
    </row>
    <row r="31" spans="1:4" x14ac:dyDescent="0.25">
      <c r="A31" s="16" t="str">
        <f ca="1">IF(Performances!B31&lt;Performances!M$14,Performances!B31,"")</f>
        <v/>
      </c>
      <c r="B31" s="16" t="str">
        <f ca="1">IF(Performances!D31&lt;Performances!R$14,Performances!D31,"")</f>
        <v/>
      </c>
      <c r="C31" s="16" t="str">
        <f ca="1">IF(Performances!F31&lt;Performances!W$14,Performances!F31,"")</f>
        <v/>
      </c>
      <c r="D31" s="16" t="str">
        <f ca="1">IF(Performances!H31&lt;Performances!AB$14,Performances!H31,"")</f>
        <v/>
      </c>
    </row>
    <row r="32" spans="1:4" x14ac:dyDescent="0.25">
      <c r="A32" s="16" t="str">
        <f ca="1">IF(Performances!B32&lt;Performances!M$14,Performances!B32,"")</f>
        <v/>
      </c>
      <c r="B32" s="16" t="str">
        <f ca="1">IF(Performances!D32&lt;Performances!R$14,Performances!D32,"")</f>
        <v/>
      </c>
      <c r="C32" s="16" t="str">
        <f ca="1">IF(Performances!F32&lt;Performances!W$14,Performances!F32,"")</f>
        <v/>
      </c>
      <c r="D32" s="16" t="str">
        <f ca="1">IF(Performances!H32&lt;Performances!AB$14,Performances!H32,"")</f>
        <v/>
      </c>
    </row>
    <row r="33" spans="1:4" x14ac:dyDescent="0.25">
      <c r="A33" s="16" t="str">
        <f ca="1">IF(Performances!B33&lt;Performances!M$14,Performances!B33,"")</f>
        <v/>
      </c>
      <c r="B33" s="16" t="str">
        <f ca="1">IF(Performances!D33&lt;Performances!R$14,Performances!D33,"")</f>
        <v/>
      </c>
      <c r="C33" s="16" t="str">
        <f ca="1">IF(Performances!F33&lt;Performances!W$14,Performances!F33,"")</f>
        <v/>
      </c>
      <c r="D33" s="16" t="str">
        <f ca="1">IF(Performances!H33&lt;Performances!AB$14,Performances!H33,"")</f>
        <v/>
      </c>
    </row>
    <row r="34" spans="1:4" x14ac:dyDescent="0.25">
      <c r="A34" s="16" t="str">
        <f ca="1">IF(Performances!B34&lt;Performances!M$14,Performances!B34,"")</f>
        <v/>
      </c>
      <c r="B34" s="16" t="str">
        <f ca="1">IF(Performances!D34&lt;Performances!R$14,Performances!D34,"")</f>
        <v/>
      </c>
      <c r="C34" s="16" t="str">
        <f ca="1">IF(Performances!F34&lt;Performances!W$14,Performances!F34,"")</f>
        <v/>
      </c>
      <c r="D34" s="16" t="str">
        <f ca="1">IF(Performances!H34&lt;Performances!AB$14,Performances!H34,"")</f>
        <v/>
      </c>
    </row>
    <row r="35" spans="1:4" x14ac:dyDescent="0.25">
      <c r="A35" s="16" t="str">
        <f ca="1">IF(Performances!B35&lt;Performances!M$14,Performances!B35,"")</f>
        <v/>
      </c>
      <c r="B35" s="16" t="str">
        <f ca="1">IF(Performances!D35&lt;Performances!R$14,Performances!D35,"")</f>
        <v/>
      </c>
      <c r="C35" s="16" t="str">
        <f ca="1">IF(Performances!F35&lt;Performances!W$14,Performances!F35,"")</f>
        <v/>
      </c>
      <c r="D35" s="16" t="str">
        <f ca="1">IF(Performances!H35&lt;Performances!AB$14,Performances!H35,"")</f>
        <v/>
      </c>
    </row>
    <row r="36" spans="1:4" x14ac:dyDescent="0.25">
      <c r="A36" s="16" t="str">
        <f ca="1">IF(Performances!B36&lt;Performances!M$14,Performances!B36,"")</f>
        <v/>
      </c>
      <c r="B36" s="16" t="str">
        <f ca="1">IF(Performances!D36&lt;Performances!R$14,Performances!D36,"")</f>
        <v/>
      </c>
      <c r="C36" s="16" t="str">
        <f ca="1">IF(Performances!F36&lt;Performances!W$14,Performances!F36,"")</f>
        <v/>
      </c>
      <c r="D36" s="16" t="str">
        <f ca="1">IF(Performances!H36&lt;Performances!AB$14,Performances!H36,"")</f>
        <v/>
      </c>
    </row>
    <row r="37" spans="1:4" x14ac:dyDescent="0.25">
      <c r="A37" s="16" t="str">
        <f ca="1">IF(Performances!B37&lt;Performances!M$14,Performances!B37,"")</f>
        <v/>
      </c>
      <c r="B37" s="16" t="str">
        <f ca="1">IF(Performances!D37&lt;Performances!R$14,Performances!D37,"")</f>
        <v/>
      </c>
      <c r="C37" s="16" t="str">
        <f ca="1">IF(Performances!F37&lt;Performances!W$14,Performances!F37,"")</f>
        <v/>
      </c>
      <c r="D37" s="16" t="str">
        <f ca="1">IF(Performances!H37&lt;Performances!AB$14,Performances!H37,"")</f>
        <v/>
      </c>
    </row>
    <row r="38" spans="1:4" x14ac:dyDescent="0.25">
      <c r="A38" s="16" t="str">
        <f ca="1">IF(Performances!B38&lt;Performances!M$14,Performances!B38,"")</f>
        <v/>
      </c>
      <c r="B38" s="16" t="str">
        <f ca="1">IF(Performances!D38&lt;Performances!R$14,Performances!D38,"")</f>
        <v/>
      </c>
      <c r="C38" s="16" t="str">
        <f ca="1">IF(Performances!F38&lt;Performances!W$14,Performances!F38,"")</f>
        <v/>
      </c>
      <c r="D38" s="16" t="str">
        <f ca="1">IF(Performances!H38&lt;Performances!AB$14,Performances!H38,"")</f>
        <v/>
      </c>
    </row>
    <row r="39" spans="1:4" x14ac:dyDescent="0.25">
      <c r="A39" s="16" t="str">
        <f ca="1">IF(Performances!B39&lt;Performances!M$14,Performances!B39,"")</f>
        <v/>
      </c>
      <c r="B39" s="16" t="str">
        <f ca="1">IF(Performances!D39&lt;Performances!R$14,Performances!D39,"")</f>
        <v/>
      </c>
      <c r="C39" s="16" t="str">
        <f ca="1">IF(Performances!F39&lt;Performances!W$14,Performances!F39,"")</f>
        <v/>
      </c>
      <c r="D39" s="16" t="str">
        <f ca="1">IF(Performances!H39&lt;Performances!AB$14,Performances!H39,"")</f>
        <v/>
      </c>
    </row>
    <row r="40" spans="1:4" x14ac:dyDescent="0.25">
      <c r="A40" s="16" t="str">
        <f ca="1">IF(Performances!B40&lt;Performances!M$14,Performances!B40,"")</f>
        <v/>
      </c>
      <c r="B40" s="16" t="str">
        <f ca="1">IF(Performances!D40&lt;Performances!R$14,Performances!D40,"")</f>
        <v/>
      </c>
      <c r="C40" s="16" t="str">
        <f ca="1">IF(Performances!F40&lt;Performances!W$14,Performances!F40,"")</f>
        <v/>
      </c>
      <c r="D40" s="16" t="str">
        <f ca="1">IF(Performances!H40&lt;Performances!AB$14,Performances!H40,"")</f>
        <v/>
      </c>
    </row>
    <row r="41" spans="1:4" x14ac:dyDescent="0.25">
      <c r="A41" s="16" t="str">
        <f ca="1">IF(Performances!B41&lt;Performances!M$14,Performances!B41,"")</f>
        <v/>
      </c>
      <c r="B41" s="16" t="str">
        <f ca="1">IF(Performances!D41&lt;Performances!R$14,Performances!D41,"")</f>
        <v/>
      </c>
      <c r="C41" s="16" t="str">
        <f ca="1">IF(Performances!F41&lt;Performances!W$14,Performances!F41,"")</f>
        <v/>
      </c>
      <c r="D41" s="16" t="str">
        <f ca="1">IF(Performances!H41&lt;Performances!AB$14,Performances!H41,"")</f>
        <v/>
      </c>
    </row>
    <row r="42" spans="1:4" x14ac:dyDescent="0.25">
      <c r="A42" s="16" t="str">
        <f ca="1">IF(Performances!B42&lt;Performances!M$14,Performances!B42,"")</f>
        <v/>
      </c>
      <c r="B42" s="16" t="str">
        <f ca="1">IF(Performances!D42&lt;Performances!R$14,Performances!D42,"")</f>
        <v/>
      </c>
      <c r="C42" s="16" t="str">
        <f ca="1">IF(Performances!F42&lt;Performances!W$14,Performances!F42,"")</f>
        <v/>
      </c>
      <c r="D42" s="16" t="str">
        <f ca="1">IF(Performances!H42&lt;Performances!AB$14,Performances!H42,"")</f>
        <v/>
      </c>
    </row>
    <row r="49" spans="1:4" x14ac:dyDescent="0.25">
      <c r="A49" s="135" t="s">
        <v>307</v>
      </c>
      <c r="B49" s="135"/>
      <c r="C49" s="135"/>
      <c r="D49" s="135"/>
    </row>
    <row r="50" spans="1:4" x14ac:dyDescent="0.25">
      <c r="A50" s="113" t="s">
        <v>184</v>
      </c>
      <c r="B50" s="113" t="s">
        <v>185</v>
      </c>
      <c r="C50" s="113" t="s">
        <v>186</v>
      </c>
      <c r="D50" s="113" t="s">
        <v>187</v>
      </c>
    </row>
    <row r="51" spans="1:4" x14ac:dyDescent="0.25">
      <c r="A51" s="112" t="s">
        <v>302</v>
      </c>
      <c r="B51" s="112" t="s">
        <v>302</v>
      </c>
      <c r="C51" s="112" t="s">
        <v>302</v>
      </c>
      <c r="D51" s="112" t="s">
        <v>302</v>
      </c>
    </row>
    <row r="52" spans="1:4" x14ac:dyDescent="0.25">
      <c r="A52" s="16" t="str">
        <f ca="1">IF(Performances!B52&lt;Performances!M$15,Performances!B52,"")</f>
        <v/>
      </c>
      <c r="B52" s="16" t="str">
        <f ca="1">IF(Performances!D52&lt;Performances!R$15,Performances!D52,"")</f>
        <v/>
      </c>
      <c r="C52" s="16" t="str">
        <f ca="1">IF(Performances!F52&lt;Performances!W$15,Performances!F52,"")</f>
        <v/>
      </c>
      <c r="D52" s="16" t="str">
        <f ca="1">IF(Performances!H52&lt;Performances!AB$15,Performances!H52,"")</f>
        <v/>
      </c>
    </row>
    <row r="53" spans="1:4" x14ac:dyDescent="0.25">
      <c r="A53" s="16" t="str">
        <f ca="1">IF(Performances!B53&lt;Performances!M$15,Performances!B53,"")</f>
        <v/>
      </c>
      <c r="B53" s="16" t="str">
        <f ca="1">IF(Performances!D53&lt;Performances!R$15,Performances!D53,"")</f>
        <v/>
      </c>
      <c r="C53" s="16" t="str">
        <f ca="1">IF(Performances!F53&lt;Performances!W$15,Performances!F53,"")</f>
        <v/>
      </c>
      <c r="D53" s="16" t="str">
        <f ca="1">IF(Performances!H53&lt;Performances!AB$15,Performances!H53,"")</f>
        <v/>
      </c>
    </row>
    <row r="54" spans="1:4" x14ac:dyDescent="0.25">
      <c r="A54" s="16" t="str">
        <f ca="1">IF(Performances!B54&lt;Performances!M$15,Performances!B54,"")</f>
        <v/>
      </c>
      <c r="B54" s="16" t="str">
        <f ca="1">IF(Performances!D54&lt;Performances!R$15,Performances!D54,"")</f>
        <v/>
      </c>
      <c r="C54" s="16" t="str">
        <f ca="1">IF(Performances!F54&lt;Performances!W$15,Performances!F54,"")</f>
        <v/>
      </c>
      <c r="D54" s="16" t="str">
        <f ca="1">IF(Performances!H54&lt;Performances!AB$15,Performances!H54,"")</f>
        <v/>
      </c>
    </row>
    <row r="55" spans="1:4" x14ac:dyDescent="0.25">
      <c r="A55" s="16" t="str">
        <f ca="1">IF(Performances!B55&lt;Performances!M$15,Performances!B55,"")</f>
        <v/>
      </c>
      <c r="B55" s="16" t="str">
        <f ca="1">IF(Performances!D55&lt;Performances!R$15,Performances!D55,"")</f>
        <v/>
      </c>
      <c r="C55" s="16" t="str">
        <f ca="1">IF(Performances!F55&lt;Performances!W$15,Performances!F55,"")</f>
        <v/>
      </c>
      <c r="D55" s="16" t="str">
        <f ca="1">IF(Performances!H55&lt;Performances!AB$15,Performances!H55,"")</f>
        <v/>
      </c>
    </row>
    <row r="56" spans="1:4" x14ac:dyDescent="0.25">
      <c r="A56" s="16" t="str">
        <f ca="1">IF(Performances!B56&lt;Performances!M$15,Performances!B56,"")</f>
        <v/>
      </c>
      <c r="B56" s="16" t="str">
        <f ca="1">IF(Performances!D56&lt;Performances!R$15,Performances!D56,"")</f>
        <v/>
      </c>
      <c r="C56" s="16" t="str">
        <f ca="1">IF(Performances!F56&lt;Performances!W$15,Performances!F56,"")</f>
        <v/>
      </c>
      <c r="D56" s="16" t="str">
        <f ca="1">IF(Performances!H56&lt;Performances!AB$15,Performances!H56,"")</f>
        <v/>
      </c>
    </row>
    <row r="57" spans="1:4" x14ac:dyDescent="0.25">
      <c r="A57" s="16" t="str">
        <f ca="1">IF(Performances!B57&lt;Performances!M$15,Performances!B57,"")</f>
        <v/>
      </c>
      <c r="B57" s="16" t="str">
        <f ca="1">IF(Performances!D57&lt;Performances!R$15,Performances!D57,"")</f>
        <v/>
      </c>
      <c r="C57" s="16" t="str">
        <f ca="1">IF(Performances!F57&lt;Performances!W$15,Performances!F57,"")</f>
        <v/>
      </c>
      <c r="D57" s="16" t="str">
        <f ca="1">IF(Performances!H57&lt;Performances!AB$15,Performances!H57,"")</f>
        <v/>
      </c>
    </row>
    <row r="58" spans="1:4" x14ac:dyDescent="0.25">
      <c r="A58" s="16" t="str">
        <f ca="1">IF(Performances!B58&lt;Performances!M$15,Performances!B58,"")</f>
        <v/>
      </c>
      <c r="B58" s="16" t="str">
        <f ca="1">IF(Performances!D58&lt;Performances!R$15,Performances!D58,"")</f>
        <v/>
      </c>
      <c r="C58" s="16" t="str">
        <f ca="1">IF(Performances!F58&lt;Performances!W$15,Performances!F58,"")</f>
        <v/>
      </c>
      <c r="D58" s="16" t="str">
        <f ca="1">IF(Performances!H58&lt;Performances!AB$15,Performances!H58,"")</f>
        <v/>
      </c>
    </row>
    <row r="59" spans="1:4" x14ac:dyDescent="0.25">
      <c r="A59" s="16" t="str">
        <f ca="1">IF(Performances!B59&lt;Performances!M$15,Performances!B59,"")</f>
        <v/>
      </c>
      <c r="B59" s="16" t="str">
        <f ca="1">IF(Performances!D59&lt;Performances!R$15,Performances!D59,"")</f>
        <v/>
      </c>
      <c r="C59" s="16" t="str">
        <f ca="1">IF(Performances!F59&lt;Performances!W$15,Performances!F59,"")</f>
        <v/>
      </c>
      <c r="D59" s="16" t="str">
        <f ca="1">IF(Performances!H59&lt;Performances!AB$15,Performances!H59,"")</f>
        <v/>
      </c>
    </row>
    <row r="60" spans="1:4" x14ac:dyDescent="0.25">
      <c r="A60" s="16" t="str">
        <f ca="1">IF(Performances!B60&lt;Performances!M$15,Performances!B60,"")</f>
        <v/>
      </c>
      <c r="B60" s="16" t="str">
        <f ca="1">IF(Performances!D60&lt;Performances!R$15,Performances!D60,"")</f>
        <v/>
      </c>
      <c r="C60" s="16" t="str">
        <f ca="1">IF(Performances!F60&lt;Performances!W$15,Performances!F60,"")</f>
        <v/>
      </c>
      <c r="D60" s="16" t="str">
        <f ca="1">IF(Performances!H60&lt;Performances!AB$15,Performances!H60,"")</f>
        <v/>
      </c>
    </row>
    <row r="61" spans="1:4" x14ac:dyDescent="0.25">
      <c r="A61" s="16" t="str">
        <f ca="1">IF(Performances!B61&lt;Performances!M$15,Performances!B61,"")</f>
        <v/>
      </c>
      <c r="B61" s="16" t="str">
        <f ca="1">IF(Performances!D61&lt;Performances!R$15,Performances!D61,"")</f>
        <v/>
      </c>
      <c r="C61" s="16" t="str">
        <f ca="1">IF(Performances!F61&lt;Performances!W$15,Performances!F61,"")</f>
        <v/>
      </c>
      <c r="D61" s="16" t="str">
        <f ca="1">IF(Performances!H61&lt;Performances!AB$15,Performances!H61,"")</f>
        <v/>
      </c>
    </row>
    <row r="62" spans="1:4" x14ac:dyDescent="0.25">
      <c r="A62" s="16" t="str">
        <f ca="1">IF(Performances!B62&lt;Performances!M$15,Performances!B62,"")</f>
        <v/>
      </c>
      <c r="B62" s="16" t="str">
        <f ca="1">IF(Performances!D62&lt;Performances!R$15,Performances!D62,"")</f>
        <v/>
      </c>
      <c r="C62" s="16" t="str">
        <f ca="1">IF(Performances!F62&lt;Performances!W$15,Performances!F62,"")</f>
        <v/>
      </c>
      <c r="D62" s="16" t="str">
        <f ca="1">IF(Performances!H62&lt;Performances!AB$15,Performances!H62,"")</f>
        <v/>
      </c>
    </row>
    <row r="63" spans="1:4" x14ac:dyDescent="0.25">
      <c r="A63" s="16" t="str">
        <f ca="1">IF(Performances!B63&lt;Performances!M$15,Performances!B63,"")</f>
        <v/>
      </c>
      <c r="B63" s="16" t="str">
        <f ca="1">IF(Performances!D63&lt;Performances!R$15,Performances!D63,"")</f>
        <v/>
      </c>
      <c r="C63" s="16" t="str">
        <f ca="1">IF(Performances!F63&lt;Performances!W$15,Performances!F63,"")</f>
        <v/>
      </c>
      <c r="D63" s="16" t="str">
        <f ca="1">IF(Performances!H63&lt;Performances!AB$15,Performances!H63,"")</f>
        <v/>
      </c>
    </row>
    <row r="64" spans="1:4" x14ac:dyDescent="0.25">
      <c r="A64" s="16" t="str">
        <f ca="1">IF(Performances!B64&lt;Performances!M$15,Performances!B64,"")</f>
        <v/>
      </c>
      <c r="B64" s="16" t="str">
        <f ca="1">IF(Performances!D64&lt;Performances!R$15,Performances!D64,"")</f>
        <v/>
      </c>
      <c r="C64" s="16" t="str">
        <f ca="1">IF(Performances!F64&lt;Performances!W$15,Performances!F64,"")</f>
        <v/>
      </c>
      <c r="D64" s="16" t="str">
        <f ca="1">IF(Performances!H64&lt;Performances!AB$15,Performances!H64,"")</f>
        <v/>
      </c>
    </row>
    <row r="65" spans="1:4" x14ac:dyDescent="0.25">
      <c r="A65" s="16" t="str">
        <f ca="1">IF(Performances!B65&lt;Performances!M$15,Performances!B65,"")</f>
        <v/>
      </c>
      <c r="B65" s="16" t="str">
        <f ca="1">IF(Performances!D65&lt;Performances!R$15,Performances!D65,"")</f>
        <v/>
      </c>
      <c r="C65" s="16" t="str">
        <f ca="1">IF(Performances!F65&lt;Performances!W$15,Performances!F65,"")</f>
        <v/>
      </c>
      <c r="D65" s="16" t="str">
        <f ca="1">IF(Performances!H65&lt;Performances!AB$15,Performances!H65,"")</f>
        <v/>
      </c>
    </row>
    <row r="66" spans="1:4" x14ac:dyDescent="0.25">
      <c r="A66" s="16" t="str">
        <f ca="1">IF(Performances!B66&lt;Performances!M$15,Performances!B66,"")</f>
        <v/>
      </c>
      <c r="B66" s="16" t="str">
        <f ca="1">IF(Performances!D66&lt;Performances!R$15,Performances!D66,"")</f>
        <v/>
      </c>
      <c r="C66" s="16" t="str">
        <f ca="1">IF(Performances!F66&lt;Performances!W$15,Performances!F66,"")</f>
        <v/>
      </c>
      <c r="D66" s="16" t="str">
        <f ca="1">IF(Performances!H66&lt;Performances!AB$15,Performances!H66,"")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F51" sqref="F51"/>
    </sheetView>
  </sheetViews>
  <sheetFormatPr baseColWidth="10" defaultRowHeight="13.2" x14ac:dyDescent="0.25"/>
  <sheetData>
    <row r="1" spans="1:7" x14ac:dyDescent="0.25">
      <c r="A1" s="135" t="s">
        <v>301</v>
      </c>
      <c r="B1" s="135"/>
      <c r="C1" s="135"/>
      <c r="D1" s="135"/>
    </row>
    <row r="2" spans="1:7" x14ac:dyDescent="0.25">
      <c r="A2" s="113" t="s">
        <v>184</v>
      </c>
      <c r="B2" s="113" t="s">
        <v>185</v>
      </c>
      <c r="C2" s="113" t="s">
        <v>186</v>
      </c>
      <c r="D2" s="113" t="s">
        <v>187</v>
      </c>
    </row>
    <row r="3" spans="1:7" x14ac:dyDescent="0.25">
      <c r="A3" s="112" t="s">
        <v>302</v>
      </c>
      <c r="B3" s="112" t="s">
        <v>302</v>
      </c>
      <c r="C3" s="112" t="s">
        <v>302</v>
      </c>
      <c r="D3" s="112" t="s">
        <v>302</v>
      </c>
      <c r="F3" s="114" t="s">
        <v>302</v>
      </c>
    </row>
    <row r="4" spans="1:7" x14ac:dyDescent="0.25">
      <c r="A4" s="16" t="str">
        <f ca="1">IF(Performances!B4&gt;Performances!Q$13,Performances!B4,"")</f>
        <v/>
      </c>
      <c r="B4" s="16" t="str">
        <f ca="1">IF(Performances!D4&gt;Performances!V$13,Performances!D4,"")</f>
        <v/>
      </c>
      <c r="C4" s="16" t="str">
        <f ca="1">IF(Performances!F4&gt;Performances!AA$13,Performances!F4,"")</f>
        <v/>
      </c>
      <c r="D4" s="16" t="str">
        <f ca="1">IF(Performances!H4&gt;Performances!AF$13,Performances!H4,"")</f>
        <v/>
      </c>
      <c r="E4" t="str">
        <f t="shared" ref="E4:E17" ca="1" si="0">IF(A4="","",IF(A4&lt;-1,A4,""))</f>
        <v/>
      </c>
      <c r="F4">
        <v>0.1</v>
      </c>
      <c r="G4">
        <v>-1</v>
      </c>
    </row>
    <row r="5" spans="1:7" x14ac:dyDescent="0.25">
      <c r="A5" s="16" t="str">
        <f ca="1">IF(Performances!B5&gt;Performances!Q$13,Performances!B5,"")</f>
        <v/>
      </c>
      <c r="B5" s="16" t="str">
        <f ca="1">IF(Performances!D5&gt;Performances!V$13,Performances!D5,"")</f>
        <v/>
      </c>
      <c r="C5" s="16" t="str">
        <f ca="1">IF(Performances!F5&gt;Performances!AA$13,Performances!F5,"")</f>
        <v/>
      </c>
      <c r="D5" s="16" t="str">
        <f ca="1">IF(Performances!H5&gt;Performances!AF$13,Performances!H5,"")</f>
        <v/>
      </c>
      <c r="E5" t="str">
        <f t="shared" ca="1" si="0"/>
        <v/>
      </c>
      <c r="F5">
        <v>0.1</v>
      </c>
    </row>
    <row r="6" spans="1:7" x14ac:dyDescent="0.25">
      <c r="A6" s="16" t="str">
        <f ca="1">IF(Performances!B6&gt;Performances!Q$13,Performances!B6,"")</f>
        <v/>
      </c>
      <c r="B6" s="16" t="str">
        <f ca="1">IF(Performances!D6&gt;Performances!V$13,Performances!D6,"")</f>
        <v/>
      </c>
      <c r="C6" s="16" t="str">
        <f ca="1">IF(Performances!F6&gt;Performances!AA$13,Performances!F6,"")</f>
        <v/>
      </c>
      <c r="D6" s="16" t="str">
        <f ca="1">IF(Performances!H6&gt;Performances!AF$13,Performances!H6,"")</f>
        <v/>
      </c>
      <c r="E6" t="str">
        <f t="shared" ca="1" si="0"/>
        <v/>
      </c>
      <c r="F6">
        <v>0.1</v>
      </c>
    </row>
    <row r="7" spans="1:7" x14ac:dyDescent="0.25">
      <c r="A7" s="16">
        <f ca="1">IF(Performances!B7&gt;Performances!Q$13,Performances!B7,"")</f>
        <v>0.3538111084037357</v>
      </c>
      <c r="B7" s="16">
        <f ca="1">IF(Performances!D7&gt;Performances!V$13,Performances!D7,"")</f>
        <v>0.33148889078034294</v>
      </c>
      <c r="C7" s="16" t="str">
        <f ca="1">IF(Performances!F7&gt;Performances!AA$13,Performances!F7,"")</f>
        <v/>
      </c>
      <c r="D7" s="16" t="str">
        <f ca="1">IF(Performances!H7&gt;Performances!AF$13,Performances!H7,"")</f>
        <v/>
      </c>
      <c r="E7" t="str">
        <f t="shared" ca="1" si="0"/>
        <v/>
      </c>
      <c r="F7">
        <v>0.1</v>
      </c>
    </row>
    <row r="8" spans="1:7" x14ac:dyDescent="0.25">
      <c r="A8" s="16" t="str">
        <f ca="1">IF(Performances!B8&gt;Performances!Q$13,Performances!B8,"")</f>
        <v/>
      </c>
      <c r="B8" s="16" t="str">
        <f ca="1">IF(Performances!D8&gt;Performances!V$13,Performances!D8,"")</f>
        <v/>
      </c>
      <c r="C8" s="16" t="str">
        <f ca="1">IF(Performances!F8&gt;Performances!AA$13,Performances!F8,"")</f>
        <v/>
      </c>
      <c r="D8" s="16" t="str">
        <f ca="1">IF(Performances!H8&gt;Performances!AF$13,Performances!H8,"")</f>
        <v/>
      </c>
      <c r="E8" t="str">
        <f t="shared" ca="1" si="0"/>
        <v/>
      </c>
    </row>
    <row r="9" spans="1:7" x14ac:dyDescent="0.25">
      <c r="A9" s="16" t="str">
        <f ca="1">IF(Performances!B9&gt;Performances!Q$13,Performances!B9,"")</f>
        <v/>
      </c>
      <c r="B9" s="16" t="str">
        <f ca="1">IF(Performances!D9&gt;Performances!V$13,Performances!D9,"")</f>
        <v/>
      </c>
      <c r="C9" s="16" t="str">
        <f ca="1">IF(Performances!F9&gt;Performances!AA$13,Performances!F9,"")</f>
        <v/>
      </c>
      <c r="D9" s="16" t="str">
        <f ca="1">IF(Performances!H9&gt;Performances!AF$13,Performances!H9,"")</f>
        <v/>
      </c>
      <c r="E9" t="str">
        <f t="shared" ca="1" si="0"/>
        <v/>
      </c>
    </row>
    <row r="10" spans="1:7" x14ac:dyDescent="0.25">
      <c r="A10" s="16" t="str">
        <f ca="1">IF(Performances!B10&gt;Performances!Q$13,Performances!B10,"")</f>
        <v/>
      </c>
      <c r="B10" s="16" t="str">
        <f ca="1">IF(Performances!D10&gt;Performances!V$13,Performances!D10,"")</f>
        <v/>
      </c>
      <c r="C10" s="16" t="str">
        <f ca="1">IF(Performances!F10&gt;Performances!AA$13,Performances!F10,"")</f>
        <v/>
      </c>
      <c r="D10" s="16" t="str">
        <f ca="1">IF(Performances!H10&gt;Performances!AF$13,Performances!H10,"")</f>
        <v/>
      </c>
      <c r="E10" t="str">
        <f t="shared" ca="1" si="0"/>
        <v/>
      </c>
    </row>
    <row r="11" spans="1:7" x14ac:dyDescent="0.25">
      <c r="A11" s="16" t="str">
        <f ca="1">IF(Performances!B11&gt;Performances!Q$13,Performances!B11,"")</f>
        <v/>
      </c>
      <c r="B11" s="16" t="str">
        <f ca="1">IF(Performances!D11&gt;Performances!V$13,Performances!D11,"")</f>
        <v/>
      </c>
      <c r="C11" s="16" t="str">
        <f ca="1">IF(Performances!F11&gt;Performances!AA$13,Performances!F11,"")</f>
        <v/>
      </c>
      <c r="D11" s="16" t="str">
        <f ca="1">IF(Performances!H11&gt;Performances!AF$13,Performances!H11,"")</f>
        <v/>
      </c>
      <c r="E11" t="str">
        <f t="shared" ca="1" si="0"/>
        <v/>
      </c>
    </row>
    <row r="12" spans="1:7" x14ac:dyDescent="0.25">
      <c r="A12" s="16" t="str">
        <f ca="1">IF(Performances!B12&gt;Performances!Q$13,Performances!B12,"")</f>
        <v/>
      </c>
      <c r="B12" s="16" t="str">
        <f ca="1">IF(Performances!D12&gt;Performances!V$13,Performances!D12,"")</f>
        <v/>
      </c>
      <c r="C12" s="16" t="str">
        <f ca="1">IF(Performances!F12&gt;Performances!AA$13,Performances!F12,"")</f>
        <v/>
      </c>
      <c r="D12" s="16" t="str">
        <f ca="1">IF(Performances!H12&gt;Performances!AF$13,Performances!H12,"")</f>
        <v/>
      </c>
      <c r="E12" t="str">
        <f t="shared" ca="1" si="0"/>
        <v/>
      </c>
    </row>
    <row r="13" spans="1:7" x14ac:dyDescent="0.25">
      <c r="A13" s="16" t="str">
        <f ca="1">IF(Performances!B13&gt;Performances!Q$13,Performances!B13,"")</f>
        <v/>
      </c>
      <c r="B13" s="16" t="str">
        <f ca="1">IF(Performances!D13&gt;Performances!V$13,Performances!D13,"")</f>
        <v/>
      </c>
      <c r="C13" s="16" t="str">
        <f ca="1">IF(Performances!F13&gt;Performances!AA$13,Performances!F13,"")</f>
        <v/>
      </c>
      <c r="D13" s="16" t="str">
        <f ca="1">IF(Performances!H13&gt;Performances!AF$13,Performances!H13,"")</f>
        <v/>
      </c>
      <c r="E13" t="str">
        <f t="shared" ca="1" si="0"/>
        <v/>
      </c>
    </row>
    <row r="14" spans="1:7" x14ac:dyDescent="0.25">
      <c r="A14" s="16" t="str">
        <f ca="1">IF(Performances!B14&gt;Performances!Q$13,Performances!B14,"")</f>
        <v/>
      </c>
      <c r="B14" s="16" t="str">
        <f ca="1">IF(Performances!D14&gt;Performances!V$13,Performances!D14,"")</f>
        <v/>
      </c>
      <c r="C14" s="16" t="str">
        <f ca="1">IF(Performances!F14&gt;Performances!AA$13,Performances!F14,"")</f>
        <v/>
      </c>
      <c r="D14" s="16" t="str">
        <f ca="1">IF(Performances!H14&gt;Performances!AF$13,Performances!H14,"")</f>
        <v/>
      </c>
      <c r="E14" t="str">
        <f t="shared" ca="1" si="0"/>
        <v/>
      </c>
    </row>
    <row r="15" spans="1:7" x14ac:dyDescent="0.25">
      <c r="A15" s="16" t="str">
        <f ca="1">IF(Performances!B15&gt;Performances!Q$13,Performances!B15,"")</f>
        <v/>
      </c>
      <c r="B15" s="16" t="str">
        <f ca="1">IF(Performances!D15&gt;Performances!V$13,Performances!D15,"")</f>
        <v/>
      </c>
      <c r="C15" s="16" t="str">
        <f ca="1">IF(Performances!F15&gt;Performances!AA$13,Performances!F15,"")</f>
        <v/>
      </c>
      <c r="D15" s="16" t="str">
        <f ca="1">IF(Performances!H15&gt;Performances!AF$13,Performances!H15,"")</f>
        <v/>
      </c>
      <c r="E15" t="str">
        <f t="shared" ca="1" si="0"/>
        <v/>
      </c>
    </row>
    <row r="16" spans="1:7" x14ac:dyDescent="0.25">
      <c r="A16" s="16" t="str">
        <f ca="1">IF(Performances!B16&gt;Performances!Q$13,Performances!B16,"")</f>
        <v/>
      </c>
      <c r="B16" s="16" t="str">
        <f ca="1">IF(Performances!D16&gt;Performances!V$13,Performances!D16,"")</f>
        <v/>
      </c>
      <c r="C16" s="16" t="str">
        <f ca="1">IF(Performances!F16&gt;Performances!AA$13,Performances!F16,"")</f>
        <v/>
      </c>
      <c r="D16" s="16" t="str">
        <f ca="1">IF(Performances!H16&gt;Performances!AF$13,Performances!H16,"")</f>
        <v/>
      </c>
      <c r="E16" t="str">
        <f t="shared" ca="1" si="0"/>
        <v/>
      </c>
    </row>
    <row r="17" spans="1:5" x14ac:dyDescent="0.25">
      <c r="A17" s="16" t="str">
        <f ca="1">IF(Performances!B17&gt;Performances!Q$13,Performances!B17,"")</f>
        <v/>
      </c>
      <c r="B17" s="16" t="str">
        <f ca="1">IF(Performances!D17&gt;Performances!V$13,Performances!D17,"")</f>
        <v/>
      </c>
      <c r="C17" s="16" t="str">
        <f ca="1">IF(Performances!F17&gt;Performances!AA$13,Performances!F17,"")</f>
        <v/>
      </c>
      <c r="D17" s="16" t="str">
        <f ca="1">IF(Performances!H17&gt;Performances!AF$13,Performances!H17,"")</f>
        <v/>
      </c>
      <c r="E17" t="str">
        <f t="shared" ca="1" si="0"/>
        <v/>
      </c>
    </row>
    <row r="18" spans="1:5" x14ac:dyDescent="0.25">
      <c r="A18" s="16" t="str">
        <f ca="1">IF(Performances!B18&gt;Performances!Q$13,Performances!B18,"")</f>
        <v/>
      </c>
      <c r="B18" s="16" t="str">
        <f ca="1">IF(Performances!D18&gt;Performances!V$13,Performances!D18,"")</f>
        <v/>
      </c>
      <c r="C18" s="16" t="str">
        <f ca="1">IF(Performances!F18&gt;Performances!AA$13,Performances!F18,"")</f>
        <v/>
      </c>
      <c r="D18" s="16" t="str">
        <f ca="1">IF(Performances!H18&gt;Performances!AF$13,Performances!H18,"")</f>
        <v/>
      </c>
    </row>
    <row r="25" spans="1:5" x14ac:dyDescent="0.25">
      <c r="A25" s="135" t="s">
        <v>303</v>
      </c>
      <c r="B25" s="135"/>
      <c r="C25" s="135"/>
      <c r="D25" s="135"/>
    </row>
    <row r="26" spans="1:5" x14ac:dyDescent="0.25">
      <c r="A26" s="113" t="s">
        <v>184</v>
      </c>
      <c r="B26" s="113" t="s">
        <v>185</v>
      </c>
      <c r="C26" s="113" t="s">
        <v>186</v>
      </c>
      <c r="D26" s="113" t="s">
        <v>187</v>
      </c>
    </row>
    <row r="27" spans="1:5" x14ac:dyDescent="0.25">
      <c r="A27" s="112" t="s">
        <v>302</v>
      </c>
      <c r="B27" s="112" t="s">
        <v>302</v>
      </c>
      <c r="C27" s="112" t="s">
        <v>302</v>
      </c>
      <c r="D27" s="112" t="s">
        <v>302</v>
      </c>
    </row>
    <row r="28" spans="1:5" x14ac:dyDescent="0.25">
      <c r="A28" s="16" t="str">
        <f ca="1">IF(Performances!B28&gt;Performances!Q$14,Performances!B28,"")</f>
        <v/>
      </c>
      <c r="B28" s="16" t="str">
        <f ca="1">IF(Performances!D28&gt;Performances!V$14,Performances!D28,"")</f>
        <v/>
      </c>
      <c r="C28" s="16" t="str">
        <f ca="1">IF(Performances!F28&gt;Performances!AA$14,Performances!F28,"")</f>
        <v/>
      </c>
      <c r="D28" s="16" t="str">
        <f ca="1">IF(Performances!H28&gt;Performances!AF$14,Performances!H28,"")</f>
        <v/>
      </c>
    </row>
    <row r="29" spans="1:5" x14ac:dyDescent="0.25">
      <c r="A29" s="16" t="str">
        <f ca="1">IF(Performances!B29&gt;Performances!Q$14,Performances!B29,"")</f>
        <v/>
      </c>
      <c r="B29" s="16" t="str">
        <f ca="1">IF(Performances!D29&gt;Performances!V$14,Performances!D29,"")</f>
        <v/>
      </c>
      <c r="C29" s="16" t="str">
        <f ca="1">IF(Performances!F29&gt;Performances!AA$14,Performances!F29,"")</f>
        <v/>
      </c>
      <c r="D29" s="16" t="str">
        <f ca="1">IF(Performances!H29&gt;Performances!AF$14,Performances!H29,"")</f>
        <v/>
      </c>
    </row>
    <row r="30" spans="1:5" x14ac:dyDescent="0.25">
      <c r="A30" s="16" t="str">
        <f ca="1">IF(Performances!B30&gt;Performances!Q$14,Performances!B30,"")</f>
        <v/>
      </c>
      <c r="B30" s="16" t="str">
        <f ca="1">IF(Performances!D30&gt;Performances!V$14,Performances!D30,"")</f>
        <v/>
      </c>
      <c r="C30" s="16" t="str">
        <f ca="1">IF(Performances!F30&gt;Performances!AA$14,Performances!F30,"")</f>
        <v/>
      </c>
      <c r="D30" s="16" t="str">
        <f ca="1">IF(Performances!H30&gt;Performances!AF$14,Performances!H30,"")</f>
        <v/>
      </c>
    </row>
    <row r="31" spans="1:5" x14ac:dyDescent="0.25">
      <c r="A31" s="16" t="str">
        <f ca="1">IF(Performances!B31&gt;Performances!Q$14,Performances!B31,"")</f>
        <v/>
      </c>
      <c r="B31" s="16" t="str">
        <f ca="1">IF(Performances!D31&gt;Performances!V$14,Performances!D31,"")</f>
        <v/>
      </c>
      <c r="C31" s="16" t="str">
        <f ca="1">IF(Performances!F31&gt;Performances!AA$14,Performances!F31,"")</f>
        <v/>
      </c>
      <c r="D31" s="16" t="str">
        <f ca="1">IF(Performances!H31&gt;Performances!AF$14,Performances!H31,"")</f>
        <v/>
      </c>
    </row>
    <row r="32" spans="1:5" x14ac:dyDescent="0.25">
      <c r="A32" s="16" t="str">
        <f ca="1">IF(Performances!B32&gt;Performances!Q$14,Performances!B32,"")</f>
        <v/>
      </c>
      <c r="B32" s="16" t="str">
        <f ca="1">IF(Performances!D32&gt;Performances!V$14,Performances!D32,"")</f>
        <v/>
      </c>
      <c r="C32" s="16" t="str">
        <f ca="1">IF(Performances!F32&gt;Performances!AA$14,Performances!F32,"")</f>
        <v/>
      </c>
      <c r="D32" s="16" t="str">
        <f ca="1">IF(Performances!H32&gt;Performances!AF$14,Performances!H32,"")</f>
        <v/>
      </c>
    </row>
    <row r="33" spans="1:4" x14ac:dyDescent="0.25">
      <c r="A33" s="16">
        <f ca="1">IF(Performances!B33&gt;Performances!Q$14,Performances!B33,"")</f>
        <v>0.32334444444444449</v>
      </c>
      <c r="B33" s="16" t="str">
        <f ca="1">IF(Performances!D33&gt;Performances!V$14,Performances!D33,"")</f>
        <v/>
      </c>
      <c r="C33" s="16" t="str">
        <f ca="1">IF(Performances!F33&gt;Performances!AA$14,Performances!F33,"")</f>
        <v/>
      </c>
      <c r="D33" s="16" t="str">
        <f ca="1">IF(Performances!H33&gt;Performances!AF$14,Performances!H33,"")</f>
        <v/>
      </c>
    </row>
    <row r="34" spans="1:4" x14ac:dyDescent="0.25">
      <c r="A34" s="16" t="str">
        <f ca="1">IF(Performances!B34&gt;Performances!Q$14,Performances!B34,"")</f>
        <v/>
      </c>
      <c r="B34" s="16" t="str">
        <f ca="1">IF(Performances!D34&gt;Performances!V$14,Performances!D34,"")</f>
        <v/>
      </c>
      <c r="C34" s="16" t="str">
        <f ca="1">IF(Performances!F34&gt;Performances!AA$14,Performances!F34,"")</f>
        <v/>
      </c>
      <c r="D34" s="16" t="str">
        <f ca="1">IF(Performances!H34&gt;Performances!AF$14,Performances!H34,"")</f>
        <v/>
      </c>
    </row>
    <row r="35" spans="1:4" x14ac:dyDescent="0.25">
      <c r="A35" s="16" t="str">
        <f ca="1">IF(Performances!B35&gt;Performances!Q$14,Performances!B35,"")</f>
        <v/>
      </c>
      <c r="B35" s="16" t="str">
        <f ca="1">IF(Performances!D35&gt;Performances!V$14,Performances!D35,"")</f>
        <v/>
      </c>
      <c r="C35" s="16" t="str">
        <f ca="1">IF(Performances!F35&gt;Performances!AA$14,Performances!F35,"")</f>
        <v/>
      </c>
      <c r="D35" s="16" t="str">
        <f ca="1">IF(Performances!H35&gt;Performances!AF$14,Performances!H35,"")</f>
        <v/>
      </c>
    </row>
    <row r="36" spans="1:4" x14ac:dyDescent="0.25">
      <c r="A36" s="16" t="str">
        <f ca="1">IF(Performances!B36&gt;Performances!Q$14,Performances!B36,"")</f>
        <v/>
      </c>
      <c r="B36" s="16" t="str">
        <f ca="1">IF(Performances!D36&gt;Performances!V$14,Performances!D36,"")</f>
        <v/>
      </c>
      <c r="C36" s="16" t="str">
        <f ca="1">IF(Performances!F36&gt;Performances!AA$14,Performances!F36,"")</f>
        <v/>
      </c>
      <c r="D36" s="16" t="str">
        <f ca="1">IF(Performances!H36&gt;Performances!AF$14,Performances!H36,"")</f>
        <v/>
      </c>
    </row>
    <row r="37" spans="1:4" x14ac:dyDescent="0.25">
      <c r="A37" s="16" t="str">
        <f ca="1">IF(Performances!B37&gt;Performances!Q$14,Performances!B37,"")</f>
        <v/>
      </c>
      <c r="B37" s="16" t="str">
        <f ca="1">IF(Performances!D37&gt;Performances!V$14,Performances!D37,"")</f>
        <v/>
      </c>
      <c r="C37" s="16" t="str">
        <f ca="1">IF(Performances!F37&gt;Performances!AA$14,Performances!F37,"")</f>
        <v/>
      </c>
      <c r="D37" s="16" t="str">
        <f ca="1">IF(Performances!H37&gt;Performances!AF$14,Performances!H37,"")</f>
        <v/>
      </c>
    </row>
    <row r="38" spans="1:4" x14ac:dyDescent="0.25">
      <c r="A38" s="16" t="str">
        <f ca="1">IF(Performances!B38&gt;Performances!Q$14,Performances!B38,"")</f>
        <v/>
      </c>
      <c r="B38" s="16">
        <f ca="1">IF(Performances!D38&gt;Performances!V$14,Performances!D38,"")</f>
        <v>0.33035555555555551</v>
      </c>
      <c r="C38" s="16">
        <f ca="1">IF(Performances!F38&gt;Performances!AA$14,Performances!F38,"")</f>
        <v>0.42844444444444441</v>
      </c>
      <c r="D38" s="16">
        <f ca="1">IF(Performances!H38&gt;Performances!AF$14,Performances!H38,"")</f>
        <v>0.23782222222222224</v>
      </c>
    </row>
    <row r="39" spans="1:4" x14ac:dyDescent="0.25">
      <c r="A39" s="16" t="str">
        <f ca="1">IF(Performances!B39&gt;Performances!Q$14,Performances!B39,"")</f>
        <v/>
      </c>
      <c r="B39" s="16" t="str">
        <f ca="1">IF(Performances!D39&gt;Performances!V$14,Performances!D39,"")</f>
        <v/>
      </c>
      <c r="C39" s="16" t="str">
        <f ca="1">IF(Performances!F39&gt;Performances!AA$14,Performances!F39,"")</f>
        <v/>
      </c>
      <c r="D39" s="16" t="str">
        <f ca="1">IF(Performances!H39&gt;Performances!AF$14,Performances!H39,"")</f>
        <v/>
      </c>
    </row>
    <row r="40" spans="1:4" x14ac:dyDescent="0.25">
      <c r="A40" s="16" t="str">
        <f ca="1">IF(Performances!B40&gt;Performances!Q$14,Performances!B40,"")</f>
        <v/>
      </c>
      <c r="B40" s="16" t="str">
        <f ca="1">IF(Performances!D40&gt;Performances!V$14,Performances!D40,"")</f>
        <v/>
      </c>
      <c r="C40" s="16" t="str">
        <f ca="1">IF(Performances!F40&gt;Performances!AA$14,Performances!F40,"")</f>
        <v/>
      </c>
      <c r="D40" s="16" t="str">
        <f ca="1">IF(Performances!H40&gt;Performances!AF$14,Performances!H40,"")</f>
        <v/>
      </c>
    </row>
    <row r="41" spans="1:4" x14ac:dyDescent="0.25">
      <c r="A41" s="16" t="str">
        <f ca="1">IF(Performances!B41&gt;Performances!Q$14,Performances!B41,"")</f>
        <v/>
      </c>
      <c r="B41" s="16" t="str">
        <f ca="1">IF(Performances!D41&gt;Performances!V$14,Performances!D41,"")</f>
        <v/>
      </c>
      <c r="C41" s="16" t="str">
        <f ca="1">IF(Performances!F41&gt;Performances!AA$14,Performances!F41,"")</f>
        <v/>
      </c>
      <c r="D41" s="16" t="str">
        <f ca="1">IF(Performances!H41&gt;Performances!AF$14,Performances!H41,"")</f>
        <v/>
      </c>
    </row>
    <row r="42" spans="1:4" x14ac:dyDescent="0.25">
      <c r="A42" s="16" t="str">
        <f ca="1">IF(Performances!B42&gt;Performances!Q$14,Performances!B42,"")</f>
        <v/>
      </c>
      <c r="B42" s="16" t="str">
        <f ca="1">IF(Performances!D42&gt;Performances!V$14,Performances!D42,"")</f>
        <v/>
      </c>
      <c r="C42" s="16" t="str">
        <f ca="1">IF(Performances!F42&gt;Performances!AA$14,Performances!F42,"")</f>
        <v/>
      </c>
      <c r="D42" s="16" t="str">
        <f ca="1">IF(Performances!H42&gt;Performances!AF$14,Performances!H42,"")</f>
        <v/>
      </c>
    </row>
    <row r="49" spans="1:4" x14ac:dyDescent="0.25">
      <c r="A49" s="135" t="s">
        <v>304</v>
      </c>
      <c r="B49" s="135"/>
      <c r="C49" s="135"/>
      <c r="D49" s="135"/>
    </row>
    <row r="50" spans="1:4" x14ac:dyDescent="0.25">
      <c r="A50" s="113" t="s">
        <v>184</v>
      </c>
      <c r="B50" s="113" t="s">
        <v>185</v>
      </c>
      <c r="C50" s="113" t="s">
        <v>186</v>
      </c>
      <c r="D50" s="113" t="s">
        <v>187</v>
      </c>
    </row>
    <row r="51" spans="1:4" x14ac:dyDescent="0.25">
      <c r="A51" s="112" t="s">
        <v>302</v>
      </c>
      <c r="B51" s="112" t="s">
        <v>302</v>
      </c>
      <c r="C51" s="112" t="s">
        <v>302</v>
      </c>
      <c r="D51" s="112" t="s">
        <v>302</v>
      </c>
    </row>
    <row r="52" spans="1:4" x14ac:dyDescent="0.25">
      <c r="A52" s="16" t="str">
        <f ca="1">IF(Performances!B52&gt;Performances!Q$15,Performances!B52,"")</f>
        <v/>
      </c>
      <c r="B52" s="16" t="str">
        <f ca="1">IF(Performances!D52&gt;Performances!V$15,Performances!D52,"")</f>
        <v/>
      </c>
      <c r="C52" s="16" t="str">
        <f ca="1">IF(Performances!F52&gt;Performances!AA$15,Performances!F52,"")</f>
        <v/>
      </c>
      <c r="D52" s="16" t="str">
        <f ca="1">IF(Performances!H52&gt;Performances!AF$15,Performances!H52,"")</f>
        <v/>
      </c>
    </row>
    <row r="53" spans="1:4" x14ac:dyDescent="0.25">
      <c r="A53" s="16" t="str">
        <f ca="1">IF(Performances!B53&gt;Performances!Q$15,Performances!B53,"")</f>
        <v/>
      </c>
      <c r="B53" s="16" t="str">
        <f ca="1">IF(Performances!D53&gt;Performances!V$15,Performances!D53,"")</f>
        <v/>
      </c>
      <c r="C53" s="16" t="str">
        <f ca="1">IF(Performances!F53&gt;Performances!AA$15,Performances!F53,"")</f>
        <v/>
      </c>
      <c r="D53" s="16" t="str">
        <f ca="1">IF(Performances!H53&gt;Performances!AF$15,Performances!H53,"")</f>
        <v/>
      </c>
    </row>
    <row r="54" spans="1:4" x14ac:dyDescent="0.25">
      <c r="A54" s="16" t="str">
        <f ca="1">IF(Performances!B54&gt;Performances!Q$15,Performances!B54,"")</f>
        <v/>
      </c>
      <c r="B54" s="16" t="str">
        <f ca="1">IF(Performances!D54&gt;Performances!V$15,Performances!D54,"")</f>
        <v/>
      </c>
      <c r="C54" s="16" t="str">
        <f ca="1">IF(Performances!F54&gt;Performances!AA$15,Performances!F54,"")</f>
        <v/>
      </c>
      <c r="D54" s="16" t="str">
        <f ca="1">IF(Performances!H54&gt;Performances!AF$15,Performances!H54,"")</f>
        <v/>
      </c>
    </row>
    <row r="55" spans="1:4" x14ac:dyDescent="0.25">
      <c r="A55" s="16" t="str">
        <f ca="1">IF(Performances!B55&gt;Performances!Q$15,Performances!B55,"")</f>
        <v/>
      </c>
      <c r="B55" s="16" t="str">
        <f ca="1">IF(Performances!D55&gt;Performances!V$15,Performances!D55,"")</f>
        <v/>
      </c>
      <c r="C55" s="16" t="str">
        <f ca="1">IF(Performances!F55&gt;Performances!AA$15,Performances!F55,"")</f>
        <v/>
      </c>
      <c r="D55" s="16" t="str">
        <f ca="1">IF(Performances!H55&gt;Performances!AF$15,Performances!H55,"")</f>
        <v/>
      </c>
    </row>
    <row r="56" spans="1:4" x14ac:dyDescent="0.25">
      <c r="A56" s="16">
        <f ca="1">IF(Performances!B56&gt;Performances!Q$15,Performances!B56,"")</f>
        <v>0.25618888888888885</v>
      </c>
      <c r="B56" s="16" t="str">
        <f ca="1">IF(Performances!D56&gt;Performances!V$15,Performances!D56,"")</f>
        <v/>
      </c>
      <c r="C56" s="16" t="str">
        <f ca="1">IF(Performances!F56&gt;Performances!AA$15,Performances!F56,"")</f>
        <v/>
      </c>
      <c r="D56" s="16" t="str">
        <f ca="1">IF(Performances!H56&gt;Performances!AF$15,Performances!H56,"")</f>
        <v/>
      </c>
    </row>
    <row r="57" spans="1:4" x14ac:dyDescent="0.25">
      <c r="A57" s="16" t="str">
        <f ca="1">IF(Performances!B57&gt;Performances!Q$15,Performances!B57,"")</f>
        <v/>
      </c>
      <c r="B57" s="16" t="str">
        <f ca="1">IF(Performances!D57&gt;Performances!V$15,Performances!D57,"")</f>
        <v/>
      </c>
      <c r="C57" s="16" t="str">
        <f ca="1">IF(Performances!F57&gt;Performances!AA$15,Performances!F57,"")</f>
        <v/>
      </c>
      <c r="D57" s="16" t="str">
        <f ca="1">IF(Performances!H57&gt;Performances!AF$15,Performances!H57,"")</f>
        <v/>
      </c>
    </row>
    <row r="58" spans="1:4" x14ac:dyDescent="0.25">
      <c r="A58" s="16" t="str">
        <f ca="1">IF(Performances!B58&gt;Performances!Q$15,Performances!B58,"")</f>
        <v/>
      </c>
      <c r="B58" s="16" t="str">
        <f ca="1">IF(Performances!D58&gt;Performances!V$15,Performances!D58,"")</f>
        <v/>
      </c>
      <c r="C58" s="16" t="str">
        <f ca="1">IF(Performances!F58&gt;Performances!AA$15,Performances!F58,"")</f>
        <v/>
      </c>
      <c r="D58" s="16" t="str">
        <f ca="1">IF(Performances!H58&gt;Performances!AF$15,Performances!H58,"")</f>
        <v/>
      </c>
    </row>
    <row r="59" spans="1:4" x14ac:dyDescent="0.25">
      <c r="A59" s="16" t="str">
        <f ca="1">IF(Performances!B59&gt;Performances!Q$15,Performances!B59,"")</f>
        <v/>
      </c>
      <c r="B59" s="16" t="str">
        <f ca="1">IF(Performances!D59&gt;Performances!V$15,Performances!D59,"")</f>
        <v/>
      </c>
      <c r="C59" s="16" t="str">
        <f ca="1">IF(Performances!F59&gt;Performances!AA$15,Performances!F59,"")</f>
        <v/>
      </c>
      <c r="D59" s="16" t="str">
        <f ca="1">IF(Performances!H59&gt;Performances!AF$15,Performances!H59,"")</f>
        <v/>
      </c>
    </row>
    <row r="60" spans="1:4" x14ac:dyDescent="0.25">
      <c r="A60" s="16" t="str">
        <f ca="1">IF(Performances!B60&gt;Performances!Q$15,Performances!B60,"")</f>
        <v/>
      </c>
      <c r="B60" s="16" t="str">
        <f ca="1">IF(Performances!D60&gt;Performances!V$15,Performances!D60,"")</f>
        <v/>
      </c>
      <c r="C60" s="16" t="str">
        <f ca="1">IF(Performances!F60&gt;Performances!AA$15,Performances!F60,"")</f>
        <v/>
      </c>
      <c r="D60" s="16" t="str">
        <f ca="1">IF(Performances!H60&gt;Performances!AF$15,Performances!H60,"")</f>
        <v/>
      </c>
    </row>
    <row r="61" spans="1:4" x14ac:dyDescent="0.25">
      <c r="A61" s="16" t="str">
        <f ca="1">IF(Performances!B61&gt;Performances!Q$15,Performances!B61,"")</f>
        <v/>
      </c>
      <c r="B61" s="16" t="str">
        <f ca="1">IF(Performances!D61&gt;Performances!V$15,Performances!D61,"")</f>
        <v/>
      </c>
      <c r="C61" s="16" t="str">
        <f ca="1">IF(Performances!F61&gt;Performances!AA$15,Performances!F61,"")</f>
        <v/>
      </c>
      <c r="D61" s="16" t="str">
        <f ca="1">IF(Performances!H61&gt;Performances!AF$15,Performances!H61,"")</f>
        <v/>
      </c>
    </row>
    <row r="62" spans="1:4" x14ac:dyDescent="0.25">
      <c r="A62" s="16" t="str">
        <f ca="1">IF(Performances!B62&gt;Performances!Q$15,Performances!B62,"")</f>
        <v/>
      </c>
      <c r="B62" s="16" t="str">
        <f ca="1">IF(Performances!D62&gt;Performances!V$15,Performances!D62,"")</f>
        <v/>
      </c>
      <c r="C62" s="16" t="str">
        <f ca="1">IF(Performances!F62&gt;Performances!AA$15,Performances!F62,"")</f>
        <v/>
      </c>
      <c r="D62" s="16" t="str">
        <f ca="1">IF(Performances!H62&gt;Performances!AF$15,Performances!H62,"")</f>
        <v/>
      </c>
    </row>
    <row r="63" spans="1:4" x14ac:dyDescent="0.25">
      <c r="A63" s="16" t="str">
        <f ca="1">IF(Performances!B63&gt;Performances!Q$15,Performances!B63,"")</f>
        <v/>
      </c>
      <c r="B63" s="16" t="str">
        <f ca="1">IF(Performances!D63&gt;Performances!V$15,Performances!D63,"")</f>
        <v/>
      </c>
      <c r="C63" s="16" t="str">
        <f ca="1">IF(Performances!F63&gt;Performances!AA$15,Performances!F63,"")</f>
        <v/>
      </c>
      <c r="D63" s="16" t="str">
        <f ca="1">IF(Performances!H63&gt;Performances!AF$15,Performances!H63,"")</f>
        <v/>
      </c>
    </row>
    <row r="64" spans="1:4" x14ac:dyDescent="0.25">
      <c r="A64" s="16" t="str">
        <f ca="1">IF(Performances!B64&gt;Performances!Q$15,Performances!B64,"")</f>
        <v/>
      </c>
      <c r="B64" s="16" t="str">
        <f ca="1">IF(Performances!D64&gt;Performances!V$15,Performances!D64,"")</f>
        <v/>
      </c>
      <c r="C64" s="16" t="str">
        <f ca="1">IF(Performances!F64&gt;Performances!AA$15,Performances!F64,"")</f>
        <v/>
      </c>
      <c r="D64" s="16" t="str">
        <f ca="1">IF(Performances!H64&gt;Performances!AF$15,Performances!H64,"")</f>
        <v/>
      </c>
    </row>
    <row r="65" spans="1:4" x14ac:dyDescent="0.25">
      <c r="A65" s="16" t="str">
        <f ca="1">IF(Performances!B65&gt;Performances!Q$15,Performances!B65,"")</f>
        <v/>
      </c>
      <c r="B65" s="16" t="str">
        <f ca="1">IF(Performances!D65&gt;Performances!V$15,Performances!D65,"")</f>
        <v/>
      </c>
      <c r="C65" s="16" t="str">
        <f ca="1">IF(Performances!F65&gt;Performances!AA$15,Performances!F65,"")</f>
        <v/>
      </c>
      <c r="D65" s="16" t="str">
        <f ca="1">IF(Performances!H65&gt;Performances!AF$15,Performances!H65,"")</f>
        <v/>
      </c>
    </row>
    <row r="66" spans="1:4" x14ac:dyDescent="0.25">
      <c r="A66" s="16" t="str">
        <f ca="1">IF(Performances!B66&gt;Performances!Q$15,Performances!B66,"")</f>
        <v/>
      </c>
      <c r="B66" s="16" t="str">
        <f ca="1">IF(Performances!D66&gt;Performances!V$15,Performances!D66,"")</f>
        <v/>
      </c>
      <c r="C66" s="16" t="str">
        <f ca="1">IF(Performances!F66&gt;Performances!AA$15,Performances!F66,"")</f>
        <v/>
      </c>
      <c r="D66" s="16" t="str">
        <f ca="1">IF(Performances!H66&gt;Performances!AF$15,Performances!H66,"")</f>
        <v/>
      </c>
    </row>
  </sheetData>
  <mergeCells count="3">
    <mergeCell ref="A1:D1"/>
    <mergeCell ref="A25:D25"/>
    <mergeCell ref="A49:D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D1" workbookViewId="0">
      <selection activeCell="J21" sqref="J21"/>
    </sheetView>
  </sheetViews>
  <sheetFormatPr baseColWidth="10" defaultRowHeight="13.2" x14ac:dyDescent="0.25"/>
  <sheetData>
    <row r="1" spans="1:12" x14ac:dyDescent="0.25">
      <c r="A1" s="152" t="s">
        <v>205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</row>
    <row r="2" spans="1:12" x14ac:dyDescent="0.25">
      <c r="H2" s="28"/>
      <c r="I2" s="28"/>
      <c r="J2" s="28"/>
    </row>
    <row r="3" spans="1:12" x14ac:dyDescent="0.25">
      <c r="A3" s="26"/>
      <c r="B3" s="33" t="s">
        <v>188</v>
      </c>
      <c r="C3" s="27" t="s">
        <v>184</v>
      </c>
      <c r="D3" s="104" t="s">
        <v>185</v>
      </c>
      <c r="E3" s="104" t="s">
        <v>186</v>
      </c>
      <c r="F3" s="104" t="s">
        <v>187</v>
      </c>
      <c r="H3" s="28"/>
      <c r="I3" s="28"/>
      <c r="J3" s="28"/>
    </row>
    <row r="4" spans="1:12" x14ac:dyDescent="0.25">
      <c r="A4" s="149" t="s">
        <v>182</v>
      </c>
      <c r="B4" s="34">
        <f>Performances!A4</f>
        <v>3</v>
      </c>
      <c r="C4">
        <f ca="1">Performances!B4</f>
        <v>0.14957777659098304</v>
      </c>
      <c r="D4">
        <f ca="1">Performances!D4</f>
        <v>0.1551222221718894</v>
      </c>
      <c r="E4">
        <f ca="1">Performances!F4</f>
        <v>0.18912222319179112</v>
      </c>
      <c r="F4">
        <f ca="1">Performances!H4</f>
        <v>0.16962222092681462</v>
      </c>
    </row>
    <row r="5" spans="1:12" x14ac:dyDescent="0.25">
      <c r="A5" s="150"/>
      <c r="B5" s="34">
        <f>Performances!A5</f>
        <v>6</v>
      </c>
      <c r="C5">
        <f ca="1">Performances!B5</f>
        <v>0.15566666920979819</v>
      </c>
      <c r="D5">
        <f ca="1">Performances!D5</f>
        <v>0.12669999731911552</v>
      </c>
      <c r="E5">
        <f ca="1">Performances!F5</f>
        <v>0.12896666841374504</v>
      </c>
      <c r="F5">
        <f ca="1">Performances!H5</f>
        <v>0.13750000049670538</v>
      </c>
      <c r="H5" s="28" t="s">
        <v>206</v>
      </c>
      <c r="I5" s="28"/>
      <c r="J5" s="28"/>
    </row>
    <row r="6" spans="1:12" x14ac:dyDescent="0.25">
      <c r="A6" s="150"/>
      <c r="B6" s="34">
        <f>Performances!A6</f>
        <v>9</v>
      </c>
      <c r="C6">
        <f ca="1">Performances!B6</f>
        <v>0.18758889039357501</v>
      </c>
      <c r="D6">
        <f ca="1">Performances!D6</f>
        <v>9.6811111188597143E-2</v>
      </c>
      <c r="E6">
        <f ca="1">Performances!F6</f>
        <v>0.10931111127138138</v>
      </c>
      <c r="F6">
        <f ca="1">Performances!H6</f>
        <v>0.11404444442854987</v>
      </c>
      <c r="H6" s="28"/>
      <c r="I6" s="28"/>
      <c r="J6" s="28"/>
    </row>
    <row r="7" spans="1:12" x14ac:dyDescent="0.25">
      <c r="A7" s="150"/>
      <c r="B7" s="34">
        <f>Performances!A7</f>
        <v>12</v>
      </c>
      <c r="C7">
        <f ca="1">Performances!B7</f>
        <v>0.3538111084037357</v>
      </c>
      <c r="D7">
        <f ca="1">Performances!D7</f>
        <v>0.33148889078034294</v>
      </c>
      <c r="E7">
        <f ca="1">Performances!F7</f>
        <v>0.22275555464956495</v>
      </c>
      <c r="F7">
        <f ca="1">Performances!H7</f>
        <v>0.22394444545110068</v>
      </c>
      <c r="H7" s="29"/>
      <c r="I7" s="29" t="str">
        <f>C3</f>
        <v>Jeu 1</v>
      </c>
      <c r="J7" s="29" t="str">
        <f>D3</f>
        <v>Jeu 2</v>
      </c>
      <c r="K7" s="29" t="str">
        <f>E3</f>
        <v>Jeu 3</v>
      </c>
      <c r="L7" s="29" t="str">
        <f>F3</f>
        <v>Jeu 4</v>
      </c>
    </row>
    <row r="8" spans="1:12" x14ac:dyDescent="0.25">
      <c r="A8" s="150"/>
      <c r="B8" s="34">
        <f>Performances!A8</f>
        <v>15</v>
      </c>
      <c r="C8">
        <f ca="1">Performances!B8</f>
        <v>0.15561111023028695</v>
      </c>
      <c r="D8">
        <f ca="1">Performances!D8</f>
        <v>0.1521666662560569</v>
      </c>
      <c r="E8">
        <f ca="1">Performances!F8</f>
        <v>0.18469999896155465</v>
      </c>
      <c r="F8">
        <f ca="1">Performances!H8</f>
        <v>0.18636666735013327</v>
      </c>
      <c r="H8" t="s">
        <v>207</v>
      </c>
      <c r="I8">
        <f ca="1">[1]!SHAPIRO(C4:C48)</f>
        <v>0.96078077912899718</v>
      </c>
      <c r="J8">
        <f ca="1">[1]!SHAPIRO(D4:D48)</f>
        <v>0.87830894111291113</v>
      </c>
      <c r="K8">
        <f ca="1">[1]!SHAPIRO(E4:E48)</f>
        <v>0.85609673245171725</v>
      </c>
      <c r="L8">
        <f ca="1">[1]!SHAPIRO(F4:F48)</f>
        <v>0.95655838653344105</v>
      </c>
    </row>
    <row r="9" spans="1:12" x14ac:dyDescent="0.25">
      <c r="A9" s="150"/>
      <c r="B9" s="34">
        <f>Performances!A9</f>
        <v>18</v>
      </c>
      <c r="C9">
        <f ca="1">Performances!B9</f>
        <v>0.14302222265137565</v>
      </c>
      <c r="D9">
        <f ca="1">Performances!D9</f>
        <v>0.12140000032054053</v>
      </c>
      <c r="E9">
        <f ca="1">Performances!F9</f>
        <v>0.17569999893506369</v>
      </c>
      <c r="F9">
        <f ca="1">Performances!H9</f>
        <v>0.17295555770397186</v>
      </c>
      <c r="H9" t="s">
        <v>208</v>
      </c>
      <c r="I9">
        <f ca="1">[1]!SWTEST(C4:C48)</f>
        <v>0.1308228668662037</v>
      </c>
      <c r="J9">
        <f ca="1">[1]!SWTEST(D4:D48)</f>
        <v>2.1391754456256962E-4</v>
      </c>
      <c r="K9">
        <f ca="1">[1]!SWTEST(E4:E48)</f>
        <v>5.2743392923826349E-5</v>
      </c>
      <c r="L9">
        <f ca="1">[1]!SWTEST(F4:F48)</f>
        <v>9.0250296016117781E-2</v>
      </c>
    </row>
    <row r="10" spans="1:12" x14ac:dyDescent="0.25">
      <c r="A10" s="150"/>
      <c r="B10" s="34">
        <f>Performances!A10</f>
        <v>21</v>
      </c>
      <c r="C10">
        <f ca="1">Performances!B10</f>
        <v>5.4133333265781403E-2</v>
      </c>
      <c r="D10">
        <f ca="1">Performances!D10</f>
        <v>8.4266665909025401E-2</v>
      </c>
      <c r="E10">
        <f ca="1">Performances!F10</f>
        <v>0.12896666758590275</v>
      </c>
      <c r="F10">
        <f ca="1">Performances!H10</f>
        <v>9.1644443571567535E-2</v>
      </c>
      <c r="H10" t="s">
        <v>209</v>
      </c>
      <c r="I10">
        <v>0.05</v>
      </c>
      <c r="J10">
        <v>0.05</v>
      </c>
      <c r="K10">
        <v>0.05</v>
      </c>
      <c r="L10">
        <v>0.05</v>
      </c>
    </row>
    <row r="11" spans="1:12" x14ac:dyDescent="0.25">
      <c r="A11" s="150"/>
      <c r="B11" s="34">
        <f>Performances!A11</f>
        <v>24</v>
      </c>
      <c r="C11">
        <f ca="1">Performances!B11</f>
        <v>0.24845555590258706</v>
      </c>
      <c r="D11">
        <f ca="1">Performances!D11</f>
        <v>0.12761111143562529</v>
      </c>
      <c r="E11">
        <f ca="1">Performances!F11</f>
        <v>0.1787777774863773</v>
      </c>
      <c r="F11">
        <f ca="1">Performances!H11</f>
        <v>0.18800000184112126</v>
      </c>
      <c r="H11" s="30" t="s">
        <v>210</v>
      </c>
      <c r="I11" s="31" t="str">
        <f ca="1">IF(I9&lt;I10,"no","yes")</f>
        <v>yes</v>
      </c>
      <c r="J11" s="31" t="str">
        <f ca="1">IF(J9&lt;J10,"no","yes")</f>
        <v>no</v>
      </c>
      <c r="K11" s="31" t="str">
        <f ca="1">IF(K9&lt;K10,"no","yes")</f>
        <v>no</v>
      </c>
      <c r="L11" s="31" t="str">
        <f ca="1">IF(L9&lt;L10,"no","yes")</f>
        <v>yes</v>
      </c>
    </row>
    <row r="12" spans="1:12" x14ac:dyDescent="0.25">
      <c r="A12" s="150"/>
      <c r="B12" s="34">
        <f>Performances!A12</f>
        <v>27</v>
      </c>
      <c r="C12">
        <f ca="1">Performances!B12</f>
        <v>0.19290000034703148</v>
      </c>
      <c r="D12">
        <f ca="1">Performances!D12</f>
        <v>0.29657777978314293</v>
      </c>
      <c r="E12">
        <f ca="1">Performances!F12</f>
        <v>0.29465555482440525</v>
      </c>
      <c r="F12">
        <f ca="1">Performances!H12</f>
        <v>0.29501111639870536</v>
      </c>
    </row>
    <row r="13" spans="1:12" x14ac:dyDescent="0.25">
      <c r="A13" s="150"/>
      <c r="B13" s="34">
        <f>Performances!A13</f>
        <v>30</v>
      </c>
      <c r="C13">
        <f ca="1">Performances!B13</f>
        <v>0.13382222337855232</v>
      </c>
      <c r="D13">
        <f ca="1">Performances!D13</f>
        <v>6.1388889120684728E-2</v>
      </c>
      <c r="E13">
        <f ca="1">Performances!F13</f>
        <v>8.4266666736867696E-2</v>
      </c>
      <c r="F13">
        <f ca="1">Performances!H13</f>
        <v>0.1008777775698238</v>
      </c>
      <c r="H13" t="s">
        <v>211</v>
      </c>
    </row>
    <row r="14" spans="1:12" x14ac:dyDescent="0.25">
      <c r="A14" s="150"/>
      <c r="B14" s="34">
        <f>Performances!A14</f>
        <v>33</v>
      </c>
      <c r="C14">
        <f ca="1">Performances!B14</f>
        <v>0.16578888893127441</v>
      </c>
      <c r="D14">
        <f ca="1">Performances!D14</f>
        <v>4.4800000472201243E-2</v>
      </c>
      <c r="E14">
        <f ca="1">Performances!F14</f>
        <v>5.8533332828018397E-2</v>
      </c>
      <c r="F14">
        <f ca="1">Performances!H14</f>
        <v>5.2411111278666399E-2</v>
      </c>
    </row>
    <row r="15" spans="1:12" x14ac:dyDescent="0.25">
      <c r="A15" s="150"/>
      <c r="B15" s="34">
        <f>Performances!A15</f>
        <v>36</v>
      </c>
      <c r="C15">
        <f ca="1">Performances!B15</f>
        <v>0.26572222510973614</v>
      </c>
      <c r="D15">
        <f ca="1">Performances!D15</f>
        <v>0.19641110797723135</v>
      </c>
      <c r="E15">
        <f ca="1">Performances!F15</f>
        <v>0.16645555529329512</v>
      </c>
      <c r="F15">
        <f ca="1">Performances!H15</f>
        <v>0.16305555403232574</v>
      </c>
      <c r="H15" s="32" t="s">
        <v>212</v>
      </c>
      <c r="I15" s="32">
        <f ca="1">[1]!DAGOSTINO(C4:C48)</f>
        <v>4.8797330332318474</v>
      </c>
      <c r="J15" s="32">
        <f ca="1">[1]!DAGOSTINO(D4:D48)</f>
        <v>16.809421087864848</v>
      </c>
      <c r="K15" s="32">
        <f ca="1">[1]!DAGOSTINO(E4:E48)</f>
        <v>31.637775164411444</v>
      </c>
      <c r="L15" s="32">
        <f ca="1">[1]!DAGOSTINO(F4:F48)</f>
        <v>4.5334297943275317</v>
      </c>
    </row>
    <row r="16" spans="1:12" x14ac:dyDescent="0.25">
      <c r="A16" s="150"/>
      <c r="B16" s="34">
        <f>Performances!A16</f>
        <v>39</v>
      </c>
      <c r="C16">
        <f ca="1">Performances!B16</f>
        <v>0.21198888785309261</v>
      </c>
      <c r="D16">
        <f ca="1">Performances!D16</f>
        <v>0.20073333382606506</v>
      </c>
      <c r="E16">
        <f ca="1">Performances!F16</f>
        <v>0.19798888928360409</v>
      </c>
      <c r="F16">
        <f ca="1">Performances!H16</f>
        <v>0.20937778055667877</v>
      </c>
      <c r="H16" t="s">
        <v>208</v>
      </c>
      <c r="I16">
        <f ca="1">[1]!DPTEST(C4:C48)</f>
        <v>8.7172486763935852E-2</v>
      </c>
      <c r="J16">
        <f ca="1">[1]!DPTEST(D4:D48)</f>
        <v>2.2381056767240004E-4</v>
      </c>
      <c r="K16">
        <f ca="1">[1]!DPTEST(E4:E48)</f>
        <v>1.3487902350561853E-7</v>
      </c>
      <c r="L16">
        <f ca="1">[1]!DPTEST(F4:F48)</f>
        <v>0.10365212929724776</v>
      </c>
    </row>
    <row r="17" spans="1:12" x14ac:dyDescent="0.25">
      <c r="A17" s="150"/>
      <c r="B17" s="34">
        <f>Performances!A17</f>
        <v>42</v>
      </c>
      <c r="C17">
        <f ca="1">Performances!B17</f>
        <v>0.19977777865197924</v>
      </c>
      <c r="D17">
        <f ca="1">Performances!D17</f>
        <v>0.10457777728637059</v>
      </c>
      <c r="E17">
        <f ca="1">Performances!F17</f>
        <v>5.4244444188144475E-2</v>
      </c>
      <c r="F17">
        <f ca="1">Performances!H17</f>
        <v>4.3266666432221733E-2</v>
      </c>
      <c r="H17" t="s">
        <v>209</v>
      </c>
      <c r="I17">
        <v>0.05</v>
      </c>
      <c r="J17">
        <v>0.05</v>
      </c>
      <c r="K17">
        <v>0.05</v>
      </c>
      <c r="L17">
        <v>0.05</v>
      </c>
    </row>
    <row r="18" spans="1:12" x14ac:dyDescent="0.25">
      <c r="A18" s="151"/>
      <c r="B18" s="34">
        <f>Performances!A18</f>
        <v>45</v>
      </c>
      <c r="C18">
        <f ca="1">Performances!B18</f>
        <v>6.9111111159953803E-2</v>
      </c>
      <c r="D18">
        <f ca="1">Performances!D18</f>
        <v>6.6966666943497122E-2</v>
      </c>
      <c r="E18">
        <f ca="1">Performances!F18</f>
        <v>6.3700000031126872E-2</v>
      </c>
      <c r="F18">
        <f ca="1">Performances!H18</f>
        <v>5.3011111087269254E-2</v>
      </c>
      <c r="H18" s="30" t="s">
        <v>210</v>
      </c>
      <c r="I18" s="31" t="str">
        <f ca="1">IF(I16&lt;I17,"no","yes")</f>
        <v>yes</v>
      </c>
      <c r="J18" s="31" t="str">
        <f ca="1">IF(J16&lt;J17,"no","yes")</f>
        <v>no</v>
      </c>
      <c r="K18" s="31" t="str">
        <f ca="1">IF(K16&lt;K17,"no","yes")</f>
        <v>no</v>
      </c>
      <c r="L18" s="31" t="str">
        <f ca="1">IF(L16&lt;L17,"no","yes")</f>
        <v>yes</v>
      </c>
    </row>
    <row r="19" spans="1:12" x14ac:dyDescent="0.25">
      <c r="A19" s="149" t="s">
        <v>201</v>
      </c>
      <c r="B19" s="34">
        <f>Performances!A28</f>
        <v>1</v>
      </c>
      <c r="C19">
        <f ca="1">Performances!B28</f>
        <v>8.278888888888887E-2</v>
      </c>
      <c r="D19">
        <f ca="1">Performances!D28</f>
        <v>5.6011111111111109E-2</v>
      </c>
      <c r="E19">
        <f ca="1">Performances!F28</f>
        <v>6.9600000000000009E-2</v>
      </c>
      <c r="F19">
        <f ca="1">Performances!H28</f>
        <v>6.5955555555555559E-2</v>
      </c>
    </row>
    <row r="20" spans="1:12" x14ac:dyDescent="0.25">
      <c r="A20" s="150"/>
      <c r="B20" s="34">
        <f>Performances!A29</f>
        <v>4</v>
      </c>
      <c r="C20">
        <f ca="1">Performances!B29</f>
        <v>0.16982222222222221</v>
      </c>
      <c r="D20">
        <f ca="1">Performances!D29</f>
        <v>5.842222222222223E-2</v>
      </c>
      <c r="E20">
        <f ca="1">Performances!F29</f>
        <v>6.8388888888888888E-2</v>
      </c>
      <c r="F20">
        <f ca="1">Performances!H29</f>
        <v>4.8011111111111109E-2</v>
      </c>
    </row>
    <row r="21" spans="1:12" x14ac:dyDescent="0.25">
      <c r="A21" s="150"/>
      <c r="B21" s="34">
        <f>Performances!A30</f>
        <v>7</v>
      </c>
      <c r="C21">
        <f ca="1">Performances!B30</f>
        <v>0.20902222222222225</v>
      </c>
      <c r="D21">
        <f ca="1">Performances!D30</f>
        <v>0.16975555555555555</v>
      </c>
      <c r="E21">
        <f ca="1">Performances!F30</f>
        <v>0.16007777777777779</v>
      </c>
      <c r="F21">
        <f ca="1">Performances!H30</f>
        <v>0.12066666666666667</v>
      </c>
    </row>
    <row r="22" spans="1:12" x14ac:dyDescent="0.25">
      <c r="A22" s="150"/>
      <c r="B22" s="34">
        <f>Performances!A31</f>
        <v>10</v>
      </c>
      <c r="C22">
        <f ca="1">Performances!B31</f>
        <v>0.24285555555555552</v>
      </c>
      <c r="D22">
        <f ca="1">Performances!D31</f>
        <v>0.22505555555555551</v>
      </c>
      <c r="E22">
        <f ca="1">Performances!F31</f>
        <v>0.22434444444444443</v>
      </c>
      <c r="F22">
        <f ca="1">Performances!H31</f>
        <v>0.19068888888888885</v>
      </c>
    </row>
    <row r="23" spans="1:12" x14ac:dyDescent="0.25">
      <c r="A23" s="150"/>
      <c r="B23" s="34">
        <f>Performances!A32</f>
        <v>13</v>
      </c>
      <c r="C23">
        <f ca="1">Performances!B32</f>
        <v>0.20850000000000002</v>
      </c>
      <c r="D23">
        <f ca="1">Performances!D32</f>
        <v>0.17177777777777781</v>
      </c>
      <c r="E23">
        <f ca="1">Performances!F32</f>
        <v>0.18293333333333334</v>
      </c>
      <c r="F23">
        <f ca="1">Performances!H32</f>
        <v>0.13501111111111111</v>
      </c>
    </row>
    <row r="24" spans="1:12" x14ac:dyDescent="0.25">
      <c r="A24" s="150"/>
      <c r="B24" s="34">
        <f>Performances!A33</f>
        <v>16</v>
      </c>
      <c r="C24">
        <f ca="1">Performances!B33</f>
        <v>0.32334444444444449</v>
      </c>
      <c r="D24">
        <f ca="1">Performances!D33</f>
        <v>0.12373333333333332</v>
      </c>
      <c r="E24">
        <f ca="1">Performances!F33</f>
        <v>0.11022222222222224</v>
      </c>
      <c r="F24">
        <f ca="1">Performances!H33</f>
        <v>8.0399999999999999E-2</v>
      </c>
    </row>
    <row r="25" spans="1:12" x14ac:dyDescent="0.25">
      <c r="A25" s="150"/>
      <c r="B25" s="34">
        <f>Performances!A34</f>
        <v>19</v>
      </c>
      <c r="C25">
        <f ca="1">Performances!B34</f>
        <v>0.17957777777777773</v>
      </c>
      <c r="D25">
        <f ca="1">Performances!D34</f>
        <v>0.15475555555555556</v>
      </c>
      <c r="E25">
        <f ca="1">Performances!F34</f>
        <v>0.1658222222222222</v>
      </c>
      <c r="F25">
        <f ca="1">Performances!H34</f>
        <v>9.4344444444444425E-2</v>
      </c>
    </row>
    <row r="26" spans="1:12" x14ac:dyDescent="0.25">
      <c r="A26" s="150"/>
      <c r="B26" s="34">
        <f>Performances!A35</f>
        <v>22</v>
      </c>
      <c r="C26">
        <f ca="1">Performances!B35</f>
        <v>0.16167777777777775</v>
      </c>
      <c r="D26">
        <f ca="1">Performances!D35</f>
        <v>0.1086</v>
      </c>
      <c r="E26">
        <f ca="1">Performances!F35</f>
        <v>0.11312222222222225</v>
      </c>
      <c r="F26">
        <f ca="1">Performances!H35</f>
        <v>0.13135555555555556</v>
      </c>
    </row>
    <row r="27" spans="1:12" x14ac:dyDescent="0.25">
      <c r="A27" s="150"/>
      <c r="B27" s="34">
        <f>Performances!A36</f>
        <v>25</v>
      </c>
      <c r="C27">
        <f ca="1">Performances!B36</f>
        <v>0.10271111111111113</v>
      </c>
      <c r="D27">
        <f ca="1">Performances!D36</f>
        <v>8.2833333333333342E-2</v>
      </c>
      <c r="E27">
        <f ca="1">Performances!F36</f>
        <v>9.6277777777777782E-2</v>
      </c>
      <c r="F27">
        <f ca="1">Performances!H36</f>
        <v>0.11942222222222219</v>
      </c>
    </row>
    <row r="28" spans="1:12" x14ac:dyDescent="0.25">
      <c r="A28" s="150"/>
      <c r="B28" s="34">
        <f>Performances!A37</f>
        <v>28</v>
      </c>
      <c r="C28">
        <f ca="1">Performances!B37</f>
        <v>0.17058888888888887</v>
      </c>
      <c r="D28">
        <f ca="1">Performances!D37</f>
        <v>0.11454444444444443</v>
      </c>
      <c r="E28">
        <f ca="1">Performances!F37</f>
        <v>0.11349999999999999</v>
      </c>
      <c r="F28">
        <f ca="1">Performances!H37</f>
        <v>6.4655555555555549E-2</v>
      </c>
    </row>
    <row r="29" spans="1:12" x14ac:dyDescent="0.25">
      <c r="A29" s="150"/>
      <c r="B29" s="34">
        <f>Performances!A38</f>
        <v>31</v>
      </c>
      <c r="C29">
        <f ca="1">Performances!B38</f>
        <v>0.15295555555555557</v>
      </c>
      <c r="D29">
        <f ca="1">Performances!D38</f>
        <v>0.33035555555555551</v>
      </c>
      <c r="E29">
        <f ca="1">Performances!F38</f>
        <v>0.42844444444444441</v>
      </c>
      <c r="F29">
        <f ca="1">Performances!H38</f>
        <v>0.23782222222222224</v>
      </c>
    </row>
    <row r="30" spans="1:12" x14ac:dyDescent="0.25">
      <c r="A30" s="150"/>
      <c r="B30" s="34">
        <f>Performances!A39</f>
        <v>34</v>
      </c>
      <c r="C30">
        <f ca="1">Performances!B39</f>
        <v>8.7644444444444428E-2</v>
      </c>
      <c r="D30">
        <f ca="1">Performances!D39</f>
        <v>7.7333333333333323E-2</v>
      </c>
      <c r="E30">
        <f ca="1">Performances!F39</f>
        <v>9.2044444444444443E-2</v>
      </c>
      <c r="F30">
        <f ca="1">Performances!H39</f>
        <v>9.3811111111111109E-2</v>
      </c>
    </row>
    <row r="31" spans="1:12" x14ac:dyDescent="0.25">
      <c r="A31" s="150"/>
      <c r="B31" s="34">
        <f>Performances!A40</f>
        <v>37</v>
      </c>
      <c r="C31">
        <f ca="1">Performances!B40</f>
        <v>0.20279999999999998</v>
      </c>
      <c r="D31">
        <f ca="1">Performances!D40</f>
        <v>0.23567777777777776</v>
      </c>
      <c r="E31">
        <f ca="1">Performances!F40</f>
        <v>0.22915555555555558</v>
      </c>
      <c r="F31">
        <f ca="1">Performances!H40</f>
        <v>0.16977777777777778</v>
      </c>
    </row>
    <row r="32" spans="1:12" x14ac:dyDescent="0.25">
      <c r="A32" s="150"/>
      <c r="B32" s="34">
        <f>Performances!A41</f>
        <v>40</v>
      </c>
      <c r="C32">
        <f ca="1">Performances!B41</f>
        <v>0.21356666666666665</v>
      </c>
      <c r="D32">
        <f ca="1">Performances!D41</f>
        <v>0.13906666666666667</v>
      </c>
      <c r="E32">
        <f ca="1">Performances!F41</f>
        <v>9.6966666666666673E-2</v>
      </c>
      <c r="F32">
        <f ca="1">Performances!H41</f>
        <v>5.8733333333333332E-2</v>
      </c>
    </row>
    <row r="33" spans="1:6" x14ac:dyDescent="0.25">
      <c r="A33" s="151"/>
      <c r="B33" s="34">
        <f>Performances!A42</f>
        <v>43</v>
      </c>
      <c r="C33">
        <f ca="1">Performances!B42</f>
        <v>0.17544444444444443</v>
      </c>
      <c r="D33">
        <f ca="1">Performances!D42</f>
        <v>0.13042222222222222</v>
      </c>
      <c r="E33">
        <f ca="1">Performances!F42</f>
        <v>0.1161888888888889</v>
      </c>
      <c r="F33">
        <f ca="1">Performances!H42</f>
        <v>0.10033333333333333</v>
      </c>
    </row>
    <row r="34" spans="1:6" x14ac:dyDescent="0.25">
      <c r="A34" s="149" t="s">
        <v>202</v>
      </c>
      <c r="B34" s="34">
        <f>Performances!A52</f>
        <v>2</v>
      </c>
      <c r="C34">
        <f ca="1">Performances!B52</f>
        <v>0.11896666666666667</v>
      </c>
      <c r="D34">
        <f ca="1">Performances!D52</f>
        <v>0.14289999999999997</v>
      </c>
      <c r="E34">
        <f ca="1">Performances!F52</f>
        <v>0.12554444444444446</v>
      </c>
      <c r="F34">
        <f ca="1">Performances!H52</f>
        <v>0.19301111111111111</v>
      </c>
    </row>
    <row r="35" spans="1:6" x14ac:dyDescent="0.25">
      <c r="A35" s="150"/>
      <c r="B35" s="34">
        <f>Performances!A53</f>
        <v>5</v>
      </c>
      <c r="C35">
        <f ca="1">Performances!B53</f>
        <v>0.12055555555555555</v>
      </c>
      <c r="D35">
        <f ca="1">Performances!D53</f>
        <v>9.01E-2</v>
      </c>
      <c r="E35">
        <f ca="1">Performances!F53</f>
        <v>0.12944444444444445</v>
      </c>
      <c r="F35">
        <f ca="1">Performances!H53</f>
        <v>0.11417777777777778</v>
      </c>
    </row>
    <row r="36" spans="1:6" x14ac:dyDescent="0.25">
      <c r="A36" s="150"/>
      <c r="B36" s="34">
        <f>Performances!A54</f>
        <v>8</v>
      </c>
      <c r="C36">
        <f ca="1">Performances!B54</f>
        <v>0.13216666666666668</v>
      </c>
      <c r="D36">
        <f ca="1">Performances!D54</f>
        <v>0.11761111111111111</v>
      </c>
      <c r="E36">
        <f ca="1">Performances!F54</f>
        <v>0.11051111111111112</v>
      </c>
      <c r="F36">
        <f ca="1">Performances!H54</f>
        <v>0.12665555555555555</v>
      </c>
    </row>
    <row r="37" spans="1:6" x14ac:dyDescent="0.25">
      <c r="A37" s="150"/>
      <c r="B37" s="34">
        <f>Performances!A55</f>
        <v>11</v>
      </c>
      <c r="C37">
        <f ca="1">Performances!B55</f>
        <v>9.98E-2</v>
      </c>
      <c r="D37">
        <f ca="1">Performances!D55</f>
        <v>0.11684444444444446</v>
      </c>
      <c r="E37">
        <f ca="1">Performances!F55</f>
        <v>0.13743333333333335</v>
      </c>
      <c r="F37">
        <f ca="1">Performances!H55</f>
        <v>7.3177777777777772E-2</v>
      </c>
    </row>
    <row r="38" spans="1:6" x14ac:dyDescent="0.25">
      <c r="A38" s="150"/>
      <c r="B38" s="34">
        <f>Performances!A56</f>
        <v>14</v>
      </c>
      <c r="C38">
        <f ca="1">Performances!B56</f>
        <v>0.25618888888888885</v>
      </c>
      <c r="D38">
        <f ca="1">Performances!D56</f>
        <v>7.6511111111111113E-2</v>
      </c>
      <c r="E38">
        <f ca="1">Performances!F56</f>
        <v>7.9111111111111104E-2</v>
      </c>
      <c r="F38">
        <f ca="1">Performances!H56</f>
        <v>0.10416666666666666</v>
      </c>
    </row>
    <row r="39" spans="1:6" x14ac:dyDescent="0.25">
      <c r="A39" s="150"/>
      <c r="B39" s="34">
        <f>Performances!A57</f>
        <v>17</v>
      </c>
      <c r="C39">
        <f ca="1">Performances!B57</f>
        <v>0.16607777777777777</v>
      </c>
      <c r="D39">
        <f ca="1">Performances!D57</f>
        <v>0.19094444444444444</v>
      </c>
      <c r="E39">
        <f ca="1">Performances!F57</f>
        <v>0.18578888888888889</v>
      </c>
      <c r="F39">
        <f ca="1">Performances!H57</f>
        <v>0.15772222222222221</v>
      </c>
    </row>
    <row r="40" spans="1:6" x14ac:dyDescent="0.25">
      <c r="A40" s="150"/>
      <c r="B40" s="34">
        <f>Performances!A58</f>
        <v>20</v>
      </c>
      <c r="C40">
        <f ca="1">Performances!B58</f>
        <v>8.0688888888888893E-2</v>
      </c>
      <c r="D40">
        <f ca="1">Performances!D58</f>
        <v>0.14785555555555555</v>
      </c>
      <c r="E40">
        <f ca="1">Performances!F58</f>
        <v>0.13974444444444442</v>
      </c>
      <c r="F40">
        <f ca="1">Performances!H58</f>
        <v>0.1482</v>
      </c>
    </row>
    <row r="41" spans="1:6" x14ac:dyDescent="0.25">
      <c r="A41" s="150"/>
      <c r="B41" s="34">
        <f>Performances!A59</f>
        <v>23</v>
      </c>
      <c r="C41">
        <f ca="1">Performances!B59</f>
        <v>0.12197777777777777</v>
      </c>
      <c r="D41">
        <f ca="1">Performances!D59</f>
        <v>0.10870000000000002</v>
      </c>
      <c r="E41">
        <f ca="1">Performances!F59</f>
        <v>0.14655555555555555</v>
      </c>
      <c r="F41">
        <f ca="1">Performances!H59</f>
        <v>8.6411111111111105E-2</v>
      </c>
    </row>
    <row r="42" spans="1:6" x14ac:dyDescent="0.25">
      <c r="A42" s="150"/>
      <c r="B42" s="34">
        <f>Performances!A60</f>
        <v>26</v>
      </c>
      <c r="C42">
        <f ca="1">Performances!B60</f>
        <v>0.1996111111111111</v>
      </c>
      <c r="D42">
        <f ca="1">Performances!D60</f>
        <v>0.13305555555555557</v>
      </c>
      <c r="E42">
        <f ca="1">Performances!F60</f>
        <v>0.14705555555555558</v>
      </c>
      <c r="F42">
        <f ca="1">Performances!H60</f>
        <v>9.8988888888888876E-2</v>
      </c>
    </row>
    <row r="43" spans="1:6" x14ac:dyDescent="0.25">
      <c r="A43" s="150"/>
      <c r="B43" s="34">
        <f>Performances!A61</f>
        <v>29</v>
      </c>
      <c r="C43">
        <f ca="1">Performances!B61</f>
        <v>7.6622222222222217E-2</v>
      </c>
      <c r="D43">
        <f ca="1">Performances!D61</f>
        <v>8.3077777777777778E-2</v>
      </c>
      <c r="E43">
        <f ca="1">Performances!F61</f>
        <v>9.9900000000000003E-2</v>
      </c>
      <c r="F43">
        <f ca="1">Performances!H61</f>
        <v>0.12872222222222221</v>
      </c>
    </row>
    <row r="44" spans="1:6" x14ac:dyDescent="0.25">
      <c r="A44" s="150"/>
      <c r="B44" s="34">
        <f>Performances!A62</f>
        <v>32</v>
      </c>
      <c r="C44">
        <f ca="1">Performances!B62</f>
        <v>0.10392222222222222</v>
      </c>
      <c r="D44">
        <f ca="1">Performances!D62</f>
        <v>0.15913333333333332</v>
      </c>
      <c r="E44">
        <f ca="1">Performances!F62</f>
        <v>0.11752222222222224</v>
      </c>
      <c r="F44">
        <f ca="1">Performances!H62</f>
        <v>0.11233333333333334</v>
      </c>
    </row>
    <row r="45" spans="1:6" x14ac:dyDescent="0.25">
      <c r="A45" s="150"/>
      <c r="B45" s="34">
        <f>Performances!A63</f>
        <v>35</v>
      </c>
      <c r="C45">
        <f ca="1">Performances!B63</f>
        <v>9.0933333333333324E-2</v>
      </c>
      <c r="D45">
        <f ca="1">Performances!D63</f>
        <v>7.0266666666666672E-2</v>
      </c>
      <c r="E45">
        <f ca="1">Performances!F63</f>
        <v>8.9633333333333329E-2</v>
      </c>
      <c r="F45">
        <f ca="1">Performances!H63</f>
        <v>7.7600000000000002E-2</v>
      </c>
    </row>
    <row r="46" spans="1:6" x14ac:dyDescent="0.25">
      <c r="A46" s="150"/>
      <c r="B46" s="34">
        <f>Performances!A64</f>
        <v>38</v>
      </c>
      <c r="C46">
        <f ca="1">Performances!B64</f>
        <v>0.10757777777777777</v>
      </c>
      <c r="D46">
        <f ca="1">Performances!D64</f>
        <v>0.10701111111111111</v>
      </c>
      <c r="E46">
        <f ca="1">Performances!F64</f>
        <v>0.13005555555555556</v>
      </c>
      <c r="F46">
        <f ca="1">Performances!H64</f>
        <v>0.13852222222222224</v>
      </c>
    </row>
    <row r="47" spans="1:6" x14ac:dyDescent="0.25">
      <c r="A47" s="150"/>
      <c r="B47" s="34">
        <f>Performances!A65</f>
        <v>41</v>
      </c>
      <c r="C47">
        <f ca="1">Performances!B65</f>
        <v>0.21722222222222223</v>
      </c>
      <c r="D47">
        <f ca="1">Performances!D65</f>
        <v>0.12233333333333334</v>
      </c>
      <c r="E47">
        <f ca="1">Performances!F65</f>
        <v>0.17912222222222224</v>
      </c>
      <c r="F47">
        <f ca="1">Performances!H65</f>
        <v>0.18522222222222223</v>
      </c>
    </row>
    <row r="48" spans="1:6" x14ac:dyDescent="0.25">
      <c r="A48" s="151"/>
      <c r="B48" s="34">
        <f>Performances!A66</f>
        <v>44</v>
      </c>
      <c r="C48">
        <f ca="1">Performances!B66</f>
        <v>0.10218888888888888</v>
      </c>
      <c r="D48">
        <f ca="1">Performances!D66</f>
        <v>9.5477777777777786E-2</v>
      </c>
      <c r="E48">
        <f ca="1">Performances!F66</f>
        <v>7.3944444444444438E-2</v>
      </c>
      <c r="F48">
        <f ca="1">Performances!H66</f>
        <v>6.582222222222224E-2</v>
      </c>
    </row>
    <row r="49" ht="12.6" customHeight="1" x14ac:dyDescent="0.25"/>
    <row r="50" ht="12.6" customHeight="1" x14ac:dyDescent="0.25"/>
    <row r="51" ht="12.6" customHeight="1" x14ac:dyDescent="0.25"/>
    <row r="52" ht="12.6" customHeight="1" x14ac:dyDescent="0.25"/>
    <row r="53" ht="12.6" customHeight="1" x14ac:dyDescent="0.25"/>
    <row r="55" ht="12.6" customHeight="1" x14ac:dyDescent="0.25"/>
    <row r="56" ht="12.6" customHeight="1" x14ac:dyDescent="0.25"/>
    <row r="57" ht="12.6" customHeight="1" x14ac:dyDescent="0.25"/>
    <row r="59" ht="12.6" customHeight="1" x14ac:dyDescent="0.25"/>
    <row r="60" ht="12.6" customHeight="1" x14ac:dyDescent="0.25"/>
    <row r="61" ht="12.6" customHeight="1" x14ac:dyDescent="0.25"/>
    <row r="62" ht="12.6" customHeight="1" x14ac:dyDescent="0.25"/>
    <row r="63" ht="12.6" customHeight="1" x14ac:dyDescent="0.25"/>
    <row r="64" ht="12.6" customHeight="1" x14ac:dyDescent="0.25"/>
    <row r="65" ht="12.6" customHeight="1" x14ac:dyDescent="0.25"/>
    <row r="66" ht="12.6" customHeight="1" x14ac:dyDescent="0.25"/>
    <row r="67" ht="12.6" customHeight="1" x14ac:dyDescent="0.25"/>
    <row r="68" ht="12.6" customHeight="1" x14ac:dyDescent="0.25"/>
    <row r="69" ht="12.6" customHeight="1" x14ac:dyDescent="0.25"/>
    <row r="70" ht="12.6" customHeight="1" x14ac:dyDescent="0.25"/>
    <row r="71" ht="12.6" customHeight="1" x14ac:dyDescent="0.25"/>
    <row r="73" ht="12.6" customHeight="1" x14ac:dyDescent="0.25"/>
    <row r="74" ht="12.6" customHeight="1" x14ac:dyDescent="0.25"/>
    <row r="75" ht="12.6" customHeight="1" x14ac:dyDescent="0.25"/>
    <row r="77" ht="12.6" customHeight="1" x14ac:dyDescent="0.25"/>
    <row r="78" ht="12.6" customHeight="1" x14ac:dyDescent="0.25"/>
    <row r="79" ht="12.6" customHeight="1" x14ac:dyDescent="0.25"/>
    <row r="80" ht="12.6" customHeight="1" x14ac:dyDescent="0.25"/>
    <row r="81" ht="12.6" customHeight="1" x14ac:dyDescent="0.25"/>
    <row r="82" ht="12.6" customHeight="1" x14ac:dyDescent="0.25"/>
    <row r="83" ht="12.6" customHeight="1" x14ac:dyDescent="0.25"/>
    <row r="84" ht="12.6" customHeight="1" x14ac:dyDescent="0.25"/>
    <row r="85" ht="12.6" customHeight="1" x14ac:dyDescent="0.25"/>
    <row r="86" ht="12.6" customHeight="1" x14ac:dyDescent="0.25"/>
    <row r="87" ht="12.6" customHeight="1" x14ac:dyDescent="0.25"/>
    <row r="88" ht="12.6" customHeight="1" x14ac:dyDescent="0.25"/>
    <row r="89" ht="12.6" customHeight="1" x14ac:dyDescent="0.25"/>
    <row r="90" ht="12.6" customHeight="1" x14ac:dyDescent="0.25"/>
    <row r="91" ht="12.6" customHeight="1" x14ac:dyDescent="0.25"/>
    <row r="92" ht="12.6" customHeight="1" x14ac:dyDescent="0.25"/>
    <row r="93" ht="12.6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opLeftCell="B40" workbookViewId="0">
      <selection activeCell="H5" sqref="H5"/>
    </sheetView>
  </sheetViews>
  <sheetFormatPr baseColWidth="10" defaultRowHeight="13.2" x14ac:dyDescent="0.25"/>
  <sheetData>
    <row r="1" spans="1:32" x14ac:dyDescent="0.25">
      <c r="A1" s="152" t="s">
        <v>184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</row>
    <row r="2" spans="1:32" x14ac:dyDescent="0.25">
      <c r="A2" s="34" t="s">
        <v>182</v>
      </c>
      <c r="B2" s="34" t="s">
        <v>201</v>
      </c>
      <c r="C2" s="34" t="s">
        <v>202</v>
      </c>
      <c r="E2" s="153" t="s">
        <v>213</v>
      </c>
      <c r="F2" s="153"/>
      <c r="G2" s="153"/>
      <c r="H2" s="153"/>
      <c r="I2" s="153"/>
      <c r="J2" s="153"/>
      <c r="K2" s="153"/>
      <c r="L2" s="153"/>
      <c r="M2" s="153"/>
      <c r="N2" s="154"/>
      <c r="O2" s="155" t="s">
        <v>214</v>
      </c>
      <c r="P2" s="156"/>
      <c r="Q2" s="156"/>
      <c r="R2" s="156"/>
      <c r="S2" s="156"/>
      <c r="T2" s="157"/>
      <c r="U2" s="158" t="s">
        <v>215</v>
      </c>
      <c r="V2" s="159"/>
      <c r="W2" s="154"/>
      <c r="X2" s="158" t="s">
        <v>216</v>
      </c>
      <c r="Y2" s="159"/>
      <c r="Z2" s="159"/>
      <c r="AA2" s="159"/>
      <c r="AB2" s="154"/>
      <c r="AC2" s="155" t="s">
        <v>217</v>
      </c>
      <c r="AD2" s="156"/>
      <c r="AE2" s="156"/>
      <c r="AF2" s="157"/>
    </row>
    <row r="3" spans="1:32" ht="13.8" thickBot="1" x14ac:dyDescent="0.3">
      <c r="A3">
        <f ca="1">Performances!B4</f>
        <v>0.14957777659098304</v>
      </c>
      <c r="B3">
        <f ca="1">Performances!B28</f>
        <v>8.278888888888887E-2</v>
      </c>
      <c r="C3">
        <f ca="1">Performances!B52</f>
        <v>0.11896666666666667</v>
      </c>
      <c r="N3" s="35"/>
      <c r="T3" s="35"/>
      <c r="W3" s="35"/>
      <c r="AB3" s="35"/>
      <c r="AF3" s="35"/>
    </row>
    <row r="4" spans="1:32" ht="14.4" thickTop="1" thickBot="1" x14ac:dyDescent="0.3">
      <c r="A4">
        <f ca="1">Performances!B5</f>
        <v>0.15566666920979819</v>
      </c>
      <c r="B4">
        <f ca="1">Performances!B29</f>
        <v>0.16982222222222221</v>
      </c>
      <c r="C4">
        <f ca="1">Performances!B53</f>
        <v>0.12055555555555555</v>
      </c>
      <c r="E4" t="s">
        <v>218</v>
      </c>
      <c r="J4" t="s">
        <v>219</v>
      </c>
      <c r="K4">
        <v>0.05</v>
      </c>
      <c r="N4" s="35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5"/>
      <c r="U4" t="s">
        <v>220</v>
      </c>
      <c r="V4" s="36" t="s">
        <v>208</v>
      </c>
      <c r="W4" s="35"/>
      <c r="X4" s="37" t="s">
        <v>221</v>
      </c>
      <c r="Y4" s="37" t="s">
        <v>222</v>
      </c>
      <c r="Z4" s="37" t="s">
        <v>208</v>
      </c>
      <c r="AA4" s="37" t="s">
        <v>223</v>
      </c>
      <c r="AB4" s="35"/>
      <c r="AC4" s="37" t="s">
        <v>221</v>
      </c>
      <c r="AD4" s="37" t="s">
        <v>222</v>
      </c>
      <c r="AE4" s="37" t="s">
        <v>208</v>
      </c>
      <c r="AF4" s="38" t="s">
        <v>223</v>
      </c>
    </row>
    <row r="5" spans="1:32" ht="13.8" thickTop="1" x14ac:dyDescent="0.25">
      <c r="A5">
        <f ca="1">Performances!B6</f>
        <v>0.18758889039357501</v>
      </c>
      <c r="B5">
        <f ca="1">Performances!B30</f>
        <v>0.20902222222222225</v>
      </c>
      <c r="C5">
        <f ca="1">Performances!B54</f>
        <v>0.13216666666666668</v>
      </c>
      <c r="E5" s="37" t="s">
        <v>224</v>
      </c>
      <c r="F5" s="37" t="s">
        <v>225</v>
      </c>
      <c r="G5" s="37" t="s">
        <v>226</v>
      </c>
      <c r="H5" s="37" t="s">
        <v>227</v>
      </c>
      <c r="I5" s="37" t="s">
        <v>228</v>
      </c>
      <c r="J5" s="37" t="s">
        <v>229</v>
      </c>
      <c r="K5" s="37" t="s">
        <v>230</v>
      </c>
      <c r="L5" s="37" t="s">
        <v>231</v>
      </c>
      <c r="M5" s="37" t="s">
        <v>232</v>
      </c>
      <c r="N5" s="35"/>
      <c r="O5" t="s">
        <v>233</v>
      </c>
      <c r="P5" s="39">
        <f ca="1">MEDIAN(A3:A17)</f>
        <v>0.16578888893127441</v>
      </c>
      <c r="Q5" s="40">
        <f t="shared" ref="Q5:R5" ca="1" si="1">MEDIAN(B3:B17)</f>
        <v>0.17544444444444443</v>
      </c>
      <c r="R5" s="41">
        <f t="shared" ca="1" si="1"/>
        <v>0.11896666666666667</v>
      </c>
      <c r="T5" s="35"/>
      <c r="U5" t="s">
        <v>234</v>
      </c>
      <c r="V5" s="93">
        <f ca="1">[1]!LEVENE(A3:C17)</f>
        <v>0.65772941479286007</v>
      </c>
      <c r="W5" s="35"/>
      <c r="X5" t="str">
        <f>A2</f>
        <v>Groupe 1</v>
      </c>
      <c r="Y5" t="str">
        <f>B2</f>
        <v>Groupe 2</v>
      </c>
      <c r="Z5" s="97">
        <f ca="1">_xlfn.T.TEST(A3:A17,B3:B17,2,3)</f>
        <v>0.99223480613357562</v>
      </c>
      <c r="AA5">
        <f ca="1">ABS(AVERAGE(A3:A17)-AVERAGE(B3:B17))</f>
        <v>2.4518547198287832E-4</v>
      </c>
      <c r="AB5" s="35"/>
      <c r="AC5" t="str">
        <f>A2</f>
        <v>Groupe 1</v>
      </c>
      <c r="AD5" s="43" t="str">
        <f>B2</f>
        <v>Groupe 2</v>
      </c>
      <c r="AE5" s="97">
        <f ca="1">[1]!MWTEST(A3:A17,B3:B17)</f>
        <v>0.74002175119381852</v>
      </c>
      <c r="AF5" s="35">
        <f ca="1">ABS(AVERAGE(A3:A17)-AVERAGE(B3:B17))</f>
        <v>2.4518547198287832E-4</v>
      </c>
    </row>
    <row r="6" spans="1:32" x14ac:dyDescent="0.25">
      <c r="A6">
        <f ca="1">Performances!B7</f>
        <v>0.3538111084037357</v>
      </c>
      <c r="B6">
        <f ca="1">Performances!B31</f>
        <v>0.24285555555555552</v>
      </c>
      <c r="C6">
        <f ca="1">Performances!B55</f>
        <v>9.98E-2</v>
      </c>
      <c r="E6" t="str">
        <f>A2</f>
        <v>Groupe 1</v>
      </c>
      <c r="F6">
        <f ca="1">COUNT(A3:A17)</f>
        <v>15</v>
      </c>
      <c r="G6">
        <f ca="1">SUM(A3:A17)</f>
        <v>2.6869777820797429</v>
      </c>
      <c r="H6">
        <f ca="1">AVERAGE(A3:A17)</f>
        <v>0.17913185213864952</v>
      </c>
      <c r="I6">
        <f ca="1">_xlfn.VAR.S(A3:A17)</f>
        <v>5.5589151976604134E-3</v>
      </c>
      <c r="J6">
        <f ca="1">DEVSQ(A3:A17)</f>
        <v>7.7824812767245802E-2</v>
      </c>
      <c r="K6">
        <f ca="1">SQRT(H13/F6)</f>
        <v>1.6443312808521557E-2</v>
      </c>
      <c r="L6">
        <f ca="1">H6-K6*_xlfn.T.INV.2T(K4,G13)</f>
        <v>0.14594790342605196</v>
      </c>
      <c r="M6">
        <f ca="1">H6+K6*_xlfn.T.INV.2T(K4,G13)</f>
        <v>0.21231580085124707</v>
      </c>
      <c r="N6" s="35"/>
      <c r="O6" t="s">
        <v>235</v>
      </c>
      <c r="P6" s="44">
        <f ca="1">[1]!RANK_SUM(A3:C17, 1,1)</f>
        <v>384</v>
      </c>
      <c r="Q6" s="28">
        <f ca="1">[1]!RANK_SUM(A3:C17, 2,1)</f>
        <v>401</v>
      </c>
      <c r="R6" s="45">
        <f ca="1">[1]!RANK_SUM(A3:C17, 3,1)</f>
        <v>250</v>
      </c>
      <c r="T6" s="35"/>
      <c r="U6" t="s">
        <v>236</v>
      </c>
      <c r="V6" s="95">
        <f ca="1">[1]!LEVENE(A3:C17,1)</f>
        <v>0.60400860624863073</v>
      </c>
      <c r="W6" s="35"/>
      <c r="X6" t="str">
        <f>A2</f>
        <v>Groupe 1</v>
      </c>
      <c r="Y6" t="str">
        <f>C2</f>
        <v>Groupe 3</v>
      </c>
      <c r="Z6" s="97">
        <f ca="1">_xlfn.T.TEST(A3:A17,C3:C17,2,3)</f>
        <v>6.1951611396572973E-2</v>
      </c>
      <c r="AA6">
        <f ca="1">ABS(AVERAGE(A3:A17)-AVERAGE(C3:C17))</f>
        <v>4.6165185471982867E-2</v>
      </c>
      <c r="AB6" s="35"/>
      <c r="AC6" t="str">
        <f>A2</f>
        <v>Groupe 1</v>
      </c>
      <c r="AD6" s="43" t="str">
        <f>C2</f>
        <v>Groupe 3</v>
      </c>
      <c r="AE6" s="97">
        <f ca="1">[1]!MWTEST(A3:A17,C3:C17)</f>
        <v>5.1239419192744329E-2</v>
      </c>
      <c r="AF6" s="35">
        <f ca="1">ABS(AVERAGE(A3:A17)-AVERAGE(C3:C17))</f>
        <v>4.6165185471982867E-2</v>
      </c>
    </row>
    <row r="7" spans="1:32" x14ac:dyDescent="0.25">
      <c r="A7">
        <f ca="1">Performances!B8</f>
        <v>0.15561111023028695</v>
      </c>
      <c r="B7">
        <f ca="1">Performances!B32</f>
        <v>0.20850000000000002</v>
      </c>
      <c r="C7">
        <f ca="1">Performances!B56</f>
        <v>0.25618888888888885</v>
      </c>
      <c r="E7" t="str">
        <f>B2</f>
        <v>Groupe 2</v>
      </c>
      <c r="F7">
        <f ca="1">COUNT(B3:B17)</f>
        <v>15</v>
      </c>
      <c r="G7">
        <f ca="1">SUM(B3:B17)</f>
        <v>2.6832999999999996</v>
      </c>
      <c r="H7">
        <f ca="1">AVERAGE(B3:B17)</f>
        <v>0.17888666666666664</v>
      </c>
      <c r="I7">
        <f ca="1">_xlfn.VAR.S(B3:B17)</f>
        <v>3.7867337777777771E-3</v>
      </c>
      <c r="J7">
        <f ca="1">DEVSQ(B3:B17)</f>
        <v>5.3014272888888901E-2</v>
      </c>
      <c r="K7">
        <f ca="1">SQRT(H13/F7)</f>
        <v>1.6443312808521557E-2</v>
      </c>
      <c r="L7">
        <f ca="1">H7-K7*_xlfn.T.INV.2T(K4,G13)</f>
        <v>0.14570271795406908</v>
      </c>
      <c r="M7">
        <f ca="1">H7+K7*_xlfn.T.INV.2T(K4,G13)</f>
        <v>0.21207061537926419</v>
      </c>
      <c r="N7" s="35"/>
      <c r="O7" t="s">
        <v>237</v>
      </c>
      <c r="P7" s="44">
        <f ca="1">COUNT(A3:A17)</f>
        <v>15</v>
      </c>
      <c r="Q7" s="28">
        <f t="shared" ref="Q7:R7" ca="1" si="2">COUNT(B3:B17)</f>
        <v>15</v>
      </c>
      <c r="R7" s="45">
        <f t="shared" ca="1" si="2"/>
        <v>15</v>
      </c>
      <c r="S7" s="47">
        <f ca="1">SUM(P7:R7)</f>
        <v>45</v>
      </c>
      <c r="T7" s="35"/>
      <c r="U7" t="s">
        <v>238</v>
      </c>
      <c r="V7" s="96">
        <f ca="1">[1]!LEVENE(A3:C17,-1)</f>
        <v>0.65772941479286007</v>
      </c>
      <c r="W7" s="35"/>
      <c r="X7" s="30" t="str">
        <f>B2</f>
        <v>Groupe 2</v>
      </c>
      <c r="Y7" s="30" t="str">
        <f>C2</f>
        <v>Groupe 3</v>
      </c>
      <c r="Z7" s="133">
        <f ca="1">_xlfn.T.TEST(B3:B17,C3:C17,2,3)</f>
        <v>3.7381511374784862E-2</v>
      </c>
      <c r="AA7" s="30">
        <f ca="1">ABS(AVERAGE(B3:B17)-AVERAGE(C3:C17))</f>
        <v>4.5919999999999989E-2</v>
      </c>
      <c r="AB7" s="35"/>
      <c r="AC7" s="30" t="str">
        <f>B2</f>
        <v>Groupe 2</v>
      </c>
      <c r="AD7" s="49" t="str">
        <f>C2</f>
        <v>Groupe 3</v>
      </c>
      <c r="AE7" s="49">
        <f ca="1">[1]!MWTEST(B3:B17,C3:C17)</f>
        <v>5.1239419192744329E-2</v>
      </c>
      <c r="AF7" s="50">
        <f ca="1">ABS(AVERAGE(B3:B17)-AVERAGE(C3:C17))</f>
        <v>4.5919999999999989E-2</v>
      </c>
    </row>
    <row r="8" spans="1:32" x14ac:dyDescent="0.25">
      <c r="A8">
        <f ca="1">Performances!B9</f>
        <v>0.14302222265137565</v>
      </c>
      <c r="B8">
        <f ca="1">Performances!B33</f>
        <v>0.32334444444444449</v>
      </c>
      <c r="C8">
        <f ca="1">Performances!B57</f>
        <v>0.16607777777777777</v>
      </c>
      <c r="E8" t="str">
        <f>C2</f>
        <v>Groupe 3</v>
      </c>
      <c r="F8">
        <f ca="1">COUNT(C3:C17)</f>
        <v>15</v>
      </c>
      <c r="G8">
        <f ca="1">SUM(C3:C17)</f>
        <v>1.9944999999999999</v>
      </c>
      <c r="H8">
        <f ca="1">AVERAGE(C3:C17)</f>
        <v>0.13296666666666665</v>
      </c>
      <c r="I8">
        <f ca="1">_xlfn.VAR.S(C3:C17)</f>
        <v>2.8215651499118193E-3</v>
      </c>
      <c r="J8">
        <f ca="1">DEVSQ(C3:C17)</f>
        <v>3.9501912098765433E-2</v>
      </c>
      <c r="K8">
        <f ca="1">SQRT(H13/F8)</f>
        <v>1.6443312808521557E-2</v>
      </c>
      <c r="L8">
        <f ca="1">H8-K8*_xlfn.T.INV.2T(K4,G13)</f>
        <v>9.9782717954069095E-2</v>
      </c>
      <c r="M8">
        <f ca="1">H8+K8*_xlfn.T.INV.2T(K4,G13)</f>
        <v>0.1661506153792642</v>
      </c>
      <c r="N8" s="35"/>
      <c r="O8" t="s">
        <v>239</v>
      </c>
      <c r="P8" s="51">
        <f ca="1">P6^2/P7</f>
        <v>9830.4</v>
      </c>
      <c r="Q8" s="52">
        <f t="shared" ref="Q8:R8" ca="1" si="3">Q6^2/Q7</f>
        <v>10720.066666666668</v>
      </c>
      <c r="R8" s="53">
        <f t="shared" ca="1" si="3"/>
        <v>4166.666666666667</v>
      </c>
      <c r="S8" s="54">
        <f ca="1">SUM(P8:R8)</f>
        <v>24717.133333333335</v>
      </c>
      <c r="T8" s="35"/>
      <c r="W8" s="35"/>
      <c r="AB8" s="35"/>
      <c r="AF8" s="35"/>
    </row>
    <row r="9" spans="1:32" x14ac:dyDescent="0.25">
      <c r="A9">
        <f ca="1">Performances!B10</f>
        <v>5.4133333265781403E-2</v>
      </c>
      <c r="B9">
        <f ca="1">Performances!B34</f>
        <v>0.17957777777777773</v>
      </c>
      <c r="C9">
        <f ca="1">Performances!B58</f>
        <v>8.0688888888888893E-2</v>
      </c>
      <c r="E9" s="32"/>
      <c r="F9" s="32"/>
      <c r="G9" s="32"/>
      <c r="H9" s="32"/>
      <c r="I9" s="32"/>
      <c r="J9" s="32"/>
      <c r="K9" s="32"/>
      <c r="L9" s="32"/>
      <c r="M9" s="32"/>
      <c r="N9" s="35"/>
      <c r="O9" t="s">
        <v>240</v>
      </c>
      <c r="S9" s="54">
        <f ca="1">12*S8/(S7*(S7+1))-3*(S7+1)</f>
        <v>5.2877294685990535</v>
      </c>
      <c r="T9" s="35"/>
      <c r="U9" s="55" t="s">
        <v>241</v>
      </c>
      <c r="V9" s="55"/>
      <c r="W9" s="35"/>
      <c r="AB9" s="35"/>
      <c r="AF9" s="35"/>
    </row>
    <row r="10" spans="1:32" ht="13.8" thickBot="1" x14ac:dyDescent="0.3">
      <c r="A10">
        <f ca="1">Performances!B11</f>
        <v>0.24845555590258706</v>
      </c>
      <c r="B10">
        <f ca="1">Performances!B35</f>
        <v>0.16167777777777775</v>
      </c>
      <c r="C10">
        <f ca="1">Performances!B59</f>
        <v>0.12197777777777777</v>
      </c>
      <c r="E10" t="s">
        <v>242</v>
      </c>
      <c r="N10" s="35"/>
      <c r="O10" t="s">
        <v>243</v>
      </c>
      <c r="S10" s="54">
        <f ca="1">S9/(1-[1]!TiesCorrection(A3:C17)/(45*(45^2-1)))</f>
        <v>5.2877294685990535</v>
      </c>
      <c r="T10" s="35"/>
      <c r="U10" t="s">
        <v>244</v>
      </c>
      <c r="V10" s="88">
        <f ca="1">[1]!FKTEST(A3:C17)</f>
        <v>0.58857974017680237</v>
      </c>
      <c r="W10" s="35"/>
      <c r="AB10" s="35"/>
      <c r="AF10" s="35"/>
    </row>
    <row r="11" spans="1:32" ht="13.8" thickTop="1" x14ac:dyDescent="0.25">
      <c r="A11">
        <f ca="1">Performances!B12</f>
        <v>0.19290000034703148</v>
      </c>
      <c r="B11">
        <f ca="1">Performances!B36</f>
        <v>0.10271111111111113</v>
      </c>
      <c r="C11">
        <f ca="1">Performances!B60</f>
        <v>0.1996111111111111</v>
      </c>
      <c r="E11" s="37" t="s">
        <v>245</v>
      </c>
      <c r="F11" s="37" t="s">
        <v>229</v>
      </c>
      <c r="G11" s="37" t="s">
        <v>246</v>
      </c>
      <c r="H11" s="37" t="s">
        <v>247</v>
      </c>
      <c r="I11" s="37" t="s">
        <v>248</v>
      </c>
      <c r="J11" s="37" t="s">
        <v>249</v>
      </c>
      <c r="K11" s="37" t="s">
        <v>250</v>
      </c>
      <c r="L11" s="37" t="s">
        <v>251</v>
      </c>
      <c r="M11" s="37" t="s">
        <v>252</v>
      </c>
      <c r="N11" s="35"/>
      <c r="O11" t="s">
        <v>246</v>
      </c>
      <c r="S11" s="54">
        <f>COUNTA(P4:R4)-1</f>
        <v>2</v>
      </c>
      <c r="T11" s="35"/>
      <c r="W11" s="35"/>
      <c r="AB11" s="35"/>
      <c r="AF11" s="35"/>
    </row>
    <row r="12" spans="1:32" x14ac:dyDescent="0.25">
      <c r="A12">
        <f ca="1">Performances!B13</f>
        <v>0.13382222337855232</v>
      </c>
      <c r="B12">
        <f ca="1">Performances!B37</f>
        <v>0.17058888888888887</v>
      </c>
      <c r="C12">
        <f ca="1">Performances!B61</f>
        <v>7.6622222222222217E-2</v>
      </c>
      <c r="E12" t="s">
        <v>253</v>
      </c>
      <c r="F12">
        <f ca="1">F14-F13</f>
        <v>2.1199654327891254E-2</v>
      </c>
      <c r="G12">
        <f>COUNTA(E6:E8)-1</f>
        <v>2</v>
      </c>
      <c r="H12">
        <f ca="1">F12/G12</f>
        <v>1.0599827163945627E-2</v>
      </c>
      <c r="I12">
        <f ca="1">H12/H13</f>
        <v>2.6135384126744063</v>
      </c>
      <c r="J12" s="134">
        <f ca="1">_xlfn.F.DIST.RT(I12,G12,G13)</f>
        <v>8.5157465671898344E-2</v>
      </c>
      <c r="K12">
        <f ca="1">_xlfn.F.INV.RT(K4,G12,G13)</f>
        <v>3.2199422931761248</v>
      </c>
      <c r="L12">
        <f ca="1">SQRT(DEVSQ(H6:H8)/(H13*G12))</f>
        <v>0.41741573302679147</v>
      </c>
      <c r="M12">
        <f ca="1">(F14-G14*H13)/(F14+H13)</f>
        <v>6.6914211637488535E-2</v>
      </c>
      <c r="N12" s="35"/>
      <c r="O12" t="s">
        <v>208</v>
      </c>
      <c r="S12" s="83">
        <f ca="1">_xlfn.CHISQ.DIST.RT(S10,S11)</f>
        <v>7.1086009456459376E-2</v>
      </c>
      <c r="T12" s="35"/>
      <c r="W12" s="35"/>
      <c r="AB12" s="35"/>
      <c r="AF12" s="35"/>
    </row>
    <row r="13" spans="1:32" x14ac:dyDescent="0.25">
      <c r="A13">
        <f ca="1">Performances!B14</f>
        <v>0.16578888893127441</v>
      </c>
      <c r="B13">
        <f ca="1">Performances!B38</f>
        <v>0.15295555555555557</v>
      </c>
      <c r="C13">
        <f ca="1">Performances!B62</f>
        <v>0.10392222222222222</v>
      </c>
      <c r="E13" t="s">
        <v>254</v>
      </c>
      <c r="F13">
        <f ca="1">SUM(J6:J8)</f>
        <v>0.17034099775490014</v>
      </c>
      <c r="G13">
        <f ca="1">G14-G12</f>
        <v>42</v>
      </c>
      <c r="H13">
        <f ca="1">F13/G13</f>
        <v>4.0557380417833369E-3</v>
      </c>
      <c r="N13" s="35"/>
      <c r="O13" t="s">
        <v>209</v>
      </c>
      <c r="S13" s="54">
        <v>0.05</v>
      </c>
      <c r="T13" s="35"/>
      <c r="W13" s="35"/>
      <c r="AB13" s="35"/>
      <c r="AF13" s="35"/>
    </row>
    <row r="14" spans="1:32" x14ac:dyDescent="0.25">
      <c r="A14">
        <f ca="1">Performances!B15</f>
        <v>0.26572222510973614</v>
      </c>
      <c r="B14">
        <f ca="1">Performances!B39</f>
        <v>8.7644444444444428E-2</v>
      </c>
      <c r="C14">
        <f ca="1">Performances!B63</f>
        <v>9.0933333333333324E-2</v>
      </c>
      <c r="E14" s="30" t="s">
        <v>255</v>
      </c>
      <c r="F14" s="30">
        <f ca="1">DEVSQ(A3:C17)</f>
        <v>0.19154065208279139</v>
      </c>
      <c r="G14" s="30">
        <f ca="1">COUNT(A3:C17)-1</f>
        <v>44</v>
      </c>
      <c r="H14" s="30">
        <f ca="1">F14/G14</f>
        <v>4.3531966382452589E-3</v>
      </c>
      <c r="I14" s="30"/>
      <c r="J14" s="30"/>
      <c r="K14" s="30"/>
      <c r="L14" s="30"/>
      <c r="M14" s="30"/>
      <c r="N14" s="35"/>
      <c r="O14" t="s">
        <v>256</v>
      </c>
      <c r="S14" s="56" t="str">
        <f ca="1">IF(S12&lt;S13,"yes","no")</f>
        <v>no</v>
      </c>
      <c r="T14" s="35"/>
      <c r="W14" s="35"/>
      <c r="AB14" s="35"/>
      <c r="AF14" s="35"/>
    </row>
    <row r="15" spans="1:32" x14ac:dyDescent="0.25">
      <c r="A15">
        <f ca="1">Performances!B16</f>
        <v>0.21198888785309261</v>
      </c>
      <c r="B15">
        <f ca="1">Performances!B40</f>
        <v>0.20279999999999998</v>
      </c>
      <c r="C15">
        <f ca="1">Performances!B64</f>
        <v>0.10757777777777777</v>
      </c>
      <c r="N15" s="35"/>
      <c r="T15" s="35"/>
      <c r="W15" s="35"/>
      <c r="AB15" s="35"/>
      <c r="AF15" s="35"/>
    </row>
    <row r="16" spans="1:32" x14ac:dyDescent="0.25">
      <c r="A16">
        <f ca="1">Performances!B17</f>
        <v>0.19977777865197924</v>
      </c>
      <c r="B16">
        <f ca="1">Performances!B41</f>
        <v>0.21356666666666665</v>
      </c>
      <c r="C16">
        <f ca="1">Performances!B65</f>
        <v>0.21722222222222223</v>
      </c>
      <c r="N16" s="35"/>
      <c r="T16" s="35"/>
      <c r="W16" s="35"/>
      <c r="AB16" s="35"/>
      <c r="AF16" s="35"/>
    </row>
    <row r="17" spans="1:32" x14ac:dyDescent="0.25">
      <c r="A17">
        <f ca="1">Performances!B18</f>
        <v>6.9111111159953803E-2</v>
      </c>
      <c r="B17">
        <f ca="1">Performances!B42</f>
        <v>0.17544444444444443</v>
      </c>
      <c r="C17">
        <f ca="1">Performances!B66</f>
        <v>0.10218888888888888</v>
      </c>
      <c r="N17" s="35"/>
      <c r="T17" s="35"/>
      <c r="W17" s="35"/>
      <c r="AB17" s="35"/>
      <c r="AF17" s="35"/>
    </row>
    <row r="19" spans="1:32" x14ac:dyDescent="0.25">
      <c r="A19" s="152" t="s">
        <v>185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</row>
    <row r="20" spans="1:32" x14ac:dyDescent="0.25">
      <c r="A20" s="34" t="s">
        <v>182</v>
      </c>
      <c r="B20" s="34" t="s">
        <v>201</v>
      </c>
      <c r="C20" s="34" t="s">
        <v>202</v>
      </c>
      <c r="E20" s="160" t="s">
        <v>213</v>
      </c>
      <c r="F20" s="160"/>
      <c r="G20" s="160"/>
      <c r="H20" s="160"/>
      <c r="I20" s="160"/>
      <c r="J20" s="160"/>
      <c r="K20" s="160"/>
      <c r="L20" s="160"/>
      <c r="M20" s="160"/>
      <c r="N20" s="161"/>
      <c r="O20" s="158" t="s">
        <v>214</v>
      </c>
      <c r="P20" s="159"/>
      <c r="Q20" s="159"/>
      <c r="R20" s="159"/>
      <c r="S20" s="159"/>
      <c r="T20" s="154"/>
      <c r="U20" s="162" t="s">
        <v>215</v>
      </c>
      <c r="V20" s="163"/>
      <c r="W20" s="161"/>
      <c r="X20" s="162" t="s">
        <v>216</v>
      </c>
      <c r="Y20" s="163"/>
      <c r="Z20" s="163"/>
      <c r="AA20" s="163"/>
      <c r="AB20" s="161"/>
      <c r="AC20" s="158" t="s">
        <v>217</v>
      </c>
      <c r="AD20" s="159"/>
      <c r="AE20" s="159"/>
      <c r="AF20" s="154"/>
    </row>
    <row r="21" spans="1:32" ht="13.8" thickBot="1" x14ac:dyDescent="0.3">
      <c r="A21">
        <f ca="1">Performances!D4</f>
        <v>0.1551222221718894</v>
      </c>
      <c r="B21">
        <f ca="1">Performances!D28</f>
        <v>5.6011111111111109E-2</v>
      </c>
      <c r="C21">
        <f ca="1">Performances!D52</f>
        <v>0.14289999999999997</v>
      </c>
      <c r="N21" s="35"/>
      <c r="T21" s="35"/>
      <c r="W21" s="35"/>
      <c r="AB21" s="35"/>
      <c r="AF21" s="35"/>
    </row>
    <row r="22" spans="1:32" ht="14.4" thickTop="1" thickBot="1" x14ac:dyDescent="0.3">
      <c r="A22">
        <f ca="1">Performances!D5</f>
        <v>0.12669999731911552</v>
      </c>
      <c r="B22">
        <f ca="1">Performances!D29</f>
        <v>5.842222222222223E-2</v>
      </c>
      <c r="C22">
        <f ca="1">Performances!D53</f>
        <v>9.01E-2</v>
      </c>
      <c r="E22" t="s">
        <v>218</v>
      </c>
      <c r="J22" t="s">
        <v>219</v>
      </c>
      <c r="K22">
        <v>0.05</v>
      </c>
      <c r="N22" s="35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5"/>
      <c r="U22" t="s">
        <v>220</v>
      </c>
      <c r="V22" s="36" t="s">
        <v>208</v>
      </c>
      <c r="W22" s="35"/>
      <c r="X22" s="37" t="s">
        <v>221</v>
      </c>
      <c r="Y22" s="37" t="s">
        <v>222</v>
      </c>
      <c r="Z22" s="37" t="s">
        <v>208</v>
      </c>
      <c r="AA22" s="37" t="s">
        <v>223</v>
      </c>
      <c r="AB22" s="35"/>
      <c r="AC22" s="37" t="s">
        <v>221</v>
      </c>
      <c r="AD22" s="37" t="s">
        <v>222</v>
      </c>
      <c r="AE22" s="37" t="s">
        <v>208</v>
      </c>
      <c r="AF22" s="38" t="s">
        <v>223</v>
      </c>
    </row>
    <row r="23" spans="1:32" ht="13.8" thickTop="1" x14ac:dyDescent="0.25">
      <c r="A23">
        <f ca="1">Performances!D6</f>
        <v>9.6811111188597143E-2</v>
      </c>
      <c r="B23">
        <f ca="1">Performances!D30</f>
        <v>0.16975555555555555</v>
      </c>
      <c r="C23">
        <f ca="1">Performances!D54</f>
        <v>0.11761111111111111</v>
      </c>
      <c r="E23" s="37" t="s">
        <v>224</v>
      </c>
      <c r="F23" s="37" t="s">
        <v>225</v>
      </c>
      <c r="G23" s="37" t="s">
        <v>226</v>
      </c>
      <c r="H23" s="37" t="s">
        <v>227</v>
      </c>
      <c r="I23" s="37" t="s">
        <v>228</v>
      </c>
      <c r="J23" s="37" t="s">
        <v>229</v>
      </c>
      <c r="K23" s="37" t="s">
        <v>230</v>
      </c>
      <c r="L23" s="37" t="s">
        <v>231</v>
      </c>
      <c r="M23" s="37" t="s">
        <v>232</v>
      </c>
      <c r="N23" s="35"/>
      <c r="O23" t="s">
        <v>233</v>
      </c>
      <c r="P23" s="39">
        <f ca="1">MEDIAN(A21:A35)</f>
        <v>0.12669999731911552</v>
      </c>
      <c r="Q23" s="40">
        <f t="shared" ref="Q23:R23" ca="1" si="5">MEDIAN(B21:B35)</f>
        <v>0.13042222222222222</v>
      </c>
      <c r="R23" s="41">
        <f t="shared" ca="1" si="5"/>
        <v>0.11684444444444446</v>
      </c>
      <c r="T23" s="35"/>
      <c r="U23" t="s">
        <v>234</v>
      </c>
      <c r="V23" s="42">
        <f ca="1">[1]!LEVENE(A21:C35)</f>
        <v>5.0708646693605308E-2</v>
      </c>
      <c r="W23" s="35"/>
      <c r="X23" t="str">
        <f>A20</f>
        <v>Groupe 1</v>
      </c>
      <c r="Y23" t="str">
        <f>B20</f>
        <v>Groupe 2</v>
      </c>
      <c r="Z23" s="43">
        <f ca="1">_xlfn.T.TEST(A21:A35,B21:B35,2,3)</f>
        <v>0.97919814816483641</v>
      </c>
      <c r="AA23">
        <f ca="1">ABS(AVERAGE(A21:A35)-AVERAGE(B21:B35))</f>
        <v>7.5481491027051817E-4</v>
      </c>
      <c r="AB23" s="35"/>
      <c r="AC23" t="str">
        <f>A20</f>
        <v>Groupe 1</v>
      </c>
      <c r="AD23" s="43" t="str">
        <f>B20</f>
        <v>Groupe 2</v>
      </c>
      <c r="AE23" s="97">
        <f ca="1">[1]!MWTEST(A21:A35,B21:B35)</f>
        <v>0.86822599035243542</v>
      </c>
      <c r="AF23" s="35">
        <f ca="1">ABS(AVERAGE(A21:A35)-AVERAGE(B21:B35))</f>
        <v>7.5481491027051817E-4</v>
      </c>
    </row>
    <row r="24" spans="1:32" x14ac:dyDescent="0.25">
      <c r="A24">
        <f ca="1">Performances!D7</f>
        <v>0.33148889078034294</v>
      </c>
      <c r="B24">
        <f ca="1">Performances!D31</f>
        <v>0.22505555555555551</v>
      </c>
      <c r="C24">
        <f ca="1">Performances!D55</f>
        <v>0.11684444444444446</v>
      </c>
      <c r="E24" t="str">
        <f>A20</f>
        <v>Groupe 1</v>
      </c>
      <c r="F24">
        <f ca="1">COUNT(A21:A35)</f>
        <v>15</v>
      </c>
      <c r="G24">
        <f ca="1">SUM(A21:A35)</f>
        <v>2.1670222207903862</v>
      </c>
      <c r="H24">
        <f ca="1">AVERAGE(A21:A35)</f>
        <v>0.14446814805269242</v>
      </c>
      <c r="I24">
        <f ca="1">_xlfn.VAR.S(A21:A35)</f>
        <v>6.8294113606313534E-3</v>
      </c>
      <c r="J24">
        <f ca="1">DEVSQ(A21:A35)</f>
        <v>9.5611759048838951E-2</v>
      </c>
      <c r="K24">
        <f ca="1">SQRT(H31/F24)</f>
        <v>1.7289034437179846E-2</v>
      </c>
      <c r="L24">
        <f ca="1">H24-K24*_xlfn.T.INV.2T(K22,G31)</f>
        <v>0.10957746399562177</v>
      </c>
      <c r="M24">
        <f ca="1">H24+K24*_xlfn.T.INV.2T(K22,G31)</f>
        <v>0.17935883210976308</v>
      </c>
      <c r="N24" s="35"/>
      <c r="O24" t="s">
        <v>235</v>
      </c>
      <c r="P24" s="44">
        <f ca="1">[1]!RANK_SUM(A21:C35, 1,1)</f>
        <v>356</v>
      </c>
      <c r="Q24" s="28">
        <f ca="1">[1]!RANK_SUM(A21:C35, 2,1)</f>
        <v>371</v>
      </c>
      <c r="R24" s="45">
        <f ca="1">[1]!RANK_SUM(A21:C35, 3,1)</f>
        <v>308</v>
      </c>
      <c r="T24" s="35"/>
      <c r="U24" t="s">
        <v>236</v>
      </c>
      <c r="V24" s="46">
        <f ca="1">[1]!LEVENE(A21:C35,1)</f>
        <v>0.1242395092100973</v>
      </c>
      <c r="W24" s="35"/>
      <c r="X24" t="str">
        <f>A20</f>
        <v>Groupe 1</v>
      </c>
      <c r="Y24" t="str">
        <f>C20</f>
        <v>Groupe 3</v>
      </c>
      <c r="Z24" s="43">
        <f ca="1">_xlfn.T.TEST(A21:A35,C21:C35,2,3)</f>
        <v>0.25516238777326072</v>
      </c>
      <c r="AA24">
        <f ca="1">ABS(AVERAGE(A21:A35)-AVERAGE(C21:C35))</f>
        <v>2.7013333237877593E-2</v>
      </c>
      <c r="AB24" s="35"/>
      <c r="AC24" t="str">
        <f>A20</f>
        <v>Groupe 1</v>
      </c>
      <c r="AD24" s="43" t="str">
        <f>C20</f>
        <v>Groupe 3</v>
      </c>
      <c r="AE24" s="97">
        <f ca="1">[1]!MWTEST(A21:A35,C21:C35)</f>
        <v>0.5338294217441395</v>
      </c>
      <c r="AF24" s="35">
        <f ca="1">ABS(AVERAGE(A21:A35)-AVERAGE(C21:C35))</f>
        <v>2.7013333237877593E-2</v>
      </c>
    </row>
    <row r="25" spans="1:32" x14ac:dyDescent="0.25">
      <c r="A25">
        <f ca="1">Performances!D8</f>
        <v>0.1521666662560569</v>
      </c>
      <c r="B25">
        <f ca="1">Performances!D32</f>
        <v>0.17177777777777781</v>
      </c>
      <c r="C25">
        <f ca="1">Performances!D56</f>
        <v>7.6511111111111113E-2</v>
      </c>
      <c r="E25" t="str">
        <f>B20</f>
        <v>Groupe 2</v>
      </c>
      <c r="F25">
        <f ca="1">COUNT(B21:B35)</f>
        <v>15</v>
      </c>
      <c r="G25">
        <f ca="1">SUM(B21:B35)</f>
        <v>2.178344444444444</v>
      </c>
      <c r="H25">
        <f ca="1">AVERAGE(B21:B35)</f>
        <v>0.14522296296296294</v>
      </c>
      <c r="I25">
        <f ca="1">_xlfn.VAR.S(B21:B35)</f>
        <v>5.5159314015285222E-3</v>
      </c>
      <c r="J25">
        <f ca="1">DEVSQ(B21:B35)</f>
        <v>7.7223039621399134E-2</v>
      </c>
      <c r="K25">
        <f ca="1">SQRT(H31/F25)</f>
        <v>1.7289034437179846E-2</v>
      </c>
      <c r="L25">
        <f ca="1">H25-K25*_xlfn.T.INV.2T(K22,G31)</f>
        <v>0.11033227890589228</v>
      </c>
      <c r="M25">
        <f ca="1">H25+K25*_xlfn.T.INV.2T(K22,G31)</f>
        <v>0.1801136470200336</v>
      </c>
      <c r="N25" s="35"/>
      <c r="O25" t="s">
        <v>237</v>
      </c>
      <c r="P25" s="44">
        <f ca="1">COUNT(A21:A35)</f>
        <v>15</v>
      </c>
      <c r="Q25" s="28">
        <f t="shared" ref="Q25:R25" ca="1" si="6">COUNT(B21:B35)</f>
        <v>15</v>
      </c>
      <c r="R25" s="45">
        <f t="shared" ca="1" si="6"/>
        <v>15</v>
      </c>
      <c r="S25" s="47">
        <f ca="1">SUM(P25:R25)</f>
        <v>45</v>
      </c>
      <c r="T25" s="35"/>
      <c r="U25" t="s">
        <v>238</v>
      </c>
      <c r="V25" s="48">
        <f ca="1">[1]!LEVENE(A21:C35,-1)</f>
        <v>5.0708646693605308E-2</v>
      </c>
      <c r="W25" s="35"/>
      <c r="X25" s="30" t="str">
        <f>B20</f>
        <v>Groupe 2</v>
      </c>
      <c r="Y25" s="30" t="str">
        <f>C20</f>
        <v>Groupe 3</v>
      </c>
      <c r="Z25" s="49">
        <f ca="1">_xlfn.T.TEST(B21:B35,C21:C35,2,3)</f>
        <v>0.20166725928936205</v>
      </c>
      <c r="AA25" s="30">
        <f ca="1">ABS(AVERAGE(B21:B35)-AVERAGE(C21:C35))</f>
        <v>2.7768148148148111E-2</v>
      </c>
      <c r="AB25" s="35"/>
      <c r="AC25" s="30" t="str">
        <f>B20</f>
        <v>Groupe 2</v>
      </c>
      <c r="AD25" s="49" t="str">
        <f>C20</f>
        <v>Groupe 3</v>
      </c>
      <c r="AE25" s="49">
        <f ca="1">[1]!MWTEST(B21:B35,C21:C35)</f>
        <v>0.38373262766250305</v>
      </c>
      <c r="AF25" s="50">
        <f ca="1">ABS(AVERAGE(B21:B35)-AVERAGE(C21:C35))</f>
        <v>2.7768148148148111E-2</v>
      </c>
    </row>
    <row r="26" spans="1:32" x14ac:dyDescent="0.25">
      <c r="A26">
        <f ca="1">Performances!D9</f>
        <v>0.12140000032054053</v>
      </c>
      <c r="B26">
        <f ca="1">Performances!D33</f>
        <v>0.12373333333333332</v>
      </c>
      <c r="C26">
        <f ca="1">Performances!D57</f>
        <v>0.19094444444444444</v>
      </c>
      <c r="E26" t="str">
        <f>C20</f>
        <v>Groupe 3</v>
      </c>
      <c r="F26">
        <f ca="1">COUNT(C21:C35)</f>
        <v>15</v>
      </c>
      <c r="G26">
        <f ca="1">SUM(C21:C35)</f>
        <v>1.7618222222222224</v>
      </c>
      <c r="H26">
        <f ca="1">AVERAGE(C21:C35)</f>
        <v>0.11745481481481483</v>
      </c>
      <c r="I26">
        <f ca="1">_xlfn.VAR.S(C21:C35)</f>
        <v>1.1056392674897106E-3</v>
      </c>
      <c r="J26">
        <f ca="1">DEVSQ(C21:C35)</f>
        <v>1.5478949744855966E-2</v>
      </c>
      <c r="K26">
        <f ca="1">SQRT(H31/F26)</f>
        <v>1.7289034437179846E-2</v>
      </c>
      <c r="L26">
        <f ca="1">H26-K26*_xlfn.T.INV.2T(K22,G31)</f>
        <v>8.2564130757744172E-2</v>
      </c>
      <c r="M26">
        <f ca="1">H26+K26*_xlfn.T.INV.2T(K22,G31)</f>
        <v>0.15234549887188548</v>
      </c>
      <c r="N26" s="35"/>
      <c r="O26" t="s">
        <v>239</v>
      </c>
      <c r="P26" s="51">
        <f ca="1">P24^2/P25</f>
        <v>8449.0666666666675</v>
      </c>
      <c r="Q26" s="52">
        <f t="shared" ref="Q26:R26" ca="1" si="7">Q24^2/Q25</f>
        <v>9176.0666666666675</v>
      </c>
      <c r="R26" s="53">
        <f t="shared" ca="1" si="7"/>
        <v>6324.2666666666664</v>
      </c>
      <c r="S26" s="54">
        <f ca="1">SUM(P26:R26)</f>
        <v>23949.4</v>
      </c>
      <c r="T26" s="35"/>
      <c r="W26" s="35"/>
      <c r="AB26" s="35"/>
      <c r="AF26" s="35"/>
    </row>
    <row r="27" spans="1:32" x14ac:dyDescent="0.25">
      <c r="A27">
        <f ca="1">Performances!D10</f>
        <v>8.4266665909025401E-2</v>
      </c>
      <c r="B27">
        <f ca="1">Performances!D34</f>
        <v>0.15475555555555556</v>
      </c>
      <c r="C27">
        <f ca="1">Performances!D58</f>
        <v>0.14785555555555555</v>
      </c>
      <c r="E27" s="32"/>
      <c r="F27" s="32"/>
      <c r="G27" s="32"/>
      <c r="H27" s="32"/>
      <c r="I27" s="32"/>
      <c r="J27" s="32"/>
      <c r="K27" s="32"/>
      <c r="L27" s="32"/>
      <c r="M27" s="32"/>
      <c r="N27" s="35"/>
      <c r="O27" t="s">
        <v>240</v>
      </c>
      <c r="S27" s="54">
        <f ca="1">12*S26/(S25*(S25+1))-3*(S25+1)</f>
        <v>0.83710144927539432</v>
      </c>
      <c r="T27" s="35"/>
      <c r="U27" s="55" t="s">
        <v>241</v>
      </c>
      <c r="V27" s="55"/>
      <c r="W27" s="35"/>
      <c r="AB27" s="35"/>
      <c r="AF27" s="35"/>
    </row>
    <row r="28" spans="1:32" ht="13.8" thickBot="1" x14ac:dyDescent="0.3">
      <c r="A28">
        <f ca="1">Performances!D11</f>
        <v>0.12761111143562529</v>
      </c>
      <c r="B28">
        <f ca="1">Performances!D35</f>
        <v>0.1086</v>
      </c>
      <c r="C28">
        <f ca="1">Performances!D59</f>
        <v>0.10870000000000002</v>
      </c>
      <c r="E28" t="s">
        <v>242</v>
      </c>
      <c r="N28" s="35"/>
      <c r="O28" t="s">
        <v>243</v>
      </c>
      <c r="S28" s="54">
        <f ca="1">S27/(1-[1]!TiesCorrection(A21:C35)/(45*(45^2-1)))</f>
        <v>0.83710144927539432</v>
      </c>
      <c r="T28" s="35"/>
      <c r="U28" t="s">
        <v>244</v>
      </c>
      <c r="V28" s="43">
        <f ca="1">[1]!FKTEST(A21:C35)</f>
        <v>0.12463955142498873</v>
      </c>
      <c r="W28" s="35"/>
      <c r="AB28" s="35"/>
      <c r="AF28" s="35"/>
    </row>
    <row r="29" spans="1:32" ht="13.8" thickTop="1" x14ac:dyDescent="0.25">
      <c r="A29">
        <f ca="1">Performances!D12</f>
        <v>0.29657777978314293</v>
      </c>
      <c r="B29">
        <f ca="1">Performances!D36</f>
        <v>8.2833333333333342E-2</v>
      </c>
      <c r="C29">
        <f ca="1">Performances!D60</f>
        <v>0.13305555555555557</v>
      </c>
      <c r="E29" s="37" t="s">
        <v>245</v>
      </c>
      <c r="F29" s="37" t="s">
        <v>229</v>
      </c>
      <c r="G29" s="37" t="s">
        <v>246</v>
      </c>
      <c r="H29" s="37" t="s">
        <v>247</v>
      </c>
      <c r="I29" s="37" t="s">
        <v>248</v>
      </c>
      <c r="J29" s="37" t="s">
        <v>249</v>
      </c>
      <c r="K29" s="37" t="s">
        <v>250</v>
      </c>
      <c r="L29" s="37" t="s">
        <v>251</v>
      </c>
      <c r="M29" s="37" t="s">
        <v>252</v>
      </c>
      <c r="N29" s="35"/>
      <c r="O29" t="s">
        <v>246</v>
      </c>
      <c r="S29" s="54">
        <f>COUNTA(P22:R22)-1</f>
        <v>2</v>
      </c>
      <c r="T29" s="35"/>
      <c r="W29" s="35"/>
      <c r="AB29" s="35"/>
      <c r="AF29" s="35"/>
    </row>
    <row r="30" spans="1:32" x14ac:dyDescent="0.25">
      <c r="A30">
        <f ca="1">Performances!D13</f>
        <v>6.1388889120684728E-2</v>
      </c>
      <c r="B30">
        <f ca="1">Performances!D37</f>
        <v>0.11454444444444443</v>
      </c>
      <c r="C30">
        <f ca="1">Performances!D61</f>
        <v>8.3077777777777778E-2</v>
      </c>
      <c r="E30" t="s">
        <v>253</v>
      </c>
      <c r="F30">
        <f ca="1">F32-F31</f>
        <v>7.5067998487344523E-3</v>
      </c>
      <c r="G30">
        <f>COUNTA(E24:E26)-1</f>
        <v>2</v>
      </c>
      <c r="H30">
        <f ca="1">F30/G30</f>
        <v>3.7533999243672261E-3</v>
      </c>
      <c r="I30">
        <f ca="1">H30/H31</f>
        <v>0.83712845264986402</v>
      </c>
      <c r="J30" s="43">
        <f ca="1">_xlfn.F.DIST.RT(I30,G30,G31)</f>
        <v>0.44004702117832284</v>
      </c>
      <c r="K30">
        <f ca="1">_xlfn.F.INV.RT(K22,G30,G31)</f>
        <v>3.2199422931761248</v>
      </c>
      <c r="L30">
        <f ca="1">SQRT(DEVSQ(H24:H26)/(H31*G30))</f>
        <v>0.23623836163923703</v>
      </c>
      <c r="M30">
        <f ca="1">(F32-G32*H31)/(F32+H31)</f>
        <v>-7.2915167988307026E-3</v>
      </c>
      <c r="N30" s="35"/>
      <c r="O30" t="s">
        <v>208</v>
      </c>
      <c r="S30" s="83">
        <f ca="1">_xlfn.CHISQ.DIST.RT(S28,S29)</f>
        <v>0.65799975194662952</v>
      </c>
      <c r="T30" s="35"/>
      <c r="W30" s="35"/>
      <c r="AB30" s="35"/>
      <c r="AF30" s="35"/>
    </row>
    <row r="31" spans="1:32" x14ac:dyDescent="0.25">
      <c r="A31">
        <f ca="1">Performances!D14</f>
        <v>4.4800000472201243E-2</v>
      </c>
      <c r="B31">
        <f ca="1">Performances!D38</f>
        <v>0.33035555555555551</v>
      </c>
      <c r="C31">
        <f ca="1">Performances!D62</f>
        <v>0.15913333333333332</v>
      </c>
      <c r="E31" t="s">
        <v>254</v>
      </c>
      <c r="F31">
        <f ca="1">SUM(J24:J26)</f>
        <v>0.18831374841509407</v>
      </c>
      <c r="G31">
        <f ca="1">G32-G30</f>
        <v>42</v>
      </c>
      <c r="H31">
        <f ca="1">F31/G31</f>
        <v>4.4836606765498591E-3</v>
      </c>
      <c r="N31" s="35"/>
      <c r="O31" t="s">
        <v>209</v>
      </c>
      <c r="S31" s="54">
        <v>0.05</v>
      </c>
      <c r="T31" s="35"/>
      <c r="W31" s="35"/>
      <c r="AB31" s="35"/>
      <c r="AF31" s="35"/>
    </row>
    <row r="32" spans="1:32" x14ac:dyDescent="0.25">
      <c r="A32">
        <f ca="1">Performances!D15</f>
        <v>0.19641110797723135</v>
      </c>
      <c r="B32">
        <f ca="1">Performances!D39</f>
        <v>7.7333333333333323E-2</v>
      </c>
      <c r="C32">
        <f ca="1">Performances!D63</f>
        <v>7.0266666666666672E-2</v>
      </c>
      <c r="E32" s="30" t="s">
        <v>255</v>
      </c>
      <c r="F32" s="30">
        <f ca="1">DEVSQ(A21:C35)</f>
        <v>0.19582054826382853</v>
      </c>
      <c r="G32" s="30">
        <f ca="1">COUNT(A21:C35)-1</f>
        <v>44</v>
      </c>
      <c r="H32" s="30">
        <f ca="1">F32/G32</f>
        <v>4.4504670059961025E-3</v>
      </c>
      <c r="I32" s="30"/>
      <c r="J32" s="30"/>
      <c r="K32" s="30"/>
      <c r="L32" s="30"/>
      <c r="M32" s="30"/>
      <c r="N32" s="35"/>
      <c r="O32" t="s">
        <v>256</v>
      </c>
      <c r="S32" s="56" t="str">
        <f ca="1">IF(S30&lt;S31,"yes","no")</f>
        <v>no</v>
      </c>
      <c r="T32" s="35"/>
      <c r="W32" s="35"/>
      <c r="AB32" s="35"/>
      <c r="AF32" s="35"/>
    </row>
    <row r="33" spans="1:32" x14ac:dyDescent="0.25">
      <c r="A33">
        <f ca="1">Performances!D16</f>
        <v>0.20073333382606506</v>
      </c>
      <c r="B33">
        <f ca="1">Performances!D40</f>
        <v>0.23567777777777776</v>
      </c>
      <c r="C33">
        <f ca="1">Performances!D64</f>
        <v>0.10701111111111111</v>
      </c>
      <c r="N33" s="35"/>
      <c r="T33" s="35"/>
      <c r="W33" s="35"/>
      <c r="AB33" s="35"/>
      <c r="AF33" s="35"/>
    </row>
    <row r="34" spans="1:32" x14ac:dyDescent="0.25">
      <c r="A34">
        <f ca="1">Performances!D17</f>
        <v>0.10457777728637059</v>
      </c>
      <c r="B34">
        <f ca="1">Performances!D41</f>
        <v>0.13906666666666667</v>
      </c>
      <c r="C34">
        <f ca="1">Performances!D65</f>
        <v>0.12233333333333334</v>
      </c>
      <c r="N34" s="35"/>
      <c r="T34" s="35"/>
      <c r="W34" s="35"/>
      <c r="AB34" s="35"/>
      <c r="AF34" s="35"/>
    </row>
    <row r="35" spans="1:32" x14ac:dyDescent="0.25">
      <c r="A35">
        <f ca="1">Performances!D18</f>
        <v>6.6966666943497122E-2</v>
      </c>
      <c r="B35">
        <f ca="1">Performances!D42</f>
        <v>0.13042222222222222</v>
      </c>
      <c r="C35">
        <f ca="1">Performances!D66</f>
        <v>9.5477777777777786E-2</v>
      </c>
      <c r="N35" s="35"/>
      <c r="T35" s="35"/>
      <c r="W35" s="35"/>
      <c r="AB35" s="35"/>
      <c r="AF35" s="35"/>
    </row>
    <row r="37" spans="1:32" x14ac:dyDescent="0.25">
      <c r="A37" s="152" t="s">
        <v>186</v>
      </c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</row>
    <row r="38" spans="1:32" x14ac:dyDescent="0.25">
      <c r="A38" s="34" t="s">
        <v>182</v>
      </c>
      <c r="B38" s="34" t="s">
        <v>201</v>
      </c>
      <c r="C38" s="34" t="s">
        <v>202</v>
      </c>
      <c r="E38" s="160" t="s">
        <v>213</v>
      </c>
      <c r="F38" s="160"/>
      <c r="G38" s="160"/>
      <c r="H38" s="160"/>
      <c r="I38" s="160"/>
      <c r="J38" s="160"/>
      <c r="K38" s="160"/>
      <c r="L38" s="160"/>
      <c r="M38" s="160"/>
      <c r="N38" s="161"/>
      <c r="O38" s="158" t="s">
        <v>214</v>
      </c>
      <c r="P38" s="159"/>
      <c r="Q38" s="159"/>
      <c r="R38" s="159"/>
      <c r="S38" s="159"/>
      <c r="T38" s="154"/>
      <c r="U38" s="162" t="s">
        <v>215</v>
      </c>
      <c r="V38" s="163"/>
      <c r="W38" s="161"/>
      <c r="X38" s="162" t="s">
        <v>216</v>
      </c>
      <c r="Y38" s="163"/>
      <c r="Z38" s="163"/>
      <c r="AA38" s="163"/>
      <c r="AB38" s="161"/>
      <c r="AC38" s="158" t="s">
        <v>217</v>
      </c>
      <c r="AD38" s="159"/>
      <c r="AE38" s="159"/>
      <c r="AF38" s="154"/>
    </row>
    <row r="39" spans="1:32" ht="13.8" thickBot="1" x14ac:dyDescent="0.3">
      <c r="A39">
        <f ca="1">Performances!F4</f>
        <v>0.18912222319179112</v>
      </c>
      <c r="B39">
        <f ca="1">Performances!F28</f>
        <v>6.9600000000000009E-2</v>
      </c>
      <c r="C39">
        <f ca="1">Performances!F52</f>
        <v>0.12554444444444446</v>
      </c>
      <c r="N39" s="35"/>
      <c r="T39" s="35"/>
      <c r="W39" s="35"/>
      <c r="AB39" s="35"/>
      <c r="AF39" s="35"/>
    </row>
    <row r="40" spans="1:32" ht="14.4" thickTop="1" thickBot="1" x14ac:dyDescent="0.3">
      <c r="A40">
        <f ca="1">Performances!F5</f>
        <v>0.12896666841374504</v>
      </c>
      <c r="B40">
        <f ca="1">Performances!F29</f>
        <v>6.8388888888888888E-2</v>
      </c>
      <c r="C40">
        <f ca="1">Performances!F53</f>
        <v>0.12944444444444445</v>
      </c>
      <c r="E40" t="s">
        <v>218</v>
      </c>
      <c r="J40" t="s">
        <v>219</v>
      </c>
      <c r="K40">
        <v>0.05</v>
      </c>
      <c r="N40" s="35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5"/>
      <c r="U40" t="s">
        <v>220</v>
      </c>
      <c r="V40" s="36" t="s">
        <v>208</v>
      </c>
      <c r="W40" s="35"/>
      <c r="X40" s="37" t="s">
        <v>221</v>
      </c>
      <c r="Y40" s="37" t="s">
        <v>222</v>
      </c>
      <c r="Z40" s="37" t="s">
        <v>208</v>
      </c>
      <c r="AA40" s="37" t="s">
        <v>223</v>
      </c>
      <c r="AB40" s="35"/>
      <c r="AC40" s="37" t="s">
        <v>221</v>
      </c>
      <c r="AD40" s="37" t="s">
        <v>222</v>
      </c>
      <c r="AE40" s="37" t="s">
        <v>208</v>
      </c>
      <c r="AF40" s="38" t="s">
        <v>223</v>
      </c>
    </row>
    <row r="41" spans="1:32" ht="13.8" thickTop="1" x14ac:dyDescent="0.25">
      <c r="A41">
        <f ca="1">Performances!F6</f>
        <v>0.10931111127138138</v>
      </c>
      <c r="B41">
        <f ca="1">Performances!F30</f>
        <v>0.16007777777777779</v>
      </c>
      <c r="C41">
        <f ca="1">Performances!F54</f>
        <v>0.11051111111111112</v>
      </c>
      <c r="E41" s="37" t="s">
        <v>224</v>
      </c>
      <c r="F41" s="37" t="s">
        <v>225</v>
      </c>
      <c r="G41" s="37" t="s">
        <v>226</v>
      </c>
      <c r="H41" s="37" t="s">
        <v>227</v>
      </c>
      <c r="I41" s="37" t="s">
        <v>228</v>
      </c>
      <c r="J41" s="37" t="s">
        <v>229</v>
      </c>
      <c r="K41" s="37" t="s">
        <v>230</v>
      </c>
      <c r="L41" s="37" t="s">
        <v>231</v>
      </c>
      <c r="M41" s="37" t="s">
        <v>232</v>
      </c>
      <c r="N41" s="35"/>
      <c r="O41" t="s">
        <v>233</v>
      </c>
      <c r="P41" s="39">
        <f ca="1">MEDIAN(A39:A53)</f>
        <v>0.16645555529329512</v>
      </c>
      <c r="Q41" s="40">
        <f t="shared" ref="Q41:R41" ca="1" si="9">MEDIAN(B39:B53)</f>
        <v>0.11349999999999999</v>
      </c>
      <c r="R41" s="41">
        <f t="shared" ca="1" si="9"/>
        <v>0.12944444444444445</v>
      </c>
      <c r="T41" s="35"/>
      <c r="U41" t="s">
        <v>234</v>
      </c>
      <c r="V41" s="42">
        <f ca="1">[1]!LEVENE(A39:C53)</f>
        <v>4.2671591083299987E-2</v>
      </c>
      <c r="W41" s="35"/>
      <c r="X41" t="str">
        <f>A38</f>
        <v>Groupe 1</v>
      </c>
      <c r="Y41" t="str">
        <f>B38</f>
        <v>Groupe 2</v>
      </c>
      <c r="Z41" s="43">
        <f ca="1">_xlfn.T.TEST(A39:A53,B39:B53,2,3)</f>
        <v>0.94841262940027216</v>
      </c>
      <c r="AA41">
        <f ca="1">ABS(AVERAGE(A39:A53)-AVERAGE(B39:B53))</f>
        <v>1.9296296805363933E-3</v>
      </c>
      <c r="AB41" s="35"/>
      <c r="AC41" t="str">
        <f>A38</f>
        <v>Groupe 1</v>
      </c>
      <c r="AD41" s="43" t="str">
        <f>B38</f>
        <v>Groupe 2</v>
      </c>
      <c r="AE41" s="97">
        <f ca="1">[1]!MWTEST(A39:A53,B39:B53)</f>
        <v>0.77155118781557208</v>
      </c>
      <c r="AF41" s="35">
        <f ca="1">ABS(AVERAGE(A39:A53)-AVERAGE(B39:B53))</f>
        <v>1.9296296805363933E-3</v>
      </c>
    </row>
    <row r="42" spans="1:32" x14ac:dyDescent="0.25">
      <c r="A42">
        <f ca="1">Performances!F7</f>
        <v>0.22275555464956495</v>
      </c>
      <c r="B42">
        <f ca="1">Performances!F31</f>
        <v>0.22434444444444443</v>
      </c>
      <c r="C42">
        <f ca="1">Performances!F55</f>
        <v>0.13743333333333335</v>
      </c>
      <c r="E42" t="str">
        <f>A38</f>
        <v>Groupe 1</v>
      </c>
      <c r="F42">
        <f ca="1">COUNT(A39:A53)</f>
        <v>15</v>
      </c>
      <c r="G42">
        <f ca="1">SUM(A39:A53)</f>
        <v>2.2381444436808429</v>
      </c>
      <c r="H42">
        <f ca="1">AVERAGE(A39:A53)</f>
        <v>0.14920962957872286</v>
      </c>
      <c r="I42">
        <f ca="1">_xlfn.VAR.S(A39:A53)</f>
        <v>4.6321760021577618E-3</v>
      </c>
      <c r="J42">
        <f ca="1">DEVSQ(A39:A53)</f>
        <v>6.4850464030208665E-2</v>
      </c>
      <c r="K42">
        <f ca="1">SQRT(H49/F42)</f>
        <v>1.7729252672045556E-2</v>
      </c>
      <c r="L42">
        <f ca="1">H42-K42*_xlfn.T.INV.2T(K40,G49)</f>
        <v>0.11343054915662268</v>
      </c>
      <c r="M42">
        <f ca="1">H42+K42*_xlfn.T.INV.2T(K40,G49)</f>
        <v>0.18498871000082304</v>
      </c>
      <c r="N42" s="35"/>
      <c r="O42" t="s">
        <v>235</v>
      </c>
      <c r="P42" s="44">
        <f ca="1">[1]!RANK_SUM(A39:C53, 1,1)</f>
        <v>373</v>
      </c>
      <c r="Q42" s="28">
        <f ca="1">[1]!RANK_SUM(A39:C53, 2,1)</f>
        <v>338</v>
      </c>
      <c r="R42" s="45">
        <f ca="1">[1]!RANK_SUM(A39:C53, 3,1)</f>
        <v>324</v>
      </c>
      <c r="T42" s="35"/>
      <c r="U42" t="s">
        <v>236</v>
      </c>
      <c r="V42" s="46">
        <f ca="1">[1]!LEVENE(A39:C53,1)</f>
        <v>0.19450754006359838</v>
      </c>
      <c r="W42" s="35"/>
      <c r="X42" t="str">
        <f>A38</f>
        <v>Groupe 1</v>
      </c>
      <c r="Y42" t="str">
        <f>C38</f>
        <v>Groupe 3</v>
      </c>
      <c r="Z42" s="43">
        <f ca="1">_xlfn.T.TEST(A39:A53,C39:C53,2,3)</f>
        <v>0.24914959353468041</v>
      </c>
      <c r="AA42">
        <f ca="1">ABS(AVERAGE(A39:A53)-AVERAGE(C39:C53))</f>
        <v>2.3118518467611732E-2</v>
      </c>
      <c r="AB42" s="35"/>
      <c r="AC42" t="str">
        <f>A38</f>
        <v>Groupe 1</v>
      </c>
      <c r="AD42" s="43" t="str">
        <f>C38</f>
        <v>Groupe 3</v>
      </c>
      <c r="AE42" s="97">
        <f ca="1">[1]!MWTEST(A39:A53,C39:C53)</f>
        <v>0.40678683339846522</v>
      </c>
      <c r="AF42" s="35">
        <f ca="1">ABS(AVERAGE(A39:A53)-AVERAGE(C39:C53))</f>
        <v>2.3118518467611732E-2</v>
      </c>
    </row>
    <row r="43" spans="1:32" x14ac:dyDescent="0.25">
      <c r="A43">
        <f ca="1">Performances!F8</f>
        <v>0.18469999896155465</v>
      </c>
      <c r="B43">
        <f ca="1">Performances!F32</f>
        <v>0.18293333333333334</v>
      </c>
      <c r="C43">
        <f ca="1">Performances!F56</f>
        <v>7.9111111111111104E-2</v>
      </c>
      <c r="E43" t="str">
        <f>B38</f>
        <v>Groupe 2</v>
      </c>
      <c r="F43">
        <f ca="1">COUNT(B39:B53)</f>
        <v>15</v>
      </c>
      <c r="G43">
        <f ca="1">SUM(B39:B53)</f>
        <v>2.2670888888888889</v>
      </c>
      <c r="H43">
        <f ca="1">AVERAGE(B39:B53)</f>
        <v>0.15113925925925925</v>
      </c>
      <c r="I43">
        <f ca="1">_xlfn.VAR.S(B39:B53)</f>
        <v>8.4529087101704904E-3</v>
      </c>
      <c r="J43">
        <f ca="1">DEVSQ(B39:B53)</f>
        <v>0.1183407219423868</v>
      </c>
      <c r="K43">
        <f ca="1">SQRT(H49/F43)</f>
        <v>1.7729252672045556E-2</v>
      </c>
      <c r="L43">
        <f ca="1">H43-K43*_xlfn.T.INV.2T(K40,G49)</f>
        <v>0.11536017883715907</v>
      </c>
      <c r="M43">
        <f ca="1">H43+K43*_xlfn.T.INV.2T(K40,G49)</f>
        <v>0.18691833968135943</v>
      </c>
      <c r="N43" s="35"/>
      <c r="O43" t="s">
        <v>237</v>
      </c>
      <c r="P43" s="44">
        <f ca="1">COUNT(A39:A53)</f>
        <v>15</v>
      </c>
      <c r="Q43" s="28">
        <f t="shared" ref="Q43:R43" ca="1" si="10">COUNT(B39:B53)</f>
        <v>15</v>
      </c>
      <c r="R43" s="45">
        <f t="shared" ca="1" si="10"/>
        <v>15</v>
      </c>
      <c r="S43" s="47">
        <f ca="1">SUM(P43:R43)</f>
        <v>45</v>
      </c>
      <c r="T43" s="35"/>
      <c r="U43" t="s">
        <v>238</v>
      </c>
      <c r="V43" s="48">
        <f ca="1">[1]!LEVENE(A39:C53,-1)</f>
        <v>4.2671591083299987E-2</v>
      </c>
      <c r="W43" s="35"/>
      <c r="X43" s="30" t="str">
        <f>B38</f>
        <v>Groupe 2</v>
      </c>
      <c r="Y43" s="30" t="str">
        <f>C38</f>
        <v>Groupe 3</v>
      </c>
      <c r="Z43" s="49">
        <f ca="1">_xlfn.T.TEST(B39:B53,C39:C53,2,3)</f>
        <v>0.33349195382337848</v>
      </c>
      <c r="AA43" s="30">
        <f ca="1">ABS(AVERAGE(B39:B53)-AVERAGE(C39:C53))</f>
        <v>2.5048148148148125E-2</v>
      </c>
      <c r="AB43" s="35"/>
      <c r="AC43" s="30" t="str">
        <f>B38</f>
        <v>Groupe 2</v>
      </c>
      <c r="AD43" s="49" t="str">
        <f>C38</f>
        <v>Groupe 3</v>
      </c>
      <c r="AE43" s="49">
        <f ca="1">[1]!MWTEST(B39:B53,C39:C53)</f>
        <v>1</v>
      </c>
      <c r="AF43" s="50">
        <f ca="1">ABS(AVERAGE(B39:B53)-AVERAGE(C39:C53))</f>
        <v>2.5048148148148125E-2</v>
      </c>
    </row>
    <row r="44" spans="1:32" x14ac:dyDescent="0.25">
      <c r="A44">
        <f ca="1">Performances!F9</f>
        <v>0.17569999893506369</v>
      </c>
      <c r="B44">
        <f ca="1">Performances!F33</f>
        <v>0.11022222222222224</v>
      </c>
      <c r="C44">
        <f ca="1">Performances!F57</f>
        <v>0.18578888888888889</v>
      </c>
      <c r="E44" t="str">
        <f>C38</f>
        <v>Groupe 3</v>
      </c>
      <c r="F44">
        <f ca="1">COUNT(C39:C53)</f>
        <v>15</v>
      </c>
      <c r="G44">
        <f ca="1">SUM(C39:C53)</f>
        <v>1.8913666666666669</v>
      </c>
      <c r="H44">
        <f ca="1">AVERAGE(C39:C53)</f>
        <v>0.12609111111111113</v>
      </c>
      <c r="I44">
        <f ca="1">_xlfn.VAR.S(C39:C53)</f>
        <v>1.059603301587301E-3</v>
      </c>
      <c r="J44">
        <f ca="1">DEVSQ(C39:C53)</f>
        <v>1.4834446222222226E-2</v>
      </c>
      <c r="K44">
        <f ca="1">SQRT(H49/F44)</f>
        <v>1.7729252672045556E-2</v>
      </c>
      <c r="L44">
        <f ca="1">H44-K44*_xlfn.T.INV.2T(K40,G49)</f>
        <v>9.0312030689010947E-2</v>
      </c>
      <c r="M44">
        <f ca="1">H44+K44*_xlfn.T.INV.2T(K40,G49)</f>
        <v>0.16187019153321131</v>
      </c>
      <c r="N44" s="35"/>
      <c r="O44" t="s">
        <v>239</v>
      </c>
      <c r="P44" s="51">
        <f ca="1">P42^2/P43</f>
        <v>9275.2666666666664</v>
      </c>
      <c r="Q44" s="52">
        <f t="shared" ref="Q44:R44" ca="1" si="11">Q42^2/Q43</f>
        <v>7616.2666666666664</v>
      </c>
      <c r="R44" s="53">
        <f t="shared" ca="1" si="11"/>
        <v>6998.4</v>
      </c>
      <c r="S44" s="54">
        <f ca="1">SUM(P44:R44)</f>
        <v>23889.933333333334</v>
      </c>
      <c r="T44" s="35"/>
      <c r="W44" s="35"/>
      <c r="AB44" s="35"/>
      <c r="AF44" s="35"/>
    </row>
    <row r="45" spans="1:32" x14ac:dyDescent="0.25">
      <c r="A45">
        <f ca="1">Performances!F10</f>
        <v>0.12896666758590275</v>
      </c>
      <c r="B45">
        <f ca="1">Performances!F34</f>
        <v>0.1658222222222222</v>
      </c>
      <c r="C45">
        <f ca="1">Performances!F58</f>
        <v>0.13974444444444442</v>
      </c>
      <c r="E45" s="32"/>
      <c r="F45" s="32"/>
      <c r="G45" s="32"/>
      <c r="H45" s="32"/>
      <c r="I45" s="32"/>
      <c r="J45" s="32"/>
      <c r="K45" s="32"/>
      <c r="L45" s="32"/>
      <c r="M45" s="32"/>
      <c r="N45" s="35"/>
      <c r="O45" t="s">
        <v>240</v>
      </c>
      <c r="S45" s="54">
        <f ca="1">12*S44/(S43*(S43+1))-3*(S43+1)</f>
        <v>0.49236714975845075</v>
      </c>
      <c r="T45" s="35"/>
      <c r="U45" s="55" t="s">
        <v>241</v>
      </c>
      <c r="V45" s="55"/>
      <c r="W45" s="35"/>
      <c r="AB45" s="35"/>
      <c r="AF45" s="35"/>
    </row>
    <row r="46" spans="1:32" ht="13.8" thickBot="1" x14ac:dyDescent="0.3">
      <c r="A46">
        <f ca="1">Performances!F11</f>
        <v>0.1787777774863773</v>
      </c>
      <c r="B46">
        <f ca="1">Performances!F35</f>
        <v>0.11312222222222225</v>
      </c>
      <c r="C46">
        <f ca="1">Performances!F59</f>
        <v>0.14655555555555555</v>
      </c>
      <c r="E46" t="s">
        <v>242</v>
      </c>
      <c r="N46" s="35"/>
      <c r="O46" t="s">
        <v>243</v>
      </c>
      <c r="S46" s="54">
        <f ca="1">S45/(1-[1]!TiesCorrection(A39:C53)/(45*(45^2-1)))</f>
        <v>0.49236714975845075</v>
      </c>
      <c r="T46" s="35"/>
      <c r="U46" t="s">
        <v>244</v>
      </c>
      <c r="V46" s="43">
        <f ca="1">[1]!FKTEST(A39:C53)</f>
        <v>0.13886068584942168</v>
      </c>
      <c r="W46" s="35"/>
      <c r="AB46" s="35"/>
      <c r="AF46" s="35"/>
    </row>
    <row r="47" spans="1:32" ht="13.8" thickTop="1" x14ac:dyDescent="0.25">
      <c r="A47">
        <f ca="1">Performances!F12</f>
        <v>0.29465555482440525</v>
      </c>
      <c r="B47">
        <f ca="1">Performances!F36</f>
        <v>9.6277777777777782E-2</v>
      </c>
      <c r="C47">
        <f ca="1">Performances!F60</f>
        <v>0.14705555555555558</v>
      </c>
      <c r="E47" s="37" t="s">
        <v>245</v>
      </c>
      <c r="F47" s="37" t="s">
        <v>229</v>
      </c>
      <c r="G47" s="37" t="s">
        <v>246</v>
      </c>
      <c r="H47" s="37" t="s">
        <v>247</v>
      </c>
      <c r="I47" s="37" t="s">
        <v>248</v>
      </c>
      <c r="J47" s="37" t="s">
        <v>249</v>
      </c>
      <c r="K47" s="37" t="s">
        <v>250</v>
      </c>
      <c r="L47" s="37" t="s">
        <v>251</v>
      </c>
      <c r="M47" s="37" t="s">
        <v>252</v>
      </c>
      <c r="N47" s="35"/>
      <c r="O47" t="s">
        <v>246</v>
      </c>
      <c r="S47" s="54">
        <f>COUNTA(P40:R40)-1</f>
        <v>2</v>
      </c>
      <c r="T47" s="35"/>
      <c r="W47" s="35"/>
      <c r="AB47" s="35"/>
      <c r="AF47" s="35"/>
    </row>
    <row r="48" spans="1:32" x14ac:dyDescent="0.25">
      <c r="A48">
        <f ca="1">Performances!F13</f>
        <v>8.4266666736867696E-2</v>
      </c>
      <c r="B48">
        <f ca="1">Performances!F37</f>
        <v>0.11349999999999999</v>
      </c>
      <c r="C48">
        <f ca="1">Performances!F61</f>
        <v>9.9900000000000003E-2</v>
      </c>
      <c r="E48" t="s">
        <v>253</v>
      </c>
      <c r="F48">
        <f ca="1">F50-F49</f>
        <v>5.8279954624644303E-3</v>
      </c>
      <c r="G48">
        <f>COUNTA(E42:E44)-1</f>
        <v>2</v>
      </c>
      <c r="H48">
        <f ca="1">F48/G48</f>
        <v>2.9139977312322152E-3</v>
      </c>
      <c r="I48">
        <f ca="1">H48/H49</f>
        <v>0.61804072207858307</v>
      </c>
      <c r="J48" s="43">
        <f ca="1">_xlfn.F.DIST.RT(I48,G48,G49)</f>
        <v>0.54382885489895549</v>
      </c>
      <c r="K48">
        <f ca="1">_xlfn.F.INV.RT(K40,G48,G49)</f>
        <v>3.2199422931761248</v>
      </c>
      <c r="L48">
        <f ca="1">SQRT(DEVSQ(H42:H44)/(H49*G48))</f>
        <v>0.20298451863439967</v>
      </c>
      <c r="M48">
        <f ca="1">(F50-G50*H49)/(F50+H49)</f>
        <v>-1.7269128071553834E-2</v>
      </c>
      <c r="N48" s="35"/>
      <c r="O48" t="s">
        <v>208</v>
      </c>
      <c r="S48" s="83">
        <f ca="1">_xlfn.CHISQ.DIST.RT(S46,S47)</f>
        <v>0.78177869682195311</v>
      </c>
      <c r="T48" s="35"/>
      <c r="W48" s="35"/>
      <c r="AB48" s="35"/>
      <c r="AF48" s="35"/>
    </row>
    <row r="49" spans="1:32" x14ac:dyDescent="0.25">
      <c r="A49">
        <f ca="1">Performances!F14</f>
        <v>5.8533332828018397E-2</v>
      </c>
      <c r="B49">
        <f ca="1">Performances!F38</f>
        <v>0.42844444444444441</v>
      </c>
      <c r="C49">
        <f ca="1">Performances!F62</f>
        <v>0.11752222222222224</v>
      </c>
      <c r="E49" t="s">
        <v>254</v>
      </c>
      <c r="F49">
        <f ca="1">SUM(J42:J44)</f>
        <v>0.1980256321948177</v>
      </c>
      <c r="G49">
        <f ca="1">G50-G48</f>
        <v>42</v>
      </c>
      <c r="H49">
        <f ca="1">F49/G49</f>
        <v>4.7148960046385167E-3</v>
      </c>
      <c r="N49" s="35"/>
      <c r="O49" t="s">
        <v>209</v>
      </c>
      <c r="S49" s="54">
        <v>0.05</v>
      </c>
      <c r="T49" s="35"/>
      <c r="W49" s="35"/>
      <c r="AB49" s="35"/>
      <c r="AF49" s="35"/>
    </row>
    <row r="50" spans="1:32" x14ac:dyDescent="0.25">
      <c r="A50">
        <f ca="1">Performances!F15</f>
        <v>0.16645555529329512</v>
      </c>
      <c r="B50">
        <f ca="1">Performances!F39</f>
        <v>9.2044444444444443E-2</v>
      </c>
      <c r="C50">
        <f ca="1">Performances!F63</f>
        <v>8.9633333333333329E-2</v>
      </c>
      <c r="E50" s="30" t="s">
        <v>255</v>
      </c>
      <c r="F50" s="30">
        <f ca="1">DEVSQ(A39:C53)</f>
        <v>0.20385362765728213</v>
      </c>
      <c r="G50" s="30">
        <f ca="1">COUNT(A39:C53)-1</f>
        <v>44</v>
      </c>
      <c r="H50" s="30">
        <f ca="1">F50/G50</f>
        <v>4.6330369922109576E-3</v>
      </c>
      <c r="I50" s="30"/>
      <c r="J50" s="30"/>
      <c r="K50" s="30"/>
      <c r="L50" s="30"/>
      <c r="M50" s="30"/>
      <c r="N50" s="35"/>
      <c r="O50" t="s">
        <v>256</v>
      </c>
      <c r="S50" s="56" t="str">
        <f ca="1">IF(S48&lt;S49,"yes","no")</f>
        <v>no</v>
      </c>
      <c r="T50" s="35"/>
      <c r="W50" s="35"/>
      <c r="AB50" s="35"/>
      <c r="AF50" s="35"/>
    </row>
    <row r="51" spans="1:32" x14ac:dyDescent="0.25">
      <c r="A51">
        <f ca="1">Performances!F16</f>
        <v>0.19798888928360409</v>
      </c>
      <c r="B51">
        <f ca="1">Performances!F40</f>
        <v>0.22915555555555558</v>
      </c>
      <c r="C51">
        <f ca="1">Performances!F64</f>
        <v>0.13005555555555556</v>
      </c>
      <c r="N51" s="35"/>
      <c r="T51" s="35"/>
      <c r="W51" s="35"/>
      <c r="AB51" s="35"/>
      <c r="AF51" s="35"/>
    </row>
    <row r="52" spans="1:32" x14ac:dyDescent="0.25">
      <c r="A52">
        <f ca="1">Performances!F17</f>
        <v>5.4244444188144475E-2</v>
      </c>
      <c r="B52">
        <f ca="1">Performances!F41</f>
        <v>9.6966666666666673E-2</v>
      </c>
      <c r="C52">
        <f ca="1">Performances!F65</f>
        <v>0.17912222222222224</v>
      </c>
      <c r="N52" s="35"/>
      <c r="T52" s="35"/>
      <c r="W52" s="35"/>
      <c r="AB52" s="35"/>
      <c r="AF52" s="35"/>
    </row>
    <row r="53" spans="1:32" x14ac:dyDescent="0.25">
      <c r="A53">
        <f ca="1">Performances!F18</f>
        <v>6.3700000031126872E-2</v>
      </c>
      <c r="B53">
        <f ca="1">Performances!F42</f>
        <v>0.1161888888888889</v>
      </c>
      <c r="C53">
        <f ca="1">Performances!F66</f>
        <v>7.3944444444444438E-2</v>
      </c>
      <c r="N53" s="35"/>
      <c r="T53" s="35"/>
      <c r="W53" s="35"/>
      <c r="AB53" s="35"/>
      <c r="AF53" s="35"/>
    </row>
    <row r="55" spans="1:32" x14ac:dyDescent="0.25">
      <c r="A55" s="152" t="s">
        <v>187</v>
      </c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</row>
    <row r="56" spans="1:32" x14ac:dyDescent="0.25">
      <c r="A56" s="34" t="s">
        <v>182</v>
      </c>
      <c r="B56" s="34" t="s">
        <v>201</v>
      </c>
      <c r="C56" s="34" t="s">
        <v>202</v>
      </c>
      <c r="E56" s="153" t="s">
        <v>213</v>
      </c>
      <c r="F56" s="153"/>
      <c r="G56" s="153"/>
      <c r="H56" s="153"/>
      <c r="I56" s="153"/>
      <c r="J56" s="153"/>
      <c r="K56" s="153"/>
      <c r="L56" s="153"/>
      <c r="M56" s="153"/>
      <c r="N56" s="154"/>
      <c r="O56" s="155" t="s">
        <v>214</v>
      </c>
      <c r="P56" s="156"/>
      <c r="Q56" s="156"/>
      <c r="R56" s="156"/>
      <c r="S56" s="156"/>
      <c r="T56" s="157"/>
      <c r="U56" s="158" t="s">
        <v>215</v>
      </c>
      <c r="V56" s="159"/>
      <c r="W56" s="154"/>
      <c r="X56" s="158" t="s">
        <v>216</v>
      </c>
      <c r="Y56" s="159"/>
      <c r="Z56" s="159"/>
      <c r="AA56" s="159"/>
      <c r="AB56" s="154"/>
      <c r="AC56" s="155" t="s">
        <v>217</v>
      </c>
      <c r="AD56" s="156"/>
      <c r="AE56" s="156"/>
      <c r="AF56" s="157"/>
    </row>
    <row r="57" spans="1:32" ht="13.8" thickBot="1" x14ac:dyDescent="0.3">
      <c r="A57">
        <f ca="1">Performances!H4</f>
        <v>0.16962222092681462</v>
      </c>
      <c r="B57">
        <f ca="1">Performances!H28</f>
        <v>6.5955555555555559E-2</v>
      </c>
      <c r="C57">
        <f ca="1">Performances!H52</f>
        <v>0.19301111111111111</v>
      </c>
      <c r="N57" s="35"/>
      <c r="T57" s="35"/>
      <c r="W57" s="35"/>
      <c r="AB57" s="35"/>
      <c r="AF57" s="35"/>
    </row>
    <row r="58" spans="1:32" ht="14.4" thickTop="1" thickBot="1" x14ac:dyDescent="0.3">
      <c r="A58">
        <f ca="1">Performances!H5</f>
        <v>0.13750000049670538</v>
      </c>
      <c r="B58">
        <f ca="1">Performances!H29</f>
        <v>4.8011111111111109E-2</v>
      </c>
      <c r="C58">
        <f ca="1">Performances!H53</f>
        <v>0.11417777777777778</v>
      </c>
      <c r="E58" t="s">
        <v>218</v>
      </c>
      <c r="J58" t="s">
        <v>219</v>
      </c>
      <c r="K58">
        <v>0.05</v>
      </c>
      <c r="N58" s="35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5"/>
      <c r="U58" t="s">
        <v>220</v>
      </c>
      <c r="V58" s="36" t="s">
        <v>208</v>
      </c>
      <c r="W58" s="35"/>
      <c r="X58" s="37" t="s">
        <v>221</v>
      </c>
      <c r="Y58" s="37" t="s">
        <v>222</v>
      </c>
      <c r="Z58" s="37" t="s">
        <v>208</v>
      </c>
      <c r="AA58" s="37" t="s">
        <v>223</v>
      </c>
      <c r="AB58" s="35"/>
      <c r="AC58" s="37" t="s">
        <v>221</v>
      </c>
      <c r="AD58" s="37" t="s">
        <v>222</v>
      </c>
      <c r="AE58" s="37" t="s">
        <v>208</v>
      </c>
      <c r="AF58" s="38" t="s">
        <v>223</v>
      </c>
    </row>
    <row r="59" spans="1:32" ht="13.8" thickTop="1" x14ac:dyDescent="0.25">
      <c r="A59">
        <f ca="1">Performances!H6</f>
        <v>0.11404444442854987</v>
      </c>
      <c r="B59">
        <f ca="1">Performances!H30</f>
        <v>0.12066666666666667</v>
      </c>
      <c r="C59">
        <f ca="1">Performances!H54</f>
        <v>0.12665555555555555</v>
      </c>
      <c r="E59" s="37" t="s">
        <v>224</v>
      </c>
      <c r="F59" s="37" t="s">
        <v>225</v>
      </c>
      <c r="G59" s="37" t="s">
        <v>226</v>
      </c>
      <c r="H59" s="37" t="s">
        <v>227</v>
      </c>
      <c r="I59" s="37" t="s">
        <v>228</v>
      </c>
      <c r="J59" s="37" t="s">
        <v>229</v>
      </c>
      <c r="K59" s="37" t="s">
        <v>230</v>
      </c>
      <c r="L59" s="37" t="s">
        <v>231</v>
      </c>
      <c r="M59" s="37" t="s">
        <v>232</v>
      </c>
      <c r="N59" s="35"/>
      <c r="O59" t="s">
        <v>233</v>
      </c>
      <c r="P59" s="39">
        <f ca="1">MEDIAN(A57:A71)</f>
        <v>0.16305555403232574</v>
      </c>
      <c r="Q59" s="40">
        <f t="shared" ref="Q59:R59" ca="1" si="13">MEDIAN(B57:B71)</f>
        <v>0.10033333333333333</v>
      </c>
      <c r="R59" s="41">
        <f t="shared" ca="1" si="13"/>
        <v>0.11417777777777778</v>
      </c>
      <c r="T59" s="35"/>
      <c r="U59" t="s">
        <v>234</v>
      </c>
      <c r="V59" s="42">
        <f ca="1">[1]!LEVENE(A57:C71)</f>
        <v>7.4003566238812102E-2</v>
      </c>
      <c r="W59" s="35"/>
      <c r="X59" t="str">
        <f>A56</f>
        <v>Groupe 1</v>
      </c>
      <c r="Y59" t="str">
        <f>B56</f>
        <v>Groupe 2</v>
      </c>
      <c r="Z59" s="43">
        <f ca="1">_xlfn.T.TEST(A57:A71,B57:B71,2,3)</f>
        <v>0.1666754830828216</v>
      </c>
      <c r="AA59">
        <f ca="1">ABS(AVERAGE(A57:A71)-AVERAGE(B57:B71))</f>
        <v>3.2673334015784469E-2</v>
      </c>
      <c r="AB59" s="35"/>
      <c r="AC59" t="str">
        <f>A56</f>
        <v>Groupe 1</v>
      </c>
      <c r="AD59" s="43" t="str">
        <f>B56</f>
        <v>Groupe 2</v>
      </c>
      <c r="AE59" s="97">
        <f ca="1">[1]!MWTEST(A57:A71,B57:B71)</f>
        <v>0.24548500120312422</v>
      </c>
      <c r="AF59" s="35">
        <f ca="1">ABS(AVERAGE(A57:A71)-AVERAGE(B57:B71))</f>
        <v>3.2673334015784469E-2</v>
      </c>
    </row>
    <row r="60" spans="1:32" x14ac:dyDescent="0.25">
      <c r="A60">
        <f ca="1">Performances!H7</f>
        <v>0.22394444545110068</v>
      </c>
      <c r="B60">
        <f ca="1">Performances!H31</f>
        <v>0.19068888888888885</v>
      </c>
      <c r="C60">
        <f ca="1">Performances!H55</f>
        <v>7.3177777777777772E-2</v>
      </c>
      <c r="E60" t="str">
        <f>A56</f>
        <v>Groupe 1</v>
      </c>
      <c r="F60">
        <f ca="1">COUNT(A57:A71)</f>
        <v>15</v>
      </c>
      <c r="G60">
        <f ca="1">SUM(A57:A71)</f>
        <v>2.2010888991256556</v>
      </c>
      <c r="H60">
        <f ca="1">AVERAGE(A57:A71)</f>
        <v>0.14673925994171039</v>
      </c>
      <c r="I60">
        <f ca="1">_xlfn.VAR.S(A57:A71)</f>
        <v>5.0929333267450338E-3</v>
      </c>
      <c r="J60">
        <f ca="1">DEVSQ(A57:A71)</f>
        <v>7.1301066574430444E-2</v>
      </c>
      <c r="K60">
        <f ca="1">SQRT(H67/F60)</f>
        <v>1.4463992699464238E-2</v>
      </c>
      <c r="L60">
        <f ca="1">H60-K60*_xlfn.T.INV.2T(K58,G67)</f>
        <v>0.11754974092522202</v>
      </c>
      <c r="M60">
        <f ca="1">H60+K60*_xlfn.T.INV.2T(K58,G67)</f>
        <v>0.17592877895819875</v>
      </c>
      <c r="N60" s="35"/>
      <c r="O60" t="s">
        <v>235</v>
      </c>
      <c r="P60" s="44">
        <f ca="1">[1]!RANK_SUM(A57:C71, 1,1)</f>
        <v>399</v>
      </c>
      <c r="Q60" s="28">
        <f ca="1">[1]!RANK_SUM(A57:C71, 2,1)</f>
        <v>299</v>
      </c>
      <c r="R60" s="45">
        <f ca="1">[1]!RANK_SUM(A57:C71, 3,1)</f>
        <v>337</v>
      </c>
      <c r="T60" s="35"/>
      <c r="U60" t="s">
        <v>236</v>
      </c>
      <c r="V60" s="46">
        <f ca="1">[1]!LEVENE(A57:C71,1)</f>
        <v>0.13462298075355394</v>
      </c>
      <c r="W60" s="35"/>
      <c r="X60" t="str">
        <f>A56</f>
        <v>Groupe 1</v>
      </c>
      <c r="Y60" t="str">
        <f>C56</f>
        <v>Groupe 3</v>
      </c>
      <c r="Z60" s="43">
        <f ca="1">_xlfn.T.TEST(A57:A71,C57:C71,2,3)</f>
        <v>0.22803318209020829</v>
      </c>
      <c r="AA60">
        <f ca="1">ABS(AVERAGE(A57:A71)-AVERAGE(C57:C71))</f>
        <v>2.6023704386154839E-2</v>
      </c>
      <c r="AB60" s="35"/>
      <c r="AC60" t="str">
        <f>A56</f>
        <v>Groupe 1</v>
      </c>
      <c r="AD60" s="43" t="str">
        <f>C56</f>
        <v>Groupe 3</v>
      </c>
      <c r="AE60" s="97">
        <f ca="1">[1]!MWTEST(A57:A71,C57:C71)</f>
        <v>0.29975837008871498</v>
      </c>
      <c r="AF60" s="35">
        <f ca="1">ABS(AVERAGE(A57:A71)-AVERAGE(C57:C71))</f>
        <v>2.6023704386154839E-2</v>
      </c>
    </row>
    <row r="61" spans="1:32" x14ac:dyDescent="0.25">
      <c r="A61">
        <f ca="1">Performances!H8</f>
        <v>0.18636666735013327</v>
      </c>
      <c r="B61">
        <f ca="1">Performances!H32</f>
        <v>0.13501111111111111</v>
      </c>
      <c r="C61">
        <f ca="1">Performances!H56</f>
        <v>0.10416666666666666</v>
      </c>
      <c r="E61" t="str">
        <f>B56</f>
        <v>Groupe 2</v>
      </c>
      <c r="F61">
        <f ca="1">COUNT(B57:B71)</f>
        <v>15</v>
      </c>
      <c r="G61">
        <f ca="1">SUM(B57:B71)</f>
        <v>1.7109888888888887</v>
      </c>
      <c r="H61">
        <f ca="1">AVERAGE(B57:B71)</f>
        <v>0.11406592592592592</v>
      </c>
      <c r="I61">
        <f ca="1">_xlfn.VAR.S(B57:B71)</f>
        <v>2.8144643821281612E-3</v>
      </c>
      <c r="J61">
        <f ca="1">DEVSQ(B57:B71)</f>
        <v>3.9402501349794235E-2</v>
      </c>
      <c r="K61">
        <f ca="1">SQRT(H67/F61)</f>
        <v>1.4463992699464238E-2</v>
      </c>
      <c r="L61">
        <f ca="1">H61-K61*_xlfn.T.INV.2T(K58,G67)</f>
        <v>8.4876406909437555E-2</v>
      </c>
      <c r="M61">
        <f ca="1">H61+K61*_xlfn.T.INV.2T(K58,G67)</f>
        <v>0.14325544494241427</v>
      </c>
      <c r="N61" s="35"/>
      <c r="O61" t="s">
        <v>237</v>
      </c>
      <c r="P61" s="44">
        <f ca="1">COUNT(A57:A71)</f>
        <v>15</v>
      </c>
      <c r="Q61" s="28">
        <f t="shared" ref="Q61:R61" ca="1" si="14">COUNT(B57:B71)</f>
        <v>15</v>
      </c>
      <c r="R61" s="45">
        <f t="shared" ca="1" si="14"/>
        <v>15</v>
      </c>
      <c r="S61" s="47">
        <f ca="1">SUM(P61:R61)</f>
        <v>45</v>
      </c>
      <c r="T61" s="35"/>
      <c r="U61" t="s">
        <v>238</v>
      </c>
      <c r="V61" s="48">
        <f ca="1">[1]!LEVENE(A57:C71,-1)</f>
        <v>7.4003566238812102E-2</v>
      </c>
      <c r="W61" s="35"/>
      <c r="X61" s="30" t="str">
        <f>B56</f>
        <v>Groupe 2</v>
      </c>
      <c r="Y61" s="30" t="str">
        <f>C56</f>
        <v>Groupe 3</v>
      </c>
      <c r="Z61" s="49">
        <f ca="1">_xlfn.T.TEST(B57:B71,C57:C71,2,3)</f>
        <v>0.69846372267858037</v>
      </c>
      <c r="AA61" s="30">
        <f ca="1">ABS(AVERAGE(B57:B71)-AVERAGE(C57:C71))</f>
        <v>6.6496296296296303E-3</v>
      </c>
      <c r="AB61" s="35"/>
      <c r="AC61" s="30" t="str">
        <f>B56</f>
        <v>Groupe 2</v>
      </c>
      <c r="AD61" s="49" t="str">
        <f>C56</f>
        <v>Groupe 3</v>
      </c>
      <c r="AE61" s="49">
        <f ca="1">[1]!MWTEST(B57:B71,C57:C71)</f>
        <v>0.48073111045562245</v>
      </c>
      <c r="AF61" s="50">
        <f ca="1">ABS(AVERAGE(B57:B71)-AVERAGE(C57:C71))</f>
        <v>6.6496296296296303E-3</v>
      </c>
    </row>
    <row r="62" spans="1:32" x14ac:dyDescent="0.25">
      <c r="A62">
        <f ca="1">Performances!H9</f>
        <v>0.17295555770397186</v>
      </c>
      <c r="B62">
        <f ca="1">Performances!H33</f>
        <v>8.0399999999999999E-2</v>
      </c>
      <c r="C62">
        <f ca="1">Performances!H57</f>
        <v>0.15772222222222221</v>
      </c>
      <c r="E62" t="str">
        <f>C56</f>
        <v>Groupe 3</v>
      </c>
      <c r="F62">
        <f ca="1">COUNT(C57:C71)</f>
        <v>15</v>
      </c>
      <c r="G62">
        <f ca="1">SUM(C57:C71)</f>
        <v>1.8107333333333333</v>
      </c>
      <c r="H62">
        <f ca="1">AVERAGE(C57:C71)</f>
        <v>0.12071555555555555</v>
      </c>
      <c r="I62">
        <f ca="1">_xlfn.VAR.S(C57:C71)</f>
        <v>1.5069211075837735E-3</v>
      </c>
      <c r="J62">
        <f ca="1">DEVSQ(C57:C71)</f>
        <v>2.1096895506172837E-2</v>
      </c>
      <c r="K62">
        <f ca="1">SQRT(H67/F62)</f>
        <v>1.4463992699464238E-2</v>
      </c>
      <c r="L62">
        <f ca="1">H62-K62*_xlfn.T.INV.2T(K58,G67)</f>
        <v>9.1526036539067185E-2</v>
      </c>
      <c r="M62">
        <f ca="1">H62+K62*_xlfn.T.INV.2T(K58,G67)</f>
        <v>0.14990507457204391</v>
      </c>
      <c r="N62" s="35"/>
      <c r="O62" t="s">
        <v>239</v>
      </c>
      <c r="P62" s="51">
        <f ca="1">P60^2/P61</f>
        <v>10613.4</v>
      </c>
      <c r="Q62" s="52">
        <f t="shared" ref="Q62:R62" ca="1" si="15">Q60^2/Q61</f>
        <v>5960.0666666666666</v>
      </c>
      <c r="R62" s="53">
        <f t="shared" ca="1" si="15"/>
        <v>7571.2666666666664</v>
      </c>
      <c r="S62" s="54">
        <f ca="1">SUM(P62:R62)</f>
        <v>24144.733333333334</v>
      </c>
      <c r="T62" s="35"/>
      <c r="W62" s="35"/>
      <c r="AB62" s="35"/>
      <c r="AF62" s="35"/>
    </row>
    <row r="63" spans="1:32" x14ac:dyDescent="0.25">
      <c r="A63">
        <f ca="1">Performances!H10</f>
        <v>9.1644443571567535E-2</v>
      </c>
      <c r="B63">
        <f ca="1">Performances!H34</f>
        <v>9.4344444444444425E-2</v>
      </c>
      <c r="C63">
        <f ca="1">Performances!H58</f>
        <v>0.1482</v>
      </c>
      <c r="E63" s="32"/>
      <c r="F63" s="32"/>
      <c r="G63" s="32"/>
      <c r="H63" s="32"/>
      <c r="I63" s="32"/>
      <c r="J63" s="32"/>
      <c r="K63" s="32"/>
      <c r="L63" s="32"/>
      <c r="M63" s="32"/>
      <c r="N63" s="35"/>
      <c r="O63" t="s">
        <v>240</v>
      </c>
      <c r="S63" s="54">
        <f ca="1">12*S62/(S61*(S61+1))-3*(S61+1)</f>
        <v>1.969468599033803</v>
      </c>
      <c r="T63" s="35"/>
      <c r="U63" s="55" t="s">
        <v>241</v>
      </c>
      <c r="V63" s="55"/>
      <c r="W63" s="35"/>
      <c r="AB63" s="35"/>
      <c r="AF63" s="35"/>
    </row>
    <row r="64" spans="1:32" ht="13.8" thickBot="1" x14ac:dyDescent="0.3">
      <c r="A64">
        <f ca="1">Performances!H11</f>
        <v>0.18800000184112126</v>
      </c>
      <c r="B64">
        <f ca="1">Performances!H35</f>
        <v>0.13135555555555556</v>
      </c>
      <c r="C64">
        <f ca="1">Performances!H59</f>
        <v>8.6411111111111105E-2</v>
      </c>
      <c r="E64" t="s">
        <v>242</v>
      </c>
      <c r="N64" s="35"/>
      <c r="O64" t="s">
        <v>243</v>
      </c>
      <c r="S64" s="54">
        <f ca="1">S63/(1-[1]!TiesCorrection(A57:C71)/(45*(45^2-1)))</f>
        <v>1.969468599033803</v>
      </c>
      <c r="T64" s="35"/>
      <c r="U64" t="s">
        <v>244</v>
      </c>
      <c r="V64" s="43">
        <f ca="1">[1]!FKTEST(A57:C71)</f>
        <v>0.19380984918295086</v>
      </c>
      <c r="W64" s="35"/>
      <c r="AB64" s="35"/>
      <c r="AF64" s="35"/>
    </row>
    <row r="65" spans="1:32" ht="13.8" thickTop="1" x14ac:dyDescent="0.25">
      <c r="A65">
        <f ca="1">Performances!H12</f>
        <v>0.29501111639870536</v>
      </c>
      <c r="B65">
        <f ca="1">Performances!H36</f>
        <v>0.11942222222222219</v>
      </c>
      <c r="C65">
        <f ca="1">Performances!H60</f>
        <v>9.8988888888888876E-2</v>
      </c>
      <c r="E65" s="37" t="s">
        <v>245</v>
      </c>
      <c r="F65" s="37" t="s">
        <v>229</v>
      </c>
      <c r="G65" s="37" t="s">
        <v>246</v>
      </c>
      <c r="H65" s="37" t="s">
        <v>247</v>
      </c>
      <c r="I65" s="37" t="s">
        <v>248</v>
      </c>
      <c r="J65" s="37" t="s">
        <v>249</v>
      </c>
      <c r="K65" s="37" t="s">
        <v>250</v>
      </c>
      <c r="L65" s="37" t="s">
        <v>251</v>
      </c>
      <c r="M65" s="37" t="s">
        <v>252</v>
      </c>
      <c r="N65" s="35"/>
      <c r="O65" t="s">
        <v>246</v>
      </c>
      <c r="S65" s="54">
        <f>COUNTA(P58:R58)-1</f>
        <v>2</v>
      </c>
      <c r="T65" s="35"/>
      <c r="W65" s="35"/>
      <c r="AB65" s="35"/>
      <c r="AF65" s="35"/>
    </row>
    <row r="66" spans="1:32" x14ac:dyDescent="0.25">
      <c r="A66">
        <f ca="1">Performances!H13</f>
        <v>0.1008777775698238</v>
      </c>
      <c r="B66">
        <f ca="1">Performances!H37</f>
        <v>6.4655555555555549E-2</v>
      </c>
      <c r="C66">
        <f ca="1">Performances!H61</f>
        <v>0.12872222222222221</v>
      </c>
      <c r="E66" t="s">
        <v>253</v>
      </c>
      <c r="F66">
        <f ca="1">F68-F67</f>
        <v>8.9449875994812023E-3</v>
      </c>
      <c r="G66">
        <f>COUNTA(E60:E62)-1</f>
        <v>2</v>
      </c>
      <c r="H66">
        <f ca="1">F66/G66</f>
        <v>4.4724937997406011E-3</v>
      </c>
      <c r="I66">
        <f ca="1">H66/H67</f>
        <v>1.4252206304896959</v>
      </c>
      <c r="J66" s="43">
        <f ca="1">_xlfn.F.DIST.RT(I66,G66,G67)</f>
        <v>0.25184537171062082</v>
      </c>
      <c r="K66">
        <f ca="1">_xlfn.F.INV.RT(K58,G66,G67)</f>
        <v>3.2199422931761248</v>
      </c>
      <c r="L66">
        <f ca="1">SQRT(DEVSQ(H60:H62)/(H67*G66))</f>
        <v>0.3082445598859988</v>
      </c>
      <c r="M66">
        <f ca="1">(F68-G68*H67)/(F68+H67)</f>
        <v>1.8548158700124783E-2</v>
      </c>
      <c r="N66" s="35"/>
      <c r="O66" t="s">
        <v>208</v>
      </c>
      <c r="S66" s="83">
        <f ca="1">_xlfn.CHISQ.DIST.RT(S64,S65)</f>
        <v>0.37353846310263072</v>
      </c>
      <c r="T66" s="35"/>
      <c r="W66" s="35"/>
      <c r="AB66" s="35"/>
      <c r="AF66" s="35"/>
    </row>
    <row r="67" spans="1:32" x14ac:dyDescent="0.25">
      <c r="A67">
        <f ca="1">Performances!H14</f>
        <v>5.2411111278666399E-2</v>
      </c>
      <c r="B67">
        <f ca="1">Performances!H38</f>
        <v>0.23782222222222224</v>
      </c>
      <c r="C67">
        <f ca="1">Performances!H62</f>
        <v>0.11233333333333334</v>
      </c>
      <c r="E67" t="s">
        <v>254</v>
      </c>
      <c r="F67">
        <f ca="1">SUM(J60:J62)</f>
        <v>0.1318004634303975</v>
      </c>
      <c r="G67">
        <f ca="1">G68-G66</f>
        <v>42</v>
      </c>
      <c r="H67">
        <f ca="1">F67/G67</f>
        <v>3.1381062721523214E-3</v>
      </c>
      <c r="N67" s="35"/>
      <c r="O67" t="s">
        <v>209</v>
      </c>
      <c r="S67" s="54">
        <v>0.05</v>
      </c>
      <c r="T67" s="35"/>
      <c r="W67" s="35"/>
      <c r="AB67" s="35"/>
      <c r="AF67" s="35"/>
    </row>
    <row r="68" spans="1:32" x14ac:dyDescent="0.25">
      <c r="A68">
        <f ca="1">Performances!H15</f>
        <v>0.16305555403232574</v>
      </c>
      <c r="B68">
        <f ca="1">Performances!H39</f>
        <v>9.3811111111111109E-2</v>
      </c>
      <c r="C68">
        <f ca="1">Performances!H63</f>
        <v>7.7600000000000002E-2</v>
      </c>
      <c r="E68" s="30" t="s">
        <v>255</v>
      </c>
      <c r="F68" s="30">
        <f ca="1">DEVSQ(A57:C71)</f>
        <v>0.1407454510298787</v>
      </c>
      <c r="G68" s="30">
        <f ca="1">COUNT(A57:C71)-1</f>
        <v>44</v>
      </c>
      <c r="H68" s="30">
        <f ca="1">F68/G68</f>
        <v>3.1987602506790614E-3</v>
      </c>
      <c r="I68" s="30"/>
      <c r="J68" s="30"/>
      <c r="K68" s="30"/>
      <c r="L68" s="30"/>
      <c r="M68" s="30"/>
      <c r="N68" s="35"/>
      <c r="O68" t="s">
        <v>256</v>
      </c>
      <c r="S68" s="56" t="str">
        <f ca="1">IF(S66&lt;S67,"yes","no")</f>
        <v>no</v>
      </c>
      <c r="T68" s="35"/>
      <c r="W68" s="35"/>
      <c r="AB68" s="35"/>
      <c r="AF68" s="35"/>
    </row>
    <row r="69" spans="1:32" x14ac:dyDescent="0.25">
      <c r="A69">
        <f ca="1">Performances!H16</f>
        <v>0.20937778055667877</v>
      </c>
      <c r="B69">
        <f ca="1">Performances!H40</f>
        <v>0.16977777777777778</v>
      </c>
      <c r="C69">
        <f ca="1">Performances!H64</f>
        <v>0.13852222222222224</v>
      </c>
      <c r="N69" s="35"/>
      <c r="T69" s="35"/>
      <c r="W69" s="35"/>
      <c r="AB69" s="35"/>
      <c r="AF69" s="35"/>
    </row>
    <row r="70" spans="1:32" x14ac:dyDescent="0.25">
      <c r="A70">
        <f ca="1">Performances!H17</f>
        <v>4.3266666432221733E-2</v>
      </c>
      <c r="B70">
        <f ca="1">Performances!H41</f>
        <v>5.8733333333333332E-2</v>
      </c>
      <c r="C70">
        <f ca="1">Performances!H65</f>
        <v>0.18522222222222223</v>
      </c>
      <c r="N70" s="35"/>
      <c r="T70" s="35"/>
      <c r="W70" s="35"/>
      <c r="AB70" s="35"/>
      <c r="AF70" s="35"/>
    </row>
    <row r="71" spans="1:32" x14ac:dyDescent="0.25">
      <c r="A71">
        <f ca="1">Performances!H18</f>
        <v>5.3011111087269254E-2</v>
      </c>
      <c r="B71">
        <f ca="1">Performances!H42</f>
        <v>0.10033333333333333</v>
      </c>
      <c r="C71">
        <f ca="1">Performances!H66</f>
        <v>6.582222222222224E-2</v>
      </c>
      <c r="N71" s="35"/>
      <c r="T71" s="35"/>
      <c r="W71" s="35"/>
      <c r="AB71" s="35"/>
      <c r="AF71" s="35"/>
    </row>
  </sheetData>
  <mergeCells count="24">
    <mergeCell ref="A55:AF55"/>
    <mergeCell ref="E56:N56"/>
    <mergeCell ref="O56:T56"/>
    <mergeCell ref="U56:W56"/>
    <mergeCell ref="X56:AB56"/>
    <mergeCell ref="AC56:AF56"/>
    <mergeCell ref="A37:AF37"/>
    <mergeCell ref="E38:N38"/>
    <mergeCell ref="O38:T38"/>
    <mergeCell ref="U38:W38"/>
    <mergeCell ref="X38:AB38"/>
    <mergeCell ref="AC38:AF38"/>
    <mergeCell ref="A19:AF19"/>
    <mergeCell ref="E20:N20"/>
    <mergeCell ref="O20:T20"/>
    <mergeCell ref="U20:W20"/>
    <mergeCell ref="X20:AB20"/>
    <mergeCell ref="AC20:AF20"/>
    <mergeCell ref="A1:AF1"/>
    <mergeCell ref="E2:N2"/>
    <mergeCell ref="O2:T2"/>
    <mergeCell ref="U2:W2"/>
    <mergeCell ref="X2:AB2"/>
    <mergeCell ref="AC2:A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A58" workbookViewId="0">
      <selection activeCell="A19" sqref="A19:A33"/>
    </sheetView>
  </sheetViews>
  <sheetFormatPr baseColWidth="10" defaultRowHeight="13.2" x14ac:dyDescent="0.25"/>
  <sheetData>
    <row r="1" spans="1:19" x14ac:dyDescent="0.25">
      <c r="A1" s="152" t="s">
        <v>257</v>
      </c>
      <c r="B1" s="152"/>
      <c r="C1" s="152"/>
      <c r="D1" s="152"/>
      <c r="E1" s="152"/>
      <c r="F1" s="152"/>
      <c r="G1" s="152"/>
      <c r="H1" s="152"/>
      <c r="I1" s="152"/>
      <c r="K1" s="152" t="s">
        <v>257</v>
      </c>
      <c r="L1" s="152"/>
      <c r="M1" s="152"/>
      <c r="N1" s="152"/>
      <c r="O1" s="152"/>
      <c r="P1" s="152"/>
      <c r="Q1" s="152"/>
      <c r="R1" s="152"/>
      <c r="S1" s="152"/>
    </row>
    <row r="3" spans="1:19" x14ac:dyDescent="0.25">
      <c r="B3" s="34" t="s">
        <v>182</v>
      </c>
      <c r="C3" s="34" t="s">
        <v>201</v>
      </c>
      <c r="D3" s="34" t="s">
        <v>202</v>
      </c>
      <c r="F3" s="152" t="s">
        <v>258</v>
      </c>
      <c r="G3" s="152"/>
      <c r="H3" s="152"/>
      <c r="I3" s="152"/>
      <c r="L3" s="34" t="s">
        <v>182</v>
      </c>
      <c r="M3" s="34" t="s">
        <v>201</v>
      </c>
      <c r="N3" s="34" t="s">
        <v>202</v>
      </c>
      <c r="P3" s="152" t="s">
        <v>259</v>
      </c>
      <c r="Q3" s="152"/>
      <c r="R3" s="152"/>
      <c r="S3" s="152"/>
    </row>
    <row r="4" spans="1:19" x14ac:dyDescent="0.25">
      <c r="A4" s="149" t="s">
        <v>184</v>
      </c>
      <c r="B4">
        <f ca="1">Performances!B4</f>
        <v>0.14957777659098304</v>
      </c>
      <c r="C4">
        <f ca="1">Performances!B28</f>
        <v>8.278888888888887E-2</v>
      </c>
      <c r="D4">
        <f ca="1">Performances!B52</f>
        <v>0.11896666666666667</v>
      </c>
      <c r="F4" t="s">
        <v>206</v>
      </c>
      <c r="K4" s="149" t="s">
        <v>184</v>
      </c>
      <c r="L4">
        <f ca="1">Performances!B4</f>
        <v>0.14957777659098304</v>
      </c>
      <c r="M4">
        <f ca="1">Performances!B28</f>
        <v>8.278888888888887E-2</v>
      </c>
      <c r="N4">
        <f ca="1">Performances!B52</f>
        <v>0.11896666666666667</v>
      </c>
      <c r="P4" t="s">
        <v>206</v>
      </c>
    </row>
    <row r="5" spans="1:19" x14ac:dyDescent="0.25">
      <c r="A5" s="150"/>
      <c r="B5">
        <f ca="1">Performances!B5</f>
        <v>0.15566666920979819</v>
      </c>
      <c r="C5">
        <f ca="1">Performances!B29</f>
        <v>0.16982222222222221</v>
      </c>
      <c r="D5">
        <f ca="1">Performances!B53</f>
        <v>0.12055555555555555</v>
      </c>
      <c r="K5" s="150"/>
      <c r="L5">
        <f ca="1">Performances!B5</f>
        <v>0.15566666920979819</v>
      </c>
      <c r="M5">
        <f ca="1">Performances!B29</f>
        <v>0.16982222222222221</v>
      </c>
      <c r="N5">
        <f ca="1">Performances!B53</f>
        <v>0.12055555555555555</v>
      </c>
    </row>
    <row r="6" spans="1:19" x14ac:dyDescent="0.25">
      <c r="A6" s="150"/>
      <c r="B6">
        <f ca="1">Performances!B6</f>
        <v>0.18758889039357501</v>
      </c>
      <c r="C6">
        <f ca="1">Performances!B30</f>
        <v>0.20902222222222225</v>
      </c>
      <c r="D6">
        <f ca="1">Performances!B54</f>
        <v>0.13216666666666668</v>
      </c>
      <c r="F6" s="29"/>
      <c r="G6" s="29" t="str">
        <f>B3</f>
        <v>Groupe 1</v>
      </c>
      <c r="H6" s="29" t="str">
        <f>C3</f>
        <v>Groupe 2</v>
      </c>
      <c r="I6" s="29" t="str">
        <f>D3</f>
        <v>Groupe 3</v>
      </c>
      <c r="K6" s="150"/>
      <c r="L6">
        <f ca="1">Performances!B6</f>
        <v>0.18758889039357501</v>
      </c>
      <c r="M6">
        <f ca="1">Performances!B30</f>
        <v>0.20902222222222225</v>
      </c>
      <c r="N6">
        <f ca="1">Performances!B54</f>
        <v>0.13216666666666668</v>
      </c>
      <c r="P6" s="29"/>
      <c r="Q6" s="29" t="str">
        <f>L3</f>
        <v>Groupe 1</v>
      </c>
      <c r="R6" s="29" t="str">
        <f>M3</f>
        <v>Groupe 2</v>
      </c>
      <c r="S6" s="29" t="str">
        <f>N3</f>
        <v>Groupe 3</v>
      </c>
    </row>
    <row r="7" spans="1:19" x14ac:dyDescent="0.25">
      <c r="A7" s="150"/>
      <c r="B7">
        <f ca="1">Performances!B7</f>
        <v>0.3538111084037357</v>
      </c>
      <c r="C7">
        <f ca="1">Performances!B31</f>
        <v>0.24285555555555552</v>
      </c>
      <c r="D7">
        <f ca="1">Performances!B55</f>
        <v>9.98E-2</v>
      </c>
      <c r="F7" t="s">
        <v>207</v>
      </c>
      <c r="G7">
        <f ca="1">[1]!SHAPIRO(B4:B33)</f>
        <v>0.96554930011811768</v>
      </c>
      <c r="H7">
        <f ca="1">[1]!SHAPIRO(C4:C33)</f>
        <v>0.95661322633497914</v>
      </c>
      <c r="I7">
        <f ca="1">[1]!SHAPIRO(D4:D33)</f>
        <v>0.9113534405301954</v>
      </c>
      <c r="K7" s="150"/>
      <c r="L7">
        <f ca="1">Performances!B7</f>
        <v>0.3538111084037357</v>
      </c>
      <c r="M7">
        <f ca="1">Performances!B31</f>
        <v>0.24285555555555552</v>
      </c>
      <c r="N7">
        <f ca="1">Performances!B55</f>
        <v>9.98E-2</v>
      </c>
      <c r="P7" t="s">
        <v>207</v>
      </c>
      <c r="Q7">
        <f ca="1">[1]!SHAPIRO(L4:L33)</f>
        <v>0.94656342121509751</v>
      </c>
      <c r="R7">
        <f ca="1">[1]!SHAPIRO(M4:M33)</f>
        <v>0.95259780831424146</v>
      </c>
      <c r="S7">
        <f ca="1">[1]!SHAPIRO(N4:N33)</f>
        <v>0.88600213874790978</v>
      </c>
    </row>
    <row r="8" spans="1:19" x14ac:dyDescent="0.25">
      <c r="A8" s="150"/>
      <c r="B8">
        <f ca="1">Performances!B8</f>
        <v>0.15561111023028695</v>
      </c>
      <c r="C8">
        <f ca="1">Performances!B32</f>
        <v>0.20850000000000002</v>
      </c>
      <c r="D8">
        <f ca="1">Performances!B56</f>
        <v>0.25618888888888885</v>
      </c>
      <c r="F8" t="s">
        <v>208</v>
      </c>
      <c r="G8">
        <f ca="1">[1]!SWTEST(B4:B33)</f>
        <v>0.42556559909091751</v>
      </c>
      <c r="H8">
        <f ca="1">[1]!SWTEST(C4:C33)</f>
        <v>0.25317158112303217</v>
      </c>
      <c r="I8">
        <f ca="1">[1]!SWTEST(D4:D33)</f>
        <v>1.6099581094884297E-2</v>
      </c>
      <c r="K8" s="150"/>
      <c r="L8">
        <f ca="1">Performances!B8</f>
        <v>0.15561111023028695</v>
      </c>
      <c r="M8">
        <f ca="1">Performances!B32</f>
        <v>0.20850000000000002</v>
      </c>
      <c r="N8">
        <f ca="1">Performances!B56</f>
        <v>0.25618888888888885</v>
      </c>
      <c r="P8" t="s">
        <v>208</v>
      </c>
      <c r="Q8">
        <f ca="1">[1]!SWTEST(L4:L33)</f>
        <v>0.13668565017672774</v>
      </c>
      <c r="R8">
        <f ca="1">[1]!SWTEST(M4:M33)</f>
        <v>0.19834048210736488</v>
      </c>
      <c r="S8">
        <f ca="1">[1]!SWTEST(N4:N33)</f>
        <v>3.8838256254943859E-3</v>
      </c>
    </row>
    <row r="9" spans="1:19" x14ac:dyDescent="0.25">
      <c r="A9" s="150"/>
      <c r="B9">
        <f ca="1">Performances!B9</f>
        <v>0.14302222265137565</v>
      </c>
      <c r="C9">
        <f ca="1">Performances!B33</f>
        <v>0.32334444444444449</v>
      </c>
      <c r="D9">
        <f ca="1">Performances!B57</f>
        <v>0.16607777777777777</v>
      </c>
      <c r="F9" t="s">
        <v>209</v>
      </c>
      <c r="G9">
        <v>0.05</v>
      </c>
      <c r="H9">
        <v>0.05</v>
      </c>
      <c r="I9">
        <v>0.05</v>
      </c>
      <c r="K9" s="150"/>
      <c r="L9">
        <f ca="1">Performances!B9</f>
        <v>0.14302222265137565</v>
      </c>
      <c r="M9">
        <f ca="1">Performances!B33</f>
        <v>0.32334444444444449</v>
      </c>
      <c r="N9">
        <f ca="1">Performances!B57</f>
        <v>0.16607777777777777</v>
      </c>
      <c r="P9" t="s">
        <v>209</v>
      </c>
      <c r="Q9">
        <v>0.05</v>
      </c>
      <c r="R9">
        <v>0.05</v>
      </c>
      <c r="S9">
        <v>0.05</v>
      </c>
    </row>
    <row r="10" spans="1:19" x14ac:dyDescent="0.25">
      <c r="A10" s="150"/>
      <c r="B10">
        <f ca="1">Performances!B10</f>
        <v>5.4133333265781403E-2</v>
      </c>
      <c r="C10">
        <f ca="1">Performances!B34</f>
        <v>0.17957777777777773</v>
      </c>
      <c r="D10">
        <f ca="1">Performances!B58</f>
        <v>8.0688888888888893E-2</v>
      </c>
      <c r="F10" s="30" t="s">
        <v>210</v>
      </c>
      <c r="G10" s="31" t="str">
        <f ca="1">IF(G8&lt;G9,"no","yes")</f>
        <v>yes</v>
      </c>
      <c r="H10" s="31" t="str">
        <f ca="1">IF(H8&lt;H9,"no","yes")</f>
        <v>yes</v>
      </c>
      <c r="I10" s="31" t="str">
        <f ca="1">IF(I8&lt;I9,"no","yes")</f>
        <v>no</v>
      </c>
      <c r="K10" s="150"/>
      <c r="L10">
        <f ca="1">Performances!B10</f>
        <v>5.4133333265781403E-2</v>
      </c>
      <c r="M10">
        <f ca="1">Performances!B34</f>
        <v>0.17957777777777773</v>
      </c>
      <c r="N10">
        <f ca="1">Performances!B58</f>
        <v>8.0688888888888893E-2</v>
      </c>
      <c r="P10" s="30" t="s">
        <v>210</v>
      </c>
      <c r="Q10" s="31" t="str">
        <f ca="1">IF(Q8&lt;Q9,"no","yes")</f>
        <v>yes</v>
      </c>
      <c r="R10" s="31" t="str">
        <f ca="1">IF(R8&lt;R9,"no","yes")</f>
        <v>yes</v>
      </c>
      <c r="S10" s="31" t="str">
        <f ca="1">IF(S8&lt;S9,"no","yes")</f>
        <v>no</v>
      </c>
    </row>
    <row r="11" spans="1:19" x14ac:dyDescent="0.25">
      <c r="A11" s="150"/>
      <c r="B11">
        <f ca="1">Performances!B11</f>
        <v>0.24845555590258706</v>
      </c>
      <c r="C11">
        <f ca="1">Performances!B35</f>
        <v>0.16167777777777775</v>
      </c>
      <c r="D11">
        <f ca="1">Performances!B59</f>
        <v>0.12197777777777777</v>
      </c>
      <c r="K11" s="150"/>
      <c r="L11">
        <f ca="1">Performances!B11</f>
        <v>0.24845555590258706</v>
      </c>
      <c r="M11">
        <f ca="1">Performances!B35</f>
        <v>0.16167777777777775</v>
      </c>
      <c r="N11">
        <f ca="1">Performances!B59</f>
        <v>0.12197777777777777</v>
      </c>
    </row>
    <row r="12" spans="1:19" x14ac:dyDescent="0.25">
      <c r="A12" s="150"/>
      <c r="B12">
        <f ca="1">Performances!B12</f>
        <v>0.19290000034703148</v>
      </c>
      <c r="C12">
        <f ca="1">Performances!B36</f>
        <v>0.10271111111111113</v>
      </c>
      <c r="D12">
        <f ca="1">Performances!B60</f>
        <v>0.1996111111111111</v>
      </c>
      <c r="F12" t="s">
        <v>211</v>
      </c>
      <c r="K12" s="150"/>
      <c r="L12">
        <f ca="1">Performances!B12</f>
        <v>0.19290000034703148</v>
      </c>
      <c r="M12">
        <f ca="1">Performances!B36</f>
        <v>0.10271111111111113</v>
      </c>
      <c r="N12">
        <f ca="1">Performances!B60</f>
        <v>0.1996111111111111</v>
      </c>
      <c r="P12" t="s">
        <v>211</v>
      </c>
    </row>
    <row r="13" spans="1:19" x14ac:dyDescent="0.25">
      <c r="A13" s="150"/>
      <c r="B13">
        <f ca="1">Performances!B13</f>
        <v>0.13382222337855232</v>
      </c>
      <c r="C13">
        <f ca="1">Performances!B37</f>
        <v>0.17058888888888887</v>
      </c>
      <c r="D13">
        <f ca="1">Performances!B61</f>
        <v>7.6622222222222217E-2</v>
      </c>
      <c r="K13" s="150"/>
      <c r="L13">
        <f ca="1">Performances!B13</f>
        <v>0.13382222337855232</v>
      </c>
      <c r="M13">
        <f ca="1">Performances!B37</f>
        <v>0.17058888888888887</v>
      </c>
      <c r="N13">
        <f ca="1">Performances!B61</f>
        <v>7.6622222222222217E-2</v>
      </c>
    </row>
    <row r="14" spans="1:19" x14ac:dyDescent="0.25">
      <c r="A14" s="150"/>
      <c r="B14">
        <f ca="1">Performances!B14</f>
        <v>0.16578888893127441</v>
      </c>
      <c r="C14">
        <f ca="1">Performances!B38</f>
        <v>0.15295555555555557</v>
      </c>
      <c r="D14">
        <f ca="1">Performances!B62</f>
        <v>0.10392222222222222</v>
      </c>
      <c r="F14" s="32" t="s">
        <v>212</v>
      </c>
      <c r="G14" s="32">
        <f ca="1">[1]!DAGOSTINO(B4:B33)</f>
        <v>1.4386325242283582</v>
      </c>
      <c r="H14" s="32">
        <f ca="1">[1]!DAGOSTINO(C4:C33)</f>
        <v>2.1327140178032908</v>
      </c>
      <c r="I14" s="32">
        <f ca="1">[1]!DAGOSTINO(D4:D33)</f>
        <v>7.4348863300365373</v>
      </c>
      <c r="K14" s="150"/>
      <c r="L14">
        <f ca="1">Performances!B14</f>
        <v>0.16578888893127441</v>
      </c>
      <c r="M14">
        <f ca="1">Performances!B38</f>
        <v>0.15295555555555557</v>
      </c>
      <c r="N14">
        <f ca="1">Performances!B62</f>
        <v>0.10392222222222222</v>
      </c>
      <c r="P14" s="32" t="s">
        <v>212</v>
      </c>
      <c r="Q14" s="32">
        <f ca="1">[1]!DAGOSTINO(L4:L33)</f>
        <v>3.2568483026012762</v>
      </c>
      <c r="R14" s="32">
        <f ca="1">[1]!DAGOSTINO(M4:M33)</f>
        <v>2.7621166521545724</v>
      </c>
      <c r="S14" s="32">
        <f ca="1">[1]!DAGOSTINO(N4:N33)</f>
        <v>11.020391699898799</v>
      </c>
    </row>
    <row r="15" spans="1:19" x14ac:dyDescent="0.25">
      <c r="A15" s="150"/>
      <c r="B15">
        <f ca="1">Performances!B15</f>
        <v>0.26572222510973614</v>
      </c>
      <c r="C15">
        <f ca="1">Performances!B39</f>
        <v>8.7644444444444428E-2</v>
      </c>
      <c r="D15">
        <f ca="1">Performances!B63</f>
        <v>9.0933333333333324E-2</v>
      </c>
      <c r="F15" t="s">
        <v>208</v>
      </c>
      <c r="G15">
        <f ca="1">[1]!DPTEST(B4:B33)</f>
        <v>0.48708518072204665</v>
      </c>
      <c r="H15">
        <f ca="1">[1]!DPTEST(C4:C33)</f>
        <v>0.3442603732596774</v>
      </c>
      <c r="I15">
        <f ca="1">[1]!DPTEST(D4:D33)</f>
        <v>2.4296009383613204E-2</v>
      </c>
      <c r="K15" s="150"/>
      <c r="L15">
        <f ca="1">Performances!B15</f>
        <v>0.26572222510973614</v>
      </c>
      <c r="M15">
        <f ca="1">Performances!B39</f>
        <v>8.7644444444444428E-2</v>
      </c>
      <c r="N15">
        <f ca="1">Performances!B63</f>
        <v>9.0933333333333324E-2</v>
      </c>
      <c r="P15" t="s">
        <v>208</v>
      </c>
      <c r="Q15">
        <f ca="1">[1]!DPTEST(L4:L33)</f>
        <v>0.19623857289517255</v>
      </c>
      <c r="R15">
        <f ca="1">[1]!DPTEST(M4:M33)</f>
        <v>0.25131244175767087</v>
      </c>
      <c r="S15">
        <f ca="1">[1]!DPTEST(N4:N33)</f>
        <v>4.0453150308895625E-3</v>
      </c>
    </row>
    <row r="16" spans="1:19" x14ac:dyDescent="0.25">
      <c r="A16" s="150"/>
      <c r="B16">
        <f ca="1">Performances!B16</f>
        <v>0.21198888785309261</v>
      </c>
      <c r="C16">
        <f ca="1">Performances!B40</f>
        <v>0.20279999999999998</v>
      </c>
      <c r="D16">
        <f ca="1">Performances!B64</f>
        <v>0.10757777777777777</v>
      </c>
      <c r="F16" t="s">
        <v>209</v>
      </c>
      <c r="G16">
        <v>0.05</v>
      </c>
      <c r="H16">
        <v>0.05</v>
      </c>
      <c r="I16">
        <v>0.05</v>
      </c>
      <c r="K16" s="150"/>
      <c r="L16">
        <f ca="1">Performances!B16</f>
        <v>0.21198888785309261</v>
      </c>
      <c r="M16">
        <f ca="1">Performances!B40</f>
        <v>0.20279999999999998</v>
      </c>
      <c r="N16">
        <f ca="1">Performances!B64</f>
        <v>0.10757777777777777</v>
      </c>
      <c r="P16" t="s">
        <v>209</v>
      </c>
      <c r="Q16">
        <v>0.05</v>
      </c>
      <c r="R16">
        <v>0.05</v>
      </c>
      <c r="S16">
        <v>0.05</v>
      </c>
    </row>
    <row r="17" spans="1:19" x14ac:dyDescent="0.25">
      <c r="A17" s="150"/>
      <c r="B17">
        <f ca="1">Performances!B17</f>
        <v>0.19977777865197924</v>
      </c>
      <c r="C17">
        <f ca="1">Performances!B41</f>
        <v>0.21356666666666665</v>
      </c>
      <c r="D17">
        <f ca="1">Performances!B65</f>
        <v>0.21722222222222223</v>
      </c>
      <c r="F17" s="30" t="s">
        <v>210</v>
      </c>
      <c r="G17" s="31" t="str">
        <f ca="1">IF(G15&lt;G16,"no","yes")</f>
        <v>yes</v>
      </c>
      <c r="H17" s="31" t="str">
        <f ca="1">IF(H15&lt;H16,"no","yes")</f>
        <v>yes</v>
      </c>
      <c r="I17" s="31" t="str">
        <f ca="1">IF(I15&lt;I16,"no","yes")</f>
        <v>no</v>
      </c>
      <c r="K17" s="150"/>
      <c r="L17">
        <f ca="1">Performances!B17</f>
        <v>0.19977777865197924</v>
      </c>
      <c r="M17">
        <f ca="1">Performances!B41</f>
        <v>0.21356666666666665</v>
      </c>
      <c r="N17">
        <f ca="1">Performances!B65</f>
        <v>0.21722222222222223</v>
      </c>
      <c r="P17" s="30" t="s">
        <v>210</v>
      </c>
      <c r="Q17" s="31" t="str">
        <f ca="1">IF(Q15&lt;Q16,"no","yes")</f>
        <v>yes</v>
      </c>
      <c r="R17" s="31" t="str">
        <f ca="1">IF(R15&lt;R16,"no","yes")</f>
        <v>yes</v>
      </c>
      <c r="S17" s="31" t="str">
        <f ca="1">IF(S15&lt;S16,"no","yes")</f>
        <v>no</v>
      </c>
    </row>
    <row r="18" spans="1:19" x14ac:dyDescent="0.25">
      <c r="A18" s="151"/>
      <c r="B18">
        <f ca="1">Performances!B18</f>
        <v>6.9111111159953803E-2</v>
      </c>
      <c r="C18">
        <f ca="1">Performances!B42</f>
        <v>0.17544444444444443</v>
      </c>
      <c r="D18">
        <f ca="1">Performances!B66</f>
        <v>0.10218888888888888</v>
      </c>
      <c r="K18" s="151"/>
      <c r="L18">
        <f ca="1">Performances!B18</f>
        <v>6.9111111159953803E-2</v>
      </c>
      <c r="M18">
        <f ca="1">Performances!B42</f>
        <v>0.17544444444444443</v>
      </c>
      <c r="N18">
        <f ca="1">Performances!B66</f>
        <v>0.10218888888888888</v>
      </c>
    </row>
    <row r="19" spans="1:19" x14ac:dyDescent="0.25">
      <c r="A19" s="149" t="s">
        <v>187</v>
      </c>
      <c r="B19">
        <f ca="1">Performances!H4</f>
        <v>0.16962222092681462</v>
      </c>
      <c r="C19">
        <f ca="1">Performances!H28</f>
        <v>6.5955555555555559E-2</v>
      </c>
      <c r="D19">
        <f ca="1">Performances!H52</f>
        <v>0.19301111111111111</v>
      </c>
      <c r="K19" s="149" t="s">
        <v>185</v>
      </c>
      <c r="L19">
        <f ca="1">Performances!D4</f>
        <v>0.1551222221718894</v>
      </c>
      <c r="M19">
        <f ca="1">Performances!D28</f>
        <v>5.6011111111111109E-2</v>
      </c>
      <c r="N19">
        <f ca="1">Performances!D52</f>
        <v>0.14289999999999997</v>
      </c>
    </row>
    <row r="20" spans="1:19" x14ac:dyDescent="0.25">
      <c r="A20" s="150"/>
      <c r="B20">
        <f ca="1">Performances!H5</f>
        <v>0.13750000049670538</v>
      </c>
      <c r="C20">
        <f ca="1">Performances!H29</f>
        <v>4.8011111111111109E-2</v>
      </c>
      <c r="D20">
        <f ca="1">Performances!H53</f>
        <v>0.11417777777777778</v>
      </c>
      <c r="K20" s="150"/>
      <c r="L20">
        <f ca="1">Performances!D5</f>
        <v>0.12669999731911552</v>
      </c>
      <c r="M20">
        <f ca="1">Performances!D29</f>
        <v>5.842222222222223E-2</v>
      </c>
      <c r="N20">
        <f ca="1">Performances!D53</f>
        <v>9.01E-2</v>
      </c>
    </row>
    <row r="21" spans="1:19" x14ac:dyDescent="0.25">
      <c r="A21" s="150"/>
      <c r="B21">
        <f ca="1">Performances!H6</f>
        <v>0.11404444442854987</v>
      </c>
      <c r="C21">
        <f ca="1">Performances!H30</f>
        <v>0.12066666666666667</v>
      </c>
      <c r="D21">
        <f ca="1">Performances!H54</f>
        <v>0.12665555555555555</v>
      </c>
      <c r="K21" s="150"/>
      <c r="L21">
        <f ca="1">Performances!D6</f>
        <v>9.6811111188597143E-2</v>
      </c>
      <c r="M21">
        <f ca="1">Performances!D30</f>
        <v>0.16975555555555555</v>
      </c>
      <c r="N21">
        <f ca="1">Performances!D54</f>
        <v>0.11761111111111111</v>
      </c>
    </row>
    <row r="22" spans="1:19" x14ac:dyDescent="0.25">
      <c r="A22" s="150"/>
      <c r="B22">
        <f ca="1">Performances!H7</f>
        <v>0.22394444545110068</v>
      </c>
      <c r="C22">
        <f ca="1">Performances!H31</f>
        <v>0.19068888888888885</v>
      </c>
      <c r="D22">
        <f ca="1">Performances!H55</f>
        <v>7.3177777777777772E-2</v>
      </c>
      <c r="K22" s="150"/>
      <c r="L22">
        <f ca="1">Performances!D7</f>
        <v>0.33148889078034294</v>
      </c>
      <c r="M22">
        <f ca="1">Performances!D31</f>
        <v>0.22505555555555551</v>
      </c>
      <c r="N22">
        <f ca="1">Performances!D55</f>
        <v>0.11684444444444446</v>
      </c>
    </row>
    <row r="23" spans="1:19" x14ac:dyDescent="0.25">
      <c r="A23" s="150"/>
      <c r="B23">
        <f ca="1">Performances!H8</f>
        <v>0.18636666735013327</v>
      </c>
      <c r="C23">
        <f ca="1">Performances!H32</f>
        <v>0.13501111111111111</v>
      </c>
      <c r="D23">
        <f ca="1">Performances!H56</f>
        <v>0.10416666666666666</v>
      </c>
      <c r="K23" s="150"/>
      <c r="L23">
        <f ca="1">Performances!D8</f>
        <v>0.1521666662560569</v>
      </c>
      <c r="M23">
        <f ca="1">Performances!D32</f>
        <v>0.17177777777777781</v>
      </c>
      <c r="N23">
        <f ca="1">Performances!D56</f>
        <v>7.6511111111111113E-2</v>
      </c>
    </row>
    <row r="24" spans="1:19" x14ac:dyDescent="0.25">
      <c r="A24" s="150"/>
      <c r="B24">
        <f ca="1">Performances!H9</f>
        <v>0.17295555770397186</v>
      </c>
      <c r="C24">
        <f ca="1">Performances!H33</f>
        <v>8.0399999999999999E-2</v>
      </c>
      <c r="D24">
        <f ca="1">Performances!H57</f>
        <v>0.15772222222222221</v>
      </c>
      <c r="K24" s="150"/>
      <c r="L24">
        <f ca="1">Performances!D9</f>
        <v>0.12140000032054053</v>
      </c>
      <c r="M24">
        <f ca="1">Performances!D33</f>
        <v>0.12373333333333332</v>
      </c>
      <c r="N24">
        <f ca="1">Performances!D57</f>
        <v>0.19094444444444444</v>
      </c>
    </row>
    <row r="25" spans="1:19" x14ac:dyDescent="0.25">
      <c r="A25" s="150"/>
      <c r="B25">
        <f ca="1">Performances!H10</f>
        <v>9.1644443571567535E-2</v>
      </c>
      <c r="C25">
        <f ca="1">Performances!H34</f>
        <v>9.4344444444444425E-2</v>
      </c>
      <c r="D25">
        <f ca="1">Performances!H58</f>
        <v>0.1482</v>
      </c>
      <c r="K25" s="150"/>
      <c r="L25">
        <f ca="1">Performances!D10</f>
        <v>8.4266665909025401E-2</v>
      </c>
      <c r="M25">
        <f ca="1">Performances!D34</f>
        <v>0.15475555555555556</v>
      </c>
      <c r="N25">
        <f ca="1">Performances!D58</f>
        <v>0.14785555555555555</v>
      </c>
    </row>
    <row r="26" spans="1:19" x14ac:dyDescent="0.25">
      <c r="A26" s="150"/>
      <c r="B26">
        <f ca="1">Performances!H11</f>
        <v>0.18800000184112126</v>
      </c>
      <c r="C26">
        <f ca="1">Performances!H35</f>
        <v>0.13135555555555556</v>
      </c>
      <c r="D26">
        <f ca="1">Performances!H59</f>
        <v>8.6411111111111105E-2</v>
      </c>
      <c r="K26" s="150"/>
      <c r="L26">
        <f ca="1">Performances!D11</f>
        <v>0.12761111143562529</v>
      </c>
      <c r="M26">
        <f ca="1">Performances!D35</f>
        <v>0.1086</v>
      </c>
      <c r="N26">
        <f ca="1">Performances!D59</f>
        <v>0.10870000000000002</v>
      </c>
    </row>
    <row r="27" spans="1:19" x14ac:dyDescent="0.25">
      <c r="A27" s="150"/>
      <c r="B27">
        <f ca="1">Performances!H12</f>
        <v>0.29501111639870536</v>
      </c>
      <c r="C27">
        <f ca="1">Performances!H36</f>
        <v>0.11942222222222219</v>
      </c>
      <c r="D27">
        <f ca="1">Performances!H60</f>
        <v>9.8988888888888876E-2</v>
      </c>
      <c r="K27" s="150"/>
      <c r="L27">
        <f ca="1">Performances!D12</f>
        <v>0.29657777978314293</v>
      </c>
      <c r="M27">
        <f ca="1">Performances!D36</f>
        <v>8.2833333333333342E-2</v>
      </c>
      <c r="N27">
        <f ca="1">Performances!D60</f>
        <v>0.13305555555555557</v>
      </c>
    </row>
    <row r="28" spans="1:19" x14ac:dyDescent="0.25">
      <c r="A28" s="150"/>
      <c r="B28">
        <f ca="1">Performances!H13</f>
        <v>0.1008777775698238</v>
      </c>
      <c r="C28">
        <f ca="1">Performances!H37</f>
        <v>6.4655555555555549E-2</v>
      </c>
      <c r="D28">
        <f ca="1">Performances!H61</f>
        <v>0.12872222222222221</v>
      </c>
      <c r="K28" s="150"/>
      <c r="L28">
        <f ca="1">Performances!D13</f>
        <v>6.1388889120684728E-2</v>
      </c>
      <c r="M28">
        <f ca="1">Performances!D37</f>
        <v>0.11454444444444443</v>
      </c>
      <c r="N28">
        <f ca="1">Performances!D61</f>
        <v>8.3077777777777778E-2</v>
      </c>
    </row>
    <row r="29" spans="1:19" x14ac:dyDescent="0.25">
      <c r="A29" s="150"/>
      <c r="B29">
        <f ca="1">Performances!H14</f>
        <v>5.2411111278666399E-2</v>
      </c>
      <c r="C29">
        <f ca="1">Performances!H38</f>
        <v>0.23782222222222224</v>
      </c>
      <c r="D29">
        <f ca="1">Performances!H62</f>
        <v>0.11233333333333334</v>
      </c>
      <c r="K29" s="150"/>
      <c r="L29">
        <f ca="1">Performances!D14</f>
        <v>4.4800000472201243E-2</v>
      </c>
      <c r="M29">
        <f ca="1">Performances!D38</f>
        <v>0.33035555555555551</v>
      </c>
      <c r="N29">
        <f ca="1">Performances!D62</f>
        <v>0.15913333333333332</v>
      </c>
    </row>
    <row r="30" spans="1:19" x14ac:dyDescent="0.25">
      <c r="A30" s="150"/>
      <c r="B30">
        <f ca="1">Performances!H15</f>
        <v>0.16305555403232574</v>
      </c>
      <c r="C30">
        <f ca="1">Performances!H39</f>
        <v>9.3811111111111109E-2</v>
      </c>
      <c r="D30">
        <f ca="1">Performances!H63</f>
        <v>7.7600000000000002E-2</v>
      </c>
      <c r="K30" s="150"/>
      <c r="L30">
        <f ca="1">Performances!D15</f>
        <v>0.19641110797723135</v>
      </c>
      <c r="M30">
        <f ca="1">Performances!D39</f>
        <v>7.7333333333333323E-2</v>
      </c>
      <c r="N30">
        <f ca="1">Performances!D63</f>
        <v>7.0266666666666672E-2</v>
      </c>
    </row>
    <row r="31" spans="1:19" x14ac:dyDescent="0.25">
      <c r="A31" s="150"/>
      <c r="B31">
        <f ca="1">Performances!H16</f>
        <v>0.20937778055667877</v>
      </c>
      <c r="C31">
        <f ca="1">Performances!H40</f>
        <v>0.16977777777777778</v>
      </c>
      <c r="D31">
        <f ca="1">Performances!H64</f>
        <v>0.13852222222222224</v>
      </c>
      <c r="K31" s="150"/>
      <c r="L31">
        <f ca="1">Performances!D16</f>
        <v>0.20073333382606506</v>
      </c>
      <c r="M31">
        <f ca="1">Performances!D40</f>
        <v>0.23567777777777776</v>
      </c>
      <c r="N31">
        <f ca="1">Performances!D64</f>
        <v>0.10701111111111111</v>
      </c>
    </row>
    <row r="32" spans="1:19" x14ac:dyDescent="0.25">
      <c r="A32" s="150"/>
      <c r="B32">
        <f ca="1">Performances!H17</f>
        <v>4.3266666432221733E-2</v>
      </c>
      <c r="C32">
        <f ca="1">Performances!H41</f>
        <v>5.8733333333333332E-2</v>
      </c>
      <c r="D32">
        <f ca="1">Performances!H65</f>
        <v>0.18522222222222223</v>
      </c>
      <c r="K32" s="150"/>
      <c r="L32">
        <f ca="1">Performances!D17</f>
        <v>0.10457777728637059</v>
      </c>
      <c r="M32">
        <f ca="1">Performances!D41</f>
        <v>0.13906666666666667</v>
      </c>
      <c r="N32">
        <f ca="1">Performances!D65</f>
        <v>0.12233333333333334</v>
      </c>
    </row>
    <row r="33" spans="1:19" x14ac:dyDescent="0.25">
      <c r="A33" s="151"/>
      <c r="B33">
        <f ca="1">Performances!H18</f>
        <v>5.3011111087269254E-2</v>
      </c>
      <c r="C33">
        <f ca="1">Performances!H42</f>
        <v>0.10033333333333333</v>
      </c>
      <c r="D33">
        <f ca="1">Performances!H66</f>
        <v>6.582222222222224E-2</v>
      </c>
      <c r="K33" s="151"/>
      <c r="L33">
        <f ca="1">Performances!D18</f>
        <v>6.6966666943497122E-2</v>
      </c>
      <c r="M33">
        <f ca="1">Performances!D42</f>
        <v>0.13042222222222222</v>
      </c>
      <c r="N33">
        <f ca="1">Performances!D66</f>
        <v>9.5477777777777786E-2</v>
      </c>
    </row>
    <row r="35" spans="1:19" x14ac:dyDescent="0.25">
      <c r="A35" s="152" t="s">
        <v>257</v>
      </c>
      <c r="B35" s="152"/>
      <c r="C35" s="152"/>
      <c r="D35" s="152"/>
      <c r="E35" s="152"/>
      <c r="F35" s="152"/>
      <c r="G35" s="152"/>
      <c r="H35" s="152"/>
      <c r="I35" s="152"/>
      <c r="K35" s="152" t="s">
        <v>257</v>
      </c>
      <c r="L35" s="152"/>
      <c r="M35" s="152"/>
      <c r="N35" s="152"/>
      <c r="O35" s="152"/>
      <c r="P35" s="152"/>
      <c r="Q35" s="152"/>
      <c r="R35" s="152"/>
      <c r="S35" s="152"/>
    </row>
    <row r="37" spans="1:19" x14ac:dyDescent="0.25">
      <c r="B37" s="34" t="s">
        <v>182</v>
      </c>
      <c r="C37" s="34" t="s">
        <v>201</v>
      </c>
      <c r="D37" s="34" t="s">
        <v>202</v>
      </c>
      <c r="F37" s="152" t="s">
        <v>260</v>
      </c>
      <c r="G37" s="152"/>
      <c r="H37" s="152"/>
      <c r="I37" s="152"/>
      <c r="L37" s="34" t="s">
        <v>182</v>
      </c>
      <c r="M37" s="34" t="s">
        <v>201</v>
      </c>
      <c r="N37" s="34" t="s">
        <v>202</v>
      </c>
      <c r="P37" s="152" t="s">
        <v>261</v>
      </c>
      <c r="Q37" s="152"/>
      <c r="R37" s="152"/>
      <c r="S37" s="152"/>
    </row>
    <row r="38" spans="1:19" x14ac:dyDescent="0.25">
      <c r="A38" s="149" t="s">
        <v>184</v>
      </c>
      <c r="B38">
        <f ca="1">Performances!B4</f>
        <v>0.14957777659098304</v>
      </c>
      <c r="C38">
        <f ca="1">Performances!B28</f>
        <v>8.278888888888887E-2</v>
      </c>
      <c r="D38">
        <f ca="1">Performances!B52</f>
        <v>0.11896666666666667</v>
      </c>
      <c r="F38" t="s">
        <v>206</v>
      </c>
      <c r="K38" s="149" t="s">
        <v>185</v>
      </c>
      <c r="L38">
        <f ca="1">Performances!D4</f>
        <v>0.1551222221718894</v>
      </c>
      <c r="M38">
        <f ca="1">Performances!D28</f>
        <v>5.6011111111111109E-2</v>
      </c>
      <c r="N38">
        <f ca="1">Performances!D52</f>
        <v>0.14289999999999997</v>
      </c>
      <c r="P38" t="s">
        <v>206</v>
      </c>
    </row>
    <row r="39" spans="1:19" x14ac:dyDescent="0.25">
      <c r="A39" s="150"/>
      <c r="B39">
        <f ca="1">Performances!B5</f>
        <v>0.15566666920979819</v>
      </c>
      <c r="C39">
        <f ca="1">Performances!B29</f>
        <v>0.16982222222222221</v>
      </c>
      <c r="D39">
        <f ca="1">Performances!B53</f>
        <v>0.12055555555555555</v>
      </c>
      <c r="K39" s="150"/>
      <c r="L39">
        <f ca="1">Performances!D5</f>
        <v>0.12669999731911552</v>
      </c>
      <c r="M39">
        <f ca="1">Performances!D29</f>
        <v>5.842222222222223E-2</v>
      </c>
      <c r="N39">
        <f ca="1">Performances!D53</f>
        <v>9.01E-2</v>
      </c>
    </row>
    <row r="40" spans="1:19" x14ac:dyDescent="0.25">
      <c r="A40" s="150"/>
      <c r="B40">
        <f ca="1">Performances!B6</f>
        <v>0.18758889039357501</v>
      </c>
      <c r="C40">
        <f ca="1">Performances!B30</f>
        <v>0.20902222222222225</v>
      </c>
      <c r="D40">
        <f ca="1">Performances!B54</f>
        <v>0.13216666666666668</v>
      </c>
      <c r="F40" s="29"/>
      <c r="G40" s="29" t="str">
        <f>B37</f>
        <v>Groupe 1</v>
      </c>
      <c r="H40" s="29" t="str">
        <f>C37</f>
        <v>Groupe 2</v>
      </c>
      <c r="I40" s="29" t="str">
        <f>D37</f>
        <v>Groupe 3</v>
      </c>
      <c r="K40" s="150"/>
      <c r="L40">
        <f ca="1">Performances!D6</f>
        <v>9.6811111188597143E-2</v>
      </c>
      <c r="M40">
        <f ca="1">Performances!D30</f>
        <v>0.16975555555555555</v>
      </c>
      <c r="N40">
        <f ca="1">Performances!D54</f>
        <v>0.11761111111111111</v>
      </c>
      <c r="P40" s="29"/>
      <c r="Q40" s="29" t="str">
        <f>L37</f>
        <v>Groupe 1</v>
      </c>
      <c r="R40" s="29" t="str">
        <f>M37</f>
        <v>Groupe 2</v>
      </c>
      <c r="S40" s="29" t="str">
        <f>N37</f>
        <v>Groupe 3</v>
      </c>
    </row>
    <row r="41" spans="1:19" x14ac:dyDescent="0.25">
      <c r="A41" s="150"/>
      <c r="B41">
        <f ca="1">Performances!B7</f>
        <v>0.3538111084037357</v>
      </c>
      <c r="C41">
        <f ca="1">Performances!B31</f>
        <v>0.24285555555555552</v>
      </c>
      <c r="D41">
        <f ca="1">Performances!B55</f>
        <v>9.98E-2</v>
      </c>
      <c r="F41" t="s">
        <v>207</v>
      </c>
      <c r="G41">
        <f ca="1">[1]!SHAPIRO(B38:B67)</f>
        <v>0.9576736264071084</v>
      </c>
      <c r="H41">
        <f ca="1">[1]!SHAPIRO(C38:C67)</f>
        <v>0.87976128589196889</v>
      </c>
      <c r="I41">
        <f ca="1">[1]!SHAPIRO(D38:D67)</f>
        <v>0.90985116895149099</v>
      </c>
      <c r="K41" s="150"/>
      <c r="L41">
        <f ca="1">Performances!D7</f>
        <v>0.33148889078034294</v>
      </c>
      <c r="M41">
        <f ca="1">Performances!D31</f>
        <v>0.22505555555555551</v>
      </c>
      <c r="N41">
        <f ca="1">Performances!D55</f>
        <v>0.11684444444444446</v>
      </c>
      <c r="P41" t="s">
        <v>207</v>
      </c>
      <c r="Q41">
        <f ca="1">[1]!SHAPIRO(L38:L67)</f>
        <v>0.93252108045060689</v>
      </c>
      <c r="R41">
        <f ca="1">[1]!SHAPIRO(M38:M67)</f>
        <v>0.84359093772550697</v>
      </c>
      <c r="S41">
        <f ca="1">[1]!SHAPIRO(N38:N67)</f>
        <v>0.96655821447892398</v>
      </c>
    </row>
    <row r="42" spans="1:19" x14ac:dyDescent="0.25">
      <c r="A42" s="150"/>
      <c r="B42">
        <f ca="1">Performances!B8</f>
        <v>0.15561111023028695</v>
      </c>
      <c r="C42">
        <f ca="1">Performances!B32</f>
        <v>0.20850000000000002</v>
      </c>
      <c r="D42">
        <f ca="1">Performances!B56</f>
        <v>0.25618888888888885</v>
      </c>
      <c r="F42" t="s">
        <v>208</v>
      </c>
      <c r="G42">
        <f ca="1">[1]!SWTEST(B38:B67)</f>
        <v>0.26981306842049657</v>
      </c>
      <c r="H42">
        <f ca="1">[1]!SWTEST(C38:C67)</f>
        <v>2.7838231310345352E-3</v>
      </c>
      <c r="I42">
        <f ca="1">[1]!SWTEST(D38:D67)</f>
        <v>1.4752343124235123E-2</v>
      </c>
      <c r="K42" s="150"/>
      <c r="L42">
        <f ca="1">Performances!D8</f>
        <v>0.1521666662560569</v>
      </c>
      <c r="M42">
        <f ca="1">Performances!D32</f>
        <v>0.17177777777777781</v>
      </c>
      <c r="N42">
        <f ca="1">Performances!D56</f>
        <v>7.6511111111111113E-2</v>
      </c>
      <c r="P42" t="s">
        <v>208</v>
      </c>
      <c r="Q42">
        <f ca="1">[1]!SWTEST(L38:L67)</f>
        <v>5.7309198069706913E-2</v>
      </c>
      <c r="R42">
        <f ca="1">[1]!SWTEST(M38:M67)</f>
        <v>4.5655682696921218E-4</v>
      </c>
      <c r="S42">
        <f ca="1">[1]!SWTEST(N38:N67)</f>
        <v>0.44978032997672446</v>
      </c>
    </row>
    <row r="43" spans="1:19" x14ac:dyDescent="0.25">
      <c r="A43" s="150"/>
      <c r="B43">
        <f ca="1">Performances!B9</f>
        <v>0.14302222265137565</v>
      </c>
      <c r="C43">
        <f ca="1">Performances!B33</f>
        <v>0.32334444444444449</v>
      </c>
      <c r="D43">
        <f ca="1">Performances!B57</f>
        <v>0.16607777777777777</v>
      </c>
      <c r="F43" t="s">
        <v>209</v>
      </c>
      <c r="G43">
        <v>0.05</v>
      </c>
      <c r="H43">
        <v>0.05</v>
      </c>
      <c r="I43">
        <v>0.05</v>
      </c>
      <c r="K43" s="150"/>
      <c r="L43">
        <f ca="1">Performances!D9</f>
        <v>0.12140000032054053</v>
      </c>
      <c r="M43">
        <f ca="1">Performances!D33</f>
        <v>0.12373333333333332</v>
      </c>
      <c r="N43">
        <f ca="1">Performances!D57</f>
        <v>0.19094444444444444</v>
      </c>
      <c r="P43" t="s">
        <v>209</v>
      </c>
      <c r="Q43">
        <v>0.05</v>
      </c>
      <c r="R43">
        <v>0.05</v>
      </c>
      <c r="S43">
        <v>0.05</v>
      </c>
    </row>
    <row r="44" spans="1:19" x14ac:dyDescent="0.25">
      <c r="A44" s="150"/>
      <c r="B44">
        <f ca="1">Performances!B10</f>
        <v>5.4133333265781403E-2</v>
      </c>
      <c r="C44">
        <f ca="1">Performances!B34</f>
        <v>0.17957777777777773</v>
      </c>
      <c r="D44">
        <f ca="1">Performances!B58</f>
        <v>8.0688888888888893E-2</v>
      </c>
      <c r="F44" s="30" t="s">
        <v>210</v>
      </c>
      <c r="G44" s="31" t="str">
        <f ca="1">IF(G42&lt;G43,"no","yes")</f>
        <v>yes</v>
      </c>
      <c r="H44" s="31" t="str">
        <f ca="1">IF(H42&lt;H43,"no","yes")</f>
        <v>no</v>
      </c>
      <c r="I44" s="31" t="str">
        <f ca="1">IF(I42&lt;I43,"no","yes")</f>
        <v>no</v>
      </c>
      <c r="K44" s="150"/>
      <c r="L44">
        <f ca="1">Performances!D10</f>
        <v>8.4266665909025401E-2</v>
      </c>
      <c r="M44">
        <f ca="1">Performances!D34</f>
        <v>0.15475555555555556</v>
      </c>
      <c r="N44">
        <f ca="1">Performances!D58</f>
        <v>0.14785555555555555</v>
      </c>
      <c r="P44" s="30" t="s">
        <v>210</v>
      </c>
      <c r="Q44" s="31" t="str">
        <f ca="1">IF(Q42&lt;Q43,"no","yes")</f>
        <v>yes</v>
      </c>
      <c r="R44" s="31" t="str">
        <f ca="1">IF(R42&lt;R43,"no","yes")</f>
        <v>no</v>
      </c>
      <c r="S44" s="31" t="str">
        <f ca="1">IF(S42&lt;S43,"no","yes")</f>
        <v>yes</v>
      </c>
    </row>
    <row r="45" spans="1:19" x14ac:dyDescent="0.25">
      <c r="A45" s="150"/>
      <c r="B45">
        <f ca="1">Performances!B11</f>
        <v>0.24845555590258706</v>
      </c>
      <c r="C45">
        <f ca="1">Performances!B35</f>
        <v>0.16167777777777775</v>
      </c>
      <c r="D45">
        <f ca="1">Performances!B59</f>
        <v>0.12197777777777777</v>
      </c>
      <c r="K45" s="150"/>
      <c r="L45">
        <f ca="1">Performances!D11</f>
        <v>0.12761111143562529</v>
      </c>
      <c r="M45">
        <f ca="1">Performances!D35</f>
        <v>0.1086</v>
      </c>
      <c r="N45">
        <f ca="1">Performances!D59</f>
        <v>0.10870000000000002</v>
      </c>
    </row>
    <row r="46" spans="1:19" x14ac:dyDescent="0.25">
      <c r="A46" s="150"/>
      <c r="B46">
        <f ca="1">Performances!B12</f>
        <v>0.19290000034703148</v>
      </c>
      <c r="C46">
        <f ca="1">Performances!B36</f>
        <v>0.10271111111111113</v>
      </c>
      <c r="D46">
        <f ca="1">Performances!B60</f>
        <v>0.1996111111111111</v>
      </c>
      <c r="F46" t="s">
        <v>211</v>
      </c>
      <c r="K46" s="150"/>
      <c r="L46">
        <f ca="1">Performances!D12</f>
        <v>0.29657777978314293</v>
      </c>
      <c r="M46">
        <f ca="1">Performances!D36</f>
        <v>8.2833333333333342E-2</v>
      </c>
      <c r="N46">
        <f ca="1">Performances!D60</f>
        <v>0.13305555555555557</v>
      </c>
      <c r="P46" t="s">
        <v>211</v>
      </c>
    </row>
    <row r="47" spans="1:19" x14ac:dyDescent="0.25">
      <c r="A47" s="150"/>
      <c r="B47">
        <f ca="1">Performances!B13</f>
        <v>0.13382222337855232</v>
      </c>
      <c r="C47">
        <f ca="1">Performances!B37</f>
        <v>0.17058888888888887</v>
      </c>
      <c r="D47">
        <f ca="1">Performances!B61</f>
        <v>7.6622222222222217E-2</v>
      </c>
      <c r="K47" s="150"/>
      <c r="L47">
        <f ca="1">Performances!D13</f>
        <v>6.1388889120684728E-2</v>
      </c>
      <c r="M47">
        <f ca="1">Performances!D37</f>
        <v>0.11454444444444443</v>
      </c>
      <c r="N47">
        <f ca="1">Performances!D61</f>
        <v>8.3077777777777778E-2</v>
      </c>
    </row>
    <row r="48" spans="1:19" x14ac:dyDescent="0.25">
      <c r="A48" s="150"/>
      <c r="B48">
        <f ca="1">Performances!B14</f>
        <v>0.16578888893127441</v>
      </c>
      <c r="C48">
        <f ca="1">Performances!B38</f>
        <v>0.15295555555555557</v>
      </c>
      <c r="D48">
        <f ca="1">Performances!B62</f>
        <v>0.10392222222222222</v>
      </c>
      <c r="F48" s="32" t="s">
        <v>212</v>
      </c>
      <c r="G48" s="32">
        <f ca="1">[1]!DAGOSTINO(B38:B67)</f>
        <v>1.9445094744734037</v>
      </c>
      <c r="H48" s="32">
        <f ca="1">[1]!DAGOSTINO(C38:C67)</f>
        <v>15.800559275167082</v>
      </c>
      <c r="I48" s="32">
        <f ca="1">[1]!DAGOSTINO(D38:D67)</f>
        <v>9.0261015360555312</v>
      </c>
      <c r="K48" s="150"/>
      <c r="L48">
        <f ca="1">Performances!D14</f>
        <v>4.4800000472201243E-2</v>
      </c>
      <c r="M48">
        <f ca="1">Performances!D38</f>
        <v>0.33035555555555551</v>
      </c>
      <c r="N48">
        <f ca="1">Performances!D62</f>
        <v>0.15913333333333332</v>
      </c>
      <c r="P48" s="32" t="s">
        <v>212</v>
      </c>
      <c r="Q48" s="32">
        <f ca="1">[1]!DAGOSTINO(L38:L67)</f>
        <v>3.7896976385595358</v>
      </c>
      <c r="R48" s="32">
        <f ca="1">[1]!DAGOSTINO(M38:M67)</f>
        <v>19.536623401128821</v>
      </c>
      <c r="S48" s="32">
        <f ca="1">[1]!DAGOSTINO(N38:N67)</f>
        <v>0.84751475567993895</v>
      </c>
    </row>
    <row r="49" spans="1:19" x14ac:dyDescent="0.25">
      <c r="A49" s="150"/>
      <c r="B49">
        <f ca="1">Performances!B15</f>
        <v>0.26572222510973614</v>
      </c>
      <c r="C49">
        <f ca="1">Performances!B39</f>
        <v>8.7644444444444428E-2</v>
      </c>
      <c r="D49">
        <f ca="1">Performances!B63</f>
        <v>9.0933333333333324E-2</v>
      </c>
      <c r="F49" t="s">
        <v>208</v>
      </c>
      <c r="G49">
        <f ca="1">[1]!DPTEST(B38:B67)</f>
        <v>0.37822926833652981</v>
      </c>
      <c r="H49">
        <f ca="1">[1]!DPTEST(C38:C67)</f>
        <v>3.7063988112551183E-4</v>
      </c>
      <c r="I49">
        <f ca="1">[1]!DPTEST(D38:D67)</f>
        <v>1.0964957555493871E-2</v>
      </c>
      <c r="K49" s="150"/>
      <c r="L49">
        <f ca="1">Performances!D15</f>
        <v>0.19641110797723135</v>
      </c>
      <c r="M49">
        <f ca="1">Performances!D39</f>
        <v>7.7333333333333323E-2</v>
      </c>
      <c r="N49">
        <f ca="1">Performances!D63</f>
        <v>7.0266666666666672E-2</v>
      </c>
      <c r="P49" t="s">
        <v>208</v>
      </c>
      <c r="Q49">
        <f ca="1">[1]!DPTEST(L38:L67)</f>
        <v>0.15034106199845199</v>
      </c>
      <c r="R49">
        <f ca="1">[1]!DPTEST(M38:M67)</f>
        <v>5.7236903554969132E-5</v>
      </c>
      <c r="S49">
        <f ca="1">[1]!DPTEST(N38:N67)</f>
        <v>0.65458267890771937</v>
      </c>
    </row>
    <row r="50" spans="1:19" x14ac:dyDescent="0.25">
      <c r="A50" s="150"/>
      <c r="B50">
        <f ca="1">Performances!B16</f>
        <v>0.21198888785309261</v>
      </c>
      <c r="C50">
        <f ca="1">Performances!B40</f>
        <v>0.20279999999999998</v>
      </c>
      <c r="D50">
        <f ca="1">Performances!B64</f>
        <v>0.10757777777777777</v>
      </c>
      <c r="F50" t="s">
        <v>209</v>
      </c>
      <c r="G50">
        <v>0.05</v>
      </c>
      <c r="H50">
        <v>0.05</v>
      </c>
      <c r="I50">
        <v>0.05</v>
      </c>
      <c r="K50" s="150"/>
      <c r="L50">
        <f ca="1">Performances!D16</f>
        <v>0.20073333382606506</v>
      </c>
      <c r="M50">
        <f ca="1">Performances!D40</f>
        <v>0.23567777777777776</v>
      </c>
      <c r="N50">
        <f ca="1">Performances!D64</f>
        <v>0.10701111111111111</v>
      </c>
      <c r="P50" t="s">
        <v>209</v>
      </c>
      <c r="Q50">
        <v>0.05</v>
      </c>
      <c r="R50">
        <v>0.05</v>
      </c>
      <c r="S50">
        <v>0.05</v>
      </c>
    </row>
    <row r="51" spans="1:19" x14ac:dyDescent="0.25">
      <c r="A51" s="150"/>
      <c r="B51">
        <f ca="1">Performances!B17</f>
        <v>0.19977777865197924</v>
      </c>
      <c r="C51">
        <f ca="1">Performances!B41</f>
        <v>0.21356666666666665</v>
      </c>
      <c r="D51">
        <f ca="1">Performances!B65</f>
        <v>0.21722222222222223</v>
      </c>
      <c r="F51" s="30" t="s">
        <v>210</v>
      </c>
      <c r="G51" s="31" t="str">
        <f ca="1">IF(G49&lt;G50,"no","yes")</f>
        <v>yes</v>
      </c>
      <c r="H51" s="31" t="str">
        <f ca="1">IF(H49&lt;H50,"no","yes")</f>
        <v>no</v>
      </c>
      <c r="I51" s="31" t="str">
        <f ca="1">IF(I49&lt;I50,"no","yes")</f>
        <v>no</v>
      </c>
      <c r="K51" s="150"/>
      <c r="L51">
        <f ca="1">Performances!D17</f>
        <v>0.10457777728637059</v>
      </c>
      <c r="M51">
        <f ca="1">Performances!D41</f>
        <v>0.13906666666666667</v>
      </c>
      <c r="N51">
        <f ca="1">Performances!D65</f>
        <v>0.12233333333333334</v>
      </c>
      <c r="P51" s="30" t="s">
        <v>210</v>
      </c>
      <c r="Q51" s="31" t="str">
        <f ca="1">IF(Q49&lt;Q50,"no","yes")</f>
        <v>yes</v>
      </c>
      <c r="R51" s="31" t="str">
        <f ca="1">IF(R49&lt;R50,"no","yes")</f>
        <v>no</v>
      </c>
      <c r="S51" s="31" t="str">
        <f ca="1">IF(S49&lt;S50,"no","yes")</f>
        <v>yes</v>
      </c>
    </row>
    <row r="52" spans="1:19" x14ac:dyDescent="0.25">
      <c r="A52" s="151"/>
      <c r="B52">
        <f ca="1">Performances!B18</f>
        <v>6.9111111159953803E-2</v>
      </c>
      <c r="C52">
        <f ca="1">Performances!B42</f>
        <v>0.17544444444444443</v>
      </c>
      <c r="D52">
        <f ca="1">Performances!B66</f>
        <v>0.10218888888888888</v>
      </c>
      <c r="K52" s="151"/>
      <c r="L52">
        <f ca="1">Performances!D18</f>
        <v>6.6966666943497122E-2</v>
      </c>
      <c r="M52">
        <f ca="1">Performances!D42</f>
        <v>0.13042222222222222</v>
      </c>
      <c r="N52">
        <f ca="1">Performances!D66</f>
        <v>9.5477777777777786E-2</v>
      </c>
    </row>
    <row r="53" spans="1:19" x14ac:dyDescent="0.25">
      <c r="A53" s="149" t="s">
        <v>186</v>
      </c>
      <c r="B53">
        <f ca="1">Performances!F4</f>
        <v>0.18912222319179112</v>
      </c>
      <c r="C53">
        <f ca="1">Performances!F28</f>
        <v>6.9600000000000009E-2</v>
      </c>
      <c r="D53">
        <f ca="1">Performances!F52</f>
        <v>0.12554444444444446</v>
      </c>
      <c r="K53" s="149" t="s">
        <v>186</v>
      </c>
      <c r="L53">
        <f ca="1">Performances!F4</f>
        <v>0.18912222319179112</v>
      </c>
      <c r="M53">
        <f ca="1">Performances!F28</f>
        <v>6.9600000000000009E-2</v>
      </c>
      <c r="N53">
        <f ca="1">Performances!F52</f>
        <v>0.12554444444444446</v>
      </c>
    </row>
    <row r="54" spans="1:19" x14ac:dyDescent="0.25">
      <c r="A54" s="150"/>
      <c r="B54">
        <f ca="1">Performances!F5</f>
        <v>0.12896666841374504</v>
      </c>
      <c r="C54">
        <f ca="1">Performances!F29</f>
        <v>6.8388888888888888E-2</v>
      </c>
      <c r="D54">
        <f ca="1">Performances!F53</f>
        <v>0.12944444444444445</v>
      </c>
      <c r="K54" s="150"/>
      <c r="L54">
        <f ca="1">Performances!F5</f>
        <v>0.12896666841374504</v>
      </c>
      <c r="M54">
        <f ca="1">Performances!F29</f>
        <v>6.8388888888888888E-2</v>
      </c>
      <c r="N54">
        <f ca="1">Performances!F53</f>
        <v>0.12944444444444445</v>
      </c>
    </row>
    <row r="55" spans="1:19" x14ac:dyDescent="0.25">
      <c r="A55" s="150"/>
      <c r="B55">
        <f ca="1">Performances!F6</f>
        <v>0.10931111127138138</v>
      </c>
      <c r="C55">
        <f ca="1">Performances!F30</f>
        <v>0.16007777777777779</v>
      </c>
      <c r="D55">
        <f ca="1">Performances!F54</f>
        <v>0.11051111111111112</v>
      </c>
      <c r="K55" s="150"/>
      <c r="L55">
        <f ca="1">Performances!F6</f>
        <v>0.10931111127138138</v>
      </c>
      <c r="M55">
        <f ca="1">Performances!F30</f>
        <v>0.16007777777777779</v>
      </c>
      <c r="N55">
        <f ca="1">Performances!F54</f>
        <v>0.11051111111111112</v>
      </c>
    </row>
    <row r="56" spans="1:19" x14ac:dyDescent="0.25">
      <c r="A56" s="150"/>
      <c r="B56">
        <f ca="1">Performances!F7</f>
        <v>0.22275555464956495</v>
      </c>
      <c r="C56">
        <f ca="1">Performances!F31</f>
        <v>0.22434444444444443</v>
      </c>
      <c r="D56">
        <f ca="1">Performances!F55</f>
        <v>0.13743333333333335</v>
      </c>
      <c r="K56" s="150"/>
      <c r="L56">
        <f ca="1">Performances!F7</f>
        <v>0.22275555464956495</v>
      </c>
      <c r="M56">
        <f ca="1">Performances!F31</f>
        <v>0.22434444444444443</v>
      </c>
      <c r="N56">
        <f ca="1">Performances!F55</f>
        <v>0.13743333333333335</v>
      </c>
    </row>
    <row r="57" spans="1:19" x14ac:dyDescent="0.25">
      <c r="A57" s="150"/>
      <c r="B57">
        <f ca="1">Performances!F8</f>
        <v>0.18469999896155465</v>
      </c>
      <c r="C57">
        <f ca="1">Performances!F32</f>
        <v>0.18293333333333334</v>
      </c>
      <c r="D57">
        <f ca="1">Performances!F56</f>
        <v>7.9111111111111104E-2</v>
      </c>
      <c r="K57" s="150"/>
      <c r="L57">
        <f ca="1">Performances!F8</f>
        <v>0.18469999896155465</v>
      </c>
      <c r="M57">
        <f ca="1">Performances!F32</f>
        <v>0.18293333333333334</v>
      </c>
      <c r="N57">
        <f ca="1">Performances!F56</f>
        <v>7.9111111111111104E-2</v>
      </c>
    </row>
    <row r="58" spans="1:19" x14ac:dyDescent="0.25">
      <c r="A58" s="150"/>
      <c r="B58">
        <f ca="1">Performances!F9</f>
        <v>0.17569999893506369</v>
      </c>
      <c r="C58">
        <f ca="1">Performances!F33</f>
        <v>0.11022222222222224</v>
      </c>
      <c r="D58">
        <f ca="1">Performances!F57</f>
        <v>0.18578888888888889</v>
      </c>
      <c r="K58" s="150"/>
      <c r="L58">
        <f ca="1">Performances!F9</f>
        <v>0.17569999893506369</v>
      </c>
      <c r="M58">
        <f ca="1">Performances!F33</f>
        <v>0.11022222222222224</v>
      </c>
      <c r="N58">
        <f ca="1">Performances!F57</f>
        <v>0.18578888888888889</v>
      </c>
    </row>
    <row r="59" spans="1:19" x14ac:dyDescent="0.25">
      <c r="A59" s="150"/>
      <c r="B59">
        <f ca="1">Performances!F10</f>
        <v>0.12896666758590275</v>
      </c>
      <c r="C59">
        <f ca="1">Performances!F34</f>
        <v>0.1658222222222222</v>
      </c>
      <c r="D59">
        <f ca="1">Performances!F58</f>
        <v>0.13974444444444442</v>
      </c>
      <c r="K59" s="150"/>
      <c r="L59">
        <f ca="1">Performances!F10</f>
        <v>0.12896666758590275</v>
      </c>
      <c r="M59">
        <f ca="1">Performances!F34</f>
        <v>0.1658222222222222</v>
      </c>
      <c r="N59">
        <f ca="1">Performances!F58</f>
        <v>0.13974444444444442</v>
      </c>
    </row>
    <row r="60" spans="1:19" x14ac:dyDescent="0.25">
      <c r="A60" s="150"/>
      <c r="B60">
        <f ca="1">Performances!F11</f>
        <v>0.1787777774863773</v>
      </c>
      <c r="C60">
        <f ca="1">Performances!F35</f>
        <v>0.11312222222222225</v>
      </c>
      <c r="D60">
        <f ca="1">Performances!F59</f>
        <v>0.14655555555555555</v>
      </c>
      <c r="K60" s="150"/>
      <c r="L60">
        <f ca="1">Performances!F11</f>
        <v>0.1787777774863773</v>
      </c>
      <c r="M60">
        <f ca="1">Performances!F35</f>
        <v>0.11312222222222225</v>
      </c>
      <c r="N60">
        <f ca="1">Performances!F59</f>
        <v>0.14655555555555555</v>
      </c>
    </row>
    <row r="61" spans="1:19" x14ac:dyDescent="0.25">
      <c r="A61" s="150"/>
      <c r="B61">
        <f ca="1">Performances!F12</f>
        <v>0.29465555482440525</v>
      </c>
      <c r="C61">
        <f ca="1">Performances!F36</f>
        <v>9.6277777777777782E-2</v>
      </c>
      <c r="D61">
        <f ca="1">Performances!F60</f>
        <v>0.14705555555555558</v>
      </c>
      <c r="K61" s="150"/>
      <c r="L61">
        <f ca="1">Performances!F12</f>
        <v>0.29465555482440525</v>
      </c>
      <c r="M61">
        <f ca="1">Performances!F36</f>
        <v>9.6277777777777782E-2</v>
      </c>
      <c r="N61">
        <f ca="1">Performances!F60</f>
        <v>0.14705555555555558</v>
      </c>
    </row>
    <row r="62" spans="1:19" x14ac:dyDescent="0.25">
      <c r="A62" s="150"/>
      <c r="B62">
        <f ca="1">Performances!F13</f>
        <v>8.4266666736867696E-2</v>
      </c>
      <c r="C62">
        <f ca="1">Performances!F37</f>
        <v>0.11349999999999999</v>
      </c>
      <c r="D62">
        <f ca="1">Performances!F61</f>
        <v>9.9900000000000003E-2</v>
      </c>
      <c r="K62" s="150"/>
      <c r="L62">
        <f ca="1">Performances!F13</f>
        <v>8.4266666736867696E-2</v>
      </c>
      <c r="M62">
        <f ca="1">Performances!F37</f>
        <v>0.11349999999999999</v>
      </c>
      <c r="N62">
        <f ca="1">Performances!F61</f>
        <v>9.9900000000000003E-2</v>
      </c>
    </row>
    <row r="63" spans="1:19" x14ac:dyDescent="0.25">
      <c r="A63" s="150"/>
      <c r="B63">
        <f ca="1">Performances!F14</f>
        <v>5.8533332828018397E-2</v>
      </c>
      <c r="C63">
        <f ca="1">Performances!F38</f>
        <v>0.42844444444444441</v>
      </c>
      <c r="D63">
        <f ca="1">Performances!F62</f>
        <v>0.11752222222222224</v>
      </c>
      <c r="K63" s="150"/>
      <c r="L63">
        <f ca="1">Performances!F14</f>
        <v>5.8533332828018397E-2</v>
      </c>
      <c r="M63">
        <f ca="1">Performances!F38</f>
        <v>0.42844444444444441</v>
      </c>
      <c r="N63">
        <f ca="1">Performances!F62</f>
        <v>0.11752222222222224</v>
      </c>
    </row>
    <row r="64" spans="1:19" x14ac:dyDescent="0.25">
      <c r="A64" s="150"/>
      <c r="B64">
        <f ca="1">Performances!F15</f>
        <v>0.16645555529329512</v>
      </c>
      <c r="C64">
        <f ca="1">Performances!F39</f>
        <v>9.2044444444444443E-2</v>
      </c>
      <c r="D64">
        <f ca="1">Performances!F63</f>
        <v>8.9633333333333329E-2</v>
      </c>
      <c r="K64" s="150"/>
      <c r="L64">
        <f ca="1">Performances!F15</f>
        <v>0.16645555529329512</v>
      </c>
      <c r="M64">
        <f ca="1">Performances!F39</f>
        <v>9.2044444444444443E-2</v>
      </c>
      <c r="N64">
        <f ca="1">Performances!F63</f>
        <v>8.9633333333333329E-2</v>
      </c>
    </row>
    <row r="65" spans="1:19" x14ac:dyDescent="0.25">
      <c r="A65" s="150"/>
      <c r="B65">
        <f ca="1">Performances!F16</f>
        <v>0.19798888928360409</v>
      </c>
      <c r="C65">
        <f ca="1">Performances!F40</f>
        <v>0.22915555555555558</v>
      </c>
      <c r="D65">
        <f ca="1">Performances!F64</f>
        <v>0.13005555555555556</v>
      </c>
      <c r="K65" s="150"/>
      <c r="L65">
        <f ca="1">Performances!F16</f>
        <v>0.19798888928360409</v>
      </c>
      <c r="M65">
        <f ca="1">Performances!F40</f>
        <v>0.22915555555555558</v>
      </c>
      <c r="N65">
        <f ca="1">Performances!F64</f>
        <v>0.13005555555555556</v>
      </c>
    </row>
    <row r="66" spans="1:19" x14ac:dyDescent="0.25">
      <c r="A66" s="150"/>
      <c r="B66">
        <f ca="1">Performances!F17</f>
        <v>5.4244444188144475E-2</v>
      </c>
      <c r="C66">
        <f ca="1">Performances!F41</f>
        <v>9.6966666666666673E-2</v>
      </c>
      <c r="D66">
        <f ca="1">Performances!F65</f>
        <v>0.17912222222222224</v>
      </c>
      <c r="K66" s="150"/>
      <c r="L66">
        <f ca="1">Performances!F17</f>
        <v>5.4244444188144475E-2</v>
      </c>
      <c r="M66">
        <f ca="1">Performances!F41</f>
        <v>9.6966666666666673E-2</v>
      </c>
      <c r="N66">
        <f ca="1">Performances!F65</f>
        <v>0.17912222222222224</v>
      </c>
    </row>
    <row r="67" spans="1:19" x14ac:dyDescent="0.25">
      <c r="A67" s="151"/>
      <c r="B67">
        <f ca="1">Performances!F18</f>
        <v>6.3700000031126872E-2</v>
      </c>
      <c r="C67">
        <f ca="1">Performances!F42</f>
        <v>0.1161888888888889</v>
      </c>
      <c r="D67">
        <f ca="1">Performances!F66</f>
        <v>7.3944444444444438E-2</v>
      </c>
      <c r="K67" s="151"/>
      <c r="L67">
        <f ca="1">Performances!F18</f>
        <v>6.3700000031126872E-2</v>
      </c>
      <c r="M67">
        <f ca="1">Performances!F42</f>
        <v>0.1161888888888889</v>
      </c>
      <c r="N67">
        <f ca="1">Performances!F66</f>
        <v>7.3944444444444438E-2</v>
      </c>
    </row>
    <row r="68" spans="1:19" ht="12.6" customHeight="1" x14ac:dyDescent="0.25"/>
    <row r="69" spans="1:19" x14ac:dyDescent="0.25">
      <c r="A69" s="152" t="s">
        <v>257</v>
      </c>
      <c r="B69" s="152"/>
      <c r="C69" s="152"/>
      <c r="D69" s="152"/>
      <c r="E69" s="152"/>
      <c r="F69" s="152"/>
      <c r="G69" s="152"/>
      <c r="H69" s="152"/>
      <c r="I69" s="152"/>
      <c r="K69" s="152" t="s">
        <v>257</v>
      </c>
      <c r="L69" s="152"/>
      <c r="M69" s="152"/>
      <c r="N69" s="152"/>
      <c r="O69" s="152"/>
      <c r="P69" s="152"/>
      <c r="Q69" s="152"/>
      <c r="R69" s="152"/>
      <c r="S69" s="152"/>
    </row>
    <row r="70" spans="1:19" ht="12.6" customHeight="1" x14ac:dyDescent="0.25"/>
    <row r="71" spans="1:19" x14ac:dyDescent="0.25">
      <c r="B71" s="34" t="s">
        <v>182</v>
      </c>
      <c r="C71" s="34" t="s">
        <v>201</v>
      </c>
      <c r="D71" s="34" t="s">
        <v>202</v>
      </c>
      <c r="F71" s="152" t="s">
        <v>262</v>
      </c>
      <c r="G71" s="152"/>
      <c r="H71" s="152"/>
      <c r="I71" s="152"/>
      <c r="L71" s="34" t="s">
        <v>182</v>
      </c>
      <c r="M71" s="34" t="s">
        <v>201</v>
      </c>
      <c r="N71" s="34" t="s">
        <v>202</v>
      </c>
      <c r="P71" s="152" t="s">
        <v>263</v>
      </c>
      <c r="Q71" s="152"/>
      <c r="R71" s="152"/>
      <c r="S71" s="152"/>
    </row>
    <row r="72" spans="1:19" x14ac:dyDescent="0.25">
      <c r="A72" s="149" t="s">
        <v>185</v>
      </c>
      <c r="B72">
        <f ca="1">Performances!D4</f>
        <v>0.1551222221718894</v>
      </c>
      <c r="C72">
        <f ca="1">Performances!D28</f>
        <v>5.6011111111111109E-2</v>
      </c>
      <c r="D72">
        <f ca="1">Performances!D52</f>
        <v>0.14289999999999997</v>
      </c>
      <c r="F72" t="s">
        <v>206</v>
      </c>
      <c r="K72" s="149" t="s">
        <v>186</v>
      </c>
      <c r="L72">
        <f ca="1">Performances!F4</f>
        <v>0.18912222319179112</v>
      </c>
      <c r="M72">
        <f ca="1">Performances!F28</f>
        <v>6.9600000000000009E-2</v>
      </c>
      <c r="N72">
        <f ca="1">Performances!F52</f>
        <v>0.12554444444444446</v>
      </c>
      <c r="P72" t="s">
        <v>206</v>
      </c>
    </row>
    <row r="73" spans="1:19" x14ac:dyDescent="0.25">
      <c r="A73" s="150"/>
      <c r="B73">
        <f ca="1">Performances!D5</f>
        <v>0.12669999731911552</v>
      </c>
      <c r="C73">
        <f ca="1">Performances!D29</f>
        <v>5.842222222222223E-2</v>
      </c>
      <c r="D73">
        <f ca="1">Performances!D53</f>
        <v>9.01E-2</v>
      </c>
      <c r="K73" s="150"/>
      <c r="L73">
        <f ca="1">Performances!F5</f>
        <v>0.12896666841374504</v>
      </c>
      <c r="M73">
        <f ca="1">Performances!F29</f>
        <v>6.8388888888888888E-2</v>
      </c>
      <c r="N73">
        <f ca="1">Performances!F53</f>
        <v>0.12944444444444445</v>
      </c>
    </row>
    <row r="74" spans="1:19" x14ac:dyDescent="0.25">
      <c r="A74" s="150"/>
      <c r="B74">
        <f ca="1">Performances!D6</f>
        <v>9.6811111188597143E-2</v>
      </c>
      <c r="C74">
        <f ca="1">Performances!D30</f>
        <v>0.16975555555555555</v>
      </c>
      <c r="D74">
        <f ca="1">Performances!D54</f>
        <v>0.11761111111111111</v>
      </c>
      <c r="F74" s="29"/>
      <c r="G74" s="29" t="str">
        <f>B71</f>
        <v>Groupe 1</v>
      </c>
      <c r="H74" s="29" t="str">
        <f>C71</f>
        <v>Groupe 2</v>
      </c>
      <c r="I74" s="29" t="str">
        <f>D71</f>
        <v>Groupe 3</v>
      </c>
      <c r="K74" s="150"/>
      <c r="L74">
        <f ca="1">Performances!F6</f>
        <v>0.10931111127138138</v>
      </c>
      <c r="M74">
        <f ca="1">Performances!F30</f>
        <v>0.16007777777777779</v>
      </c>
      <c r="N74">
        <f ca="1">Performances!F54</f>
        <v>0.11051111111111112</v>
      </c>
      <c r="P74" s="29"/>
      <c r="Q74" s="29" t="str">
        <f>L71</f>
        <v>Groupe 1</v>
      </c>
      <c r="R74" s="29" t="str">
        <f>M71</f>
        <v>Groupe 2</v>
      </c>
      <c r="S74" s="29" t="str">
        <f>N71</f>
        <v>Groupe 3</v>
      </c>
    </row>
    <row r="75" spans="1:19" x14ac:dyDescent="0.25">
      <c r="A75" s="150"/>
      <c r="B75">
        <f ca="1">Performances!D7</f>
        <v>0.33148889078034294</v>
      </c>
      <c r="C75">
        <f ca="1">Performances!D31</f>
        <v>0.22505555555555551</v>
      </c>
      <c r="D75">
        <f ca="1">Performances!D55</f>
        <v>0.11684444444444446</v>
      </c>
      <c r="F75" t="s">
        <v>207</v>
      </c>
      <c r="G75">
        <f ca="1">[1]!SHAPIRO(B72:B101)</f>
        <v>0.9396661222606445</v>
      </c>
      <c r="H75">
        <f ca="1">[1]!SHAPIRO(C72:C101)</f>
        <v>0.90614107227330198</v>
      </c>
      <c r="I75">
        <f ca="1">[1]!SHAPIRO(D72:D101)</f>
        <v>0.95604186588372531</v>
      </c>
      <c r="K75" s="150"/>
      <c r="L75">
        <f ca="1">Performances!F7</f>
        <v>0.22275555464956495</v>
      </c>
      <c r="M75">
        <f ca="1">Performances!F31</f>
        <v>0.22434444444444443</v>
      </c>
      <c r="N75">
        <f ca="1">Performances!F55</f>
        <v>0.13743333333333335</v>
      </c>
      <c r="P75" t="s">
        <v>207</v>
      </c>
      <c r="Q75">
        <f ca="1">[1]!SHAPIRO(L72:L101)</f>
        <v>0.94804190632746022</v>
      </c>
      <c r="R75">
        <f ca="1">[1]!SHAPIRO(M72:M101)</f>
        <v>0.79898382039227656</v>
      </c>
      <c r="S75">
        <f ca="1">[1]!SHAPIRO(N72:N101)</f>
        <v>0.96291146280472872</v>
      </c>
    </row>
    <row r="76" spans="1:19" x14ac:dyDescent="0.25">
      <c r="A76" s="150"/>
      <c r="B76">
        <f ca="1">Performances!D8</f>
        <v>0.1521666662560569</v>
      </c>
      <c r="C76">
        <f ca="1">Performances!D32</f>
        <v>0.17177777777777781</v>
      </c>
      <c r="D76">
        <f ca="1">Performances!D56</f>
        <v>7.6511111111111113E-2</v>
      </c>
      <c r="F76" t="s">
        <v>208</v>
      </c>
      <c r="G76">
        <f ca="1">[1]!SWTEST(B72:B101)</f>
        <v>8.9095048542480737E-2</v>
      </c>
      <c r="H76">
        <f ca="1">[1]!SWTEST(C72:C101)</f>
        <v>1.1908464946542519E-2</v>
      </c>
      <c r="I76">
        <f ca="1">[1]!SWTEST(D72:D101)</f>
        <v>0.24459601386599505</v>
      </c>
      <c r="K76" s="150"/>
      <c r="L76">
        <f ca="1">Performances!F8</f>
        <v>0.18469999896155465</v>
      </c>
      <c r="M76">
        <f ca="1">Performances!F32</f>
        <v>0.18293333333333334</v>
      </c>
      <c r="N76">
        <f ca="1">Performances!F56</f>
        <v>7.9111111111111104E-2</v>
      </c>
      <c r="P76" t="s">
        <v>208</v>
      </c>
      <c r="Q76">
        <f ca="1">[1]!SWTEST(L72:L101)</f>
        <v>0.14979433503833284</v>
      </c>
      <c r="R76">
        <f ca="1">[1]!SWTEST(M72:M101)</f>
        <v>6.2826847068930824E-5</v>
      </c>
      <c r="S76">
        <f ca="1">[1]!SWTEST(N72:N101)</f>
        <v>0.36684226198988779</v>
      </c>
    </row>
    <row r="77" spans="1:19" x14ac:dyDescent="0.25">
      <c r="A77" s="150"/>
      <c r="B77">
        <f ca="1">Performances!D9</f>
        <v>0.12140000032054053</v>
      </c>
      <c r="C77">
        <f ca="1">Performances!D33</f>
        <v>0.12373333333333332</v>
      </c>
      <c r="D77">
        <f ca="1">Performances!D57</f>
        <v>0.19094444444444444</v>
      </c>
      <c r="F77" t="s">
        <v>209</v>
      </c>
      <c r="G77">
        <v>0.05</v>
      </c>
      <c r="H77">
        <v>0.05</v>
      </c>
      <c r="I77">
        <v>0.05</v>
      </c>
      <c r="K77" s="150"/>
      <c r="L77">
        <f ca="1">Performances!F9</f>
        <v>0.17569999893506369</v>
      </c>
      <c r="M77">
        <f ca="1">Performances!F33</f>
        <v>0.11022222222222224</v>
      </c>
      <c r="N77">
        <f ca="1">Performances!F57</f>
        <v>0.18578888888888889</v>
      </c>
      <c r="P77" t="s">
        <v>209</v>
      </c>
      <c r="Q77">
        <v>0.05</v>
      </c>
      <c r="R77">
        <v>0.05</v>
      </c>
      <c r="S77">
        <v>0.05</v>
      </c>
    </row>
    <row r="78" spans="1:19" x14ac:dyDescent="0.25">
      <c r="A78" s="150"/>
      <c r="B78">
        <f ca="1">Performances!D10</f>
        <v>8.4266665909025401E-2</v>
      </c>
      <c r="C78">
        <f ca="1">Performances!D34</f>
        <v>0.15475555555555556</v>
      </c>
      <c r="D78">
        <f ca="1">Performances!D58</f>
        <v>0.14785555555555555</v>
      </c>
      <c r="F78" s="30" t="s">
        <v>210</v>
      </c>
      <c r="G78" s="31" t="str">
        <f ca="1">IF(G76&lt;G77,"no","yes")</f>
        <v>yes</v>
      </c>
      <c r="H78" s="31" t="str">
        <f ca="1">IF(H76&lt;H77,"no","yes")</f>
        <v>no</v>
      </c>
      <c r="I78" s="31" t="str">
        <f ca="1">IF(I76&lt;I77,"no","yes")</f>
        <v>yes</v>
      </c>
      <c r="K78" s="150"/>
      <c r="L78">
        <f ca="1">Performances!F10</f>
        <v>0.12896666758590275</v>
      </c>
      <c r="M78">
        <f ca="1">Performances!F34</f>
        <v>0.1658222222222222</v>
      </c>
      <c r="N78">
        <f ca="1">Performances!F58</f>
        <v>0.13974444444444442</v>
      </c>
      <c r="P78" s="30" t="s">
        <v>210</v>
      </c>
      <c r="Q78" s="31" t="str">
        <f ca="1">IF(Q76&lt;Q77,"no","yes")</f>
        <v>yes</v>
      </c>
      <c r="R78" s="31" t="str">
        <f ca="1">IF(R76&lt;R77,"no","yes")</f>
        <v>no</v>
      </c>
      <c r="S78" s="31" t="str">
        <f ca="1">IF(S76&lt;S77,"no","yes")</f>
        <v>yes</v>
      </c>
    </row>
    <row r="79" spans="1:19" x14ac:dyDescent="0.25">
      <c r="A79" s="150"/>
      <c r="B79">
        <f ca="1">Performances!D11</f>
        <v>0.12761111143562529</v>
      </c>
      <c r="C79">
        <f ca="1">Performances!D35</f>
        <v>0.1086</v>
      </c>
      <c r="D79">
        <f ca="1">Performances!D59</f>
        <v>0.10870000000000002</v>
      </c>
      <c r="K79" s="150"/>
      <c r="L79">
        <f ca="1">Performances!F11</f>
        <v>0.1787777774863773</v>
      </c>
      <c r="M79">
        <f ca="1">Performances!F35</f>
        <v>0.11312222222222225</v>
      </c>
      <c r="N79">
        <f ca="1">Performances!F59</f>
        <v>0.14655555555555555</v>
      </c>
    </row>
    <row r="80" spans="1:19" x14ac:dyDescent="0.25">
      <c r="A80" s="150"/>
      <c r="B80">
        <f ca="1">Performances!D12</f>
        <v>0.29657777978314293</v>
      </c>
      <c r="C80">
        <f ca="1">Performances!D36</f>
        <v>8.2833333333333342E-2</v>
      </c>
      <c r="D80">
        <f ca="1">Performances!D60</f>
        <v>0.13305555555555557</v>
      </c>
      <c r="F80" t="s">
        <v>211</v>
      </c>
      <c r="K80" s="150"/>
      <c r="L80">
        <f ca="1">Performances!F12</f>
        <v>0.29465555482440525</v>
      </c>
      <c r="M80">
        <f ca="1">Performances!F36</f>
        <v>9.6277777777777782E-2</v>
      </c>
      <c r="N80">
        <f ca="1">Performances!F60</f>
        <v>0.14705555555555558</v>
      </c>
      <c r="P80" t="s">
        <v>211</v>
      </c>
    </row>
    <row r="81" spans="1:19" x14ac:dyDescent="0.25">
      <c r="A81" s="150"/>
      <c r="B81">
        <f ca="1">Performances!D13</f>
        <v>6.1388889120684728E-2</v>
      </c>
      <c r="C81">
        <f ca="1">Performances!D37</f>
        <v>0.11454444444444443</v>
      </c>
      <c r="D81">
        <f ca="1">Performances!D61</f>
        <v>8.3077777777777778E-2</v>
      </c>
      <c r="K81" s="150"/>
      <c r="L81">
        <f ca="1">Performances!F13</f>
        <v>8.4266666736867696E-2</v>
      </c>
      <c r="M81">
        <f ca="1">Performances!F37</f>
        <v>0.11349999999999999</v>
      </c>
      <c r="N81">
        <f ca="1">Performances!F61</f>
        <v>9.9900000000000003E-2</v>
      </c>
    </row>
    <row r="82" spans="1:19" x14ac:dyDescent="0.25">
      <c r="A82" s="150"/>
      <c r="B82">
        <f ca="1">Performances!D14</f>
        <v>4.4800000472201243E-2</v>
      </c>
      <c r="C82">
        <f ca="1">Performances!D38</f>
        <v>0.33035555555555551</v>
      </c>
      <c r="D82">
        <f ca="1">Performances!D62</f>
        <v>0.15913333333333332</v>
      </c>
      <c r="F82" s="32" t="s">
        <v>212</v>
      </c>
      <c r="G82" s="32">
        <f ca="1">[1]!DAGOSTINO(B72:B101)</f>
        <v>3.3668426329479799</v>
      </c>
      <c r="H82" s="32">
        <f ca="1">[1]!DAGOSTINO(C72:C101)</f>
        <v>10.03046224685284</v>
      </c>
      <c r="I82" s="32">
        <f ca="1">[1]!DAGOSTINO(D72:D101)</f>
        <v>1.6059835309827766</v>
      </c>
      <c r="K82" s="150"/>
      <c r="L82">
        <f ca="1">Performances!F14</f>
        <v>5.8533332828018397E-2</v>
      </c>
      <c r="M82">
        <f ca="1">Performances!F38</f>
        <v>0.42844444444444441</v>
      </c>
      <c r="N82">
        <f ca="1">Performances!F62</f>
        <v>0.11752222222222224</v>
      </c>
      <c r="P82" s="32" t="s">
        <v>212</v>
      </c>
      <c r="Q82" s="32">
        <f ca="1">[1]!DAGOSTINO(L72:L101)</f>
        <v>0.49590591283094876</v>
      </c>
      <c r="R82" s="32">
        <f ca="1">[1]!DAGOSTINO(M72:M101)</f>
        <v>29.030139028719809</v>
      </c>
      <c r="S82" s="32">
        <f ca="1">[1]!DAGOSTINO(N72:N101)</f>
        <v>0.94628493952002657</v>
      </c>
    </row>
    <row r="83" spans="1:19" x14ac:dyDescent="0.25">
      <c r="A83" s="150"/>
      <c r="B83">
        <f ca="1">Performances!D15</f>
        <v>0.19641110797723135</v>
      </c>
      <c r="C83">
        <f ca="1">Performances!D39</f>
        <v>7.7333333333333323E-2</v>
      </c>
      <c r="D83">
        <f ca="1">Performances!D63</f>
        <v>7.0266666666666672E-2</v>
      </c>
      <c r="F83" t="s">
        <v>208</v>
      </c>
      <c r="G83">
        <f ca="1">[1]!DPTEST(B72:B101)</f>
        <v>0.185737421233513</v>
      </c>
      <c r="H83">
        <f ca="1">[1]!DPTEST(C72:C101)</f>
        <v>6.636098102222987E-3</v>
      </c>
      <c r="I83">
        <f ca="1">[1]!DPTEST(D72:D101)</f>
        <v>0.4479866861197801</v>
      </c>
      <c r="K83" s="150"/>
      <c r="L83">
        <f ca="1">Performances!F15</f>
        <v>0.16645555529329512</v>
      </c>
      <c r="M83">
        <f ca="1">Performances!F39</f>
        <v>9.2044444444444443E-2</v>
      </c>
      <c r="N83">
        <f ca="1">Performances!F63</f>
        <v>8.9633333333333329E-2</v>
      </c>
      <c r="P83" t="s">
        <v>208</v>
      </c>
      <c r="Q83">
        <f ca="1">[1]!DPTEST(L72:L101)</f>
        <v>0.7803966550705066</v>
      </c>
      <c r="R83">
        <f ca="1">[1]!DPTEST(M72:M101)</f>
        <v>4.9680436786658788E-7</v>
      </c>
      <c r="S83">
        <f ca="1">[1]!DPTEST(N72:N101)</f>
        <v>0.6230413003096924</v>
      </c>
    </row>
    <row r="84" spans="1:19" x14ac:dyDescent="0.25">
      <c r="A84" s="150"/>
      <c r="B84">
        <f ca="1">Performances!D16</f>
        <v>0.20073333382606506</v>
      </c>
      <c r="C84">
        <f ca="1">Performances!D40</f>
        <v>0.23567777777777776</v>
      </c>
      <c r="D84">
        <f ca="1">Performances!D64</f>
        <v>0.10701111111111111</v>
      </c>
      <c r="F84" t="s">
        <v>209</v>
      </c>
      <c r="G84">
        <v>0.05</v>
      </c>
      <c r="H84">
        <v>0.05</v>
      </c>
      <c r="I84">
        <v>0.05</v>
      </c>
      <c r="K84" s="150"/>
      <c r="L84">
        <f ca="1">Performances!F16</f>
        <v>0.19798888928360409</v>
      </c>
      <c r="M84">
        <f ca="1">Performances!F40</f>
        <v>0.22915555555555558</v>
      </c>
      <c r="N84">
        <f ca="1">Performances!F64</f>
        <v>0.13005555555555556</v>
      </c>
      <c r="P84" t="s">
        <v>209</v>
      </c>
      <c r="Q84">
        <v>0.05</v>
      </c>
      <c r="R84">
        <v>0.05</v>
      </c>
      <c r="S84">
        <v>0.05</v>
      </c>
    </row>
    <row r="85" spans="1:19" x14ac:dyDescent="0.25">
      <c r="A85" s="150"/>
      <c r="B85">
        <f ca="1">Performances!D17</f>
        <v>0.10457777728637059</v>
      </c>
      <c r="C85">
        <f ca="1">Performances!D41</f>
        <v>0.13906666666666667</v>
      </c>
      <c r="D85">
        <f ca="1">Performances!D65</f>
        <v>0.12233333333333334</v>
      </c>
      <c r="F85" s="30" t="s">
        <v>210</v>
      </c>
      <c r="G85" s="31" t="str">
        <f ca="1">IF(G83&lt;G84,"no","yes")</f>
        <v>yes</v>
      </c>
      <c r="H85" s="31" t="str">
        <f ca="1">IF(H83&lt;H84,"no","yes")</f>
        <v>no</v>
      </c>
      <c r="I85" s="31" t="str">
        <f ca="1">IF(I83&lt;I84,"no","yes")</f>
        <v>yes</v>
      </c>
      <c r="K85" s="150"/>
      <c r="L85">
        <f ca="1">Performances!F17</f>
        <v>5.4244444188144475E-2</v>
      </c>
      <c r="M85">
        <f ca="1">Performances!F41</f>
        <v>9.6966666666666673E-2</v>
      </c>
      <c r="N85">
        <f ca="1">Performances!F65</f>
        <v>0.17912222222222224</v>
      </c>
      <c r="P85" s="30" t="s">
        <v>210</v>
      </c>
      <c r="Q85" s="31" t="str">
        <f ca="1">IF(Q83&lt;Q84,"no","yes")</f>
        <v>yes</v>
      </c>
      <c r="R85" s="31" t="str">
        <f ca="1">IF(R83&lt;R84,"no","yes")</f>
        <v>no</v>
      </c>
      <c r="S85" s="31" t="str">
        <f ca="1">IF(S83&lt;S84,"no","yes")</f>
        <v>yes</v>
      </c>
    </row>
    <row r="86" spans="1:19" x14ac:dyDescent="0.25">
      <c r="A86" s="151"/>
      <c r="B86">
        <f ca="1">Performances!D18</f>
        <v>6.6966666943497122E-2</v>
      </c>
      <c r="C86">
        <f ca="1">Performances!D42</f>
        <v>0.13042222222222222</v>
      </c>
      <c r="D86">
        <f ca="1">Performances!D66</f>
        <v>9.5477777777777786E-2</v>
      </c>
      <c r="K86" s="151"/>
      <c r="L86">
        <f ca="1">Performances!F18</f>
        <v>6.3700000031126872E-2</v>
      </c>
      <c r="M86">
        <f ca="1">Performances!F42</f>
        <v>0.1161888888888889</v>
      </c>
      <c r="N86">
        <f ca="1">Performances!F66</f>
        <v>7.3944444444444438E-2</v>
      </c>
    </row>
    <row r="87" spans="1:19" x14ac:dyDescent="0.25">
      <c r="A87" s="149" t="s">
        <v>187</v>
      </c>
      <c r="B87">
        <f ca="1">Performances!H4</f>
        <v>0.16962222092681462</v>
      </c>
      <c r="C87">
        <f ca="1">Performances!H28</f>
        <v>6.5955555555555559E-2</v>
      </c>
      <c r="D87">
        <f ca="1">Performances!H52</f>
        <v>0.19301111111111111</v>
      </c>
      <c r="K87" s="149" t="s">
        <v>187</v>
      </c>
      <c r="L87">
        <f ca="1">Performances!H4</f>
        <v>0.16962222092681462</v>
      </c>
      <c r="M87">
        <f ca="1">Performances!H28</f>
        <v>6.5955555555555559E-2</v>
      </c>
      <c r="N87">
        <f ca="1">Performances!H52</f>
        <v>0.19301111111111111</v>
      </c>
    </row>
    <row r="88" spans="1:19" x14ac:dyDescent="0.25">
      <c r="A88" s="150"/>
      <c r="B88">
        <f ca="1">Performances!H5</f>
        <v>0.13750000049670538</v>
      </c>
      <c r="C88">
        <f ca="1">Performances!H29</f>
        <v>4.8011111111111109E-2</v>
      </c>
      <c r="D88">
        <f ca="1">Performances!H53</f>
        <v>0.11417777777777778</v>
      </c>
      <c r="K88" s="150"/>
      <c r="L88">
        <f ca="1">Performances!H5</f>
        <v>0.13750000049670538</v>
      </c>
      <c r="M88">
        <f ca="1">Performances!H29</f>
        <v>4.8011111111111109E-2</v>
      </c>
      <c r="N88">
        <f ca="1">Performances!H53</f>
        <v>0.11417777777777778</v>
      </c>
    </row>
    <row r="89" spans="1:19" x14ac:dyDescent="0.25">
      <c r="A89" s="150"/>
      <c r="B89">
        <f ca="1">Performances!H6</f>
        <v>0.11404444442854987</v>
      </c>
      <c r="C89">
        <f ca="1">Performances!H30</f>
        <v>0.12066666666666667</v>
      </c>
      <c r="D89">
        <f ca="1">Performances!H54</f>
        <v>0.12665555555555555</v>
      </c>
      <c r="K89" s="150"/>
      <c r="L89">
        <f ca="1">Performances!H6</f>
        <v>0.11404444442854987</v>
      </c>
      <c r="M89">
        <f ca="1">Performances!H30</f>
        <v>0.12066666666666667</v>
      </c>
      <c r="N89">
        <f ca="1">Performances!H54</f>
        <v>0.12665555555555555</v>
      </c>
    </row>
    <row r="90" spans="1:19" x14ac:dyDescent="0.25">
      <c r="A90" s="150"/>
      <c r="B90">
        <f ca="1">Performances!H7</f>
        <v>0.22394444545110068</v>
      </c>
      <c r="C90">
        <f ca="1">Performances!H31</f>
        <v>0.19068888888888885</v>
      </c>
      <c r="D90">
        <f ca="1">Performances!H55</f>
        <v>7.3177777777777772E-2</v>
      </c>
      <c r="K90" s="150"/>
      <c r="L90">
        <f ca="1">Performances!H7</f>
        <v>0.22394444545110068</v>
      </c>
      <c r="M90">
        <f ca="1">Performances!H31</f>
        <v>0.19068888888888885</v>
      </c>
      <c r="N90">
        <f ca="1">Performances!H55</f>
        <v>7.3177777777777772E-2</v>
      </c>
    </row>
    <row r="91" spans="1:19" x14ac:dyDescent="0.25">
      <c r="A91" s="150"/>
      <c r="B91">
        <f ca="1">Performances!H8</f>
        <v>0.18636666735013327</v>
      </c>
      <c r="C91">
        <f ca="1">Performances!H32</f>
        <v>0.13501111111111111</v>
      </c>
      <c r="D91">
        <f ca="1">Performances!H56</f>
        <v>0.10416666666666666</v>
      </c>
      <c r="K91" s="150"/>
      <c r="L91">
        <f ca="1">Performances!H8</f>
        <v>0.18636666735013327</v>
      </c>
      <c r="M91">
        <f ca="1">Performances!H32</f>
        <v>0.13501111111111111</v>
      </c>
      <c r="N91">
        <f ca="1">Performances!H56</f>
        <v>0.10416666666666666</v>
      </c>
    </row>
    <row r="92" spans="1:19" x14ac:dyDescent="0.25">
      <c r="A92" s="150"/>
      <c r="B92">
        <f ca="1">Performances!H9</f>
        <v>0.17295555770397186</v>
      </c>
      <c r="C92">
        <f ca="1">Performances!H33</f>
        <v>8.0399999999999999E-2</v>
      </c>
      <c r="D92">
        <f ca="1">Performances!H57</f>
        <v>0.15772222222222221</v>
      </c>
      <c r="K92" s="150"/>
      <c r="L92">
        <f ca="1">Performances!H9</f>
        <v>0.17295555770397186</v>
      </c>
      <c r="M92">
        <f ca="1">Performances!H33</f>
        <v>8.0399999999999999E-2</v>
      </c>
      <c r="N92">
        <f ca="1">Performances!H57</f>
        <v>0.15772222222222221</v>
      </c>
    </row>
    <row r="93" spans="1:19" x14ac:dyDescent="0.25">
      <c r="A93" s="150"/>
      <c r="B93">
        <f ca="1">Performances!H10</f>
        <v>9.1644443571567535E-2</v>
      </c>
      <c r="C93">
        <f ca="1">Performances!H34</f>
        <v>9.4344444444444425E-2</v>
      </c>
      <c r="D93">
        <f ca="1">Performances!H58</f>
        <v>0.1482</v>
      </c>
      <c r="K93" s="150"/>
      <c r="L93">
        <f ca="1">Performances!H10</f>
        <v>9.1644443571567535E-2</v>
      </c>
      <c r="M93">
        <f ca="1">Performances!H34</f>
        <v>9.4344444444444425E-2</v>
      </c>
      <c r="N93">
        <f ca="1">Performances!H58</f>
        <v>0.1482</v>
      </c>
    </row>
    <row r="94" spans="1:19" x14ac:dyDescent="0.25">
      <c r="A94" s="150"/>
      <c r="B94">
        <f ca="1">Performances!H11</f>
        <v>0.18800000184112126</v>
      </c>
      <c r="C94">
        <f ca="1">Performances!H35</f>
        <v>0.13135555555555556</v>
      </c>
      <c r="D94">
        <f ca="1">Performances!H59</f>
        <v>8.6411111111111105E-2</v>
      </c>
      <c r="K94" s="150"/>
      <c r="L94">
        <f ca="1">Performances!H11</f>
        <v>0.18800000184112126</v>
      </c>
      <c r="M94">
        <f ca="1">Performances!H35</f>
        <v>0.13135555555555556</v>
      </c>
      <c r="N94">
        <f ca="1">Performances!H59</f>
        <v>8.6411111111111105E-2</v>
      </c>
    </row>
    <row r="95" spans="1:19" x14ac:dyDescent="0.25">
      <c r="A95" s="150"/>
      <c r="B95">
        <f ca="1">Performances!H12</f>
        <v>0.29501111639870536</v>
      </c>
      <c r="C95">
        <f ca="1">Performances!H36</f>
        <v>0.11942222222222219</v>
      </c>
      <c r="D95">
        <f ca="1">Performances!H60</f>
        <v>9.8988888888888876E-2</v>
      </c>
      <c r="K95" s="150"/>
      <c r="L95">
        <f ca="1">Performances!H12</f>
        <v>0.29501111639870536</v>
      </c>
      <c r="M95">
        <f ca="1">Performances!H36</f>
        <v>0.11942222222222219</v>
      </c>
      <c r="N95">
        <f ca="1">Performances!H60</f>
        <v>9.8988888888888876E-2</v>
      </c>
    </row>
    <row r="96" spans="1:19" x14ac:dyDescent="0.25">
      <c r="A96" s="150"/>
      <c r="B96">
        <f ca="1">Performances!H13</f>
        <v>0.1008777775698238</v>
      </c>
      <c r="C96">
        <f ca="1">Performances!H37</f>
        <v>6.4655555555555549E-2</v>
      </c>
      <c r="D96">
        <f ca="1">Performances!H61</f>
        <v>0.12872222222222221</v>
      </c>
      <c r="K96" s="150"/>
      <c r="L96">
        <f ca="1">Performances!H13</f>
        <v>0.1008777775698238</v>
      </c>
      <c r="M96">
        <f ca="1">Performances!H37</f>
        <v>6.4655555555555549E-2</v>
      </c>
      <c r="N96">
        <f ca="1">Performances!H61</f>
        <v>0.12872222222222221</v>
      </c>
    </row>
    <row r="97" spans="1:14" x14ac:dyDescent="0.25">
      <c r="A97" s="150"/>
      <c r="B97">
        <f ca="1">Performances!H14</f>
        <v>5.2411111278666399E-2</v>
      </c>
      <c r="C97">
        <f ca="1">Performances!H38</f>
        <v>0.23782222222222224</v>
      </c>
      <c r="D97">
        <f ca="1">Performances!H62</f>
        <v>0.11233333333333334</v>
      </c>
      <c r="K97" s="150"/>
      <c r="L97">
        <f ca="1">Performances!H14</f>
        <v>5.2411111278666399E-2</v>
      </c>
      <c r="M97">
        <f ca="1">Performances!H38</f>
        <v>0.23782222222222224</v>
      </c>
      <c r="N97">
        <f ca="1">Performances!H62</f>
        <v>0.11233333333333334</v>
      </c>
    </row>
    <row r="98" spans="1:14" x14ac:dyDescent="0.25">
      <c r="A98" s="150"/>
      <c r="B98">
        <f ca="1">Performances!H15</f>
        <v>0.16305555403232574</v>
      </c>
      <c r="C98">
        <f ca="1">Performances!H39</f>
        <v>9.3811111111111109E-2</v>
      </c>
      <c r="D98">
        <f ca="1">Performances!H63</f>
        <v>7.7600000000000002E-2</v>
      </c>
      <c r="K98" s="150"/>
      <c r="L98">
        <f ca="1">Performances!H15</f>
        <v>0.16305555403232574</v>
      </c>
      <c r="M98">
        <f ca="1">Performances!H39</f>
        <v>9.3811111111111109E-2</v>
      </c>
      <c r="N98">
        <f ca="1">Performances!H63</f>
        <v>7.7600000000000002E-2</v>
      </c>
    </row>
    <row r="99" spans="1:14" x14ac:dyDescent="0.25">
      <c r="A99" s="150"/>
      <c r="B99">
        <f ca="1">Performances!H16</f>
        <v>0.20937778055667877</v>
      </c>
      <c r="C99">
        <f ca="1">Performances!H40</f>
        <v>0.16977777777777778</v>
      </c>
      <c r="D99">
        <f ca="1">Performances!H64</f>
        <v>0.13852222222222224</v>
      </c>
      <c r="K99" s="150"/>
      <c r="L99">
        <f ca="1">Performances!H16</f>
        <v>0.20937778055667877</v>
      </c>
      <c r="M99">
        <f ca="1">Performances!H40</f>
        <v>0.16977777777777778</v>
      </c>
      <c r="N99">
        <f ca="1">Performances!H64</f>
        <v>0.13852222222222224</v>
      </c>
    </row>
    <row r="100" spans="1:14" x14ac:dyDescent="0.25">
      <c r="A100" s="150"/>
      <c r="B100">
        <f ca="1">Performances!H17</f>
        <v>4.3266666432221733E-2</v>
      </c>
      <c r="C100">
        <f ca="1">Performances!H41</f>
        <v>5.8733333333333332E-2</v>
      </c>
      <c r="D100">
        <f ca="1">Performances!H65</f>
        <v>0.18522222222222223</v>
      </c>
      <c r="K100" s="150"/>
      <c r="L100">
        <f ca="1">Performances!H17</f>
        <v>4.3266666432221733E-2</v>
      </c>
      <c r="M100">
        <f ca="1">Performances!H41</f>
        <v>5.8733333333333332E-2</v>
      </c>
      <c r="N100">
        <f ca="1">Performances!H65</f>
        <v>0.18522222222222223</v>
      </c>
    </row>
    <row r="101" spans="1:14" x14ac:dyDescent="0.25">
      <c r="A101" s="151"/>
      <c r="B101">
        <f ca="1">Performances!H18</f>
        <v>5.3011111087269254E-2</v>
      </c>
      <c r="C101">
        <f ca="1">Performances!H42</f>
        <v>0.10033333333333333</v>
      </c>
      <c r="D101">
        <f ca="1">Performances!H66</f>
        <v>6.582222222222224E-2</v>
      </c>
      <c r="K101" s="151"/>
      <c r="L101">
        <f ca="1">Performances!H18</f>
        <v>5.3011111087269254E-2</v>
      </c>
      <c r="M101">
        <f ca="1">Performances!H42</f>
        <v>0.10033333333333333</v>
      </c>
      <c r="N101">
        <f ca="1">Performances!H66</f>
        <v>6.582222222222224E-2</v>
      </c>
    </row>
  </sheetData>
  <mergeCells count="24">
    <mergeCell ref="F71:I71"/>
    <mergeCell ref="P71:S71"/>
    <mergeCell ref="A72:A86"/>
    <mergeCell ref="K72:K86"/>
    <mergeCell ref="A87:A101"/>
    <mergeCell ref="K87:K101"/>
    <mergeCell ref="A38:A52"/>
    <mergeCell ref="K38:K52"/>
    <mergeCell ref="A53:A67"/>
    <mergeCell ref="K53:K67"/>
    <mergeCell ref="A69:I69"/>
    <mergeCell ref="K69:S69"/>
    <mergeCell ref="A19:A33"/>
    <mergeCell ref="K19:K33"/>
    <mergeCell ref="A35:I35"/>
    <mergeCell ref="K35:S35"/>
    <mergeCell ref="F37:I37"/>
    <mergeCell ref="P37:S37"/>
    <mergeCell ref="A1:I1"/>
    <mergeCell ref="K1:S1"/>
    <mergeCell ref="F3:I3"/>
    <mergeCell ref="P3:S3"/>
    <mergeCell ref="A4:A18"/>
    <mergeCell ref="K4:K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2"/>
  <sheetViews>
    <sheetView topLeftCell="AB94" workbookViewId="0">
      <selection activeCell="AX135" sqref="AX135"/>
    </sheetView>
  </sheetViews>
  <sheetFormatPr baseColWidth="10" defaultRowHeight="13.2" x14ac:dyDescent="0.25"/>
  <sheetData>
    <row r="1" spans="1:49" x14ac:dyDescent="0.25">
      <c r="A1" s="57" t="s">
        <v>184</v>
      </c>
      <c r="B1" s="57"/>
      <c r="C1" s="57"/>
      <c r="E1" s="164" t="s">
        <v>264</v>
      </c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</row>
    <row r="2" spans="1:49" x14ac:dyDescent="0.25">
      <c r="A2" s="34" t="s">
        <v>182</v>
      </c>
      <c r="B2" s="34" t="s">
        <v>201</v>
      </c>
      <c r="C2" s="34" t="s">
        <v>202</v>
      </c>
      <c r="E2" s="164" t="s">
        <v>182</v>
      </c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 t="s">
        <v>201</v>
      </c>
      <c r="U2" s="164"/>
      <c r="V2" s="164"/>
      <c r="W2" s="164"/>
      <c r="X2" s="164"/>
      <c r="Y2" s="164"/>
      <c r="Z2" s="164"/>
      <c r="AA2" s="164"/>
      <c r="AB2" s="164"/>
      <c r="AC2" s="164"/>
      <c r="AD2" s="164"/>
      <c r="AE2" s="164"/>
      <c r="AF2" s="164"/>
      <c r="AG2" s="164"/>
      <c r="AH2" s="164"/>
      <c r="AI2" s="164" t="s">
        <v>202</v>
      </c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</row>
    <row r="3" spans="1:49" x14ac:dyDescent="0.25">
      <c r="A3">
        <f ca="1">Performances!B4</f>
        <v>0.14957777659098304</v>
      </c>
      <c r="B3">
        <f ca="1">Performances!B28</f>
        <v>8.278888888888887E-2</v>
      </c>
      <c r="C3">
        <f ca="1">Performances!B52</f>
        <v>0.11896666666666667</v>
      </c>
      <c r="E3" s="165" t="s">
        <v>265</v>
      </c>
      <c r="F3" s="165"/>
      <c r="G3" s="165"/>
      <c r="H3" s="165"/>
      <c r="I3" s="165"/>
      <c r="J3" s="165"/>
      <c r="K3" s="165"/>
      <c r="L3" s="165"/>
      <c r="M3" s="165"/>
      <c r="N3" s="166"/>
      <c r="O3" s="167" t="s">
        <v>266</v>
      </c>
      <c r="P3" s="168"/>
      <c r="Q3" s="168"/>
      <c r="R3" s="168"/>
      <c r="S3" s="169"/>
      <c r="T3" s="165" t="s">
        <v>265</v>
      </c>
      <c r="U3" s="165"/>
      <c r="V3" s="165"/>
      <c r="W3" s="165"/>
      <c r="X3" s="165"/>
      <c r="Y3" s="165"/>
      <c r="Z3" s="165"/>
      <c r="AA3" s="165"/>
      <c r="AB3" s="165"/>
      <c r="AC3" s="166"/>
      <c r="AD3" s="167" t="s">
        <v>266</v>
      </c>
      <c r="AE3" s="168"/>
      <c r="AF3" s="168"/>
      <c r="AG3" s="168"/>
      <c r="AH3" s="169"/>
      <c r="AI3" s="170" t="s">
        <v>265</v>
      </c>
      <c r="AJ3" s="170"/>
      <c r="AK3" s="170"/>
      <c r="AL3" s="170"/>
      <c r="AM3" s="170"/>
      <c r="AN3" s="170"/>
      <c r="AO3" s="170"/>
      <c r="AP3" s="170"/>
      <c r="AQ3" s="170"/>
      <c r="AR3" s="171"/>
      <c r="AS3" s="172" t="s">
        <v>266</v>
      </c>
      <c r="AT3" s="165"/>
      <c r="AU3" s="165"/>
      <c r="AV3" s="165"/>
      <c r="AW3" s="166"/>
    </row>
    <row r="4" spans="1:49" x14ac:dyDescent="0.25">
      <c r="A4">
        <f ca="1">Performances!B5</f>
        <v>0.15566666920979819</v>
      </c>
      <c r="B4">
        <f ca="1">Performances!B29</f>
        <v>0.16982222222222221</v>
      </c>
      <c r="C4">
        <f ca="1">Performances!B53</f>
        <v>0.12055555555555555</v>
      </c>
      <c r="E4" s="58"/>
      <c r="F4" s="58"/>
      <c r="G4" s="58"/>
      <c r="H4" s="58"/>
      <c r="I4" s="58"/>
      <c r="J4" s="58"/>
      <c r="K4" s="58"/>
      <c r="L4" s="58"/>
      <c r="M4" s="58"/>
      <c r="N4" s="59"/>
      <c r="O4" s="58"/>
      <c r="P4" s="58"/>
      <c r="Q4" s="58"/>
      <c r="R4" s="58"/>
      <c r="S4" s="59"/>
      <c r="T4" s="58"/>
      <c r="U4" s="58"/>
      <c r="V4" s="58"/>
      <c r="W4" s="58"/>
      <c r="X4" s="58"/>
      <c r="Y4" s="58"/>
      <c r="Z4" s="28"/>
      <c r="AA4" s="28"/>
      <c r="AB4" s="28"/>
      <c r="AC4" s="35"/>
      <c r="AH4" s="35"/>
      <c r="AR4" s="35"/>
      <c r="AW4" s="35"/>
    </row>
    <row r="5" spans="1:49" ht="13.8" thickBot="1" x14ac:dyDescent="0.3">
      <c r="A5">
        <f ca="1">Performances!B6</f>
        <v>0.18758889039357501</v>
      </c>
      <c r="B5">
        <f ca="1">Performances!B30</f>
        <v>0.20902222222222225</v>
      </c>
      <c r="C5">
        <f ca="1">Performances!B54</f>
        <v>0.13216666666666668</v>
      </c>
      <c r="E5" s="58" t="s">
        <v>267</v>
      </c>
      <c r="F5" s="58"/>
      <c r="G5" s="58"/>
      <c r="H5" s="58" t="s">
        <v>219</v>
      </c>
      <c r="I5" s="58">
        <v>0.05</v>
      </c>
      <c r="J5" s="58"/>
      <c r="K5" s="58" t="s">
        <v>268</v>
      </c>
      <c r="L5" s="58">
        <v>0</v>
      </c>
      <c r="M5" s="58"/>
      <c r="N5" s="59"/>
      <c r="O5" s="58"/>
      <c r="P5" s="58" t="str">
        <f>A2</f>
        <v>Groupe 1</v>
      </c>
      <c r="Q5" s="58" t="str">
        <f>A64</f>
        <v>Groupe 1</v>
      </c>
      <c r="R5" s="58"/>
      <c r="S5" s="59"/>
      <c r="T5" s="58" t="s">
        <v>267</v>
      </c>
      <c r="U5" s="58"/>
      <c r="V5" s="58"/>
      <c r="W5" s="58" t="s">
        <v>219</v>
      </c>
      <c r="X5" s="58">
        <v>0.05</v>
      </c>
      <c r="Y5" s="58"/>
      <c r="Z5" s="28" t="s">
        <v>268</v>
      </c>
      <c r="AA5" s="28">
        <v>0</v>
      </c>
      <c r="AB5" s="28"/>
      <c r="AC5" s="35"/>
      <c r="AE5" t="str">
        <f>B2</f>
        <v>Groupe 2</v>
      </c>
      <c r="AF5" t="str">
        <f>B64</f>
        <v>Groupe 2</v>
      </c>
      <c r="AH5" s="35"/>
      <c r="AI5" t="s">
        <v>267</v>
      </c>
      <c r="AL5" t="s">
        <v>219</v>
      </c>
      <c r="AM5">
        <v>0.05</v>
      </c>
      <c r="AO5" t="s">
        <v>268</v>
      </c>
      <c r="AP5">
        <v>0</v>
      </c>
      <c r="AR5" s="35"/>
      <c r="AT5" t="str">
        <f>C2</f>
        <v>Groupe 3</v>
      </c>
      <c r="AU5" t="str">
        <f>C64</f>
        <v>Groupe 3</v>
      </c>
      <c r="AW5" s="35"/>
    </row>
    <row r="6" spans="1:49" ht="13.8" thickTop="1" x14ac:dyDescent="0.25">
      <c r="A6">
        <f ca="1">Performances!B7</f>
        <v>0.3538111084037357</v>
      </c>
      <c r="B6">
        <f ca="1">Performances!B31</f>
        <v>0.24285555555555552</v>
      </c>
      <c r="C6">
        <f ca="1">Performances!B55</f>
        <v>9.98E-2</v>
      </c>
      <c r="E6" s="60" t="s">
        <v>269</v>
      </c>
      <c r="F6" s="60" t="s">
        <v>225</v>
      </c>
      <c r="G6" s="60" t="s">
        <v>227</v>
      </c>
      <c r="H6" s="60" t="s">
        <v>270</v>
      </c>
      <c r="I6" s="60" t="s">
        <v>230</v>
      </c>
      <c r="J6" s="60" t="s">
        <v>271</v>
      </c>
      <c r="K6" s="60" t="s">
        <v>246</v>
      </c>
      <c r="L6" s="60" t="s">
        <v>272</v>
      </c>
      <c r="M6" s="60" t="s">
        <v>273</v>
      </c>
      <c r="N6" s="61"/>
      <c r="O6" s="62" t="s">
        <v>233</v>
      </c>
      <c r="P6" s="63">
        <f ca="1">MEDIAN(A3:A17)</f>
        <v>0.16578888893127441</v>
      </c>
      <c r="Q6" s="64">
        <f ca="1">MEDIAN(A65:A79)</f>
        <v>0.16305555403232574</v>
      </c>
      <c r="R6" s="62"/>
      <c r="S6" s="61"/>
      <c r="T6" s="65" t="s">
        <v>269</v>
      </c>
      <c r="U6" s="60" t="s">
        <v>225</v>
      </c>
      <c r="V6" s="60" t="s">
        <v>227</v>
      </c>
      <c r="W6" s="60" t="s">
        <v>270</v>
      </c>
      <c r="X6" s="60" t="s">
        <v>230</v>
      </c>
      <c r="Y6" s="60" t="s">
        <v>271</v>
      </c>
      <c r="Z6" s="37" t="s">
        <v>246</v>
      </c>
      <c r="AA6" s="37" t="s">
        <v>272</v>
      </c>
      <c r="AB6" s="37" t="s">
        <v>273</v>
      </c>
      <c r="AC6" s="35"/>
      <c r="AD6" t="s">
        <v>233</v>
      </c>
      <c r="AE6" s="66">
        <f ca="1">MEDIAN(B3:B17)</f>
        <v>0.17544444444444443</v>
      </c>
      <c r="AF6" s="67">
        <f ca="1">MEDIAN(B65:B79)</f>
        <v>0.10033333333333333</v>
      </c>
      <c r="AH6" s="35"/>
      <c r="AI6" s="68" t="s">
        <v>269</v>
      </c>
      <c r="AJ6" s="37" t="s">
        <v>225</v>
      </c>
      <c r="AK6" s="37" t="s">
        <v>227</v>
      </c>
      <c r="AL6" s="37" t="s">
        <v>270</v>
      </c>
      <c r="AM6" s="37" t="s">
        <v>230</v>
      </c>
      <c r="AN6" s="37" t="s">
        <v>271</v>
      </c>
      <c r="AO6" s="37" t="s">
        <v>246</v>
      </c>
      <c r="AP6" s="37" t="s">
        <v>272</v>
      </c>
      <c r="AQ6" s="37" t="s">
        <v>273</v>
      </c>
      <c r="AR6" s="35"/>
      <c r="AS6" t="s">
        <v>233</v>
      </c>
      <c r="AT6" s="66">
        <f ca="1">MEDIAN(C3:C17)</f>
        <v>0.11896666666666667</v>
      </c>
      <c r="AU6" s="67">
        <f ca="1">MEDIAN(C65:C79)</f>
        <v>0.11417777777777778</v>
      </c>
      <c r="AW6" s="35"/>
    </row>
    <row r="7" spans="1:49" x14ac:dyDescent="0.25">
      <c r="A7">
        <f ca="1">Performances!B8</f>
        <v>0.15561111023028695</v>
      </c>
      <c r="B7">
        <f ca="1">Performances!B32</f>
        <v>0.20850000000000002</v>
      </c>
      <c r="C7">
        <f ca="1">Performances!B56</f>
        <v>0.25618888888888885</v>
      </c>
      <c r="E7" s="58" t="str">
        <f>A2</f>
        <v>Groupe 1</v>
      </c>
      <c r="F7" s="58">
        <f ca="1">COUNT(A3:A17)</f>
        <v>15</v>
      </c>
      <c r="G7" s="58">
        <f ca="1">AVERAGE(A3:A17)</f>
        <v>0.17913185213864952</v>
      </c>
      <c r="H7" s="58">
        <f ca="1">_xlfn.STDEV.S(A3:A17)</f>
        <v>7.4558133008146163E-2</v>
      </c>
      <c r="I7" s="58"/>
      <c r="J7" s="58"/>
      <c r="K7" s="58"/>
      <c r="L7" s="58"/>
      <c r="M7" s="58"/>
      <c r="N7" s="59"/>
      <c r="O7" s="58"/>
      <c r="P7" s="58"/>
      <c r="Q7" s="58"/>
      <c r="R7" s="58"/>
      <c r="S7" s="59"/>
      <c r="T7" s="58" t="str">
        <f>B2</f>
        <v>Groupe 2</v>
      </c>
      <c r="U7" s="58">
        <f ca="1">COUNT(B3:B17)</f>
        <v>15</v>
      </c>
      <c r="V7" s="58">
        <f ca="1">AVERAGE(B3:B17)</f>
        <v>0.17888666666666664</v>
      </c>
      <c r="W7" s="58">
        <f ca="1">_xlfn.STDEV.S(B3:B17)</f>
        <v>6.1536442680559439E-2</v>
      </c>
      <c r="X7" s="58"/>
      <c r="Y7" s="58"/>
      <c r="Z7" s="28"/>
      <c r="AA7" s="28"/>
      <c r="AB7" s="28"/>
      <c r="AC7" s="35"/>
      <c r="AH7" s="35"/>
      <c r="AI7" t="str">
        <f>C2</f>
        <v>Groupe 3</v>
      </c>
      <c r="AJ7">
        <f ca="1">COUNT(C3:C17)</f>
        <v>15</v>
      </c>
      <c r="AK7">
        <f ca="1">AVERAGE(C3:C17)</f>
        <v>0.13296666666666665</v>
      </c>
      <c r="AL7">
        <f ca="1">_xlfn.STDEV.S(C3:C17)</f>
        <v>5.3118406884166053E-2</v>
      </c>
      <c r="AR7" s="35"/>
      <c r="AW7" s="35"/>
    </row>
    <row r="8" spans="1:49" x14ac:dyDescent="0.25">
      <c r="A8">
        <f ca="1">Performances!B9</f>
        <v>0.14302222265137565</v>
      </c>
      <c r="B8">
        <f ca="1">Performances!B33</f>
        <v>0.32334444444444449</v>
      </c>
      <c r="C8">
        <f ca="1">Performances!B57</f>
        <v>0.16607777777777777</v>
      </c>
      <c r="E8" s="58" t="str">
        <f>A64</f>
        <v>Groupe 1</v>
      </c>
      <c r="F8" s="58">
        <f ca="1">COUNT(A65:A79)</f>
        <v>15</v>
      </c>
      <c r="G8" s="58">
        <f ca="1">AVERAGE(A65:A79)</f>
        <v>0.14673925994171039</v>
      </c>
      <c r="H8" s="58">
        <f ca="1">_xlfn.STDEV.S(A65:A79)</f>
        <v>7.1364790525475758E-2</v>
      </c>
      <c r="I8" s="58"/>
      <c r="J8" s="58"/>
      <c r="K8" s="58"/>
      <c r="L8" s="58"/>
      <c r="M8" s="58"/>
      <c r="N8" s="59"/>
      <c r="O8" s="58" t="s">
        <v>237</v>
      </c>
      <c r="P8" s="69">
        <f ca="1">SUMPRODUCT(--ISNUMBER(A3:A17),--ISNUMBER(A65:A79))</f>
        <v>15</v>
      </c>
      <c r="Q8" s="58"/>
      <c r="R8" s="58"/>
      <c r="S8" s="59"/>
      <c r="T8" s="58" t="str">
        <f>B64</f>
        <v>Groupe 2</v>
      </c>
      <c r="U8" s="58">
        <f ca="1">COUNT(B65:B79)</f>
        <v>15</v>
      </c>
      <c r="V8" s="58">
        <f ca="1">AVERAGE(B65:B79)</f>
        <v>0.11406592592592592</v>
      </c>
      <c r="W8" s="58">
        <f ca="1">_xlfn.STDEV.S(B65:B79)</f>
        <v>5.3051525728560922E-2</v>
      </c>
      <c r="X8" s="58"/>
      <c r="Y8" s="58"/>
      <c r="Z8" s="28"/>
      <c r="AA8" s="28"/>
      <c r="AB8" s="28"/>
      <c r="AC8" s="35"/>
      <c r="AD8" t="s">
        <v>237</v>
      </c>
      <c r="AE8" s="47">
        <f ca="1">SUMPRODUCT(--ISNUMBER(B3:B17),--ISNUMBER(B65:B79))</f>
        <v>15</v>
      </c>
      <c r="AH8" s="35"/>
      <c r="AI8" t="str">
        <f>C64</f>
        <v>Groupe 3</v>
      </c>
      <c r="AJ8">
        <f ca="1">COUNT(C65:C79)</f>
        <v>15</v>
      </c>
      <c r="AK8">
        <f ca="1">AVERAGE(C65:C79)</f>
        <v>0.12071555555555555</v>
      </c>
      <c r="AL8">
        <f ca="1">_xlfn.STDEV.S(C65:C79)</f>
        <v>3.8819081745757121E-2</v>
      </c>
      <c r="AR8" s="35"/>
      <c r="AS8" t="s">
        <v>237</v>
      </c>
      <c r="AT8" s="47">
        <f ca="1">SUMPRODUCT(--ISNUMBER(C3:C17),--ISNUMBER(C65:C79))</f>
        <v>15</v>
      </c>
      <c r="AW8" s="35"/>
    </row>
    <row r="9" spans="1:49" x14ac:dyDescent="0.25">
      <c r="A9">
        <f ca="1">Performances!B10</f>
        <v>5.4133333265781403E-2</v>
      </c>
      <c r="B9">
        <f ca="1">Performances!B34</f>
        <v>0.17957777777777773</v>
      </c>
      <c r="C9">
        <f ca="1">Performances!B58</f>
        <v>8.0688888888888893E-2</v>
      </c>
      <c r="E9" s="70" t="s">
        <v>274</v>
      </c>
      <c r="F9" s="70">
        <f ca="1">F8</f>
        <v>15</v>
      </c>
      <c r="G9" s="70">
        <f ca="1">G7-G8</f>
        <v>3.239259219693913E-2</v>
      </c>
      <c r="H9" s="70">
        <f t="array" aca="1" ref="H9" ca="1">_xlfn.STDEV.S(A3:A17-A65:A79)</f>
        <v>7.2623956876639278E-2</v>
      </c>
      <c r="I9" s="70">
        <f ca="1">H9/SQRT(F9)</f>
        <v>1.8751425034593969E-2</v>
      </c>
      <c r="J9" s="70">
        <f ca="1">(G7-G8-L5)/I9</f>
        <v>1.7274736259873029</v>
      </c>
      <c r="K9" s="70">
        <f ca="1">F9-1</f>
        <v>14</v>
      </c>
      <c r="L9" s="70">
        <f ca="1">ABS(G7-G8-L5)/H9</f>
        <v>0.44603177229742424</v>
      </c>
      <c r="M9" s="70">
        <f ca="1">SQRT(J9^2/(J9^2+K9))</f>
        <v>0.41916916138259008</v>
      </c>
      <c r="N9" s="59"/>
      <c r="O9" s="58" t="s">
        <v>275</v>
      </c>
      <c r="P9" s="71">
        <f ca="1">SUMPRODUCT(--ISNUMBER(A3:A17),--ISNUMBER(A65:A79),--(A3:A17&lt;&gt;A65:A79))</f>
        <v>15</v>
      </c>
      <c r="Q9" s="58"/>
      <c r="R9" s="58"/>
      <c r="S9" s="59"/>
      <c r="T9" s="72" t="s">
        <v>274</v>
      </c>
      <c r="U9" s="70">
        <f ca="1">U8</f>
        <v>15</v>
      </c>
      <c r="V9" s="70">
        <f ca="1">V7-V8</f>
        <v>6.482074074074072E-2</v>
      </c>
      <c r="W9" s="70">
        <f t="array" aca="1" ref="W9" ca="1">_xlfn.STDEV.S(B3:B17-B65:B79)</f>
        <v>7.7771296313462024E-2</v>
      </c>
      <c r="X9" s="70">
        <f ca="1">W9/SQRT(U9)</f>
        <v>2.0080462362333379E-2</v>
      </c>
      <c r="Y9" s="70">
        <f ca="1">(V7-V8-AA5)/X9</f>
        <v>3.2280502097566472</v>
      </c>
      <c r="Z9" s="32">
        <f ca="1">U9-1</f>
        <v>14</v>
      </c>
      <c r="AA9" s="32">
        <f ca="1">ABS(V7-V8-AA5)/W9</f>
        <v>0.83347898020725686</v>
      </c>
      <c r="AB9" s="32">
        <f ca="1">SQRT(Y9^2/(Y9^2+Z9))</f>
        <v>0.65322787838946861</v>
      </c>
      <c r="AC9" s="35"/>
      <c r="AD9" t="s">
        <v>275</v>
      </c>
      <c r="AE9" s="54">
        <f ca="1">SUMPRODUCT(--ISNUMBER(B3:B17),--ISNUMBER(B65:B79),--(B3:B17&lt;&gt;B65:B79))</f>
        <v>15</v>
      </c>
      <c r="AH9" s="35"/>
      <c r="AI9" s="73" t="s">
        <v>274</v>
      </c>
      <c r="AJ9" s="32">
        <f ca="1">AJ8</f>
        <v>15</v>
      </c>
      <c r="AK9" s="32">
        <f ca="1">AK7-AK8</f>
        <v>1.2251111111111102E-2</v>
      </c>
      <c r="AL9" s="32">
        <f t="array" aca="1" ref="AL9" ca="1">_xlfn.STDEV.S(C3:C17-C65:C79)</f>
        <v>5.9405503310999357E-2</v>
      </c>
      <c r="AM9" s="32">
        <f ca="1">AL9/SQRT(AJ9)</f>
        <v>1.5338434999771338E-2</v>
      </c>
      <c r="AN9" s="32">
        <f ca="1">(AK7-AK8-AP5)/AM9</f>
        <v>0.79871975930358852</v>
      </c>
      <c r="AO9" s="32">
        <f ca="1">AJ9-1</f>
        <v>14</v>
      </c>
      <c r="AP9" s="32">
        <f ca="1">ABS(AK7-AK8-AP5)/AL9</f>
        <v>0.20622855507130633</v>
      </c>
      <c r="AQ9" s="32">
        <f ca="1">SQRT(AN9^2/(AN9^2+AO9))</f>
        <v>0.20876334672600841</v>
      </c>
      <c r="AR9" s="35"/>
      <c r="AS9" t="s">
        <v>275</v>
      </c>
      <c r="AT9" s="54">
        <f ca="1">SUMPRODUCT(--ISNUMBER(C3:C17),--ISNUMBER(C65:C79),--(C3:C17&lt;&gt;C65:C79))</f>
        <v>15</v>
      </c>
      <c r="AW9" s="35"/>
    </row>
    <row r="10" spans="1:49" x14ac:dyDescent="0.25">
      <c r="A10">
        <f ca="1">Performances!B11</f>
        <v>0.24845555590258706</v>
      </c>
      <c r="B10">
        <f ca="1">Performances!B35</f>
        <v>0.16167777777777775</v>
      </c>
      <c r="C10">
        <f ca="1">Performances!B59</f>
        <v>0.12197777777777777</v>
      </c>
      <c r="E10" s="58"/>
      <c r="F10" s="58"/>
      <c r="G10" s="58"/>
      <c r="H10" s="58"/>
      <c r="I10" s="58"/>
      <c r="J10" s="58"/>
      <c r="K10" s="58"/>
      <c r="L10" s="58"/>
      <c r="M10" s="58"/>
      <c r="N10" s="59"/>
      <c r="O10" s="58" t="s">
        <v>276</v>
      </c>
      <c r="P10" s="71">
        <f ca="1">IF(P12&lt;=P15,P12,P9*(P9+1)/2)</f>
        <v>34</v>
      </c>
      <c r="Q10" s="58"/>
      <c r="R10" s="58"/>
      <c r="S10" s="59"/>
      <c r="T10" s="58"/>
      <c r="U10" s="58"/>
      <c r="V10" s="58"/>
      <c r="W10" s="58"/>
      <c r="X10" s="58"/>
      <c r="Y10" s="58"/>
      <c r="Z10" s="28"/>
      <c r="AA10" s="28"/>
      <c r="AB10" s="28"/>
      <c r="AC10" s="35"/>
      <c r="AD10" t="s">
        <v>276</v>
      </c>
      <c r="AE10" s="54">
        <f ca="1">IF(AE12&lt;=AE15,AE12,AE9*(AE9+1)/2)</f>
        <v>12</v>
      </c>
      <c r="AH10" s="35"/>
      <c r="AR10" s="35"/>
      <c r="AS10" t="s">
        <v>276</v>
      </c>
      <c r="AT10" s="54">
        <f ca="1">IF(AT12&lt;=AT15,AT12,AT9*(AT9+1)/2)</f>
        <v>47</v>
      </c>
      <c r="AW10" s="35"/>
    </row>
    <row r="11" spans="1:49" ht="13.8" thickBot="1" x14ac:dyDescent="0.3">
      <c r="A11">
        <f ca="1">Performances!B12</f>
        <v>0.19290000034703148</v>
      </c>
      <c r="B11">
        <f ca="1">Performances!B36</f>
        <v>0.10271111111111113</v>
      </c>
      <c r="C11">
        <f ca="1">Performances!B60</f>
        <v>0.1996111111111111</v>
      </c>
      <c r="E11" s="58" t="s">
        <v>277</v>
      </c>
      <c r="F11" s="58"/>
      <c r="G11" s="58"/>
      <c r="H11" s="58"/>
      <c r="I11" s="58"/>
      <c r="J11" s="58"/>
      <c r="K11" s="58"/>
      <c r="L11" s="58"/>
      <c r="M11" s="58"/>
      <c r="N11" s="59"/>
      <c r="O11" s="58" t="s">
        <v>278</v>
      </c>
      <c r="P11" s="71">
        <f ca="1">P9*(P9+1)/2-P10</f>
        <v>86</v>
      </c>
      <c r="Q11" s="58"/>
      <c r="R11" s="58"/>
      <c r="S11" s="59"/>
      <c r="T11" s="58" t="s">
        <v>277</v>
      </c>
      <c r="U11" s="58"/>
      <c r="V11" s="58"/>
      <c r="W11" s="58"/>
      <c r="X11" s="58"/>
      <c r="Y11" s="58"/>
      <c r="Z11" s="28"/>
      <c r="AA11" s="28"/>
      <c r="AB11" s="28"/>
      <c r="AC11" s="35"/>
      <c r="AD11" t="s">
        <v>278</v>
      </c>
      <c r="AE11" s="54">
        <f ca="1">AE9*(AE9+1)/2-AE10</f>
        <v>108</v>
      </c>
      <c r="AH11" s="35"/>
      <c r="AI11" t="s">
        <v>277</v>
      </c>
      <c r="AR11" s="35"/>
      <c r="AS11" t="s">
        <v>278</v>
      </c>
      <c r="AT11" s="54">
        <f ca="1">AT9*(AT9+1)/2-AT10</f>
        <v>73</v>
      </c>
      <c r="AW11" s="35"/>
    </row>
    <row r="12" spans="1:49" ht="13.8" thickTop="1" x14ac:dyDescent="0.25">
      <c r="A12">
        <f ca="1">Performances!B13</f>
        <v>0.13382222337855232</v>
      </c>
      <c r="B12">
        <f ca="1">Performances!B37</f>
        <v>0.17058888888888887</v>
      </c>
      <c r="C12">
        <f ca="1">Performances!B61</f>
        <v>7.6622222222222217E-2</v>
      </c>
      <c r="E12" s="60" t="s">
        <v>133</v>
      </c>
      <c r="F12" s="60" t="s">
        <v>208</v>
      </c>
      <c r="G12" s="60" t="s">
        <v>279</v>
      </c>
      <c r="H12" s="60" t="s">
        <v>280</v>
      </c>
      <c r="I12" s="60" t="s">
        <v>281</v>
      </c>
      <c r="J12" s="60" t="s">
        <v>256</v>
      </c>
      <c r="K12" s="58"/>
      <c r="L12" s="58"/>
      <c r="M12" s="58"/>
      <c r="N12" s="61"/>
      <c r="O12" s="62" t="s">
        <v>282</v>
      </c>
      <c r="P12" s="74">
        <f ca="1">[1]!SRANK(A3:A17,A65:A79)</f>
        <v>34</v>
      </c>
      <c r="Q12" s="62"/>
      <c r="R12" s="62"/>
      <c r="S12" s="59"/>
      <c r="T12" s="65" t="s">
        <v>133</v>
      </c>
      <c r="U12" s="60" t="s">
        <v>208</v>
      </c>
      <c r="V12" s="60" t="s">
        <v>279</v>
      </c>
      <c r="W12" s="60" t="s">
        <v>280</v>
      </c>
      <c r="X12" s="60" t="s">
        <v>281</v>
      </c>
      <c r="Y12" s="60" t="s">
        <v>256</v>
      </c>
      <c r="Z12" s="28"/>
      <c r="AA12" s="28"/>
      <c r="AB12" s="28"/>
      <c r="AC12" s="35"/>
      <c r="AD12" t="s">
        <v>282</v>
      </c>
      <c r="AE12" s="75">
        <f ca="1">[1]!SRANK(B3:B17,B65:B79)</f>
        <v>12</v>
      </c>
      <c r="AH12" s="35"/>
      <c r="AI12" s="68" t="s">
        <v>133</v>
      </c>
      <c r="AJ12" s="37" t="s">
        <v>208</v>
      </c>
      <c r="AK12" s="37" t="s">
        <v>279</v>
      </c>
      <c r="AL12" s="37" t="s">
        <v>280</v>
      </c>
      <c r="AM12" s="37" t="s">
        <v>281</v>
      </c>
      <c r="AN12" s="37" t="s">
        <v>256</v>
      </c>
      <c r="AR12" s="35"/>
      <c r="AS12" t="s">
        <v>282</v>
      </c>
      <c r="AT12" s="75">
        <f ca="1">[1]!SRANK(C3:C17,C65:C79)</f>
        <v>47</v>
      </c>
      <c r="AW12" s="35"/>
    </row>
    <row r="13" spans="1:49" x14ac:dyDescent="0.25">
      <c r="A13">
        <f ca="1">Performances!B14</f>
        <v>0.16578888893127441</v>
      </c>
      <c r="B13">
        <f ca="1">Performances!B38</f>
        <v>0.15295555555555557</v>
      </c>
      <c r="C13">
        <f ca="1">Performances!B62</f>
        <v>0.10392222222222222</v>
      </c>
      <c r="E13" s="58" t="s">
        <v>283</v>
      </c>
      <c r="F13" s="101">
        <f ca="1">_xlfn.T.DIST.RT(ABS(J9),K9)</f>
        <v>5.3033664152634413E-2</v>
      </c>
      <c r="G13" s="58">
        <f ca="1">_xlfn.T.INV.2T(I5*2,K9)</f>
        <v>1.7613101357748921</v>
      </c>
      <c r="H13" s="58"/>
      <c r="I13" s="58"/>
      <c r="J13" s="77" t="str">
        <f ca="1">IF(F13&lt;I5,"yes","no")</f>
        <v>no</v>
      </c>
      <c r="K13" s="58"/>
      <c r="L13" s="58"/>
      <c r="M13" s="58"/>
      <c r="N13" s="59"/>
      <c r="O13" s="76"/>
      <c r="P13" s="58"/>
      <c r="Q13" s="58"/>
      <c r="R13" s="58"/>
      <c r="S13" s="59"/>
      <c r="T13" s="58" t="s">
        <v>283</v>
      </c>
      <c r="U13" s="78">
        <f ca="1">_xlfn.T.DIST.RT(ABS(Y9),Z9)</f>
        <v>3.0360689542495533E-3</v>
      </c>
      <c r="V13" s="58">
        <f ca="1">_xlfn.T.INV.2T(X5*2,Z9)</f>
        <v>1.7613101357748921</v>
      </c>
      <c r="W13" s="58"/>
      <c r="X13" s="58"/>
      <c r="Y13" s="77" t="str">
        <f ca="1">IF(U13&lt;X5,"yes","no")</f>
        <v>yes</v>
      </c>
      <c r="Z13" s="28"/>
      <c r="AA13" s="28"/>
      <c r="AB13" s="28"/>
      <c r="AC13" s="35"/>
      <c r="AH13" s="35"/>
      <c r="AI13" t="s">
        <v>283</v>
      </c>
      <c r="AJ13" s="97">
        <f ca="1">_xlfn.T.DIST.RT(ABS(AN9),AO9)</f>
        <v>0.21889679356728303</v>
      </c>
      <c r="AK13">
        <f ca="1">_xlfn.T.INV.2T(AM5*2,AO9)</f>
        <v>1.7613101357748921</v>
      </c>
      <c r="AN13" s="79" t="str">
        <f ca="1">IF(AJ13&lt;AM5,"yes","no")</f>
        <v>no</v>
      </c>
      <c r="AR13" s="35"/>
      <c r="AW13" s="35"/>
    </row>
    <row r="14" spans="1:49" x14ac:dyDescent="0.25">
      <c r="A14">
        <f ca="1">Performances!B15</f>
        <v>0.26572222510973614</v>
      </c>
      <c r="B14">
        <f ca="1">Performances!B39</f>
        <v>8.7644444444444428E-2</v>
      </c>
      <c r="C14">
        <f ca="1">Performances!B63</f>
        <v>9.0933333333333324E-2</v>
      </c>
      <c r="E14" s="58" t="s">
        <v>284</v>
      </c>
      <c r="F14" s="80">
        <f ca="1">_xlfn.T.DIST.2T(ABS(J9),K9)</f>
        <v>0.10606732830526883</v>
      </c>
      <c r="G14" s="77">
        <f ca="1">_xlfn.T.INV.2T(I5,K9)</f>
        <v>2.1447866879178044</v>
      </c>
      <c r="H14" s="58">
        <f ca="1">(G7-G8)-I9*G14</f>
        <v>-7.8252145967466699E-3</v>
      </c>
      <c r="I14" s="58">
        <f ca="1">(G7-G8)+I9*G14</f>
        <v>7.2610398990624936E-2</v>
      </c>
      <c r="J14" s="77" t="str">
        <f ca="1">IF(F14&lt;I5,"yes","no")</f>
        <v>no</v>
      </c>
      <c r="K14" s="58"/>
      <c r="L14" s="58"/>
      <c r="M14" s="58"/>
      <c r="N14" s="59"/>
      <c r="O14" s="76"/>
      <c r="P14" s="77" t="s">
        <v>285</v>
      </c>
      <c r="Q14" s="77" t="s">
        <v>286</v>
      </c>
      <c r="R14" s="58"/>
      <c r="S14" s="59"/>
      <c r="T14" s="58" t="s">
        <v>284</v>
      </c>
      <c r="U14" s="89">
        <f ca="1">_xlfn.T.DIST.2T(ABS(Y9),Z9)</f>
        <v>6.0721379084991067E-3</v>
      </c>
      <c r="V14" s="77">
        <f ca="1">_xlfn.T.INV.2T(X5,Z9)</f>
        <v>2.1447866879178044</v>
      </c>
      <c r="W14" s="58">
        <f ca="1">(V7-V8)-X9*V14</f>
        <v>2.1752432378773584E-2</v>
      </c>
      <c r="X14" s="58">
        <f ca="1">(V7-V8)+X9*V14</f>
        <v>0.10788904910270786</v>
      </c>
      <c r="Y14" s="77" t="str">
        <f ca="1">IF(U14&lt;X5,"yes","no")</f>
        <v>yes</v>
      </c>
      <c r="Z14" s="28"/>
      <c r="AA14" s="28"/>
      <c r="AB14" s="28"/>
      <c r="AC14" s="35"/>
      <c r="AE14" s="79" t="s">
        <v>285</v>
      </c>
      <c r="AF14" s="79" t="s">
        <v>286</v>
      </c>
      <c r="AH14" s="35"/>
      <c r="AI14" t="s">
        <v>284</v>
      </c>
      <c r="AJ14" s="97">
        <f ca="1">_xlfn.T.DIST.2T(ABS(AN9),AO9)</f>
        <v>0.43779358713456606</v>
      </c>
      <c r="AK14">
        <f ca="1">_xlfn.T.INV.2T(AM5,AO9)</f>
        <v>2.1447866879178044</v>
      </c>
      <c r="AL14">
        <f ca="1">(AK7-AK8)-AM9*AK14</f>
        <v>-2.0646560089890999E-2</v>
      </c>
      <c r="AM14">
        <f ca="1">(AK7-AK8)+AM9*AK14</f>
        <v>4.5148782312113202E-2</v>
      </c>
      <c r="AN14" s="79" t="str">
        <f ca="1">IF(AJ14&lt;AM5,"yes","no")</f>
        <v>no</v>
      </c>
      <c r="AR14" s="35"/>
      <c r="AT14" s="79" t="s">
        <v>285</v>
      </c>
      <c r="AU14" s="79" t="s">
        <v>286</v>
      </c>
      <c r="AW14" s="35"/>
    </row>
    <row r="15" spans="1:49" x14ac:dyDescent="0.25">
      <c r="A15">
        <f ca="1">Performances!B16</f>
        <v>0.21198888785309261</v>
      </c>
      <c r="B15">
        <f ca="1">Performances!B40</f>
        <v>0.20279999999999998</v>
      </c>
      <c r="C15">
        <f ca="1">Performances!B64</f>
        <v>0.10757777777777777</v>
      </c>
      <c r="E15" s="70"/>
      <c r="F15" s="70"/>
      <c r="G15" s="70"/>
      <c r="H15" s="70"/>
      <c r="I15" s="70"/>
      <c r="J15" s="70"/>
      <c r="K15" s="58"/>
      <c r="L15" s="58"/>
      <c r="M15" s="58"/>
      <c r="N15" s="59"/>
      <c r="O15" s="58" t="s">
        <v>223</v>
      </c>
      <c r="P15" s="69">
        <f ca="1">P9*(P9+1)/4</f>
        <v>60</v>
      </c>
      <c r="Q15" s="58"/>
      <c r="R15" s="58"/>
      <c r="S15" s="59"/>
      <c r="T15" s="72"/>
      <c r="U15" s="70"/>
      <c r="V15" s="70"/>
      <c r="W15" s="70"/>
      <c r="X15" s="70"/>
      <c r="Y15" s="70"/>
      <c r="Z15" s="28"/>
      <c r="AA15" s="28"/>
      <c r="AB15" s="28"/>
      <c r="AC15" s="35"/>
      <c r="AD15" t="s">
        <v>223</v>
      </c>
      <c r="AE15" s="47">
        <f ca="1">AE9*(AE9+1)/4</f>
        <v>60</v>
      </c>
      <c r="AH15" s="35"/>
      <c r="AI15" s="73"/>
      <c r="AJ15" s="32"/>
      <c r="AK15" s="32"/>
      <c r="AL15" s="32"/>
      <c r="AM15" s="32"/>
      <c r="AN15" s="32"/>
      <c r="AR15" s="35"/>
      <c r="AS15" t="s">
        <v>223</v>
      </c>
      <c r="AT15" s="47">
        <f ca="1">AT9*(AT9+1)/4</f>
        <v>60</v>
      </c>
      <c r="AW15" s="35"/>
    </row>
    <row r="16" spans="1:49" x14ac:dyDescent="0.25">
      <c r="A16">
        <f ca="1">Performances!B17</f>
        <v>0.19977777865197924</v>
      </c>
      <c r="B16">
        <f ca="1">Performances!B41</f>
        <v>0.21356666666666665</v>
      </c>
      <c r="C16">
        <f ca="1">Performances!B65</f>
        <v>0.21722222222222223</v>
      </c>
      <c r="E16" s="58"/>
      <c r="F16" s="58"/>
      <c r="G16" s="58"/>
      <c r="H16" s="58"/>
      <c r="I16" s="58"/>
      <c r="J16" s="58"/>
      <c r="K16" s="58"/>
      <c r="L16" s="58"/>
      <c r="M16" s="58"/>
      <c r="N16" s="59"/>
      <c r="O16" s="58" t="s">
        <v>287</v>
      </c>
      <c r="P16" s="71">
        <f ca="1">SQRT(P15*(2*P9+1)/6-[1]!TiesCorrection(A3:A17,A65:A79,1)/48)</f>
        <v>17.606816861659009</v>
      </c>
      <c r="Q16" s="58" t="s">
        <v>288</v>
      </c>
      <c r="R16" s="58"/>
      <c r="S16" s="59"/>
      <c r="T16" s="58"/>
      <c r="U16" s="58"/>
      <c r="V16" s="58"/>
      <c r="W16" s="58"/>
      <c r="X16" s="58"/>
      <c r="Y16" s="58"/>
      <c r="Z16" s="28"/>
      <c r="AA16" s="28"/>
      <c r="AB16" s="28"/>
      <c r="AC16" s="35"/>
      <c r="AD16" t="s">
        <v>287</v>
      </c>
      <c r="AE16" s="54">
        <f ca="1">SQRT(AE15*(2*AE9+1)/6-[1]!TiesCorrection(B3:B17,B65:B79,1)/48)</f>
        <v>17.606816861659009</v>
      </c>
      <c r="AF16" t="s">
        <v>288</v>
      </c>
      <c r="AH16" s="35"/>
      <c r="AR16" s="35"/>
      <c r="AS16" t="s">
        <v>287</v>
      </c>
      <c r="AT16" s="54">
        <f ca="1">SQRT(AT15*(2*AT9+1)/6-[1]!TiesCorrection(C3:C17,C65:C79,1)/48)</f>
        <v>17.606816861659009</v>
      </c>
      <c r="AU16" t="s">
        <v>288</v>
      </c>
      <c r="AW16" s="35"/>
    </row>
    <row r="17" spans="1:49" x14ac:dyDescent="0.25">
      <c r="A17">
        <f ca="1">Performances!B18</f>
        <v>6.9111111159953803E-2</v>
      </c>
      <c r="B17">
        <f ca="1">Performances!B42</f>
        <v>0.17544444444444443</v>
      </c>
      <c r="C17">
        <f ca="1">Performances!B66</f>
        <v>0.10218888888888888</v>
      </c>
      <c r="E17" s="58"/>
      <c r="F17" s="58"/>
      <c r="G17" s="58"/>
      <c r="H17" s="58"/>
      <c r="I17" s="58"/>
      <c r="J17" s="58"/>
      <c r="K17" s="58"/>
      <c r="L17" s="58"/>
      <c r="M17" s="58"/>
      <c r="N17" s="59"/>
      <c r="O17" s="58" t="s">
        <v>289</v>
      </c>
      <c r="P17" s="71">
        <f ca="1">ABS(ABS(P12-P15)-1/2)/P16</f>
        <v>1.4483026773300152</v>
      </c>
      <c r="Q17" s="58" t="s">
        <v>290</v>
      </c>
      <c r="R17" s="58"/>
      <c r="S17" s="59"/>
      <c r="T17" s="58"/>
      <c r="U17" s="58"/>
      <c r="V17" s="58"/>
      <c r="W17" s="58"/>
      <c r="X17" s="58"/>
      <c r="Y17" s="58"/>
      <c r="Z17" s="28"/>
      <c r="AA17" s="28"/>
      <c r="AB17" s="28"/>
      <c r="AC17" s="35"/>
      <c r="AD17" t="s">
        <v>289</v>
      </c>
      <c r="AE17" s="54">
        <f ca="1">ABS(ABS(AE12-AE15)-1/2)/AE16</f>
        <v>2.6978187126735578</v>
      </c>
      <c r="AF17" t="s">
        <v>290</v>
      </c>
      <c r="AH17" s="35"/>
      <c r="AR17" s="35"/>
      <c r="AS17" t="s">
        <v>289</v>
      </c>
      <c r="AT17" s="54">
        <f ca="1">ABS(ABS(AT12-AT15)-1/2)/AT16</f>
        <v>0.70995229280883099</v>
      </c>
      <c r="AU17" t="s">
        <v>290</v>
      </c>
      <c r="AW17" s="35"/>
    </row>
    <row r="18" spans="1:49" x14ac:dyDescent="0.25">
      <c r="E18" s="58"/>
      <c r="F18" s="58"/>
      <c r="G18" s="58"/>
      <c r="H18" s="58"/>
      <c r="I18" s="58"/>
      <c r="J18" s="58"/>
      <c r="K18" s="58"/>
      <c r="L18" s="58"/>
      <c r="M18" s="58"/>
      <c r="N18" s="59"/>
      <c r="O18" s="58" t="s">
        <v>291</v>
      </c>
      <c r="P18" s="71">
        <f ca="1">P17/SQRT(2*P8)</f>
        <v>0.26442268215625842</v>
      </c>
      <c r="Q18" s="58"/>
      <c r="R18" s="58"/>
      <c r="S18" s="59"/>
      <c r="T18" s="58"/>
      <c r="U18" s="58"/>
      <c r="V18" s="58"/>
      <c r="W18" s="58"/>
      <c r="X18" s="58"/>
      <c r="Y18" s="58"/>
      <c r="Z18" s="28"/>
      <c r="AA18" s="28"/>
      <c r="AB18" s="28"/>
      <c r="AC18" s="35"/>
      <c r="AD18" t="s">
        <v>291</v>
      </c>
      <c r="AE18" s="54">
        <f ca="1">AE17/SQRT(2*AE8)</f>
        <v>0.49255205499695198</v>
      </c>
      <c r="AH18" s="35"/>
      <c r="AR18" s="35"/>
      <c r="AS18" t="s">
        <v>291</v>
      </c>
      <c r="AT18" s="54">
        <f ca="1">AT17/SQRT(2*AT8)</f>
        <v>0.12961896184130314</v>
      </c>
      <c r="AW18" s="35"/>
    </row>
    <row r="19" spans="1:49" x14ac:dyDescent="0.25">
      <c r="E19" s="76"/>
      <c r="F19" s="76"/>
      <c r="G19" s="58"/>
      <c r="H19" s="58"/>
      <c r="I19" s="58"/>
      <c r="J19" s="58"/>
      <c r="K19" s="58"/>
      <c r="L19" s="58"/>
      <c r="M19" s="58"/>
      <c r="N19" s="59"/>
      <c r="O19" s="58" t="s">
        <v>292</v>
      </c>
      <c r="P19" s="81">
        <f ca="1">1-_xlfn.NORM.S.DIST(P17,TRUE)</f>
        <v>7.3766209618611578E-2</v>
      </c>
      <c r="Q19" s="82">
        <f ca="1">2*P19</f>
        <v>0.14753241923722316</v>
      </c>
      <c r="R19" s="58"/>
      <c r="S19" s="59"/>
      <c r="T19" s="58"/>
      <c r="U19" s="76"/>
      <c r="V19" s="58"/>
      <c r="W19" s="58"/>
      <c r="X19" s="58"/>
      <c r="Y19" s="58"/>
      <c r="Z19" s="28"/>
      <c r="AA19" s="28"/>
      <c r="AB19" s="28"/>
      <c r="AC19" s="35"/>
      <c r="AD19" t="s">
        <v>292</v>
      </c>
      <c r="AE19" s="81">
        <f ca="1">1-_xlfn.NORM.S.DIST(AE17,TRUE)</f>
        <v>3.4897719065702937E-3</v>
      </c>
      <c r="AF19" s="82">
        <f ca="1">2*AE19</f>
        <v>6.9795438131405874E-3</v>
      </c>
      <c r="AH19" s="35"/>
      <c r="AR19" s="35"/>
      <c r="AS19" t="s">
        <v>292</v>
      </c>
      <c r="AT19" s="81">
        <f ca="1">1-_xlfn.NORM.S.DIST(AT17,TRUE)</f>
        <v>0.23886686044578631</v>
      </c>
      <c r="AU19" s="82">
        <f ca="1">2*AT19</f>
        <v>0.47773372089157262</v>
      </c>
      <c r="AW19" s="35"/>
    </row>
    <row r="20" spans="1:49" x14ac:dyDescent="0.25">
      <c r="E20" s="76"/>
      <c r="F20" s="76"/>
      <c r="G20" s="58"/>
      <c r="H20" s="58"/>
      <c r="I20" s="58"/>
      <c r="J20" s="58"/>
      <c r="K20" s="58"/>
      <c r="L20" s="58"/>
      <c r="M20" s="58"/>
      <c r="N20" s="59"/>
      <c r="O20" s="58" t="s">
        <v>293</v>
      </c>
      <c r="P20" s="83">
        <f ca="1">[1]!SRDIST(P12,P9,1)</f>
        <v>7.5714111328125E-2</v>
      </c>
      <c r="Q20" s="84">
        <f ca="1">2*P20</f>
        <v>0.15142822265625</v>
      </c>
      <c r="R20" s="58"/>
      <c r="S20" s="59"/>
      <c r="T20" s="58"/>
      <c r="U20" s="76"/>
      <c r="V20" s="58"/>
      <c r="W20" s="58"/>
      <c r="X20" s="58"/>
      <c r="Y20" s="58"/>
      <c r="Z20" s="28"/>
      <c r="AA20" s="28"/>
      <c r="AB20" s="28"/>
      <c r="AC20" s="35"/>
      <c r="AD20" t="s">
        <v>293</v>
      </c>
      <c r="AE20" s="83">
        <f ca="1">[1]!SRDIST(AE12,AE9,1)</f>
        <v>2.13623046875E-3</v>
      </c>
      <c r="AF20" s="84">
        <f ca="1">2*AE20</f>
        <v>4.2724609375E-3</v>
      </c>
      <c r="AH20" s="35"/>
      <c r="AR20" s="35"/>
      <c r="AS20" t="s">
        <v>293</v>
      </c>
      <c r="AT20" s="83">
        <f ca="1">[1]!SRDIST(AT12,AT9,1)</f>
        <v>0.244354248046875</v>
      </c>
      <c r="AU20" s="84">
        <f ca="1">2*AT20</f>
        <v>0.48870849609375</v>
      </c>
      <c r="AW20" s="35"/>
    </row>
    <row r="21" spans="1:49" x14ac:dyDescent="0.25">
      <c r="E21" s="58"/>
      <c r="F21" s="58"/>
      <c r="G21" s="58"/>
      <c r="H21" s="58"/>
      <c r="I21" s="58"/>
      <c r="J21" s="58"/>
      <c r="K21" s="58"/>
      <c r="L21" s="58"/>
      <c r="M21" s="58"/>
      <c r="N21" s="59"/>
      <c r="O21" s="58" t="s">
        <v>294</v>
      </c>
      <c r="P21" s="85" t="s">
        <v>295</v>
      </c>
      <c r="Q21" s="86" t="s">
        <v>295</v>
      </c>
      <c r="R21" s="58"/>
      <c r="S21" s="59"/>
      <c r="T21" s="58"/>
      <c r="U21" s="58"/>
      <c r="V21" s="58"/>
      <c r="W21" s="58"/>
      <c r="X21" s="58"/>
      <c r="Y21" s="58"/>
      <c r="Z21" s="28"/>
      <c r="AA21" s="28"/>
      <c r="AB21" s="28"/>
      <c r="AC21" s="35"/>
      <c r="AD21" t="s">
        <v>294</v>
      </c>
      <c r="AE21" s="75" t="s">
        <v>295</v>
      </c>
      <c r="AF21" s="53" t="s">
        <v>295</v>
      </c>
      <c r="AH21" s="35"/>
      <c r="AR21" s="35"/>
      <c r="AS21" t="s">
        <v>294</v>
      </c>
      <c r="AT21" s="75" t="s">
        <v>295</v>
      </c>
      <c r="AU21" s="53" t="s">
        <v>295</v>
      </c>
      <c r="AW21" s="35"/>
    </row>
    <row r="22" spans="1:49" x14ac:dyDescent="0.25">
      <c r="E22" s="58"/>
      <c r="F22" s="58"/>
      <c r="G22" s="58"/>
      <c r="H22" s="58"/>
      <c r="I22" s="58"/>
      <c r="J22" s="58"/>
      <c r="K22" s="58"/>
      <c r="L22" s="58"/>
      <c r="M22" s="58"/>
      <c r="N22" s="87"/>
      <c r="O22" s="58"/>
      <c r="P22" s="58"/>
      <c r="Q22" s="58"/>
      <c r="R22" s="58"/>
      <c r="S22" s="59"/>
      <c r="T22" s="58"/>
      <c r="U22" s="58"/>
      <c r="V22" s="58"/>
      <c r="W22" s="58"/>
      <c r="X22" s="58"/>
      <c r="Y22" s="58"/>
      <c r="AC22" s="50"/>
      <c r="AE22" s="28"/>
      <c r="AF22" s="28"/>
      <c r="AH22" s="35"/>
      <c r="AR22" s="50"/>
      <c r="AW22" s="50"/>
    </row>
    <row r="23" spans="1:49" x14ac:dyDescent="0.25">
      <c r="A23" s="57" t="s">
        <v>185</v>
      </c>
      <c r="B23" s="57"/>
      <c r="C23" s="57"/>
      <c r="E23" s="173" t="s">
        <v>296</v>
      </c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  <c r="AW23" s="175"/>
    </row>
    <row r="24" spans="1:49" x14ac:dyDescent="0.25">
      <c r="A24" s="34" t="s">
        <v>182</v>
      </c>
      <c r="B24" s="34" t="s">
        <v>201</v>
      </c>
      <c r="C24" s="34" t="s">
        <v>202</v>
      </c>
      <c r="E24" s="164" t="s">
        <v>182</v>
      </c>
      <c r="F24" s="164"/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73" t="s">
        <v>201</v>
      </c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5"/>
      <c r="AI24" s="164" t="s">
        <v>202</v>
      </c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164"/>
      <c r="AU24" s="164"/>
      <c r="AV24" s="164"/>
      <c r="AW24" s="164"/>
    </row>
    <row r="25" spans="1:49" x14ac:dyDescent="0.25">
      <c r="A25">
        <f ca="1">Performances!D4</f>
        <v>0.1551222221718894</v>
      </c>
      <c r="B25">
        <f ca="1">Performances!D28</f>
        <v>5.6011111111111109E-2</v>
      </c>
      <c r="C25">
        <f ca="1">Performances!D52</f>
        <v>0.14289999999999997</v>
      </c>
      <c r="E25" s="165" t="s">
        <v>265</v>
      </c>
      <c r="F25" s="165"/>
      <c r="G25" s="165"/>
      <c r="H25" s="165"/>
      <c r="I25" s="165"/>
      <c r="J25" s="165"/>
      <c r="K25" s="165"/>
      <c r="L25" s="165"/>
      <c r="M25" s="165"/>
      <c r="N25" s="166"/>
      <c r="O25" s="167" t="s">
        <v>266</v>
      </c>
      <c r="P25" s="168"/>
      <c r="Q25" s="168"/>
      <c r="R25" s="168"/>
      <c r="S25" s="169"/>
      <c r="T25" s="165" t="s">
        <v>265</v>
      </c>
      <c r="U25" s="165"/>
      <c r="V25" s="165"/>
      <c r="W25" s="165"/>
      <c r="X25" s="165"/>
      <c r="Y25" s="165"/>
      <c r="Z25" s="165"/>
      <c r="AA25" s="165"/>
      <c r="AB25" s="165"/>
      <c r="AC25" s="166"/>
      <c r="AD25" s="167" t="s">
        <v>266</v>
      </c>
      <c r="AE25" s="168"/>
      <c r="AF25" s="168"/>
      <c r="AG25" s="168"/>
      <c r="AH25" s="169"/>
      <c r="AI25" s="168" t="s">
        <v>265</v>
      </c>
      <c r="AJ25" s="168"/>
      <c r="AK25" s="168"/>
      <c r="AL25" s="168"/>
      <c r="AM25" s="168"/>
      <c r="AN25" s="168"/>
      <c r="AO25" s="168"/>
      <c r="AP25" s="168"/>
      <c r="AQ25" s="168"/>
      <c r="AR25" s="169"/>
      <c r="AS25" s="172" t="s">
        <v>266</v>
      </c>
      <c r="AT25" s="165"/>
      <c r="AU25" s="165"/>
      <c r="AV25" s="165"/>
      <c r="AW25" s="166"/>
    </row>
    <row r="26" spans="1:49" x14ac:dyDescent="0.25">
      <c r="A26">
        <f ca="1">Performances!D5</f>
        <v>0.12669999731911552</v>
      </c>
      <c r="B26">
        <f ca="1">Performances!D29</f>
        <v>5.842222222222223E-2</v>
      </c>
      <c r="C26">
        <f ca="1">Performances!D53</f>
        <v>9.01E-2</v>
      </c>
      <c r="E26" s="58"/>
      <c r="F26" s="58"/>
      <c r="G26" s="58"/>
      <c r="H26" s="58"/>
      <c r="I26" s="58"/>
      <c r="J26" s="58"/>
      <c r="K26" s="58"/>
      <c r="L26" s="58"/>
      <c r="M26" s="58"/>
      <c r="N26" s="59"/>
      <c r="O26" s="58"/>
      <c r="P26" s="58"/>
      <c r="Q26" s="58"/>
      <c r="R26" s="58"/>
      <c r="S26" s="59"/>
      <c r="T26" s="58"/>
      <c r="U26" s="58"/>
      <c r="V26" s="58"/>
      <c r="W26" s="58"/>
      <c r="X26" s="58"/>
      <c r="Y26" s="58"/>
      <c r="Z26" s="28"/>
      <c r="AA26" s="28"/>
      <c r="AB26" s="28"/>
      <c r="AH26" s="35"/>
      <c r="AW26" s="35"/>
    </row>
    <row r="27" spans="1:49" ht="13.8" thickBot="1" x14ac:dyDescent="0.3">
      <c r="A27">
        <f ca="1">Performances!D6</f>
        <v>9.6811111188597143E-2</v>
      </c>
      <c r="B27">
        <f ca="1">Performances!D30</f>
        <v>0.16975555555555555</v>
      </c>
      <c r="C27">
        <f ca="1">Performances!D54</f>
        <v>0.11761111111111111</v>
      </c>
      <c r="E27" s="58" t="s">
        <v>267</v>
      </c>
      <c r="F27" s="58"/>
      <c r="G27" s="58"/>
      <c r="H27" s="58" t="s">
        <v>219</v>
      </c>
      <c r="I27" s="58">
        <v>0.05</v>
      </c>
      <c r="J27" s="58"/>
      <c r="K27" s="58" t="s">
        <v>268</v>
      </c>
      <c r="L27" s="58">
        <v>0</v>
      </c>
      <c r="M27" s="58"/>
      <c r="N27" s="59"/>
      <c r="O27" s="58"/>
      <c r="P27" s="58" t="str">
        <f>A2</f>
        <v>Groupe 1</v>
      </c>
      <c r="Q27" s="58" t="str">
        <f>A24</f>
        <v>Groupe 1</v>
      </c>
      <c r="R27" s="58"/>
      <c r="S27" s="59"/>
      <c r="T27" s="58" t="s">
        <v>267</v>
      </c>
      <c r="U27" s="58"/>
      <c r="V27" s="58"/>
      <c r="W27" s="58" t="s">
        <v>219</v>
      </c>
      <c r="X27" s="58">
        <v>0.05</v>
      </c>
      <c r="Y27" s="58"/>
      <c r="Z27" s="28" t="s">
        <v>268</v>
      </c>
      <c r="AA27" s="28">
        <v>0</v>
      </c>
      <c r="AB27" s="28"/>
      <c r="AE27" s="66" t="str">
        <f>B2</f>
        <v>Groupe 2</v>
      </c>
      <c r="AF27" s="67" t="str">
        <f>B24</f>
        <v>Groupe 2</v>
      </c>
      <c r="AH27" s="35"/>
      <c r="AI27" t="s">
        <v>267</v>
      </c>
      <c r="AL27" t="s">
        <v>219</v>
      </c>
      <c r="AM27">
        <v>0.05</v>
      </c>
      <c r="AO27" t="s">
        <v>268</v>
      </c>
      <c r="AP27">
        <v>0</v>
      </c>
      <c r="AT27" t="str">
        <f>C2</f>
        <v>Groupe 3</v>
      </c>
      <c r="AU27" t="str">
        <f>C24</f>
        <v>Groupe 3</v>
      </c>
      <c r="AW27" s="35"/>
    </row>
    <row r="28" spans="1:49" ht="13.8" thickTop="1" x14ac:dyDescent="0.25">
      <c r="A28">
        <f ca="1">Performances!D7</f>
        <v>0.33148889078034294</v>
      </c>
      <c r="B28">
        <f ca="1">Performances!D31</f>
        <v>0.22505555555555551</v>
      </c>
      <c r="C28">
        <f ca="1">Performances!D55</f>
        <v>0.11684444444444446</v>
      </c>
      <c r="E28" s="60" t="s">
        <v>269</v>
      </c>
      <c r="F28" s="60" t="s">
        <v>225</v>
      </c>
      <c r="G28" s="60" t="s">
        <v>227</v>
      </c>
      <c r="H28" s="60" t="s">
        <v>270</v>
      </c>
      <c r="I28" s="60" t="s">
        <v>230</v>
      </c>
      <c r="J28" s="60" t="s">
        <v>271</v>
      </c>
      <c r="K28" s="60" t="s">
        <v>246</v>
      </c>
      <c r="L28" s="60" t="s">
        <v>272</v>
      </c>
      <c r="M28" s="60" t="s">
        <v>273</v>
      </c>
      <c r="N28" s="61"/>
      <c r="O28" s="62" t="s">
        <v>233</v>
      </c>
      <c r="P28" s="63">
        <f ca="1">MEDIAN(A3:A17)</f>
        <v>0.16578888893127441</v>
      </c>
      <c r="Q28" s="64">
        <f ca="1">MEDIAN(A25:A39)</f>
        <v>0.12669999731911552</v>
      </c>
      <c r="R28" s="62"/>
      <c r="S28" s="61"/>
      <c r="T28" s="65" t="s">
        <v>269</v>
      </c>
      <c r="U28" s="60" t="s">
        <v>225</v>
      </c>
      <c r="V28" s="60" t="s">
        <v>227</v>
      </c>
      <c r="W28" s="60" t="s">
        <v>270</v>
      </c>
      <c r="X28" s="60" t="s">
        <v>230</v>
      </c>
      <c r="Y28" s="60" t="s">
        <v>271</v>
      </c>
      <c r="Z28" s="37" t="s">
        <v>246</v>
      </c>
      <c r="AA28" s="37" t="s">
        <v>272</v>
      </c>
      <c r="AB28" s="37" t="s">
        <v>273</v>
      </c>
      <c r="AD28" t="s">
        <v>233</v>
      </c>
      <c r="AE28" s="66">
        <f ca="1">MEDIAN(B3:B17)</f>
        <v>0.17544444444444443</v>
      </c>
      <c r="AF28" s="67">
        <f ca="1">MEDIAN(B25:B39)</f>
        <v>0.13042222222222222</v>
      </c>
      <c r="AH28" s="35"/>
      <c r="AI28" s="68" t="s">
        <v>269</v>
      </c>
      <c r="AJ28" s="37" t="s">
        <v>225</v>
      </c>
      <c r="AK28" s="37" t="s">
        <v>227</v>
      </c>
      <c r="AL28" s="37" t="s">
        <v>270</v>
      </c>
      <c r="AM28" s="37" t="s">
        <v>230</v>
      </c>
      <c r="AN28" s="37" t="s">
        <v>271</v>
      </c>
      <c r="AO28" s="37" t="s">
        <v>246</v>
      </c>
      <c r="AP28" s="37" t="s">
        <v>272</v>
      </c>
      <c r="AQ28" s="37" t="s">
        <v>273</v>
      </c>
      <c r="AS28" t="s">
        <v>233</v>
      </c>
      <c r="AT28" s="66">
        <f ca="1">MEDIAN(C3:C17)</f>
        <v>0.11896666666666667</v>
      </c>
      <c r="AU28" s="67">
        <f ca="1">MEDIAN(C25:C39)</f>
        <v>0.11684444444444446</v>
      </c>
      <c r="AW28" s="35"/>
    </row>
    <row r="29" spans="1:49" x14ac:dyDescent="0.25">
      <c r="A29">
        <f ca="1">Performances!D8</f>
        <v>0.1521666662560569</v>
      </c>
      <c r="B29">
        <f ca="1">Performances!D32</f>
        <v>0.17177777777777781</v>
      </c>
      <c r="C29">
        <f ca="1">Performances!D56</f>
        <v>7.6511111111111113E-2</v>
      </c>
      <c r="E29" s="58" t="str">
        <f>A2</f>
        <v>Groupe 1</v>
      </c>
      <c r="F29" s="58">
        <f ca="1">COUNT(A3:A17)</f>
        <v>15</v>
      </c>
      <c r="G29" s="58">
        <f ca="1">AVERAGE(A3:A17)</f>
        <v>0.17913185213864952</v>
      </c>
      <c r="H29" s="58">
        <f ca="1">_xlfn.STDEV.S(A3:A17)</f>
        <v>7.4558133008146163E-2</v>
      </c>
      <c r="I29" s="58"/>
      <c r="J29" s="58"/>
      <c r="K29" s="58"/>
      <c r="L29" s="58"/>
      <c r="M29" s="58"/>
      <c r="N29" s="59"/>
      <c r="O29" s="58"/>
      <c r="P29" s="58"/>
      <c r="Q29" s="58"/>
      <c r="R29" s="58"/>
      <c r="S29" s="59"/>
      <c r="T29" s="58" t="str">
        <f>B2</f>
        <v>Groupe 2</v>
      </c>
      <c r="U29" s="58">
        <f ca="1">COUNT(B3:B17)</f>
        <v>15</v>
      </c>
      <c r="V29" s="58">
        <f ca="1">AVERAGE(B3:B17)</f>
        <v>0.17888666666666664</v>
      </c>
      <c r="W29" s="58">
        <f ca="1">_xlfn.STDEV.S(B3:B17)</f>
        <v>6.1536442680559439E-2</v>
      </c>
      <c r="X29" s="58"/>
      <c r="Y29" s="58"/>
      <c r="Z29" s="28"/>
      <c r="AA29" s="28"/>
      <c r="AB29" s="28"/>
      <c r="AD29" t="s">
        <v>237</v>
      </c>
      <c r="AE29" s="47">
        <f ca="1">SUMPRODUCT(--ISNUMBER(B3:B17),--ISNUMBER(B25:B39))</f>
        <v>15</v>
      </c>
      <c r="AH29" s="35"/>
      <c r="AI29" t="str">
        <f>C2</f>
        <v>Groupe 3</v>
      </c>
      <c r="AJ29">
        <f ca="1">COUNT(C3:C17)</f>
        <v>15</v>
      </c>
      <c r="AK29">
        <f ca="1">AVERAGE(C3:C17)</f>
        <v>0.13296666666666665</v>
      </c>
      <c r="AL29">
        <f ca="1">_xlfn.STDEV.S(C3:C17)</f>
        <v>5.3118406884166053E-2</v>
      </c>
      <c r="AW29" s="35"/>
    </row>
    <row r="30" spans="1:49" x14ac:dyDescent="0.25">
      <c r="A30">
        <f ca="1">Performances!D9</f>
        <v>0.12140000032054053</v>
      </c>
      <c r="B30">
        <f ca="1">Performances!D33</f>
        <v>0.12373333333333332</v>
      </c>
      <c r="C30">
        <f ca="1">Performances!D57</f>
        <v>0.19094444444444444</v>
      </c>
      <c r="E30" s="58" t="str">
        <f>A24</f>
        <v>Groupe 1</v>
      </c>
      <c r="F30" s="58">
        <f ca="1">COUNT(A25:A39)</f>
        <v>15</v>
      </c>
      <c r="G30" s="58">
        <f ca="1">AVERAGE(A25:A39)</f>
        <v>0.14446814805269242</v>
      </c>
      <c r="H30" s="58">
        <f ca="1">_xlfn.STDEV.S(A25:A39)</f>
        <v>8.2640252665582725E-2</v>
      </c>
      <c r="I30" s="58"/>
      <c r="J30" s="58"/>
      <c r="K30" s="58"/>
      <c r="L30" s="58"/>
      <c r="M30" s="58"/>
      <c r="N30" s="59"/>
      <c r="O30" s="58" t="s">
        <v>237</v>
      </c>
      <c r="P30" s="69">
        <f ca="1">SUMPRODUCT(--ISNUMBER(A3:A17),--ISNUMBER(A25:A39))</f>
        <v>15</v>
      </c>
      <c r="Q30" s="58"/>
      <c r="R30" s="58"/>
      <c r="S30" s="59"/>
      <c r="T30" s="58" t="str">
        <f>B24</f>
        <v>Groupe 2</v>
      </c>
      <c r="U30" s="58">
        <f ca="1">COUNT(B25:B39)</f>
        <v>15</v>
      </c>
      <c r="V30" s="58">
        <f ca="1">AVERAGE(B25:B39)</f>
        <v>0.14522296296296294</v>
      </c>
      <c r="W30" s="58">
        <f ca="1">_xlfn.STDEV.S(B25:B39)</f>
        <v>7.426931668952208E-2</v>
      </c>
      <c r="X30" s="58"/>
      <c r="Y30" s="58"/>
      <c r="Z30" s="28"/>
      <c r="AA30" s="28"/>
      <c r="AB30" s="28"/>
      <c r="AD30" t="s">
        <v>237</v>
      </c>
      <c r="AE30" s="47">
        <f ca="1">SUMPRODUCT(--ISNUMBER(B3:B17),--ISNUMBER(B25:B39))</f>
        <v>15</v>
      </c>
      <c r="AH30" s="35"/>
      <c r="AI30" t="str">
        <f>C24</f>
        <v>Groupe 3</v>
      </c>
      <c r="AJ30">
        <f ca="1">COUNT(C25:C39)</f>
        <v>15</v>
      </c>
      <c r="AK30">
        <f ca="1">AVERAGE(C25:C39)</f>
        <v>0.11745481481481483</v>
      </c>
      <c r="AL30">
        <f ca="1">_xlfn.STDEV.S(C25:C39)</f>
        <v>3.3251154378302575E-2</v>
      </c>
      <c r="AS30" t="s">
        <v>237</v>
      </c>
      <c r="AT30" s="47">
        <f ca="1">SUMPRODUCT(--ISNUMBER(C3:C17),--ISNUMBER(C25:C39))</f>
        <v>15</v>
      </c>
      <c r="AW30" s="35"/>
    </row>
    <row r="31" spans="1:49" x14ac:dyDescent="0.25">
      <c r="A31">
        <f ca="1">Performances!D10</f>
        <v>8.4266665909025401E-2</v>
      </c>
      <c r="B31">
        <f ca="1">Performances!D34</f>
        <v>0.15475555555555556</v>
      </c>
      <c r="C31">
        <f ca="1">Performances!D58</f>
        <v>0.14785555555555555</v>
      </c>
      <c r="E31" s="70" t="s">
        <v>274</v>
      </c>
      <c r="F31" s="70">
        <f ca="1">F30</f>
        <v>15</v>
      </c>
      <c r="G31" s="70">
        <f ca="1">G29-G30</f>
        <v>3.4663704085957092E-2</v>
      </c>
      <c r="H31" s="70">
        <f t="array" aca="1" ref="H31" ca="1">_xlfn.STDEV.S(A3:A17-A25:A39)</f>
        <v>6.1066842987292036E-2</v>
      </c>
      <c r="I31" s="70">
        <f ca="1">H31/SQRT(F31)</f>
        <v>1.5767391059683014E-2</v>
      </c>
      <c r="J31" s="70">
        <f ca="1">(G29-G30-L27)/I31</f>
        <v>2.1984425929912828</v>
      </c>
      <c r="K31" s="70">
        <f ca="1">F31-1</f>
        <v>14</v>
      </c>
      <c r="L31" s="70">
        <f ca="1">ABS(G29-G30-L27)/H31</f>
        <v>0.56763543668321914</v>
      </c>
      <c r="M31" s="70">
        <f ca="1">SQRT(J31^2/(J31^2+K31))</f>
        <v>0.5065865427252495</v>
      </c>
      <c r="N31" s="59"/>
      <c r="O31" s="58" t="s">
        <v>275</v>
      </c>
      <c r="P31" s="71">
        <f ca="1">SUMPRODUCT(--ISNUMBER(A3:A17),--ISNUMBER(A25:A39),--(A3:A17&lt;&gt;A25:A39))</f>
        <v>15</v>
      </c>
      <c r="Q31" s="58"/>
      <c r="R31" s="58"/>
      <c r="S31" s="59"/>
      <c r="T31" s="72" t="s">
        <v>274</v>
      </c>
      <c r="U31" s="70">
        <f ca="1">U30</f>
        <v>15</v>
      </c>
      <c r="V31" s="70">
        <f ca="1">V29-V30</f>
        <v>3.3663703703703696E-2</v>
      </c>
      <c r="W31" s="70">
        <f t="array" aca="1" ref="W31" ca="1">_xlfn.STDEV.S(B3:B17-B25:B39)</f>
        <v>7.8551593764926195E-2</v>
      </c>
      <c r="X31" s="70">
        <f ca="1">W31/SQRT(U31)</f>
        <v>2.0281934297973966E-2</v>
      </c>
      <c r="Y31" s="70">
        <f ca="1">(V29-V30-AA27)/X31</f>
        <v>1.6597876321424865</v>
      </c>
      <c r="Z31" s="32">
        <f ca="1">U31-1</f>
        <v>14</v>
      </c>
      <c r="AA31" s="32">
        <f ca="1">ABS(V29-V30-AA27)/W31</f>
        <v>0.42855532383525952</v>
      </c>
      <c r="AB31" s="32">
        <f ca="1">SQRT(Y31^2/(Y31^2+Z31))</f>
        <v>0.40549141989650672</v>
      </c>
      <c r="AD31" t="s">
        <v>275</v>
      </c>
      <c r="AE31" s="54">
        <f ca="1">SUMPRODUCT(--ISNUMBER(B3:B17),--ISNUMBER(B25:B39),--(B3:B17&lt;&gt;B25:B39))</f>
        <v>15</v>
      </c>
      <c r="AH31" s="35"/>
      <c r="AI31" s="73" t="s">
        <v>274</v>
      </c>
      <c r="AJ31" s="32">
        <f ca="1">AJ30</f>
        <v>15</v>
      </c>
      <c r="AK31" s="32">
        <f ca="1">AK29-AK30</f>
        <v>1.5511851851851818E-2</v>
      </c>
      <c r="AL31" s="32">
        <f t="array" aca="1" ref="AL31" ca="1">_xlfn.STDEV.S(C3:C17-C25:C39)</f>
        <v>6.1516275569201494E-2</v>
      </c>
      <c r="AM31" s="32">
        <f ca="1">AL31/SQRT(AJ31)</f>
        <v>1.5883434053348237E-2</v>
      </c>
      <c r="AN31" s="32">
        <f ca="1">(AK29-AK30-AP27)/AM31</f>
        <v>0.97660567606171478</v>
      </c>
      <c r="AO31" s="32">
        <f ca="1">AJ31-1</f>
        <v>14</v>
      </c>
      <c r="AP31" s="32">
        <f ca="1">ABS(AK29-AK30-AP27)/AL31</f>
        <v>0.25215850127991046</v>
      </c>
      <c r="AQ31" s="32">
        <f ca="1">SQRT(AN31^2/(AN31^2+AO31))</f>
        <v>0.2525480739096661</v>
      </c>
      <c r="AS31" t="s">
        <v>275</v>
      </c>
      <c r="AT31" s="54">
        <f ca="1">SUMPRODUCT(--ISNUMBER(C3:C17),--ISNUMBER(C25:C39),--(C3:C17&lt;&gt;C25:C39))</f>
        <v>15</v>
      </c>
      <c r="AW31" s="35"/>
    </row>
    <row r="32" spans="1:49" x14ac:dyDescent="0.25">
      <c r="A32">
        <f ca="1">Performances!D11</f>
        <v>0.12761111143562529</v>
      </c>
      <c r="B32">
        <f ca="1">Performances!D35</f>
        <v>0.1086</v>
      </c>
      <c r="C32">
        <f ca="1">Performances!D59</f>
        <v>0.10870000000000002</v>
      </c>
      <c r="E32" s="58"/>
      <c r="F32" s="58"/>
      <c r="G32" s="58"/>
      <c r="H32" s="58"/>
      <c r="I32" s="58"/>
      <c r="J32" s="58"/>
      <c r="K32" s="58"/>
      <c r="L32" s="58"/>
      <c r="M32" s="58"/>
      <c r="N32" s="59"/>
      <c r="O32" s="58" t="s">
        <v>276</v>
      </c>
      <c r="P32" s="71">
        <f ca="1">IF(P34&lt;=P37,P34,P31*(P31+1)/2)</f>
        <v>24</v>
      </c>
      <c r="Q32" s="58"/>
      <c r="R32" s="58"/>
      <c r="S32" s="59"/>
      <c r="T32" s="58"/>
      <c r="U32" s="58"/>
      <c r="V32" s="58"/>
      <c r="W32" s="58"/>
      <c r="X32" s="58"/>
      <c r="Y32" s="58"/>
      <c r="Z32" s="28"/>
      <c r="AA32" s="28"/>
      <c r="AB32" s="28"/>
      <c r="AD32" t="s">
        <v>276</v>
      </c>
      <c r="AE32" s="54">
        <f ca="1">IF(AE34&lt;=AE37,AE34,AE31*(AE31+1)/2)</f>
        <v>20</v>
      </c>
      <c r="AH32" s="35"/>
      <c r="AS32" t="s">
        <v>276</v>
      </c>
      <c r="AT32" s="54">
        <f ca="1">IF(AT34&lt;=AT37,AT34,AT31*(AT31+1)/2)</f>
        <v>49</v>
      </c>
      <c r="AW32" s="35"/>
    </row>
    <row r="33" spans="1:49" ht="13.8" thickBot="1" x14ac:dyDescent="0.3">
      <c r="A33">
        <f ca="1">Performances!D12</f>
        <v>0.29657777978314293</v>
      </c>
      <c r="B33">
        <f ca="1">Performances!D36</f>
        <v>8.2833333333333342E-2</v>
      </c>
      <c r="C33">
        <f ca="1">Performances!D60</f>
        <v>0.13305555555555557</v>
      </c>
      <c r="E33" s="58" t="s">
        <v>277</v>
      </c>
      <c r="F33" s="58"/>
      <c r="G33" s="58"/>
      <c r="H33" s="58"/>
      <c r="I33" s="58"/>
      <c r="J33" s="58"/>
      <c r="K33" s="58"/>
      <c r="L33" s="58"/>
      <c r="M33" s="58"/>
      <c r="N33" s="59"/>
      <c r="O33" s="58" t="s">
        <v>278</v>
      </c>
      <c r="P33" s="71">
        <f ca="1">P31*(P31+1)/2-P32</f>
        <v>96</v>
      </c>
      <c r="Q33" s="58"/>
      <c r="R33" s="58"/>
      <c r="S33" s="59"/>
      <c r="T33" s="58" t="s">
        <v>277</v>
      </c>
      <c r="U33" s="58"/>
      <c r="V33" s="58"/>
      <c r="W33" s="58"/>
      <c r="X33" s="58"/>
      <c r="Y33" s="58"/>
      <c r="Z33" s="28"/>
      <c r="AA33" s="28"/>
      <c r="AB33" s="28"/>
      <c r="AD33" t="s">
        <v>278</v>
      </c>
      <c r="AE33" s="75">
        <f ca="1">AE31*(AE31+1)/2-AE32</f>
        <v>100</v>
      </c>
      <c r="AH33" s="35"/>
      <c r="AI33" t="s">
        <v>277</v>
      </c>
      <c r="AS33" t="s">
        <v>278</v>
      </c>
      <c r="AT33" s="54">
        <f ca="1">AT31*(AT31+1)/2-AT32</f>
        <v>71</v>
      </c>
      <c r="AW33" s="35"/>
    </row>
    <row r="34" spans="1:49" ht="13.8" thickTop="1" x14ac:dyDescent="0.25">
      <c r="A34">
        <f ca="1">Performances!D13</f>
        <v>6.1388889120684728E-2</v>
      </c>
      <c r="B34">
        <f ca="1">Performances!D37</f>
        <v>0.11454444444444443</v>
      </c>
      <c r="C34">
        <f ca="1">Performances!D61</f>
        <v>8.3077777777777778E-2</v>
      </c>
      <c r="E34" s="60" t="s">
        <v>133</v>
      </c>
      <c r="F34" s="60" t="s">
        <v>208</v>
      </c>
      <c r="G34" s="60" t="s">
        <v>279</v>
      </c>
      <c r="H34" s="60" t="s">
        <v>280</v>
      </c>
      <c r="I34" s="60" t="s">
        <v>281</v>
      </c>
      <c r="J34" s="60" t="s">
        <v>256</v>
      </c>
      <c r="K34" s="58"/>
      <c r="L34" s="58"/>
      <c r="M34" s="58"/>
      <c r="N34" s="61"/>
      <c r="O34" s="62" t="s">
        <v>282</v>
      </c>
      <c r="P34" s="74">
        <f ca="1">[1]!SRANK(A3:A17,A25:A39)</f>
        <v>24</v>
      </c>
      <c r="Q34" s="62"/>
      <c r="R34" s="62"/>
      <c r="S34" s="59"/>
      <c r="T34" s="65" t="s">
        <v>133</v>
      </c>
      <c r="U34" s="60" t="s">
        <v>208</v>
      </c>
      <c r="V34" s="60" t="s">
        <v>279</v>
      </c>
      <c r="W34" s="60" t="s">
        <v>280</v>
      </c>
      <c r="X34" s="60" t="s">
        <v>281</v>
      </c>
      <c r="Y34" s="60" t="s">
        <v>256</v>
      </c>
      <c r="Z34" s="28"/>
      <c r="AA34" s="28"/>
      <c r="AB34" s="28"/>
      <c r="AD34" t="s">
        <v>282</v>
      </c>
      <c r="AE34" s="75">
        <f ca="1">[1]!SRANK(B3:B17,B25:B39)</f>
        <v>20</v>
      </c>
      <c r="AH34" s="35"/>
      <c r="AI34" s="68" t="s">
        <v>133</v>
      </c>
      <c r="AJ34" s="37" t="s">
        <v>208</v>
      </c>
      <c r="AK34" s="37" t="s">
        <v>279</v>
      </c>
      <c r="AL34" s="37" t="s">
        <v>280</v>
      </c>
      <c r="AM34" s="37" t="s">
        <v>281</v>
      </c>
      <c r="AN34" s="37" t="s">
        <v>256</v>
      </c>
      <c r="AS34" t="s">
        <v>282</v>
      </c>
      <c r="AT34" s="75">
        <f ca="1">[1]!SRANK(C3:C17,C25:C39)</f>
        <v>49</v>
      </c>
      <c r="AW34" s="35"/>
    </row>
    <row r="35" spans="1:49" x14ac:dyDescent="0.25">
      <c r="A35">
        <f ca="1">Performances!D14</f>
        <v>4.4800000472201243E-2</v>
      </c>
      <c r="B35">
        <f ca="1">Performances!D38</f>
        <v>0.33035555555555551</v>
      </c>
      <c r="C35">
        <f ca="1">Performances!D62</f>
        <v>0.15913333333333332</v>
      </c>
      <c r="E35" s="58" t="s">
        <v>283</v>
      </c>
      <c r="F35" s="132">
        <f ca="1">_xlfn.T.DIST.RT(ABS(J31),K31)</f>
        <v>2.2616066732322151E-2</v>
      </c>
      <c r="G35" s="58">
        <f ca="1">_xlfn.T.INV.2T(I27*2,K31)</f>
        <v>1.7613101357748921</v>
      </c>
      <c r="H35" s="58"/>
      <c r="I35" s="58"/>
      <c r="J35" s="77" t="str">
        <f ca="1">IF(F35&lt;I27,"yes","no")</f>
        <v>yes</v>
      </c>
      <c r="K35" s="58"/>
      <c r="L35" s="58"/>
      <c r="M35" s="58"/>
      <c r="N35" s="59"/>
      <c r="O35" s="76"/>
      <c r="P35" s="58"/>
      <c r="Q35" s="58"/>
      <c r="R35" s="58"/>
      <c r="S35" s="59"/>
      <c r="T35" s="58" t="s">
        <v>283</v>
      </c>
      <c r="U35" s="101">
        <f ca="1">_xlfn.T.DIST.RT(ABS(Y31),Z31)</f>
        <v>5.9590715072370314E-2</v>
      </c>
      <c r="V35" s="58">
        <f ca="1">_xlfn.T.INV.2T(X27*2,Z31)</f>
        <v>1.7613101357748921</v>
      </c>
      <c r="W35" s="58"/>
      <c r="X35" s="58"/>
      <c r="Y35" s="77" t="str">
        <f ca="1">IF(U35&lt;X27,"yes","no")</f>
        <v>no</v>
      </c>
      <c r="Z35" s="28"/>
      <c r="AA35" s="28"/>
      <c r="AB35" s="28"/>
      <c r="AE35" s="79" t="s">
        <v>285</v>
      </c>
      <c r="AF35" s="79" t="s">
        <v>286</v>
      </c>
      <c r="AH35" s="35"/>
      <c r="AI35" t="s">
        <v>283</v>
      </c>
      <c r="AJ35" s="97">
        <f ca="1">_xlfn.T.DIST.RT(ABS(AN31),AO31)</f>
        <v>0.17266941659371637</v>
      </c>
      <c r="AK35">
        <f ca="1">_xlfn.T.INV.2T(AM27*2,AO31)</f>
        <v>1.7613101357748921</v>
      </c>
      <c r="AN35" s="79" t="str">
        <f ca="1">IF(AJ35&lt;AM27,"yes","no")</f>
        <v>no</v>
      </c>
      <c r="AW35" s="35"/>
    </row>
    <row r="36" spans="1:49" x14ac:dyDescent="0.25">
      <c r="A36">
        <f ca="1">Performances!D15</f>
        <v>0.19641110797723135</v>
      </c>
      <c r="B36">
        <f ca="1">Performances!D39</f>
        <v>7.7333333333333323E-2</v>
      </c>
      <c r="C36">
        <f ca="1">Performances!D63</f>
        <v>7.0266666666666672E-2</v>
      </c>
      <c r="E36" s="58" t="s">
        <v>284</v>
      </c>
      <c r="F36" s="131">
        <f ca="1">_xlfn.T.DIST.2T(ABS(J31),K31)</f>
        <v>4.5232133464644303E-2</v>
      </c>
      <c r="G36" s="77">
        <f ca="1">_xlfn.T.INV.2T(I27,K31)</f>
        <v>2.1447866879178044</v>
      </c>
      <c r="H36" s="58">
        <f ca="1">(G29-G30)-I31*G36</f>
        <v>8.4601363795475809E-4</v>
      </c>
      <c r="I36" s="58">
        <f ca="1">(G29-G30)+I31*G36</f>
        <v>6.8481394533959433E-2</v>
      </c>
      <c r="J36" s="77" t="str">
        <f ca="1">IF(F36&lt;I27,"yes","no")</f>
        <v>yes</v>
      </c>
      <c r="K36" s="58"/>
      <c r="L36" s="58"/>
      <c r="M36" s="58"/>
      <c r="N36" s="59"/>
      <c r="O36" s="76"/>
      <c r="P36" s="77" t="s">
        <v>285</v>
      </c>
      <c r="Q36" s="77" t="s">
        <v>286</v>
      </c>
      <c r="R36" s="58"/>
      <c r="S36" s="59"/>
      <c r="T36" s="58" t="s">
        <v>284</v>
      </c>
      <c r="U36" s="80">
        <f ca="1">_xlfn.T.DIST.2T(ABS(Y31),Z31)</f>
        <v>0.11918143014474063</v>
      </c>
      <c r="V36" s="77">
        <f ca="1">_xlfn.T.INV.2T(X27,Z31)</f>
        <v>2.1447866879178044</v>
      </c>
      <c r="W36" s="58">
        <f ca="1">(V29-V30)-X31*V36</f>
        <v>-9.8367189838144062E-3</v>
      </c>
      <c r="X36" s="58">
        <f ca="1">(V29-V30)+X31*V36</f>
        <v>7.7164126391221805E-2</v>
      </c>
      <c r="Y36" s="77" t="str">
        <f ca="1">IF(U36&lt;X27,"yes","no")</f>
        <v>no</v>
      </c>
      <c r="Z36" s="28"/>
      <c r="AA36" s="28"/>
      <c r="AB36" s="28"/>
      <c r="AD36" t="s">
        <v>223</v>
      </c>
      <c r="AE36" s="90" t="s">
        <v>285</v>
      </c>
      <c r="AF36" s="79" t="s">
        <v>286</v>
      </c>
      <c r="AH36" s="35"/>
      <c r="AI36" t="s">
        <v>284</v>
      </c>
      <c r="AJ36" s="97">
        <f ca="1">_xlfn.T.DIST.2T(ABS(AN31),AO31)</f>
        <v>0.34533883318743275</v>
      </c>
      <c r="AK36">
        <f ca="1">_xlfn.T.INV.2T(AM27,AO31)</f>
        <v>2.1447866879178044</v>
      </c>
      <c r="AL36">
        <f ca="1">(AK29-AK30)-AM31*AK36</f>
        <v>-1.8554726064189814E-2</v>
      </c>
      <c r="AM36">
        <f ca="1">(AK29-AK30)+AM31*AK36</f>
        <v>4.957842976789345E-2</v>
      </c>
      <c r="AN36" s="79" t="str">
        <f ca="1">IF(AJ36&lt;AM27,"yes","no")</f>
        <v>no</v>
      </c>
      <c r="AT36" s="79" t="s">
        <v>285</v>
      </c>
      <c r="AU36" s="79" t="s">
        <v>286</v>
      </c>
      <c r="AW36" s="35"/>
    </row>
    <row r="37" spans="1:49" x14ac:dyDescent="0.25">
      <c r="A37">
        <f ca="1">Performances!D16</f>
        <v>0.20073333382606506</v>
      </c>
      <c r="B37">
        <f ca="1">Performances!D40</f>
        <v>0.23567777777777776</v>
      </c>
      <c r="C37">
        <f ca="1">Performances!D64</f>
        <v>0.10701111111111111</v>
      </c>
      <c r="E37" s="70"/>
      <c r="F37" s="70"/>
      <c r="G37" s="70"/>
      <c r="H37" s="70"/>
      <c r="I37" s="70"/>
      <c r="J37" s="70"/>
      <c r="K37" s="58"/>
      <c r="L37" s="58"/>
      <c r="M37" s="58"/>
      <c r="N37" s="59"/>
      <c r="O37" s="58" t="s">
        <v>223</v>
      </c>
      <c r="P37" s="69">
        <f ca="1">P31*(P31+1)/4</f>
        <v>60</v>
      </c>
      <c r="Q37" s="58"/>
      <c r="R37" s="58"/>
      <c r="S37" s="59"/>
      <c r="T37" s="72"/>
      <c r="U37" s="70"/>
      <c r="V37" s="70"/>
      <c r="W37" s="70"/>
      <c r="X37" s="70"/>
      <c r="Y37" s="70"/>
      <c r="Z37" s="28"/>
      <c r="AA37" s="28"/>
      <c r="AB37" s="28"/>
      <c r="AD37" t="s">
        <v>223</v>
      </c>
      <c r="AE37" s="47">
        <f ca="1">AE31*(AE31+1)/4</f>
        <v>60</v>
      </c>
      <c r="AF37" t="s">
        <v>288</v>
      </c>
      <c r="AH37" s="35"/>
      <c r="AI37" s="73"/>
      <c r="AJ37" s="32"/>
      <c r="AK37" s="32"/>
      <c r="AL37" s="32"/>
      <c r="AM37" s="32"/>
      <c r="AN37" s="32"/>
      <c r="AS37" t="s">
        <v>223</v>
      </c>
      <c r="AT37" s="47">
        <f ca="1">AT31*(AT31+1)/4</f>
        <v>60</v>
      </c>
      <c r="AW37" s="35"/>
    </row>
    <row r="38" spans="1:49" x14ac:dyDescent="0.25">
      <c r="A38">
        <f ca="1">Performances!D17</f>
        <v>0.10457777728637059</v>
      </c>
      <c r="B38">
        <f ca="1">Performances!D41</f>
        <v>0.13906666666666667</v>
      </c>
      <c r="C38">
        <f ca="1">Performances!D65</f>
        <v>0.12233333333333334</v>
      </c>
      <c r="E38" s="58"/>
      <c r="F38" s="58"/>
      <c r="G38" s="58"/>
      <c r="H38" s="58"/>
      <c r="I38" s="58"/>
      <c r="J38" s="58"/>
      <c r="K38" s="58"/>
      <c r="L38" s="58"/>
      <c r="M38" s="58"/>
      <c r="N38" s="59"/>
      <c r="O38" s="58" t="s">
        <v>287</v>
      </c>
      <c r="P38" s="71">
        <f ca="1">SQRT(P37*(2*P31+1)/6-[1]!TiesCorrection(A3:A17,A25:A39,1)/48)</f>
        <v>17.606816861659009</v>
      </c>
      <c r="Q38" s="58" t="s">
        <v>288</v>
      </c>
      <c r="R38" s="58"/>
      <c r="S38" s="59"/>
      <c r="T38" s="58"/>
      <c r="U38" s="58"/>
      <c r="V38" s="58"/>
      <c r="W38" s="58"/>
      <c r="X38" s="58"/>
      <c r="Y38" s="58"/>
      <c r="Z38" s="28"/>
      <c r="AA38" s="28"/>
      <c r="AB38" s="28"/>
      <c r="AD38" t="s">
        <v>287</v>
      </c>
      <c r="AE38" s="54">
        <f ca="1">SQRT(AE37*(2*AE31+1)/6-[1]!TiesCorrection(B3:B17,B25:B39,1)/48)</f>
        <v>17.606816861659009</v>
      </c>
      <c r="AF38" t="s">
        <v>288</v>
      </c>
      <c r="AH38" s="35"/>
      <c r="AS38" t="s">
        <v>287</v>
      </c>
      <c r="AT38" s="54">
        <f ca="1">SQRT(AT37*(2*AT31+1)/6-[1]!TiesCorrection(C3:C17,C25:C39,1)/48)</f>
        <v>17.606816861659009</v>
      </c>
      <c r="AU38" t="s">
        <v>288</v>
      </c>
      <c r="AW38" s="35"/>
    </row>
    <row r="39" spans="1:49" x14ac:dyDescent="0.25">
      <c r="A39">
        <f ca="1">Performances!D18</f>
        <v>6.6966666943497122E-2</v>
      </c>
      <c r="B39">
        <f ca="1">Performances!D42</f>
        <v>0.13042222222222222</v>
      </c>
      <c r="C39">
        <f ca="1">Performances!D66</f>
        <v>9.5477777777777786E-2</v>
      </c>
      <c r="E39" s="58"/>
      <c r="F39" s="58"/>
      <c r="G39" s="58"/>
      <c r="H39" s="58"/>
      <c r="I39" s="58"/>
      <c r="J39" s="58"/>
      <c r="K39" s="58"/>
      <c r="L39" s="58"/>
      <c r="M39" s="58"/>
      <c r="N39" s="59"/>
      <c r="O39" s="58" t="s">
        <v>289</v>
      </c>
      <c r="P39" s="71">
        <f ca="1">ABS(ABS(P34-P37)-1/2)/P38</f>
        <v>2.0162645115770799</v>
      </c>
      <c r="Q39" s="58" t="s">
        <v>290</v>
      </c>
      <c r="R39" s="58"/>
      <c r="S39" s="59"/>
      <c r="T39" s="58"/>
      <c r="U39" s="58"/>
      <c r="V39" s="58"/>
      <c r="W39" s="58"/>
      <c r="X39" s="58"/>
      <c r="Y39" s="58"/>
      <c r="Z39" s="28"/>
      <c r="AA39" s="28"/>
      <c r="AB39" s="28"/>
      <c r="AD39" t="s">
        <v>289</v>
      </c>
      <c r="AE39" s="54">
        <f ca="1">ABS(ABS(AE34-AE37)-1/2)/AE38</f>
        <v>2.2434492452759058</v>
      </c>
      <c r="AF39" t="s">
        <v>290</v>
      </c>
      <c r="AH39" s="35"/>
      <c r="AS39" t="s">
        <v>289</v>
      </c>
      <c r="AT39" s="54">
        <f ca="1">ABS(ABS(AT34-AT37)-1/2)/AT38</f>
        <v>0.596359925959418</v>
      </c>
      <c r="AU39" t="s">
        <v>290</v>
      </c>
      <c r="AW39" s="35"/>
    </row>
    <row r="40" spans="1:49" x14ac:dyDescent="0.25">
      <c r="E40" s="58"/>
      <c r="F40" s="58"/>
      <c r="G40" s="58"/>
      <c r="H40" s="58"/>
      <c r="I40" s="58"/>
      <c r="J40" s="58"/>
      <c r="K40" s="58"/>
      <c r="L40" s="58"/>
      <c r="M40" s="58"/>
      <c r="N40" s="59"/>
      <c r="O40" s="58" t="s">
        <v>291</v>
      </c>
      <c r="P40" s="71">
        <f ca="1">P39/SQRT(2*P30)</f>
        <v>0.36811785162930094</v>
      </c>
      <c r="Q40" s="58"/>
      <c r="R40" s="58"/>
      <c r="S40" s="59"/>
      <c r="T40" s="58"/>
      <c r="U40" s="58"/>
      <c r="V40" s="58"/>
      <c r="W40" s="58"/>
      <c r="X40" s="58"/>
      <c r="Y40" s="58"/>
      <c r="Z40" s="28"/>
      <c r="AA40" s="28"/>
      <c r="AB40" s="28"/>
      <c r="AD40" t="s">
        <v>291</v>
      </c>
      <c r="AE40" s="91">
        <f ca="1">AE39/SQRT(2*AE30)</f>
        <v>0.40959591941851797</v>
      </c>
      <c r="AF40" s="92">
        <f ca="1">2*AE40</f>
        <v>0.81919183883703595</v>
      </c>
      <c r="AH40" s="35"/>
      <c r="AS40" t="s">
        <v>291</v>
      </c>
      <c r="AT40" s="54">
        <f ca="1">AT39/SQRT(2*AT30)</f>
        <v>0.10887992794669464</v>
      </c>
      <c r="AW40" s="35"/>
    </row>
    <row r="41" spans="1:49" x14ac:dyDescent="0.25">
      <c r="E41" s="76"/>
      <c r="F41" s="76"/>
      <c r="G41" s="58"/>
      <c r="H41" s="58"/>
      <c r="I41" s="58"/>
      <c r="J41" s="58"/>
      <c r="K41" s="58"/>
      <c r="L41" s="58"/>
      <c r="M41" s="58"/>
      <c r="N41" s="59"/>
      <c r="O41" s="58" t="s">
        <v>292</v>
      </c>
      <c r="P41" s="81">
        <f ca="1">1-_xlfn.NORM.S.DIST(P39,TRUE)</f>
        <v>2.1886161881520594E-2</v>
      </c>
      <c r="Q41" s="82">
        <f ca="1">2*P41</f>
        <v>4.3772323763041188E-2</v>
      </c>
      <c r="R41" s="58"/>
      <c r="S41" s="59"/>
      <c r="T41" s="58"/>
      <c r="U41" s="76"/>
      <c r="V41" s="58"/>
      <c r="W41" s="58"/>
      <c r="X41" s="58"/>
      <c r="Y41" s="58"/>
      <c r="Z41" s="28"/>
      <c r="AA41" s="28"/>
      <c r="AB41" s="28"/>
      <c r="AD41" t="s">
        <v>292</v>
      </c>
      <c r="AE41" s="81">
        <f ca="1">1-_xlfn.NORM.S.DIST(AE39,TRUE)</f>
        <v>1.2433929658942633E-2</v>
      </c>
      <c r="AF41" s="82">
        <f ca="1">2*AE41</f>
        <v>2.4867859317885266E-2</v>
      </c>
      <c r="AH41" s="35"/>
      <c r="AS41" t="s">
        <v>292</v>
      </c>
      <c r="AT41" s="81">
        <f ca="1">1-_xlfn.NORM.S.DIST(AT39,TRUE)</f>
        <v>0.27546740284023985</v>
      </c>
      <c r="AU41" s="82">
        <f ca="1">2*AT41</f>
        <v>0.5509348056804797</v>
      </c>
      <c r="AW41" s="35"/>
    </row>
    <row r="42" spans="1:49" x14ac:dyDescent="0.25">
      <c r="E42" s="76"/>
      <c r="F42" s="76"/>
      <c r="G42" s="58"/>
      <c r="H42" s="58"/>
      <c r="I42" s="58"/>
      <c r="J42" s="58"/>
      <c r="K42" s="58"/>
      <c r="L42" s="58"/>
      <c r="M42" s="58"/>
      <c r="N42" s="59"/>
      <c r="O42" s="58" t="s">
        <v>293</v>
      </c>
      <c r="P42" s="83">
        <f ca="1">[1]!SRDIST(P34,P31,1)</f>
        <v>2.06298828125E-2</v>
      </c>
      <c r="Q42" s="84">
        <f ca="1">2*P42</f>
        <v>4.1259765625E-2</v>
      </c>
      <c r="R42" s="58"/>
      <c r="S42" s="59"/>
      <c r="T42" s="58"/>
      <c r="U42" s="76"/>
      <c r="V42" s="58"/>
      <c r="W42" s="58"/>
      <c r="X42" s="58"/>
      <c r="Y42" s="58"/>
      <c r="Z42" s="28"/>
      <c r="AA42" s="28"/>
      <c r="AB42" s="28"/>
      <c r="AD42" t="s">
        <v>293</v>
      </c>
      <c r="AE42" s="99">
        <f ca="1">[1]!SRDIST(AE34,AE31,1)</f>
        <v>1.0772705078125E-2</v>
      </c>
      <c r="AF42" s="100">
        <f ca="1">2*AE42</f>
        <v>2.154541015625E-2</v>
      </c>
      <c r="AH42" s="35"/>
      <c r="AS42" t="s">
        <v>293</v>
      </c>
      <c r="AT42" s="83">
        <f ca="1">[1]!SRDIST(AT34,AT31,1)</f>
        <v>0.28070068359375</v>
      </c>
      <c r="AU42" s="84">
        <f ca="1">2*AT42</f>
        <v>0.5614013671875</v>
      </c>
      <c r="AW42" s="35"/>
    </row>
    <row r="43" spans="1:49" x14ac:dyDescent="0.25">
      <c r="E43" s="58"/>
      <c r="F43" s="58"/>
      <c r="G43" s="58"/>
      <c r="H43" s="58"/>
      <c r="I43" s="58"/>
      <c r="J43" s="58"/>
      <c r="K43" s="58"/>
      <c r="L43" s="58"/>
      <c r="M43" s="58"/>
      <c r="N43" s="59"/>
      <c r="O43" s="58" t="s">
        <v>294</v>
      </c>
      <c r="P43" s="85" t="s">
        <v>295</v>
      </c>
      <c r="Q43" s="86" t="s">
        <v>295</v>
      </c>
      <c r="R43" s="58"/>
      <c r="S43" s="59"/>
      <c r="T43" s="58"/>
      <c r="U43" s="58"/>
      <c r="V43" s="58"/>
      <c r="W43" s="58"/>
      <c r="X43" s="58"/>
      <c r="Y43" s="58"/>
      <c r="Z43" s="28"/>
      <c r="AA43" s="28"/>
      <c r="AB43" s="28"/>
      <c r="AD43" t="s">
        <v>294</v>
      </c>
      <c r="AE43" s="75" t="s">
        <v>295</v>
      </c>
      <c r="AF43" s="53" t="s">
        <v>295</v>
      </c>
      <c r="AH43" s="35"/>
      <c r="AS43" t="s">
        <v>294</v>
      </c>
      <c r="AT43" s="75" t="s">
        <v>295</v>
      </c>
      <c r="AU43" s="53" t="s">
        <v>295</v>
      </c>
      <c r="AW43" s="35"/>
    </row>
    <row r="44" spans="1:49" x14ac:dyDescent="0.25">
      <c r="E44" s="58"/>
      <c r="F44" s="58"/>
      <c r="G44" s="58"/>
      <c r="H44" s="58"/>
      <c r="I44" s="58"/>
      <c r="J44" s="58"/>
      <c r="K44" s="58"/>
      <c r="L44" s="58"/>
      <c r="M44" s="58"/>
      <c r="N44" s="87"/>
      <c r="O44" s="58"/>
      <c r="P44" s="58"/>
      <c r="Q44" s="58"/>
      <c r="R44" s="58"/>
      <c r="S44" s="59"/>
      <c r="T44" s="58"/>
      <c r="U44" s="58"/>
      <c r="V44" s="58"/>
      <c r="W44" s="58"/>
      <c r="X44" s="58"/>
      <c r="Y44" s="58"/>
    </row>
    <row r="45" spans="1:49" x14ac:dyDescent="0.25">
      <c r="A45" s="57" t="s">
        <v>186</v>
      </c>
      <c r="B45" s="57"/>
      <c r="C45" s="57"/>
      <c r="E45" s="173" t="s">
        <v>297</v>
      </c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5"/>
    </row>
    <row r="46" spans="1:49" x14ac:dyDescent="0.25">
      <c r="A46" s="34" t="s">
        <v>182</v>
      </c>
      <c r="B46" s="34" t="s">
        <v>201</v>
      </c>
      <c r="C46" s="34" t="s">
        <v>202</v>
      </c>
      <c r="E46" s="164" t="s">
        <v>182</v>
      </c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73" t="s">
        <v>201</v>
      </c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5"/>
      <c r="AI46" s="164" t="s">
        <v>202</v>
      </c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AT46" s="164"/>
      <c r="AU46" s="164"/>
      <c r="AV46" s="164"/>
      <c r="AW46" s="164"/>
    </row>
    <row r="47" spans="1:49" x14ac:dyDescent="0.25">
      <c r="A47">
        <f ca="1">Performances!F4</f>
        <v>0.18912222319179112</v>
      </c>
      <c r="B47">
        <f ca="1">Performances!F28</f>
        <v>6.9600000000000009E-2</v>
      </c>
      <c r="C47">
        <f ca="1">Performances!F52</f>
        <v>0.12554444444444446</v>
      </c>
      <c r="E47" s="176" t="s">
        <v>265</v>
      </c>
      <c r="F47" s="176"/>
      <c r="G47" s="176"/>
      <c r="H47" s="176"/>
      <c r="I47" s="176"/>
      <c r="J47" s="176"/>
      <c r="K47" s="176"/>
      <c r="L47" s="176"/>
      <c r="M47" s="176"/>
      <c r="N47" s="177"/>
      <c r="O47" s="167" t="s">
        <v>266</v>
      </c>
      <c r="P47" s="168"/>
      <c r="Q47" s="168"/>
      <c r="R47" s="168"/>
      <c r="S47" s="169"/>
      <c r="T47" s="168" t="s">
        <v>265</v>
      </c>
      <c r="U47" s="168"/>
      <c r="V47" s="168"/>
      <c r="W47" s="168"/>
      <c r="X47" s="168"/>
      <c r="Y47" s="168"/>
      <c r="Z47" s="168"/>
      <c r="AA47" s="168"/>
      <c r="AB47" s="168"/>
      <c r="AC47" s="169"/>
      <c r="AD47" s="172" t="s">
        <v>266</v>
      </c>
      <c r="AE47" s="165"/>
      <c r="AF47" s="165"/>
      <c r="AG47" s="165"/>
      <c r="AH47" s="166"/>
      <c r="AI47" s="168" t="s">
        <v>265</v>
      </c>
      <c r="AJ47" s="168"/>
      <c r="AK47" s="168"/>
      <c r="AL47" s="168"/>
      <c r="AM47" s="168"/>
      <c r="AN47" s="168"/>
      <c r="AO47" s="168"/>
      <c r="AP47" s="168"/>
      <c r="AQ47" s="168"/>
      <c r="AR47" s="169"/>
      <c r="AS47" s="172" t="s">
        <v>266</v>
      </c>
      <c r="AT47" s="165"/>
      <c r="AU47" s="165"/>
      <c r="AV47" s="165"/>
      <c r="AW47" s="166"/>
    </row>
    <row r="48" spans="1:49" x14ac:dyDescent="0.25">
      <c r="A48">
        <f ca="1">Performances!F5</f>
        <v>0.12896666841374504</v>
      </c>
      <c r="B48">
        <f ca="1">Performances!F29</f>
        <v>6.8388888888888888E-2</v>
      </c>
      <c r="C48">
        <f ca="1">Performances!F53</f>
        <v>0.12944444444444445</v>
      </c>
      <c r="E48" s="58"/>
      <c r="F48" s="58"/>
      <c r="G48" s="58"/>
      <c r="H48" s="58"/>
      <c r="I48" s="58"/>
      <c r="J48" s="58"/>
      <c r="K48" s="58"/>
      <c r="L48" s="58"/>
      <c r="M48" s="58"/>
      <c r="N48" s="59"/>
      <c r="O48" s="58"/>
      <c r="P48" s="58"/>
      <c r="Q48" s="58"/>
      <c r="R48" s="58"/>
      <c r="S48" s="59"/>
      <c r="T48" s="58"/>
      <c r="U48" s="58"/>
      <c r="V48" s="58"/>
      <c r="W48" s="58"/>
      <c r="X48" s="58"/>
      <c r="Y48" s="58"/>
      <c r="Z48" s="28"/>
      <c r="AA48" s="28"/>
      <c r="AB48" s="28"/>
      <c r="AH48" s="35"/>
      <c r="AW48" s="35"/>
    </row>
    <row r="49" spans="1:49" ht="13.8" thickBot="1" x14ac:dyDescent="0.3">
      <c r="A49">
        <f ca="1">Performances!F6</f>
        <v>0.10931111127138138</v>
      </c>
      <c r="B49">
        <f ca="1">Performances!F30</f>
        <v>0.16007777777777779</v>
      </c>
      <c r="C49">
        <f ca="1">Performances!F54</f>
        <v>0.11051111111111112</v>
      </c>
      <c r="E49" s="58" t="s">
        <v>267</v>
      </c>
      <c r="F49" s="58"/>
      <c r="G49" s="58"/>
      <c r="H49" s="58" t="s">
        <v>219</v>
      </c>
      <c r="I49" s="58">
        <v>0.05</v>
      </c>
      <c r="J49" s="58"/>
      <c r="K49" s="58" t="s">
        <v>268</v>
      </c>
      <c r="L49" s="58">
        <v>0</v>
      </c>
      <c r="M49" s="58"/>
      <c r="N49" s="59"/>
      <c r="O49" s="58"/>
      <c r="P49" s="58" t="str">
        <f>A2</f>
        <v>Groupe 1</v>
      </c>
      <c r="Q49" s="58" t="str">
        <f>A46</f>
        <v>Groupe 1</v>
      </c>
      <c r="R49" s="58"/>
      <c r="S49" s="59"/>
      <c r="T49" s="58" t="s">
        <v>267</v>
      </c>
      <c r="U49" s="58"/>
      <c r="V49" s="58"/>
      <c r="W49" s="58" t="s">
        <v>219</v>
      </c>
      <c r="X49" s="58">
        <v>0.05</v>
      </c>
      <c r="Y49" s="58"/>
      <c r="Z49" s="28" t="s">
        <v>268</v>
      </c>
      <c r="AA49" s="28">
        <v>0</v>
      </c>
      <c r="AB49" s="28"/>
      <c r="AE49" s="66" t="str">
        <f>B2</f>
        <v>Groupe 2</v>
      </c>
      <c r="AF49" s="67" t="str">
        <f>B46</f>
        <v>Groupe 2</v>
      </c>
      <c r="AH49" s="35"/>
      <c r="AI49" t="s">
        <v>267</v>
      </c>
      <c r="AL49" t="s">
        <v>219</v>
      </c>
      <c r="AM49">
        <v>0.05</v>
      </c>
      <c r="AO49" t="s">
        <v>268</v>
      </c>
      <c r="AP49">
        <v>0</v>
      </c>
      <c r="AT49" t="str">
        <f>C2</f>
        <v>Groupe 3</v>
      </c>
      <c r="AU49" t="str">
        <f>C46</f>
        <v>Groupe 3</v>
      </c>
      <c r="AW49" s="35"/>
    </row>
    <row r="50" spans="1:49" ht="13.8" thickTop="1" x14ac:dyDescent="0.25">
      <c r="A50">
        <f ca="1">Performances!F7</f>
        <v>0.22275555464956495</v>
      </c>
      <c r="B50">
        <f ca="1">Performances!F31</f>
        <v>0.22434444444444443</v>
      </c>
      <c r="C50">
        <f ca="1">Performances!F55</f>
        <v>0.13743333333333335</v>
      </c>
      <c r="E50" s="60" t="s">
        <v>269</v>
      </c>
      <c r="F50" s="60" t="s">
        <v>225</v>
      </c>
      <c r="G50" s="60" t="s">
        <v>227</v>
      </c>
      <c r="H50" s="60" t="s">
        <v>270</v>
      </c>
      <c r="I50" s="60" t="s">
        <v>230</v>
      </c>
      <c r="J50" s="60" t="s">
        <v>271</v>
      </c>
      <c r="K50" s="60" t="s">
        <v>246</v>
      </c>
      <c r="L50" s="60" t="s">
        <v>272</v>
      </c>
      <c r="M50" s="60" t="s">
        <v>273</v>
      </c>
      <c r="N50" s="61"/>
      <c r="O50" s="62" t="s">
        <v>233</v>
      </c>
      <c r="P50" s="63">
        <f ca="1">MEDIAN(A3:A17)</f>
        <v>0.16578888893127441</v>
      </c>
      <c r="Q50" s="64">
        <f ca="1">MEDIAN(A47:A61)</f>
        <v>0.16645555529329512</v>
      </c>
      <c r="R50" s="62"/>
      <c r="S50" s="61"/>
      <c r="T50" s="65" t="s">
        <v>269</v>
      </c>
      <c r="U50" s="60" t="s">
        <v>225</v>
      </c>
      <c r="V50" s="60" t="s">
        <v>227</v>
      </c>
      <c r="W50" s="60" t="s">
        <v>270</v>
      </c>
      <c r="X50" s="60" t="s">
        <v>230</v>
      </c>
      <c r="Y50" s="60" t="s">
        <v>271</v>
      </c>
      <c r="Z50" s="37" t="s">
        <v>246</v>
      </c>
      <c r="AA50" s="37" t="s">
        <v>272</v>
      </c>
      <c r="AB50" s="37" t="s">
        <v>273</v>
      </c>
      <c r="AD50" t="s">
        <v>233</v>
      </c>
      <c r="AE50" s="66">
        <f ca="1">MEDIAN(B3:B17)</f>
        <v>0.17544444444444443</v>
      </c>
      <c r="AF50" s="67">
        <f ca="1">MEDIAN(B47:B61)</f>
        <v>0.11349999999999999</v>
      </c>
      <c r="AH50" s="35"/>
      <c r="AI50" s="68" t="s">
        <v>269</v>
      </c>
      <c r="AJ50" s="37" t="s">
        <v>225</v>
      </c>
      <c r="AK50" s="37" t="s">
        <v>227</v>
      </c>
      <c r="AL50" s="37" t="s">
        <v>270</v>
      </c>
      <c r="AM50" s="37" t="s">
        <v>230</v>
      </c>
      <c r="AN50" s="37" t="s">
        <v>271</v>
      </c>
      <c r="AO50" s="37" t="s">
        <v>246</v>
      </c>
      <c r="AP50" s="37" t="s">
        <v>272</v>
      </c>
      <c r="AQ50" s="37" t="s">
        <v>273</v>
      </c>
      <c r="AS50" t="s">
        <v>233</v>
      </c>
      <c r="AT50" s="66">
        <f ca="1">MEDIAN(C3:C17)</f>
        <v>0.11896666666666667</v>
      </c>
      <c r="AU50" s="67">
        <f ca="1">MEDIAN(C47:C61)</f>
        <v>0.12944444444444445</v>
      </c>
      <c r="AW50" s="35"/>
    </row>
    <row r="51" spans="1:49" x14ac:dyDescent="0.25">
      <c r="A51">
        <f ca="1">Performances!F8</f>
        <v>0.18469999896155465</v>
      </c>
      <c r="B51">
        <f ca="1">Performances!F32</f>
        <v>0.18293333333333334</v>
      </c>
      <c r="C51">
        <f ca="1">Performances!F56</f>
        <v>7.9111111111111104E-2</v>
      </c>
      <c r="E51" s="58" t="str">
        <f>A2</f>
        <v>Groupe 1</v>
      </c>
      <c r="F51" s="58">
        <f ca="1">COUNT(A3:A17)</f>
        <v>15</v>
      </c>
      <c r="G51" s="58">
        <f ca="1">AVERAGE(A3:A17)</f>
        <v>0.17913185213864952</v>
      </c>
      <c r="H51" s="58">
        <f ca="1">_xlfn.STDEV.S(A3:A17)</f>
        <v>7.4558133008146163E-2</v>
      </c>
      <c r="I51" s="58"/>
      <c r="J51" s="58"/>
      <c r="K51" s="58"/>
      <c r="L51" s="58"/>
      <c r="M51" s="58"/>
      <c r="N51" s="59"/>
      <c r="O51" s="58"/>
      <c r="P51" s="58"/>
      <c r="Q51" s="58"/>
      <c r="R51" s="58"/>
      <c r="S51" s="59"/>
      <c r="T51" s="58" t="str">
        <f>B2</f>
        <v>Groupe 2</v>
      </c>
      <c r="U51" s="58">
        <f ca="1">COUNT(B3:B17)</f>
        <v>15</v>
      </c>
      <c r="V51" s="58">
        <f ca="1">AVERAGE(B3:B17)</f>
        <v>0.17888666666666664</v>
      </c>
      <c r="W51" s="58">
        <f ca="1">_xlfn.STDEV.S(B3:B17)</f>
        <v>6.1536442680559439E-2</v>
      </c>
      <c r="X51" s="58"/>
      <c r="Y51" s="58"/>
      <c r="Z51" s="28"/>
      <c r="AA51" s="28"/>
      <c r="AB51" s="28"/>
      <c r="AD51" t="s">
        <v>237</v>
      </c>
      <c r="AE51" s="47">
        <f ca="1">SUMPRODUCT(--ISNUMBER(B25:B39),--ISNUMBER(B44:B58))</f>
        <v>12</v>
      </c>
      <c r="AH51" s="35"/>
      <c r="AI51" t="str">
        <f>C2</f>
        <v>Groupe 3</v>
      </c>
      <c r="AJ51">
        <f ca="1">COUNT(C3:C17)</f>
        <v>15</v>
      </c>
      <c r="AK51">
        <f ca="1">AVERAGE(C3:C17)</f>
        <v>0.13296666666666665</v>
      </c>
      <c r="AL51">
        <f ca="1">_xlfn.STDEV.S(C3:C17)</f>
        <v>5.3118406884166053E-2</v>
      </c>
      <c r="AW51" s="35"/>
    </row>
    <row r="52" spans="1:49" x14ac:dyDescent="0.25">
      <c r="A52">
        <f ca="1">Performances!F9</f>
        <v>0.17569999893506369</v>
      </c>
      <c r="B52">
        <f ca="1">Performances!F33</f>
        <v>0.11022222222222224</v>
      </c>
      <c r="C52">
        <f ca="1">Performances!F57</f>
        <v>0.18578888888888889</v>
      </c>
      <c r="E52" s="58" t="str">
        <f>A46</f>
        <v>Groupe 1</v>
      </c>
      <c r="F52" s="58">
        <f ca="1">COUNT(A47:A61)</f>
        <v>15</v>
      </c>
      <c r="G52" s="58">
        <f ca="1">AVERAGE(A47:A61)</f>
        <v>0.14920962957872286</v>
      </c>
      <c r="H52" s="58">
        <f ca="1">_xlfn.STDEV.S(A47:A61)</f>
        <v>6.8060091111882604E-2</v>
      </c>
      <c r="I52" s="58"/>
      <c r="J52" s="58"/>
      <c r="K52" s="58"/>
      <c r="L52" s="58"/>
      <c r="M52" s="58"/>
      <c r="N52" s="59"/>
      <c r="O52" s="58" t="s">
        <v>237</v>
      </c>
      <c r="P52" s="69">
        <f ca="1">SUMPRODUCT(--ISNUMBER(A3:A17),--ISNUMBER(A47:A61))</f>
        <v>15</v>
      </c>
      <c r="Q52" s="58"/>
      <c r="R52" s="58"/>
      <c r="S52" s="59"/>
      <c r="T52" s="58" t="str">
        <f>B46</f>
        <v>Groupe 2</v>
      </c>
      <c r="U52" s="58">
        <f ca="1">COUNT(B47:B61)</f>
        <v>15</v>
      </c>
      <c r="V52" s="58">
        <f ca="1">AVERAGE(B47:B61)</f>
        <v>0.15113925925925925</v>
      </c>
      <c r="W52" s="58">
        <f ca="1">_xlfn.STDEV.S(B47:B61)</f>
        <v>9.1939701490544826E-2</v>
      </c>
      <c r="X52" s="58"/>
      <c r="Y52" s="58"/>
      <c r="Z52" s="28"/>
      <c r="AA52" s="28"/>
      <c r="AB52" s="28"/>
      <c r="AD52" t="s">
        <v>237</v>
      </c>
      <c r="AE52" s="47">
        <f ca="1">SUMPRODUCT(--ISNUMBER(B3:B17),--ISNUMBER(B47:B61))</f>
        <v>15</v>
      </c>
      <c r="AH52" s="35"/>
      <c r="AI52" t="str">
        <f>C46</f>
        <v>Groupe 3</v>
      </c>
      <c r="AJ52">
        <f ca="1">COUNT(C47:C61)</f>
        <v>15</v>
      </c>
      <c r="AK52">
        <f ca="1">AVERAGE(C47:C61)</f>
        <v>0.12609111111111113</v>
      </c>
      <c r="AL52">
        <f ca="1">_xlfn.STDEV.S(C47:C61)</f>
        <v>3.2551548374651872E-2</v>
      </c>
      <c r="AS52" t="s">
        <v>237</v>
      </c>
      <c r="AT52" s="47">
        <f ca="1">SUMPRODUCT(--ISNUMBER(C3:C17),--ISNUMBER(C47:C61))</f>
        <v>15</v>
      </c>
      <c r="AW52" s="35"/>
    </row>
    <row r="53" spans="1:49" x14ac:dyDescent="0.25">
      <c r="A53">
        <f ca="1">Performances!F10</f>
        <v>0.12896666758590275</v>
      </c>
      <c r="B53">
        <f ca="1">Performances!F34</f>
        <v>0.1658222222222222</v>
      </c>
      <c r="C53">
        <f ca="1">Performances!F58</f>
        <v>0.13974444444444442</v>
      </c>
      <c r="E53" s="70" t="s">
        <v>274</v>
      </c>
      <c r="F53" s="70">
        <f ca="1">F52</f>
        <v>15</v>
      </c>
      <c r="G53" s="70">
        <f ca="1">G51-G52</f>
        <v>2.9922222559926659E-2</v>
      </c>
      <c r="H53" s="70">
        <f t="array" aca="1" ref="H53" ca="1">_xlfn.STDEV.S(A3:A17-A47:A61)</f>
        <v>7.5636043943036288E-2</v>
      </c>
      <c r="I53" s="70">
        <f ca="1">H53/SQRT(F53)</f>
        <v>1.952914257095946E-2</v>
      </c>
      <c r="J53" s="70">
        <f ca="1">(G51-G52-L49)/I53</f>
        <v>1.5321831181888181</v>
      </c>
      <c r="K53" s="70">
        <f ca="1">F53-1</f>
        <v>14</v>
      </c>
      <c r="L53" s="70">
        <f ca="1">ABS(G51-G52-L49)/H53</f>
        <v>0.39560798000569619</v>
      </c>
      <c r="M53" s="70">
        <f ca="1">SQRT(J53^2/(J53^2+K53))</f>
        <v>0.37895170847895382</v>
      </c>
      <c r="N53" s="59"/>
      <c r="O53" s="58" t="s">
        <v>275</v>
      </c>
      <c r="P53" s="71">
        <f ca="1">SUMPRODUCT(--ISNUMBER(A3:A17),--ISNUMBER(A47:A61),--(A3:A17&lt;&gt;A47:A61))</f>
        <v>15</v>
      </c>
      <c r="Q53" s="58"/>
      <c r="R53" s="58"/>
      <c r="S53" s="59"/>
      <c r="T53" s="72" t="s">
        <v>274</v>
      </c>
      <c r="U53" s="70">
        <f ca="1">U52</f>
        <v>15</v>
      </c>
      <c r="V53" s="70">
        <f ca="1">V51-V52</f>
        <v>2.7747407407407387E-2</v>
      </c>
      <c r="W53" s="70">
        <f t="array" aca="1" ref="W53" ca="1">_xlfn.STDEV.S(B3:B17-B47:B61)</f>
        <v>0.10257022504816644</v>
      </c>
      <c r="X53" s="70">
        <f ca="1">W53/SQRT(U53)</f>
        <v>2.6483518228553032E-2</v>
      </c>
      <c r="Y53" s="70">
        <f ca="1">(V51-V52-AA49)/X53</f>
        <v>1.0477236131524135</v>
      </c>
      <c r="Z53" s="32">
        <f ca="1">U53-1</f>
        <v>14</v>
      </c>
      <c r="AA53" s="32">
        <f ca="1">ABS(V51-V52-AA49)/W53</f>
        <v>0.27052107367783729</v>
      </c>
      <c r="AB53" s="32">
        <f ca="1">SQRT(Y53^2/(Y53^2+Z53))</f>
        <v>0.26964413596630349</v>
      </c>
      <c r="AD53" t="s">
        <v>275</v>
      </c>
      <c r="AE53" s="54">
        <f ca="1">SUMPRODUCT(--ISNUMBER(B3:B17),--ISNUMBER(B47:B61),--(B3:B17&lt;&gt;B47:B61))</f>
        <v>15</v>
      </c>
      <c r="AH53" s="35"/>
      <c r="AI53" s="73" t="s">
        <v>274</v>
      </c>
      <c r="AJ53" s="32">
        <f ca="1">AJ52</f>
        <v>15</v>
      </c>
      <c r="AK53" s="32">
        <f ca="1">AK51-AK52</f>
        <v>6.8755555555555237E-3</v>
      </c>
      <c r="AL53" s="32">
        <f t="array" aca="1" ref="AL53" ca="1">_xlfn.STDEV.S(C3:C17-C47:C61)</f>
        <v>5.5665008878144254E-2</v>
      </c>
      <c r="AM53" s="32">
        <f ca="1">AL53/SQRT(AJ53)</f>
        <v>1.4372643490102713E-2</v>
      </c>
      <c r="AN53" s="32">
        <f ca="1">(AK51-AK52-AP49)/AM53</f>
        <v>0.47837793794093392</v>
      </c>
      <c r="AO53" s="32">
        <f ca="1">AJ53-1</f>
        <v>14</v>
      </c>
      <c r="AP53" s="32">
        <f ca="1">ABS(AK51-AK52-AP49)/AL53</f>
        <v>0.12351665245588549</v>
      </c>
      <c r="AQ53" s="32">
        <f ca="1">SQRT(AN53^2/(AN53^2+AO53))</f>
        <v>0.12681958022167106</v>
      </c>
      <c r="AS53" t="s">
        <v>275</v>
      </c>
      <c r="AT53" s="54">
        <f ca="1">SUMPRODUCT(--ISNUMBER(C3:C17),--ISNUMBER(C47:C61),--(C3:C17&lt;&gt;C47:C61))</f>
        <v>15</v>
      </c>
      <c r="AW53" s="35"/>
    </row>
    <row r="54" spans="1:49" x14ac:dyDescent="0.25">
      <c r="A54">
        <f ca="1">Performances!F11</f>
        <v>0.1787777774863773</v>
      </c>
      <c r="B54">
        <f ca="1">Performances!F35</f>
        <v>0.11312222222222225</v>
      </c>
      <c r="C54">
        <f ca="1">Performances!F59</f>
        <v>0.14655555555555555</v>
      </c>
      <c r="E54" s="58"/>
      <c r="F54" s="58"/>
      <c r="G54" s="58"/>
      <c r="H54" s="58"/>
      <c r="I54" s="58"/>
      <c r="J54" s="58"/>
      <c r="K54" s="58"/>
      <c r="L54" s="58"/>
      <c r="M54" s="58"/>
      <c r="N54" s="59"/>
      <c r="O54" s="58" t="s">
        <v>276</v>
      </c>
      <c r="P54" s="71">
        <f ca="1">IF(P56&lt;=P59,P56,P53*(P53+1)/2)</f>
        <v>36</v>
      </c>
      <c r="Q54" s="58"/>
      <c r="R54" s="58"/>
      <c r="S54" s="59"/>
      <c r="T54" s="58"/>
      <c r="U54" s="58"/>
      <c r="V54" s="58"/>
      <c r="W54" s="58"/>
      <c r="X54" s="58"/>
      <c r="Y54" s="58"/>
      <c r="Z54" s="28"/>
      <c r="AA54" s="28"/>
      <c r="AB54" s="28"/>
      <c r="AD54" t="s">
        <v>276</v>
      </c>
      <c r="AE54" s="54">
        <f ca="1">IF(AE56&lt;=AE59,AE56,AE53*(AE53+1)/2)</f>
        <v>23</v>
      </c>
      <c r="AH54" s="35"/>
      <c r="AS54" t="s">
        <v>276</v>
      </c>
      <c r="AT54" s="54">
        <f ca="1">IF(AT56&lt;=AT59,AT56,AT53*(AT53+1)/2)</f>
        <v>57</v>
      </c>
      <c r="AW54" s="35"/>
    </row>
    <row r="55" spans="1:49" ht="13.8" thickBot="1" x14ac:dyDescent="0.3">
      <c r="A55">
        <f ca="1">Performances!F12</f>
        <v>0.29465555482440525</v>
      </c>
      <c r="B55">
        <f ca="1">Performances!F36</f>
        <v>9.6277777777777782E-2</v>
      </c>
      <c r="C55">
        <f ca="1">Performances!F60</f>
        <v>0.14705555555555558</v>
      </c>
      <c r="E55" s="58" t="s">
        <v>277</v>
      </c>
      <c r="F55" s="58"/>
      <c r="G55" s="58"/>
      <c r="H55" s="58"/>
      <c r="I55" s="58"/>
      <c r="J55" s="58"/>
      <c r="K55" s="58"/>
      <c r="L55" s="58"/>
      <c r="M55" s="58"/>
      <c r="N55" s="59"/>
      <c r="O55" s="58" t="s">
        <v>278</v>
      </c>
      <c r="P55" s="71">
        <f ca="1">P53*(P53+1)/2-P54</f>
        <v>84</v>
      </c>
      <c r="Q55" s="58"/>
      <c r="R55" s="58"/>
      <c r="S55" s="59"/>
      <c r="T55" s="58" t="s">
        <v>277</v>
      </c>
      <c r="U55" s="58"/>
      <c r="V55" s="58"/>
      <c r="W55" s="58"/>
      <c r="X55" s="58"/>
      <c r="Y55" s="58"/>
      <c r="Z55" s="28"/>
      <c r="AA55" s="28"/>
      <c r="AB55" s="28"/>
      <c r="AD55" t="s">
        <v>278</v>
      </c>
      <c r="AE55" s="75">
        <f ca="1">AE53*(AE53+1)/2-AE54</f>
        <v>97</v>
      </c>
      <c r="AH55" s="35"/>
      <c r="AI55" t="s">
        <v>277</v>
      </c>
      <c r="AS55" t="s">
        <v>278</v>
      </c>
      <c r="AT55" s="54">
        <f ca="1">AT53*(AT53+1)/2-AT54</f>
        <v>63</v>
      </c>
      <c r="AW55" s="35"/>
    </row>
    <row r="56" spans="1:49" ht="13.8" thickTop="1" x14ac:dyDescent="0.25">
      <c r="A56">
        <f ca="1">Performances!F13</f>
        <v>8.4266666736867696E-2</v>
      </c>
      <c r="B56">
        <f ca="1">Performances!F37</f>
        <v>0.11349999999999999</v>
      </c>
      <c r="C56">
        <f ca="1">Performances!F61</f>
        <v>9.9900000000000003E-2</v>
      </c>
      <c r="E56" s="60" t="s">
        <v>133</v>
      </c>
      <c r="F56" s="60" t="s">
        <v>208</v>
      </c>
      <c r="G56" s="60" t="s">
        <v>279</v>
      </c>
      <c r="H56" s="60" t="s">
        <v>280</v>
      </c>
      <c r="I56" s="60" t="s">
        <v>281</v>
      </c>
      <c r="J56" s="60" t="s">
        <v>256</v>
      </c>
      <c r="K56" s="58"/>
      <c r="L56" s="58"/>
      <c r="M56" s="58"/>
      <c r="N56" s="61"/>
      <c r="O56" s="62" t="s">
        <v>282</v>
      </c>
      <c r="P56" s="74">
        <f ca="1">[1]!SRANK(A3:A17,A47:A61)</f>
        <v>36</v>
      </c>
      <c r="Q56" s="62"/>
      <c r="R56" s="62"/>
      <c r="S56" s="59"/>
      <c r="T56" s="65" t="s">
        <v>133</v>
      </c>
      <c r="U56" s="60" t="s">
        <v>208</v>
      </c>
      <c r="V56" s="60" t="s">
        <v>279</v>
      </c>
      <c r="W56" s="60" t="s">
        <v>280</v>
      </c>
      <c r="X56" s="60" t="s">
        <v>281</v>
      </c>
      <c r="Y56" s="60" t="s">
        <v>256</v>
      </c>
      <c r="Z56" s="28"/>
      <c r="AA56" s="28"/>
      <c r="AB56" s="28"/>
      <c r="AD56" t="s">
        <v>282</v>
      </c>
      <c r="AE56" s="75">
        <f ca="1">[1]!SRANK(B3:B17,B47:B61)</f>
        <v>23</v>
      </c>
      <c r="AH56" s="35"/>
      <c r="AI56" s="68" t="s">
        <v>133</v>
      </c>
      <c r="AJ56" s="37" t="s">
        <v>208</v>
      </c>
      <c r="AK56" s="37" t="s">
        <v>279</v>
      </c>
      <c r="AL56" s="37" t="s">
        <v>280</v>
      </c>
      <c r="AM56" s="37" t="s">
        <v>281</v>
      </c>
      <c r="AN56" s="37" t="s">
        <v>256</v>
      </c>
      <c r="AS56" t="s">
        <v>282</v>
      </c>
      <c r="AT56" s="75">
        <f ca="1">[1]!SRANK(C3:C17,C47:C61)</f>
        <v>57</v>
      </c>
      <c r="AW56" s="35"/>
    </row>
    <row r="57" spans="1:49" x14ac:dyDescent="0.25">
      <c r="A57">
        <f ca="1">Performances!F14</f>
        <v>5.8533332828018397E-2</v>
      </c>
      <c r="B57">
        <f ca="1">Performances!F38</f>
        <v>0.42844444444444441</v>
      </c>
      <c r="C57">
        <f ca="1">Performances!F62</f>
        <v>0.11752222222222224</v>
      </c>
      <c r="E57" s="58" t="s">
        <v>283</v>
      </c>
      <c r="F57" s="101">
        <f ca="1">_xlfn.T.DIST.RT(ABS(J53),K53)</f>
        <v>7.387936524586447E-2</v>
      </c>
      <c r="G57" s="58">
        <f ca="1">_xlfn.T.INV.2T(I49*2,K53)</f>
        <v>1.7613101357748921</v>
      </c>
      <c r="H57" s="58"/>
      <c r="I57" s="58"/>
      <c r="J57" s="77" t="str">
        <f ca="1">IF(F57&lt;I49,"yes","no")</f>
        <v>no</v>
      </c>
      <c r="K57" s="58"/>
      <c r="L57" s="58"/>
      <c r="M57" s="58"/>
      <c r="N57" s="59"/>
      <c r="O57" s="76"/>
      <c r="P57" s="58"/>
      <c r="Q57" s="58"/>
      <c r="R57" s="58"/>
      <c r="S57" s="59"/>
      <c r="T57" s="58" t="s">
        <v>283</v>
      </c>
      <c r="U57" s="76">
        <f ca="1">_xlfn.T.DIST.RT(ABS(Y53),Z53)</f>
        <v>0.15625898421053105</v>
      </c>
      <c r="V57" s="58">
        <f ca="1">_xlfn.T.INV.2T(X49*2,Z53)</f>
        <v>1.7613101357748921</v>
      </c>
      <c r="W57" s="58"/>
      <c r="X57" s="58"/>
      <c r="Y57" s="77" t="str">
        <f ca="1">IF(U57&lt;X49,"yes","no")</f>
        <v>no</v>
      </c>
      <c r="Z57" s="28"/>
      <c r="AA57" s="28"/>
      <c r="AB57" s="28"/>
      <c r="AE57" s="79" t="s">
        <v>285</v>
      </c>
      <c r="AF57" s="79" t="s">
        <v>286</v>
      </c>
      <c r="AH57" s="35"/>
      <c r="AI57" t="s">
        <v>283</v>
      </c>
      <c r="AJ57" s="97">
        <f ca="1">_xlfn.T.DIST.RT(ABS(AN53),AO53)</f>
        <v>0.31988280332872399</v>
      </c>
      <c r="AK57">
        <f ca="1">_xlfn.T.INV.2T(AM49*2,AO53)</f>
        <v>1.7613101357748921</v>
      </c>
      <c r="AN57" s="79" t="str">
        <f ca="1">IF(AJ57&lt;AM49,"yes","no")</f>
        <v>no</v>
      </c>
      <c r="AW57" s="35"/>
    </row>
    <row r="58" spans="1:49" x14ac:dyDescent="0.25">
      <c r="A58">
        <f ca="1">Performances!F15</f>
        <v>0.16645555529329512</v>
      </c>
      <c r="B58">
        <f ca="1">Performances!F39</f>
        <v>9.2044444444444443E-2</v>
      </c>
      <c r="C58">
        <f ca="1">Performances!F63</f>
        <v>8.9633333333333329E-2</v>
      </c>
      <c r="E58" s="58" t="s">
        <v>284</v>
      </c>
      <c r="F58" s="130">
        <f ca="1">_xlfn.T.DIST.2T(ABS(J53),K53)</f>
        <v>0.14775873049172894</v>
      </c>
      <c r="G58" s="77">
        <f ca="1">_xlfn.T.INV.2T(I49,K53)</f>
        <v>2.1447866879178044</v>
      </c>
      <c r="H58" s="58">
        <f ca="1">(G51-G52)-I53*G58</f>
        <v>-1.1963622452716073E-2</v>
      </c>
      <c r="I58" s="58">
        <f ca="1">(G51-G52)+I53*G58</f>
        <v>7.1808067572569384E-2</v>
      </c>
      <c r="J58" s="77" t="str">
        <f ca="1">IF(F58&lt;I49,"yes","no")</f>
        <v>no</v>
      </c>
      <c r="K58" s="58"/>
      <c r="L58" s="58"/>
      <c r="M58" s="58"/>
      <c r="N58" s="59"/>
      <c r="O58" s="76"/>
      <c r="P58" s="77" t="s">
        <v>285</v>
      </c>
      <c r="Q58" s="77" t="s">
        <v>286</v>
      </c>
      <c r="R58" s="58"/>
      <c r="S58" s="59"/>
      <c r="T58" s="58" t="s">
        <v>284</v>
      </c>
      <c r="U58" s="80">
        <f ca="1">_xlfn.T.DIST.2T(ABS(Y53),Z53)</f>
        <v>0.31251796842106211</v>
      </c>
      <c r="V58" s="77">
        <f ca="1">_xlfn.T.INV.2T(X49,Z53)</f>
        <v>2.1447866879178044</v>
      </c>
      <c r="W58" s="58">
        <f ca="1">(V51-V52)-X53*V58</f>
        <v>-2.9054089938421665E-2</v>
      </c>
      <c r="X58" s="58">
        <f ca="1">(V51-V52)+X53*V58</f>
        <v>8.454890475323644E-2</v>
      </c>
      <c r="Y58" s="77" t="str">
        <f ca="1">IF(U58&lt;X49,"yes","no")</f>
        <v>no</v>
      </c>
      <c r="Z58" s="28"/>
      <c r="AA58" s="28"/>
      <c r="AB58" s="28"/>
      <c r="AD58" t="s">
        <v>223</v>
      </c>
      <c r="AE58" s="90" t="s">
        <v>285</v>
      </c>
      <c r="AF58" s="79" t="s">
        <v>286</v>
      </c>
      <c r="AH58" s="35"/>
      <c r="AI58" t="s">
        <v>284</v>
      </c>
      <c r="AJ58" s="97">
        <f ca="1">_xlfn.T.DIST.2T(ABS(AN53),AO53)</f>
        <v>0.63976560665744797</v>
      </c>
      <c r="AK58">
        <f ca="1">_xlfn.T.INV.2T(AM49,AO53)</f>
        <v>2.1447866879178044</v>
      </c>
      <c r="AL58">
        <f ca="1">(AK51-AK52)-AM53*AK58</f>
        <v>-2.3950698872205266E-2</v>
      </c>
      <c r="AM58">
        <f ca="1">(AK51-AK52)+AM53*AK58</f>
        <v>3.7701809983316313E-2</v>
      </c>
      <c r="AN58" s="79" t="str">
        <f ca="1">IF(AJ58&lt;AM49,"yes","no")</f>
        <v>no</v>
      </c>
      <c r="AT58" s="79" t="s">
        <v>285</v>
      </c>
      <c r="AU58" s="79" t="s">
        <v>286</v>
      </c>
      <c r="AW58" s="35"/>
    </row>
    <row r="59" spans="1:49" x14ac:dyDescent="0.25">
      <c r="A59">
        <f ca="1">Performances!F16</f>
        <v>0.19798888928360409</v>
      </c>
      <c r="B59">
        <f ca="1">Performances!F40</f>
        <v>0.22915555555555558</v>
      </c>
      <c r="C59">
        <f ca="1">Performances!F64</f>
        <v>0.13005555555555556</v>
      </c>
      <c r="E59" s="70"/>
      <c r="F59" s="70"/>
      <c r="G59" s="70"/>
      <c r="H59" s="70"/>
      <c r="I59" s="70"/>
      <c r="J59" s="70"/>
      <c r="K59" s="58"/>
      <c r="L59" s="58"/>
      <c r="M59" s="58"/>
      <c r="N59" s="59"/>
      <c r="O59" s="58" t="s">
        <v>223</v>
      </c>
      <c r="P59" s="69">
        <f ca="1">P53*(P53+1)/4</f>
        <v>60</v>
      </c>
      <c r="Q59" s="58"/>
      <c r="R59" s="58"/>
      <c r="S59" s="59"/>
      <c r="T59" s="72"/>
      <c r="U59" s="70"/>
      <c r="V59" s="70"/>
      <c r="W59" s="70"/>
      <c r="X59" s="70"/>
      <c r="Y59" s="70"/>
      <c r="Z59" s="28"/>
      <c r="AA59" s="28"/>
      <c r="AB59" s="28"/>
      <c r="AD59" t="s">
        <v>223</v>
      </c>
      <c r="AE59" s="47">
        <f ca="1">AE53*(AE53+1)/4</f>
        <v>60</v>
      </c>
      <c r="AF59" t="s">
        <v>288</v>
      </c>
      <c r="AH59" s="35"/>
      <c r="AI59" s="73"/>
      <c r="AJ59" s="32"/>
      <c r="AK59" s="32"/>
      <c r="AL59" s="32"/>
      <c r="AM59" s="32"/>
      <c r="AN59" s="32"/>
      <c r="AS59" t="s">
        <v>223</v>
      </c>
      <c r="AT59" s="47">
        <f ca="1">AT53*(AT53+1)/4</f>
        <v>60</v>
      </c>
      <c r="AW59" s="35"/>
    </row>
    <row r="60" spans="1:49" x14ac:dyDescent="0.25">
      <c r="A60">
        <f ca="1">Performances!F17</f>
        <v>5.4244444188144475E-2</v>
      </c>
      <c r="B60">
        <f ca="1">Performances!F41</f>
        <v>9.6966666666666673E-2</v>
      </c>
      <c r="C60">
        <f ca="1">Performances!F65</f>
        <v>0.17912222222222224</v>
      </c>
      <c r="E60" s="58"/>
      <c r="F60" s="58"/>
      <c r="G60" s="58"/>
      <c r="H60" s="58"/>
      <c r="I60" s="58"/>
      <c r="J60" s="58"/>
      <c r="K60" s="58"/>
      <c r="L60" s="58"/>
      <c r="M60" s="58"/>
      <c r="N60" s="59"/>
      <c r="O60" s="58" t="s">
        <v>287</v>
      </c>
      <c r="P60" s="71">
        <f ca="1">SQRT(P59*(2*P53+1)/6-[1]!TiesCorrection(A3:A17,A47:A61,1)/48)</f>
        <v>17.606816861659009</v>
      </c>
      <c r="Q60" s="58" t="s">
        <v>288</v>
      </c>
      <c r="R60" s="58"/>
      <c r="S60" s="59"/>
      <c r="T60" s="58"/>
      <c r="U60" s="58"/>
      <c r="V60" s="58"/>
      <c r="W60" s="58"/>
      <c r="X60" s="58"/>
      <c r="Y60" s="58"/>
      <c r="Z60" s="28"/>
      <c r="AA60" s="28"/>
      <c r="AB60" s="28"/>
      <c r="AD60" t="s">
        <v>287</v>
      </c>
      <c r="AE60" s="54">
        <f ca="1">SQRT(AE59*(2*AE53+1)/6-[1]!TiesCorrection(B3:B17,B47:B61,1)/48)</f>
        <v>17.606816861659009</v>
      </c>
      <c r="AF60" t="s">
        <v>288</v>
      </c>
      <c r="AH60" s="35"/>
      <c r="AS60" t="s">
        <v>287</v>
      </c>
      <c r="AT60" s="54">
        <f ca="1">SQRT(AT59*(2*AT53+1)/6-[1]!TiesCorrection(C3:C17,C47:C61,1)/48)</f>
        <v>17.606816861659009</v>
      </c>
      <c r="AU60" t="s">
        <v>288</v>
      </c>
      <c r="AW60" s="35"/>
    </row>
    <row r="61" spans="1:49" x14ac:dyDescent="0.25">
      <c r="A61">
        <f ca="1">Performances!F18</f>
        <v>6.3700000031126872E-2</v>
      </c>
      <c r="B61">
        <f ca="1">Performances!F42</f>
        <v>0.1161888888888889</v>
      </c>
      <c r="C61">
        <f ca="1">Performances!F66</f>
        <v>7.3944444444444438E-2</v>
      </c>
      <c r="E61" s="58"/>
      <c r="F61" s="58"/>
      <c r="G61" s="58"/>
      <c r="H61" s="58"/>
      <c r="I61" s="58"/>
      <c r="J61" s="58"/>
      <c r="K61" s="58"/>
      <c r="L61" s="58"/>
      <c r="M61" s="58"/>
      <c r="N61" s="59"/>
      <c r="O61" s="58" t="s">
        <v>289</v>
      </c>
      <c r="P61" s="71">
        <f ca="1">ABS(ABS(P56-P59)-1/2)/P60</f>
        <v>1.3347103104806024</v>
      </c>
      <c r="Q61" s="58" t="s">
        <v>290</v>
      </c>
      <c r="R61" s="58"/>
      <c r="S61" s="59"/>
      <c r="T61" s="58"/>
      <c r="U61" s="58"/>
      <c r="V61" s="58"/>
      <c r="W61" s="58"/>
      <c r="X61" s="58"/>
      <c r="Y61" s="58"/>
      <c r="Z61" s="28"/>
      <c r="AA61" s="28"/>
      <c r="AB61" s="28"/>
      <c r="AD61" t="s">
        <v>289</v>
      </c>
      <c r="AE61" s="54">
        <f ca="1">ABS(ABS(AE56-AE59)-1/2)/AE60</f>
        <v>2.0730606950017867</v>
      </c>
      <c r="AF61" t="s">
        <v>290</v>
      </c>
      <c r="AH61" s="35"/>
      <c r="AS61" t="s">
        <v>289</v>
      </c>
      <c r="AT61" s="54">
        <f ca="1">ABS(ABS(AT56-AT59)-1/2)/AT60</f>
        <v>0.1419904585617662</v>
      </c>
      <c r="AU61" t="s">
        <v>290</v>
      </c>
      <c r="AW61" s="35"/>
    </row>
    <row r="62" spans="1:49" x14ac:dyDescent="0.25">
      <c r="E62" s="58"/>
      <c r="F62" s="58"/>
      <c r="G62" s="58"/>
      <c r="H62" s="58"/>
      <c r="I62" s="58"/>
      <c r="J62" s="58"/>
      <c r="K62" s="58"/>
      <c r="L62" s="58"/>
      <c r="M62" s="58"/>
      <c r="N62" s="59"/>
      <c r="O62" s="58" t="s">
        <v>291</v>
      </c>
      <c r="P62" s="71">
        <f ca="1">P61/SQRT(2*P52)</f>
        <v>0.24368364826164995</v>
      </c>
      <c r="Q62" s="58"/>
      <c r="R62" s="58"/>
      <c r="S62" s="59"/>
      <c r="T62" s="58"/>
      <c r="U62" s="58"/>
      <c r="V62" s="58"/>
      <c r="W62" s="58"/>
      <c r="X62" s="58"/>
      <c r="Y62" s="58"/>
      <c r="Z62" s="28"/>
      <c r="AA62" s="28"/>
      <c r="AB62" s="28"/>
      <c r="AD62" t="s">
        <v>291</v>
      </c>
      <c r="AE62" s="91">
        <f ca="1">AE61/SQRT(2*AE52)</f>
        <v>0.37848736857660525</v>
      </c>
      <c r="AF62" s="92">
        <f ca="1">2*AE62</f>
        <v>0.75697473715321051</v>
      </c>
      <c r="AH62" s="35"/>
      <c r="AS62" t="s">
        <v>291</v>
      </c>
      <c r="AT62" s="54">
        <f ca="1">AT61/SQRT(2*AT52)</f>
        <v>2.5923792368260631E-2</v>
      </c>
      <c r="AW62" s="35"/>
    </row>
    <row r="63" spans="1:49" x14ac:dyDescent="0.25">
      <c r="A63" s="57" t="s">
        <v>187</v>
      </c>
      <c r="B63" s="57"/>
      <c r="C63" s="57"/>
      <c r="E63" s="76"/>
      <c r="F63" s="76"/>
      <c r="G63" s="58"/>
      <c r="H63" s="58"/>
      <c r="I63" s="58"/>
      <c r="J63" s="58"/>
      <c r="K63" s="58"/>
      <c r="L63" s="58"/>
      <c r="M63" s="58"/>
      <c r="N63" s="59"/>
      <c r="O63" s="58" t="s">
        <v>292</v>
      </c>
      <c r="P63" s="81">
        <f ca="1">1-_xlfn.NORM.S.DIST(P61,TRUE)</f>
        <v>9.0985588861527078E-2</v>
      </c>
      <c r="Q63" s="82">
        <f ca="1">2*P63</f>
        <v>0.18197117772305416</v>
      </c>
      <c r="R63" s="58"/>
      <c r="S63" s="59"/>
      <c r="T63" s="58"/>
      <c r="U63" s="76"/>
      <c r="V63" s="58"/>
      <c r="W63" s="58"/>
      <c r="X63" s="58"/>
      <c r="Y63" s="58"/>
      <c r="Z63" s="28"/>
      <c r="AA63" s="28"/>
      <c r="AB63" s="28"/>
      <c r="AD63" t="s">
        <v>292</v>
      </c>
      <c r="AE63" s="93">
        <f ca="1">1-_xlfn.NORM.S.DIST(AE61,TRUE)</f>
        <v>1.9083315666781342E-2</v>
      </c>
      <c r="AF63" s="94">
        <f ca="1">2*AE63</f>
        <v>3.8166631333562684E-2</v>
      </c>
      <c r="AH63" s="35"/>
      <c r="AS63" t="s">
        <v>292</v>
      </c>
      <c r="AT63" s="81">
        <f ca="1">1-_xlfn.NORM.S.DIST(AT61,TRUE)</f>
        <v>0.44354377114474008</v>
      </c>
      <c r="AU63" s="82">
        <f ca="1">2*AT63</f>
        <v>0.88708754228948017</v>
      </c>
      <c r="AW63" s="35"/>
    </row>
    <row r="64" spans="1:49" x14ac:dyDescent="0.25">
      <c r="A64" s="34" t="s">
        <v>182</v>
      </c>
      <c r="B64" s="34" t="s">
        <v>201</v>
      </c>
      <c r="C64" s="34" t="s">
        <v>202</v>
      </c>
      <c r="E64" s="76"/>
      <c r="F64" s="76"/>
      <c r="G64" s="58"/>
      <c r="H64" s="58"/>
      <c r="I64" s="58"/>
      <c r="J64" s="58"/>
      <c r="K64" s="58"/>
      <c r="L64" s="58"/>
      <c r="M64" s="58"/>
      <c r="N64" s="59"/>
      <c r="O64" s="58" t="s">
        <v>293</v>
      </c>
      <c r="P64" s="83">
        <f ca="1">[1]!SRDIST(P56,P53,1)</f>
        <v>9.381103515625E-2</v>
      </c>
      <c r="Q64" s="84">
        <f ca="1">2*P64</f>
        <v>0.1876220703125</v>
      </c>
      <c r="R64" s="58"/>
      <c r="S64" s="59"/>
      <c r="T64" s="58"/>
      <c r="U64" s="76"/>
      <c r="V64" s="58"/>
      <c r="W64" s="58"/>
      <c r="X64" s="58"/>
      <c r="Y64" s="58"/>
      <c r="Z64" s="28"/>
      <c r="AA64" s="28"/>
      <c r="AB64" s="28"/>
      <c r="AD64" t="s">
        <v>293</v>
      </c>
      <c r="AE64" s="96">
        <f ca="1">[1]!SRDIST(AE56,AE53,1)</f>
        <v>1.7669677734375E-2</v>
      </c>
      <c r="AF64" s="98">
        <f ca="1">2*AE64</f>
        <v>3.533935546875E-2</v>
      </c>
      <c r="AH64" s="35"/>
      <c r="AS64" t="s">
        <v>293</v>
      </c>
      <c r="AT64" s="83">
        <f ca="1">[1]!SRDIST(AT56,AT53,1)</f>
        <v>0.4451904296875</v>
      </c>
      <c r="AU64" s="84">
        <f ca="1">2*AT64</f>
        <v>0.890380859375</v>
      </c>
      <c r="AW64" s="35"/>
    </row>
    <row r="65" spans="1:49" x14ac:dyDescent="0.25">
      <c r="A65">
        <f ca="1">Performances!H4</f>
        <v>0.16962222092681462</v>
      </c>
      <c r="B65">
        <f ca="1">Performances!H28</f>
        <v>6.5955555555555559E-2</v>
      </c>
      <c r="C65">
        <f ca="1">Performances!H52</f>
        <v>0.19301111111111111</v>
      </c>
      <c r="E65" s="58"/>
      <c r="F65" s="58"/>
      <c r="G65" s="58"/>
      <c r="H65" s="58"/>
      <c r="I65" s="58"/>
      <c r="J65" s="58"/>
      <c r="K65" s="58"/>
      <c r="L65" s="58"/>
      <c r="M65" s="58"/>
      <c r="N65" s="59"/>
      <c r="O65" s="58" t="s">
        <v>294</v>
      </c>
      <c r="P65" s="85" t="s">
        <v>295</v>
      </c>
      <c r="Q65" s="86" t="s">
        <v>295</v>
      </c>
      <c r="R65" s="58"/>
      <c r="S65" s="59"/>
      <c r="T65" s="58"/>
      <c r="U65" s="58"/>
      <c r="V65" s="58"/>
      <c r="W65" s="58"/>
      <c r="X65" s="58"/>
      <c r="Y65" s="58"/>
      <c r="Z65" s="28"/>
      <c r="AA65" s="28"/>
      <c r="AB65" s="28"/>
      <c r="AD65" t="s">
        <v>294</v>
      </c>
      <c r="AE65" s="75" t="s">
        <v>295</v>
      </c>
      <c r="AF65" s="53" t="s">
        <v>295</v>
      </c>
      <c r="AH65" s="35"/>
      <c r="AS65" t="s">
        <v>294</v>
      </c>
      <c r="AT65" s="75" t="s">
        <v>295</v>
      </c>
      <c r="AU65" s="53" t="s">
        <v>295</v>
      </c>
      <c r="AW65" s="35"/>
    </row>
    <row r="66" spans="1:49" x14ac:dyDescent="0.25">
      <c r="A66">
        <f ca="1">Performances!H5</f>
        <v>0.13750000049670538</v>
      </c>
      <c r="B66">
        <f ca="1">Performances!H29</f>
        <v>4.8011111111111109E-2</v>
      </c>
      <c r="C66">
        <f ca="1">Performances!H53</f>
        <v>0.11417777777777778</v>
      </c>
      <c r="N66" s="35"/>
    </row>
    <row r="67" spans="1:49" x14ac:dyDescent="0.25">
      <c r="A67">
        <f ca="1">Performances!H6</f>
        <v>0.11404444442854987</v>
      </c>
      <c r="B67">
        <f ca="1">Performances!H30</f>
        <v>0.12066666666666667</v>
      </c>
      <c r="C67">
        <f ca="1">Performances!H54</f>
        <v>0.12665555555555555</v>
      </c>
      <c r="E67" s="173" t="s">
        <v>298</v>
      </c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  <c r="AW67" s="175"/>
    </row>
    <row r="68" spans="1:49" x14ac:dyDescent="0.25">
      <c r="A68">
        <f ca="1">Performances!H7</f>
        <v>0.22394444545110068</v>
      </c>
      <c r="B68">
        <f ca="1">Performances!H31</f>
        <v>0.19068888888888885</v>
      </c>
      <c r="C68">
        <f ca="1">Performances!H55</f>
        <v>7.3177777777777772E-2</v>
      </c>
      <c r="E68" s="164" t="s">
        <v>182</v>
      </c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73" t="s">
        <v>201</v>
      </c>
      <c r="U68" s="174"/>
      <c r="V68" s="174"/>
      <c r="W68" s="174"/>
      <c r="X68" s="174"/>
      <c r="Y68" s="174"/>
      <c r="Z68" s="174"/>
      <c r="AA68" s="174"/>
      <c r="AB68" s="174"/>
      <c r="AC68" s="174"/>
      <c r="AD68" s="174"/>
      <c r="AE68" s="174"/>
      <c r="AF68" s="174"/>
      <c r="AG68" s="174"/>
      <c r="AH68" s="175"/>
      <c r="AI68" s="164" t="s">
        <v>202</v>
      </c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</row>
    <row r="69" spans="1:49" x14ac:dyDescent="0.25">
      <c r="A69">
        <f ca="1">Performances!H8</f>
        <v>0.18636666735013327</v>
      </c>
      <c r="B69">
        <f ca="1">Performances!H32</f>
        <v>0.13501111111111111</v>
      </c>
      <c r="C69">
        <f ca="1">Performances!H56</f>
        <v>0.10416666666666666</v>
      </c>
      <c r="E69" s="165" t="s">
        <v>265</v>
      </c>
      <c r="F69" s="165"/>
      <c r="G69" s="165"/>
      <c r="H69" s="165"/>
      <c r="I69" s="165"/>
      <c r="J69" s="165"/>
      <c r="K69" s="165"/>
      <c r="L69" s="165"/>
      <c r="M69" s="165"/>
      <c r="N69" s="166"/>
      <c r="O69" s="167" t="s">
        <v>266</v>
      </c>
      <c r="P69" s="168"/>
      <c r="Q69" s="168"/>
      <c r="R69" s="168"/>
      <c r="S69" s="169"/>
      <c r="T69" s="168" t="s">
        <v>265</v>
      </c>
      <c r="U69" s="168"/>
      <c r="V69" s="168"/>
      <c r="W69" s="168"/>
      <c r="X69" s="168"/>
      <c r="Y69" s="168"/>
      <c r="Z69" s="168"/>
      <c r="AA69" s="168"/>
      <c r="AB69" s="168"/>
      <c r="AC69" s="169"/>
      <c r="AD69" s="172" t="s">
        <v>266</v>
      </c>
      <c r="AE69" s="165"/>
      <c r="AF69" s="165"/>
      <c r="AG69" s="165"/>
      <c r="AH69" s="166"/>
      <c r="AI69" s="165" t="s">
        <v>265</v>
      </c>
      <c r="AJ69" s="165"/>
      <c r="AK69" s="165"/>
      <c r="AL69" s="165"/>
      <c r="AM69" s="165"/>
      <c r="AN69" s="165"/>
      <c r="AO69" s="165"/>
      <c r="AP69" s="165"/>
      <c r="AQ69" s="165"/>
      <c r="AR69" s="166"/>
      <c r="AS69" s="167" t="s">
        <v>266</v>
      </c>
      <c r="AT69" s="168"/>
      <c r="AU69" s="168"/>
      <c r="AV69" s="168"/>
      <c r="AW69" s="169"/>
    </row>
    <row r="70" spans="1:49" x14ac:dyDescent="0.25">
      <c r="A70">
        <f ca="1">Performances!H9</f>
        <v>0.17295555770397186</v>
      </c>
      <c r="B70">
        <f ca="1">Performances!H33</f>
        <v>8.0399999999999999E-2</v>
      </c>
      <c r="C70">
        <f ca="1">Performances!H57</f>
        <v>0.15772222222222221</v>
      </c>
      <c r="E70" s="58"/>
      <c r="F70" s="58"/>
      <c r="G70" s="58"/>
      <c r="H70" s="58"/>
      <c r="I70" s="58"/>
      <c r="J70" s="58"/>
      <c r="K70" s="58"/>
      <c r="L70" s="58"/>
      <c r="M70" s="58"/>
      <c r="N70" s="59"/>
      <c r="O70" s="58"/>
      <c r="P70" s="58"/>
      <c r="Q70" s="58"/>
      <c r="R70" s="58"/>
      <c r="S70" s="59"/>
      <c r="T70" s="58"/>
      <c r="U70" s="58"/>
      <c r="V70" s="58"/>
      <c r="W70" s="58"/>
      <c r="X70" s="58"/>
      <c r="Y70" s="58"/>
      <c r="Z70" s="28"/>
      <c r="AA70" s="28"/>
      <c r="AB70" s="28"/>
      <c r="AH70" s="35"/>
      <c r="AW70" s="35"/>
    </row>
    <row r="71" spans="1:49" ht="13.8" thickBot="1" x14ac:dyDescent="0.3">
      <c r="A71">
        <f ca="1">Performances!H10</f>
        <v>9.1644443571567535E-2</v>
      </c>
      <c r="B71">
        <f ca="1">Performances!H34</f>
        <v>9.4344444444444425E-2</v>
      </c>
      <c r="C71">
        <f ca="1">Performances!H58</f>
        <v>0.1482</v>
      </c>
      <c r="E71" s="58" t="s">
        <v>267</v>
      </c>
      <c r="F71" s="58"/>
      <c r="G71" s="58"/>
      <c r="H71" s="58" t="s">
        <v>219</v>
      </c>
      <c r="I71" s="58">
        <v>0.05</v>
      </c>
      <c r="J71" s="58"/>
      <c r="K71" s="58" t="s">
        <v>268</v>
      </c>
      <c r="L71" s="58">
        <v>0</v>
      </c>
      <c r="M71" s="58"/>
      <c r="N71" s="59"/>
      <c r="O71" s="58"/>
      <c r="P71" s="58" t="str">
        <f>A24</f>
        <v>Groupe 1</v>
      </c>
      <c r="Q71" s="58" t="str">
        <f>A46</f>
        <v>Groupe 1</v>
      </c>
      <c r="R71" s="58"/>
      <c r="S71" s="59"/>
      <c r="T71" s="58" t="s">
        <v>267</v>
      </c>
      <c r="U71" s="58"/>
      <c r="V71" s="58"/>
      <c r="W71" s="58" t="s">
        <v>219</v>
      </c>
      <c r="X71" s="58">
        <v>0.05</v>
      </c>
      <c r="Y71" s="58"/>
      <c r="Z71" s="28" t="s">
        <v>268</v>
      </c>
      <c r="AA71" s="28">
        <v>0</v>
      </c>
      <c r="AB71" s="28"/>
      <c r="AE71" s="66" t="str">
        <f>B24</f>
        <v>Groupe 2</v>
      </c>
      <c r="AF71" s="67" t="str">
        <f>B46</f>
        <v>Groupe 2</v>
      </c>
      <c r="AH71" s="35"/>
      <c r="AI71" t="s">
        <v>267</v>
      </c>
      <c r="AL71" t="s">
        <v>219</v>
      </c>
      <c r="AM71">
        <v>0.05</v>
      </c>
      <c r="AO71" t="s">
        <v>268</v>
      </c>
      <c r="AP71">
        <v>0</v>
      </c>
      <c r="AT71" t="str">
        <f>C24</f>
        <v>Groupe 3</v>
      </c>
      <c r="AU71" t="str">
        <f>C46</f>
        <v>Groupe 3</v>
      </c>
      <c r="AW71" s="35"/>
    </row>
    <row r="72" spans="1:49" ht="13.8" thickTop="1" x14ac:dyDescent="0.25">
      <c r="A72">
        <f ca="1">Performances!H11</f>
        <v>0.18800000184112126</v>
      </c>
      <c r="B72">
        <f ca="1">Performances!H35</f>
        <v>0.13135555555555556</v>
      </c>
      <c r="C72">
        <f ca="1">Performances!H59</f>
        <v>8.6411111111111105E-2</v>
      </c>
      <c r="E72" s="60" t="s">
        <v>269</v>
      </c>
      <c r="F72" s="60" t="s">
        <v>225</v>
      </c>
      <c r="G72" s="60" t="s">
        <v>227</v>
      </c>
      <c r="H72" s="60" t="s">
        <v>270</v>
      </c>
      <c r="I72" s="60" t="s">
        <v>230</v>
      </c>
      <c r="J72" s="60" t="s">
        <v>271</v>
      </c>
      <c r="K72" s="60" t="s">
        <v>246</v>
      </c>
      <c r="L72" s="60" t="s">
        <v>272</v>
      </c>
      <c r="M72" s="60" t="s">
        <v>273</v>
      </c>
      <c r="N72" s="61"/>
      <c r="O72" s="62" t="s">
        <v>233</v>
      </c>
      <c r="P72" s="63">
        <f ca="1">MEDIAN(A25:A39)</f>
        <v>0.12669999731911552</v>
      </c>
      <c r="Q72" s="64">
        <f ca="1">MEDIAN(A47:A61)</f>
        <v>0.16645555529329512</v>
      </c>
      <c r="R72" s="62"/>
      <c r="S72" s="61"/>
      <c r="T72" s="65" t="s">
        <v>269</v>
      </c>
      <c r="U72" s="60" t="s">
        <v>225</v>
      </c>
      <c r="V72" s="60" t="s">
        <v>227</v>
      </c>
      <c r="W72" s="60" t="s">
        <v>270</v>
      </c>
      <c r="X72" s="60" t="s">
        <v>230</v>
      </c>
      <c r="Y72" s="60" t="s">
        <v>271</v>
      </c>
      <c r="Z72" s="37" t="s">
        <v>246</v>
      </c>
      <c r="AA72" s="37" t="s">
        <v>272</v>
      </c>
      <c r="AB72" s="37" t="s">
        <v>273</v>
      </c>
      <c r="AD72" t="s">
        <v>233</v>
      </c>
      <c r="AE72" s="66">
        <f ca="1">MEDIAN(B25:B39)</f>
        <v>0.13042222222222222</v>
      </c>
      <c r="AF72" s="67">
        <f ca="1">MEDIAN(B47:B61)</f>
        <v>0.11349999999999999</v>
      </c>
      <c r="AH72" s="35"/>
      <c r="AI72" s="68" t="s">
        <v>269</v>
      </c>
      <c r="AJ72" s="37" t="s">
        <v>225</v>
      </c>
      <c r="AK72" s="37" t="s">
        <v>227</v>
      </c>
      <c r="AL72" s="37" t="s">
        <v>270</v>
      </c>
      <c r="AM72" s="37" t="s">
        <v>230</v>
      </c>
      <c r="AN72" s="37" t="s">
        <v>271</v>
      </c>
      <c r="AO72" s="37" t="s">
        <v>246</v>
      </c>
      <c r="AP72" s="37" t="s">
        <v>272</v>
      </c>
      <c r="AQ72" s="37" t="s">
        <v>273</v>
      </c>
      <c r="AS72" t="s">
        <v>233</v>
      </c>
      <c r="AT72" s="66">
        <f ca="1">MEDIAN(C25:C39)</f>
        <v>0.11684444444444446</v>
      </c>
      <c r="AU72" s="67">
        <f ca="1">MEDIAN(C47:C61)</f>
        <v>0.12944444444444445</v>
      </c>
      <c r="AW72" s="35"/>
    </row>
    <row r="73" spans="1:49" x14ac:dyDescent="0.25">
      <c r="A73">
        <f ca="1">Performances!H12</f>
        <v>0.29501111639870536</v>
      </c>
      <c r="B73">
        <f ca="1">Performances!H36</f>
        <v>0.11942222222222219</v>
      </c>
      <c r="C73">
        <f ca="1">Performances!H60</f>
        <v>9.8988888888888876E-2</v>
      </c>
      <c r="E73" s="58" t="str">
        <f>A24</f>
        <v>Groupe 1</v>
      </c>
      <c r="F73" s="58">
        <f ca="1">COUNT(A25:A39)</f>
        <v>15</v>
      </c>
      <c r="G73" s="58">
        <f ca="1">AVERAGE(A25:A39)</f>
        <v>0.14446814805269242</v>
      </c>
      <c r="H73" s="58">
        <f ca="1">_xlfn.STDEV.S(A25:A39)</f>
        <v>8.2640252665582725E-2</v>
      </c>
      <c r="I73" s="58"/>
      <c r="J73" s="58"/>
      <c r="K73" s="58"/>
      <c r="L73" s="58"/>
      <c r="M73" s="58"/>
      <c r="N73" s="59"/>
      <c r="O73" s="58"/>
      <c r="P73" s="58"/>
      <c r="Q73" s="58"/>
      <c r="R73" s="58"/>
      <c r="S73" s="59"/>
      <c r="T73" s="58" t="str">
        <f>B24</f>
        <v>Groupe 2</v>
      </c>
      <c r="U73" s="58">
        <f ca="1">COUNT(B25:B39)</f>
        <v>15</v>
      </c>
      <c r="V73" s="58">
        <f ca="1">AVERAGE(B25:B39)</f>
        <v>0.14522296296296294</v>
      </c>
      <c r="W73" s="58">
        <f ca="1">_xlfn.STDEV.S(B25:B39)</f>
        <v>7.426931668952208E-2</v>
      </c>
      <c r="X73" s="58"/>
      <c r="Y73" s="58"/>
      <c r="Z73" s="28"/>
      <c r="AA73" s="28"/>
      <c r="AB73" s="28"/>
      <c r="AD73" t="s">
        <v>237</v>
      </c>
      <c r="AE73" s="47">
        <f ca="1">SUMPRODUCT(--ISNUMBER(B47:B61),--ISNUMBER(B66:B80))</f>
        <v>14</v>
      </c>
      <c r="AH73" s="35"/>
      <c r="AI73" t="str">
        <f>C24</f>
        <v>Groupe 3</v>
      </c>
      <c r="AJ73">
        <f ca="1">COUNT(C25:C39)</f>
        <v>15</v>
      </c>
      <c r="AK73">
        <f ca="1">AVERAGE(C25:C39)</f>
        <v>0.11745481481481483</v>
      </c>
      <c r="AL73">
        <f ca="1">_xlfn.STDEV.S(C25:C39)</f>
        <v>3.3251154378302575E-2</v>
      </c>
      <c r="AW73" s="35"/>
    </row>
    <row r="74" spans="1:49" x14ac:dyDescent="0.25">
      <c r="A74">
        <f ca="1">Performances!H13</f>
        <v>0.1008777775698238</v>
      </c>
      <c r="B74">
        <f ca="1">Performances!H37</f>
        <v>6.4655555555555549E-2</v>
      </c>
      <c r="C74">
        <f ca="1">Performances!H61</f>
        <v>0.12872222222222221</v>
      </c>
      <c r="E74" s="58" t="str">
        <f>A46</f>
        <v>Groupe 1</v>
      </c>
      <c r="F74" s="58">
        <f ca="1">COUNT(A47:A61)</f>
        <v>15</v>
      </c>
      <c r="G74" s="58">
        <f ca="1">AVERAGE(A47:A61)</f>
        <v>0.14920962957872286</v>
      </c>
      <c r="H74" s="58">
        <f ca="1">_xlfn.STDEV.S(A47:A61)</f>
        <v>6.8060091111882604E-2</v>
      </c>
      <c r="I74" s="58"/>
      <c r="J74" s="58"/>
      <c r="K74" s="58"/>
      <c r="L74" s="58"/>
      <c r="M74" s="58"/>
      <c r="N74" s="59"/>
      <c r="O74" s="58" t="s">
        <v>237</v>
      </c>
      <c r="P74" s="69">
        <f ca="1">SUMPRODUCT(--ISNUMBER(A25:A39),--ISNUMBER(A47:A61))</f>
        <v>15</v>
      </c>
      <c r="Q74" s="58"/>
      <c r="R74" s="58"/>
      <c r="S74" s="59"/>
      <c r="T74" s="58" t="str">
        <f>B46</f>
        <v>Groupe 2</v>
      </c>
      <c r="U74" s="58">
        <f ca="1">COUNT(B47:B61)</f>
        <v>15</v>
      </c>
      <c r="V74" s="58">
        <f ca="1">AVERAGE(B47:B61)</f>
        <v>0.15113925925925925</v>
      </c>
      <c r="W74" s="58">
        <f ca="1">_xlfn.STDEV.S(B47:B61)</f>
        <v>9.1939701490544826E-2</v>
      </c>
      <c r="X74" s="58"/>
      <c r="Y74" s="58"/>
      <c r="Z74" s="28"/>
      <c r="AA74" s="28"/>
      <c r="AB74" s="28"/>
      <c r="AD74" t="s">
        <v>237</v>
      </c>
      <c r="AE74" s="47">
        <f ca="1">SUMPRODUCT(--ISNUMBER(B25:B39),--ISNUMBER(B47:B61))</f>
        <v>15</v>
      </c>
      <c r="AH74" s="35"/>
      <c r="AI74" t="str">
        <f>C46</f>
        <v>Groupe 3</v>
      </c>
      <c r="AJ74">
        <f ca="1">COUNT(C47:C61)</f>
        <v>15</v>
      </c>
      <c r="AK74">
        <f ca="1">AVERAGE(C47:C61)</f>
        <v>0.12609111111111113</v>
      </c>
      <c r="AL74">
        <f ca="1">_xlfn.STDEV.S(C47:C61)</f>
        <v>3.2551548374651872E-2</v>
      </c>
      <c r="AS74" t="s">
        <v>237</v>
      </c>
      <c r="AT74" s="47">
        <f ca="1">SUMPRODUCT(--ISNUMBER(C25:C39),--ISNUMBER(C47:C61))</f>
        <v>15</v>
      </c>
      <c r="AW74" s="35"/>
    </row>
    <row r="75" spans="1:49" x14ac:dyDescent="0.25">
      <c r="A75">
        <f ca="1">Performances!H14</f>
        <v>5.2411111278666399E-2</v>
      </c>
      <c r="B75">
        <f ca="1">Performances!H38</f>
        <v>0.23782222222222224</v>
      </c>
      <c r="C75">
        <f ca="1">Performances!H62</f>
        <v>0.11233333333333334</v>
      </c>
      <c r="E75" s="70" t="s">
        <v>274</v>
      </c>
      <c r="F75" s="70">
        <f ca="1">F74</f>
        <v>15</v>
      </c>
      <c r="G75" s="70">
        <f ca="1">G73-G74</f>
        <v>-4.7414815260304333E-3</v>
      </c>
      <c r="H75" s="70">
        <f t="array" aca="1" ref="H75" ca="1">_xlfn.STDEV.S(A25:A39-A47:A61)</f>
        <v>4.275411569293347E-2</v>
      </c>
      <c r="I75" s="70">
        <f ca="1">H75/SQRT(F75)</f>
        <v>1.10390652040371E-2</v>
      </c>
      <c r="J75" s="70">
        <f ca="1">(G73-G74-L71)/I75</f>
        <v>-0.42951839113120055</v>
      </c>
      <c r="K75" s="70">
        <f ca="1">F75-1</f>
        <v>14</v>
      </c>
      <c r="L75" s="70">
        <f ca="1">ABS(G73-G74-L71)/H75</f>
        <v>0.11090117171606288</v>
      </c>
      <c r="M75" s="70">
        <f ca="1">SQRT(J75^2/(J75^2+K75))</f>
        <v>0.11404466188521527</v>
      </c>
      <c r="N75" s="59"/>
      <c r="O75" s="58" t="s">
        <v>275</v>
      </c>
      <c r="P75" s="71">
        <f ca="1">SUMPRODUCT(--ISNUMBER(A25:A39),--ISNUMBER(A47:A61),--(A25:A39&lt;&gt;A47:A61))</f>
        <v>15</v>
      </c>
      <c r="Q75" s="58"/>
      <c r="R75" s="58"/>
      <c r="S75" s="59"/>
      <c r="T75" s="72" t="s">
        <v>274</v>
      </c>
      <c r="U75" s="70">
        <f ca="1">U74</f>
        <v>15</v>
      </c>
      <c r="V75" s="70">
        <f ca="1">V73-V74</f>
        <v>-5.9162962962963084E-3</v>
      </c>
      <c r="W75" s="70">
        <f t="array" aca="1" ref="W75" ca="1">_xlfn.STDEV.S(B25:B39-B47:B61)</f>
        <v>2.9689181714489119E-2</v>
      </c>
      <c r="X75" s="70">
        <f ca="1">W75/SQRT(U75)</f>
        <v>7.6657137561828076E-3</v>
      </c>
      <c r="Y75" s="70">
        <f ca="1">(V73-V74-AA71)/X75</f>
        <v>-0.77178674869310104</v>
      </c>
      <c r="Z75" s="32">
        <f ca="1">U75-1</f>
        <v>14</v>
      </c>
      <c r="AA75" s="32">
        <f ca="1">ABS(V73-V74-AA71)/W75</f>
        <v>0.19927448163412995</v>
      </c>
      <c r="AB75" s="32">
        <f ca="1">SQRT(Y75^2/(Y75^2+Z75))</f>
        <v>0.20201588766419531</v>
      </c>
      <c r="AD75" t="s">
        <v>275</v>
      </c>
      <c r="AE75" s="54">
        <f ca="1">SUMPRODUCT(--ISNUMBER(B25:B39),--ISNUMBER(B47:B61),--(B25:B39&lt;&gt;B47:B61))</f>
        <v>15</v>
      </c>
      <c r="AH75" s="35"/>
      <c r="AI75" s="73" t="s">
        <v>274</v>
      </c>
      <c r="AJ75" s="32">
        <f ca="1">AJ74</f>
        <v>15</v>
      </c>
      <c r="AK75" s="32">
        <f ca="1">AK73-AK74</f>
        <v>-8.6362962962962947E-3</v>
      </c>
      <c r="AL75" s="32">
        <f t="array" aca="1" ref="AL75" ca="1">_xlfn.STDEV.S(C25:C39-C47:C61)</f>
        <v>2.6107128188853961E-2</v>
      </c>
      <c r="AM75" s="32">
        <f ca="1">AL75/SQRT(AJ75)</f>
        <v>6.7408315128489058E-3</v>
      </c>
      <c r="AN75" s="32">
        <f ca="1">(AK73-AK74-AP71)/AM75</f>
        <v>-1.2811915384377113</v>
      </c>
      <c r="AO75" s="32">
        <f ca="1">AJ75-1</f>
        <v>14</v>
      </c>
      <c r="AP75" s="32">
        <f ca="1">ABS(AK73-AK74-AP71)/AL75</f>
        <v>0.33080223277807436</v>
      </c>
      <c r="AQ75" s="32">
        <f ca="1">SQRT(AN75^2/(AN75^2+AO75))</f>
        <v>0.32394817075755034</v>
      </c>
      <c r="AS75" t="s">
        <v>275</v>
      </c>
      <c r="AT75" s="54">
        <f ca="1">SUMPRODUCT(--ISNUMBER(C25:C39),--ISNUMBER(C47:C61),--(C25:C39&lt;&gt;C47:C61))</f>
        <v>15</v>
      </c>
      <c r="AW75" s="35"/>
    </row>
    <row r="76" spans="1:49" x14ac:dyDescent="0.25">
      <c r="A76">
        <f ca="1">Performances!H15</f>
        <v>0.16305555403232574</v>
      </c>
      <c r="B76">
        <f ca="1">Performances!H39</f>
        <v>9.3811111111111109E-2</v>
      </c>
      <c r="C76">
        <f ca="1">Performances!H63</f>
        <v>7.7600000000000002E-2</v>
      </c>
      <c r="E76" s="58"/>
      <c r="F76" s="58"/>
      <c r="G76" s="58"/>
      <c r="H76" s="58"/>
      <c r="I76" s="58"/>
      <c r="J76" s="58"/>
      <c r="K76" s="58"/>
      <c r="L76" s="58"/>
      <c r="M76" s="58"/>
      <c r="N76" s="59"/>
      <c r="O76" s="58" t="s">
        <v>276</v>
      </c>
      <c r="P76" s="71">
        <f ca="1">IF(P78&lt;=P81,P78,P75*(P75+1)/2)</f>
        <v>43</v>
      </c>
      <c r="Q76" s="58"/>
      <c r="R76" s="58"/>
      <c r="S76" s="59"/>
      <c r="T76" s="58"/>
      <c r="U76" s="58"/>
      <c r="V76" s="58"/>
      <c r="W76" s="58"/>
      <c r="X76" s="58"/>
      <c r="Y76" s="58"/>
      <c r="Z76" s="28"/>
      <c r="AA76" s="28"/>
      <c r="AB76" s="28"/>
      <c r="AD76" t="s">
        <v>276</v>
      </c>
      <c r="AE76" s="54">
        <f ca="1">IF(AE78&lt;=AE81,AE78,AE75*(AE75+1)/2)</f>
        <v>48</v>
      </c>
      <c r="AH76" s="35"/>
      <c r="AS76" t="s">
        <v>276</v>
      </c>
      <c r="AT76" s="54">
        <f ca="1">IF(AT78&lt;=AT81,AT78,AT75*(AT75+1)/2)</f>
        <v>40</v>
      </c>
      <c r="AW76" s="35"/>
    </row>
    <row r="77" spans="1:49" ht="13.8" thickBot="1" x14ac:dyDescent="0.3">
      <c r="A77">
        <f ca="1">Performances!H16</f>
        <v>0.20937778055667877</v>
      </c>
      <c r="B77">
        <f ca="1">Performances!H40</f>
        <v>0.16977777777777778</v>
      </c>
      <c r="C77">
        <f ca="1">Performances!H64</f>
        <v>0.13852222222222224</v>
      </c>
      <c r="E77" s="58" t="s">
        <v>277</v>
      </c>
      <c r="F77" s="58"/>
      <c r="G77" s="58"/>
      <c r="H77" s="58"/>
      <c r="I77" s="58"/>
      <c r="J77" s="58"/>
      <c r="K77" s="58"/>
      <c r="L77" s="58"/>
      <c r="M77" s="58"/>
      <c r="N77" s="59"/>
      <c r="O77" s="58" t="s">
        <v>278</v>
      </c>
      <c r="P77" s="71">
        <f ca="1">P75*(P75+1)/2-P76</f>
        <v>77</v>
      </c>
      <c r="Q77" s="58"/>
      <c r="R77" s="58"/>
      <c r="S77" s="59"/>
      <c r="T77" s="58" t="s">
        <v>277</v>
      </c>
      <c r="U77" s="58"/>
      <c r="V77" s="58"/>
      <c r="W77" s="58"/>
      <c r="X77" s="58"/>
      <c r="Y77" s="58"/>
      <c r="Z77" s="28"/>
      <c r="AA77" s="28"/>
      <c r="AB77" s="28"/>
      <c r="AD77" t="s">
        <v>278</v>
      </c>
      <c r="AE77" s="75">
        <f ca="1">AE75*(AE75+1)/2-AE76</f>
        <v>72</v>
      </c>
      <c r="AH77" s="35"/>
      <c r="AI77" t="s">
        <v>277</v>
      </c>
      <c r="AS77" t="s">
        <v>278</v>
      </c>
      <c r="AT77" s="54">
        <f ca="1">AT75*(AT75+1)/2-AT76</f>
        <v>80</v>
      </c>
      <c r="AW77" s="35"/>
    </row>
    <row r="78" spans="1:49" ht="13.8" thickTop="1" x14ac:dyDescent="0.25">
      <c r="A78">
        <f ca="1">Performances!H17</f>
        <v>4.3266666432221733E-2</v>
      </c>
      <c r="B78">
        <f ca="1">Performances!H41</f>
        <v>5.8733333333333332E-2</v>
      </c>
      <c r="C78">
        <f ca="1">Performances!H65</f>
        <v>0.18522222222222223</v>
      </c>
      <c r="E78" s="60" t="s">
        <v>133</v>
      </c>
      <c r="F78" s="60" t="s">
        <v>208</v>
      </c>
      <c r="G78" s="60" t="s">
        <v>279</v>
      </c>
      <c r="H78" s="60" t="s">
        <v>280</v>
      </c>
      <c r="I78" s="60" t="s">
        <v>281</v>
      </c>
      <c r="J78" s="60" t="s">
        <v>256</v>
      </c>
      <c r="K78" s="58"/>
      <c r="L78" s="58"/>
      <c r="M78" s="58"/>
      <c r="N78" s="61"/>
      <c r="O78" s="62" t="s">
        <v>282</v>
      </c>
      <c r="P78" s="74">
        <f ca="1">[1]!SRANK(A25:A39,A47:A61)</f>
        <v>43</v>
      </c>
      <c r="Q78" s="62"/>
      <c r="R78" s="62"/>
      <c r="S78" s="59"/>
      <c r="T78" s="65" t="s">
        <v>133</v>
      </c>
      <c r="U78" s="60" t="s">
        <v>208</v>
      </c>
      <c r="V78" s="60" t="s">
        <v>279</v>
      </c>
      <c r="W78" s="60" t="s">
        <v>280</v>
      </c>
      <c r="X78" s="60" t="s">
        <v>281</v>
      </c>
      <c r="Y78" s="60" t="s">
        <v>256</v>
      </c>
      <c r="Z78" s="28"/>
      <c r="AA78" s="28"/>
      <c r="AB78" s="28"/>
      <c r="AD78" t="s">
        <v>282</v>
      </c>
      <c r="AE78" s="75">
        <f ca="1">[1]!SRANK(B25:B39,B47:B61)</f>
        <v>48</v>
      </c>
      <c r="AH78" s="35"/>
      <c r="AI78" s="68" t="s">
        <v>133</v>
      </c>
      <c r="AJ78" s="37" t="s">
        <v>208</v>
      </c>
      <c r="AK78" s="37" t="s">
        <v>279</v>
      </c>
      <c r="AL78" s="37" t="s">
        <v>280</v>
      </c>
      <c r="AM78" s="37" t="s">
        <v>281</v>
      </c>
      <c r="AN78" s="37" t="s">
        <v>256</v>
      </c>
      <c r="AS78" t="s">
        <v>282</v>
      </c>
      <c r="AT78" s="75">
        <f ca="1">[1]!SRANK(C25:C39,C47:C61)</f>
        <v>40</v>
      </c>
      <c r="AW78" s="35"/>
    </row>
    <row r="79" spans="1:49" x14ac:dyDescent="0.25">
      <c r="A79">
        <f ca="1">Performances!H18</f>
        <v>5.3011111087269254E-2</v>
      </c>
      <c r="B79">
        <f ca="1">Performances!H42</f>
        <v>0.10033333333333333</v>
      </c>
      <c r="C79">
        <f ca="1">Performances!H66</f>
        <v>6.582222222222224E-2</v>
      </c>
      <c r="E79" s="58" t="s">
        <v>283</v>
      </c>
      <c r="F79" s="105">
        <f ca="1">_xlfn.T.DIST.RT(ABS(J75),K75)</f>
        <v>0.33704142175812846</v>
      </c>
      <c r="G79" s="58">
        <f ca="1">_xlfn.T.INV.2T(I71*2,K75)</f>
        <v>1.7613101357748921</v>
      </c>
      <c r="H79" s="58"/>
      <c r="I79" s="58"/>
      <c r="J79" s="77" t="str">
        <f ca="1">IF(F79&lt;I71,"yes","no")</f>
        <v>no</v>
      </c>
      <c r="K79" s="58"/>
      <c r="L79" s="58"/>
      <c r="M79" s="58"/>
      <c r="N79" s="59"/>
      <c r="O79" s="76"/>
      <c r="P79" s="58"/>
      <c r="Q79" s="58"/>
      <c r="R79" s="58"/>
      <c r="S79" s="59"/>
      <c r="T79" s="58" t="s">
        <v>283</v>
      </c>
      <c r="U79" s="76">
        <f ca="1">_xlfn.T.DIST.RT(ABS(Y75),Z75)</f>
        <v>0.22653603002632955</v>
      </c>
      <c r="V79" s="58">
        <f ca="1">_xlfn.T.INV.2T(X71*2,Z75)</f>
        <v>1.7613101357748921</v>
      </c>
      <c r="W79" s="58"/>
      <c r="X79" s="58"/>
      <c r="Y79" s="77" t="str">
        <f ca="1">IF(U79&lt;X71,"yes","no")</f>
        <v>no</v>
      </c>
      <c r="Z79" s="28"/>
      <c r="AA79" s="28"/>
      <c r="AB79" s="28"/>
      <c r="AE79" s="79" t="s">
        <v>285</v>
      </c>
      <c r="AF79" s="79" t="s">
        <v>286</v>
      </c>
      <c r="AH79" s="35"/>
      <c r="AI79" t="s">
        <v>283</v>
      </c>
      <c r="AJ79" s="107">
        <f ca="1">_xlfn.T.DIST.RT(ABS(AN75),AO75)</f>
        <v>0.11047106025652621</v>
      </c>
      <c r="AK79">
        <f ca="1">_xlfn.T.INV.2T(AM71*2,AO75)</f>
        <v>1.7613101357748921</v>
      </c>
      <c r="AN79" s="79" t="str">
        <f ca="1">IF(AJ79&lt;AM71,"yes","no")</f>
        <v>no</v>
      </c>
      <c r="AW79" s="35"/>
    </row>
    <row r="80" spans="1:49" x14ac:dyDescent="0.25">
      <c r="E80" s="58" t="s">
        <v>284</v>
      </c>
      <c r="F80" s="106">
        <f ca="1">_xlfn.T.DIST.2T(ABS(J75),K75)</f>
        <v>0.67408284351625691</v>
      </c>
      <c r="G80" s="77">
        <f ca="1">_xlfn.T.INV.2T(I71,K75)</f>
        <v>2.1447866879178044</v>
      </c>
      <c r="H80" s="58">
        <f ca="1">(G73-G74)-I75*G80</f>
        <v>-2.8417921622705847E-2</v>
      </c>
      <c r="I80" s="58">
        <f ca="1">(G73-G74)+I75*G80</f>
        <v>1.8934958570644981E-2</v>
      </c>
      <c r="J80" s="77" t="str">
        <f ca="1">IF(F80&lt;I71,"yes","no")</f>
        <v>no</v>
      </c>
      <c r="K80" s="58"/>
      <c r="L80" s="58"/>
      <c r="M80" s="58"/>
      <c r="N80" s="59"/>
      <c r="O80" s="76"/>
      <c r="P80" s="77" t="s">
        <v>285</v>
      </c>
      <c r="Q80" s="77" t="s">
        <v>286</v>
      </c>
      <c r="R80" s="58"/>
      <c r="S80" s="59"/>
      <c r="T80" s="58" t="s">
        <v>284</v>
      </c>
      <c r="U80" s="80">
        <f ca="1">_xlfn.T.DIST.2T(ABS(Y75),Z75)</f>
        <v>0.4530720600526591</v>
      </c>
      <c r="V80" s="77">
        <f ca="1">_xlfn.T.INV.2T(X71,Z75)</f>
        <v>2.1447866879178044</v>
      </c>
      <c r="W80" s="58">
        <f ca="1">(V73-V74)-X75*V80</f>
        <v>-2.2357617113945582E-2</v>
      </c>
      <c r="X80" s="58">
        <f ca="1">(V73-V74)+X75*V80</f>
        <v>1.0525024521352965E-2</v>
      </c>
      <c r="Y80" s="77" t="str">
        <f ca="1">IF(U80&lt;X71,"yes","no")</f>
        <v>no</v>
      </c>
      <c r="Z80" s="28"/>
      <c r="AA80" s="28"/>
      <c r="AB80" s="28"/>
      <c r="AD80" t="s">
        <v>223</v>
      </c>
      <c r="AE80" s="90" t="s">
        <v>285</v>
      </c>
      <c r="AF80" s="79" t="s">
        <v>286</v>
      </c>
      <c r="AH80" s="35"/>
      <c r="AI80" t="s">
        <v>284</v>
      </c>
      <c r="AJ80" s="107">
        <f ca="1">_xlfn.T.DIST.2T(ABS(AN75),AO75)</f>
        <v>0.22094212051305243</v>
      </c>
      <c r="AK80">
        <f ca="1">_xlfn.T.INV.2T(AM71,AO75)</f>
        <v>2.1447866879178044</v>
      </c>
      <c r="AL80">
        <f ca="1">(AK73-AK74)-AM75*AK80</f>
        <v>-2.309394199055146E-2</v>
      </c>
      <c r="AM80">
        <f ca="1">(AK73-AK74)+AM75*AK80</f>
        <v>5.8213493979588724E-3</v>
      </c>
      <c r="AN80" s="79" t="str">
        <f ca="1">IF(AJ80&lt;AM71,"yes","no")</f>
        <v>no</v>
      </c>
      <c r="AT80" s="79" t="s">
        <v>285</v>
      </c>
      <c r="AU80" s="79" t="s">
        <v>286</v>
      </c>
      <c r="AW80" s="35"/>
    </row>
    <row r="81" spans="5:49" x14ac:dyDescent="0.25">
      <c r="E81" s="70"/>
      <c r="F81" s="70"/>
      <c r="G81" s="70"/>
      <c r="H81" s="70"/>
      <c r="I81" s="70"/>
      <c r="J81" s="70"/>
      <c r="K81" s="58"/>
      <c r="L81" s="58"/>
      <c r="M81" s="58"/>
      <c r="N81" s="59"/>
      <c r="O81" s="58" t="s">
        <v>223</v>
      </c>
      <c r="P81" s="69">
        <f ca="1">P75*(P75+1)/4</f>
        <v>60</v>
      </c>
      <c r="Q81" s="58"/>
      <c r="R81" s="58"/>
      <c r="S81" s="59"/>
      <c r="T81" s="72"/>
      <c r="U81" s="70"/>
      <c r="V81" s="70"/>
      <c r="W81" s="70"/>
      <c r="X81" s="70"/>
      <c r="Y81" s="70"/>
      <c r="Z81" s="28"/>
      <c r="AA81" s="28"/>
      <c r="AB81" s="28"/>
      <c r="AD81" t="s">
        <v>223</v>
      </c>
      <c r="AE81" s="47">
        <f ca="1">AE75*(AE75+1)/4</f>
        <v>60</v>
      </c>
      <c r="AF81" t="s">
        <v>288</v>
      </c>
      <c r="AH81" s="35"/>
      <c r="AI81" s="73"/>
      <c r="AJ81" s="32"/>
      <c r="AK81" s="32"/>
      <c r="AL81" s="32"/>
      <c r="AM81" s="32"/>
      <c r="AN81" s="32"/>
      <c r="AS81" t="s">
        <v>223</v>
      </c>
      <c r="AT81" s="47">
        <f ca="1">AT75*(AT75+1)/4</f>
        <v>60</v>
      </c>
      <c r="AW81" s="35"/>
    </row>
    <row r="82" spans="5:49" x14ac:dyDescent="0.25">
      <c r="E82" s="58"/>
      <c r="F82" s="58"/>
      <c r="G82" s="58"/>
      <c r="H82" s="58"/>
      <c r="I82" s="58"/>
      <c r="J82" s="58"/>
      <c r="K82" s="58"/>
      <c r="L82" s="58"/>
      <c r="M82" s="58"/>
      <c r="N82" s="59"/>
      <c r="O82" s="58" t="s">
        <v>287</v>
      </c>
      <c r="P82" s="71">
        <f ca="1">SQRT(P81*(2*P75+1)/6-[1]!TiesCorrection(A25:A39,A47:A61,1)/48)</f>
        <v>17.606816861659009</v>
      </c>
      <c r="Q82" s="58" t="s">
        <v>288</v>
      </c>
      <c r="R82" s="58"/>
      <c r="S82" s="59"/>
      <c r="T82" s="58"/>
      <c r="U82" s="58"/>
      <c r="V82" s="58"/>
      <c r="W82" s="58"/>
      <c r="X82" s="58"/>
      <c r="Y82" s="58"/>
      <c r="Z82" s="28"/>
      <c r="AA82" s="28"/>
      <c r="AB82" s="28"/>
      <c r="AD82" t="s">
        <v>287</v>
      </c>
      <c r="AE82" s="54">
        <f ca="1">SQRT(AE81*(2*AE75+1)/6-[1]!TiesCorrection(B25:B39,B47:B61,1)/48)</f>
        <v>17.606816861659009</v>
      </c>
      <c r="AF82" t="s">
        <v>288</v>
      </c>
      <c r="AH82" s="35"/>
      <c r="AS82" t="s">
        <v>287</v>
      </c>
      <c r="AT82" s="54">
        <f ca="1">SQRT(AT81*(2*AT75+1)/6-[1]!TiesCorrection(C25:C39,C47:C61,1)/48)</f>
        <v>17.606816861659009</v>
      </c>
      <c r="AU82" t="s">
        <v>288</v>
      </c>
      <c r="AW82" s="35"/>
    </row>
    <row r="83" spans="5:49" x14ac:dyDescent="0.25">
      <c r="E83" s="58"/>
      <c r="F83" s="58"/>
      <c r="G83" s="58"/>
      <c r="H83" s="58"/>
      <c r="I83" s="58"/>
      <c r="J83" s="58"/>
      <c r="K83" s="58"/>
      <c r="L83" s="58"/>
      <c r="M83" s="58"/>
      <c r="N83" s="59"/>
      <c r="O83" s="58" t="s">
        <v>289</v>
      </c>
      <c r="P83" s="71">
        <f ca="1">ABS(ABS(P78-P81)-1/2)/P82</f>
        <v>0.93713702650765696</v>
      </c>
      <c r="Q83" s="58" t="s">
        <v>290</v>
      </c>
      <c r="R83" s="58"/>
      <c r="S83" s="59"/>
      <c r="T83" s="58"/>
      <c r="U83" s="58"/>
      <c r="V83" s="58"/>
      <c r="W83" s="58"/>
      <c r="X83" s="58"/>
      <c r="Y83" s="58"/>
      <c r="Z83" s="28"/>
      <c r="AA83" s="28"/>
      <c r="AB83" s="28"/>
      <c r="AD83" t="s">
        <v>289</v>
      </c>
      <c r="AE83" s="54">
        <f ca="1">ABS(ABS(AE78-AE81)-1/2)/AE82</f>
        <v>0.65315610938412449</v>
      </c>
      <c r="AF83" t="s">
        <v>290</v>
      </c>
      <c r="AH83" s="35"/>
      <c r="AS83" t="s">
        <v>289</v>
      </c>
      <c r="AT83" s="54">
        <f ca="1">ABS(ABS(AT78-AT81)-1/2)/AT82</f>
        <v>1.1075255767817764</v>
      </c>
      <c r="AU83" t="s">
        <v>290</v>
      </c>
      <c r="AW83" s="35"/>
    </row>
    <row r="84" spans="5:49" x14ac:dyDescent="0.25">
      <c r="E84" s="58"/>
      <c r="F84" s="58"/>
      <c r="G84" s="58"/>
      <c r="H84" s="58"/>
      <c r="I84" s="58"/>
      <c r="J84" s="58"/>
      <c r="K84" s="58"/>
      <c r="L84" s="58"/>
      <c r="M84" s="58"/>
      <c r="N84" s="59"/>
      <c r="O84" s="58" t="s">
        <v>291</v>
      </c>
      <c r="P84" s="71">
        <f ca="1">P83/SQRT(2*P74)</f>
        <v>0.17109702963052018</v>
      </c>
      <c r="Q84" s="58"/>
      <c r="R84" s="58"/>
      <c r="S84" s="59"/>
      <c r="T84" s="58"/>
      <c r="U84" s="58"/>
      <c r="V84" s="58"/>
      <c r="W84" s="58"/>
      <c r="X84" s="58"/>
      <c r="Y84" s="58"/>
      <c r="Z84" s="28"/>
      <c r="AA84" s="28"/>
      <c r="AB84" s="28"/>
      <c r="AD84" t="s">
        <v>291</v>
      </c>
      <c r="AE84" s="91">
        <f ca="1">AE83/SQRT(2*AE74)</f>
        <v>0.1192494448939989</v>
      </c>
      <c r="AF84" s="92">
        <f ca="1">2*AE84</f>
        <v>0.2384988897879978</v>
      </c>
      <c r="AH84" s="35"/>
      <c r="AS84" t="s">
        <v>291</v>
      </c>
      <c r="AT84" s="54">
        <f ca="1">AT83/SQRT(2*AT74)</f>
        <v>0.20220558047243292</v>
      </c>
      <c r="AW84" s="35"/>
    </row>
    <row r="85" spans="5:49" x14ac:dyDescent="0.25">
      <c r="E85" s="76"/>
      <c r="F85" s="76"/>
      <c r="G85" s="58"/>
      <c r="H85" s="58"/>
      <c r="I85" s="58"/>
      <c r="J85" s="58"/>
      <c r="K85" s="58"/>
      <c r="L85" s="58"/>
      <c r="M85" s="58"/>
      <c r="N85" s="59"/>
      <c r="O85" s="58" t="s">
        <v>292</v>
      </c>
      <c r="P85" s="108">
        <f ca="1">1-_xlfn.NORM.S.DIST(P83,TRUE)</f>
        <v>0.17434403877052662</v>
      </c>
      <c r="Q85" s="109">
        <f ca="1">2*P85</f>
        <v>0.34868807754105324</v>
      </c>
      <c r="R85" s="58"/>
      <c r="S85" s="59"/>
      <c r="T85" s="58"/>
      <c r="U85" s="76"/>
      <c r="V85" s="58"/>
      <c r="W85" s="58"/>
      <c r="X85" s="58"/>
      <c r="Y85" s="58"/>
      <c r="Z85" s="28"/>
      <c r="AA85" s="28"/>
      <c r="AB85" s="28"/>
      <c r="AD85" t="s">
        <v>292</v>
      </c>
      <c r="AE85" s="81">
        <f ca="1">1-_xlfn.NORM.S.DIST(AE83,TRUE)</f>
        <v>0.25682782125502368</v>
      </c>
      <c r="AF85" s="82">
        <f ca="1">2*AE85</f>
        <v>0.51365564251004736</v>
      </c>
      <c r="AH85" s="35"/>
      <c r="AS85" t="s">
        <v>292</v>
      </c>
      <c r="AT85" s="81">
        <f ca="1">1-_xlfn.NORM.S.DIST(AT83,TRUE)</f>
        <v>0.13403338020285704</v>
      </c>
      <c r="AU85" s="82">
        <f ca="1">2*AT85</f>
        <v>0.26806676040571409</v>
      </c>
      <c r="AW85" s="35"/>
    </row>
    <row r="86" spans="5:49" x14ac:dyDescent="0.25">
      <c r="E86" s="76"/>
      <c r="F86" s="76"/>
      <c r="G86" s="58"/>
      <c r="H86" s="58"/>
      <c r="I86" s="58"/>
      <c r="J86" s="58"/>
      <c r="K86" s="58"/>
      <c r="L86" s="58"/>
      <c r="M86" s="58"/>
      <c r="N86" s="59"/>
      <c r="O86" s="58" t="s">
        <v>293</v>
      </c>
      <c r="P86" s="110">
        <f ca="1">[1]!SRDIST(P78,P75,1)</f>
        <v>0.1795654296875</v>
      </c>
      <c r="Q86" s="111">
        <f ca="1">2*P86</f>
        <v>0.359130859375</v>
      </c>
      <c r="R86" s="58"/>
      <c r="S86" s="59"/>
      <c r="T86" s="58"/>
      <c r="U86" s="76"/>
      <c r="V86" s="58"/>
      <c r="W86" s="58"/>
      <c r="X86" s="58"/>
      <c r="Y86" s="58"/>
      <c r="Z86" s="28"/>
      <c r="AA86" s="28"/>
      <c r="AB86" s="28"/>
      <c r="AD86" t="s">
        <v>293</v>
      </c>
      <c r="AE86" s="99">
        <f ca="1">[1]!SRDIST(AE78,AE75,1)</f>
        <v>0.262237548828125</v>
      </c>
      <c r="AF86" s="100">
        <f ca="1">2*AE86</f>
        <v>0.52447509765625</v>
      </c>
      <c r="AH86" s="35"/>
      <c r="AS86" t="s">
        <v>293</v>
      </c>
      <c r="AT86" s="83">
        <f ca="1">[1]!SRDIST(AT78,AT75,1)</f>
        <v>0.138427734375</v>
      </c>
      <c r="AU86" s="84">
        <f ca="1">2*AT86</f>
        <v>0.27685546875</v>
      </c>
      <c r="AW86" s="35"/>
    </row>
    <row r="87" spans="5:49" x14ac:dyDescent="0.25">
      <c r="E87" s="58"/>
      <c r="F87" s="58"/>
      <c r="G87" s="58"/>
      <c r="H87" s="58"/>
      <c r="I87" s="58"/>
      <c r="J87" s="58"/>
      <c r="K87" s="58"/>
      <c r="L87" s="58"/>
      <c r="M87" s="58"/>
      <c r="N87" s="59"/>
      <c r="O87" s="58" t="s">
        <v>294</v>
      </c>
      <c r="P87" s="85" t="s">
        <v>295</v>
      </c>
      <c r="Q87" s="86" t="s">
        <v>295</v>
      </c>
      <c r="R87" s="58"/>
      <c r="S87" s="59"/>
      <c r="T87" s="58"/>
      <c r="U87" s="58"/>
      <c r="V87" s="58"/>
      <c r="W87" s="58"/>
      <c r="X87" s="58"/>
      <c r="Y87" s="58"/>
      <c r="Z87" s="28"/>
      <c r="AA87" s="28"/>
      <c r="AB87" s="28"/>
      <c r="AD87" t="s">
        <v>294</v>
      </c>
      <c r="AE87" s="75" t="s">
        <v>295</v>
      </c>
      <c r="AF87" s="53" t="s">
        <v>295</v>
      </c>
      <c r="AH87" s="35"/>
      <c r="AS87" t="s">
        <v>294</v>
      </c>
      <c r="AT87" s="75" t="s">
        <v>295</v>
      </c>
      <c r="AU87" s="53" t="s">
        <v>295</v>
      </c>
      <c r="AW87" s="35"/>
    </row>
    <row r="88" spans="5:49" x14ac:dyDescent="0.25">
      <c r="N88" s="35"/>
    </row>
    <row r="89" spans="5:49" x14ac:dyDescent="0.25">
      <c r="E89" s="173" t="s">
        <v>299</v>
      </c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74"/>
      <c r="AW89" s="175"/>
    </row>
    <row r="90" spans="5:49" x14ac:dyDescent="0.25">
      <c r="E90" s="164" t="s">
        <v>182</v>
      </c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73" t="s">
        <v>201</v>
      </c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  <c r="AG90" s="174"/>
      <c r="AH90" s="175"/>
      <c r="AI90" s="164" t="s">
        <v>202</v>
      </c>
      <c r="AJ90" s="164"/>
      <c r="AK90" s="164"/>
      <c r="AL90" s="164"/>
      <c r="AM90" s="164"/>
      <c r="AN90" s="164"/>
      <c r="AO90" s="164"/>
      <c r="AP90" s="164"/>
      <c r="AQ90" s="164"/>
      <c r="AR90" s="164"/>
      <c r="AS90" s="164"/>
      <c r="AT90" s="164"/>
      <c r="AU90" s="164"/>
      <c r="AV90" s="164"/>
      <c r="AW90" s="164"/>
    </row>
    <row r="91" spans="5:49" x14ac:dyDescent="0.25">
      <c r="E91" s="165" t="s">
        <v>265</v>
      </c>
      <c r="F91" s="165"/>
      <c r="G91" s="165"/>
      <c r="H91" s="165"/>
      <c r="I91" s="165"/>
      <c r="J91" s="165"/>
      <c r="K91" s="165"/>
      <c r="L91" s="165"/>
      <c r="M91" s="165"/>
      <c r="N91" s="166"/>
      <c r="O91" s="167" t="s">
        <v>266</v>
      </c>
      <c r="P91" s="168"/>
      <c r="Q91" s="168"/>
      <c r="R91" s="168"/>
      <c r="S91" s="169"/>
      <c r="T91" s="168" t="s">
        <v>265</v>
      </c>
      <c r="U91" s="168"/>
      <c r="V91" s="168"/>
      <c r="W91" s="168"/>
      <c r="X91" s="168"/>
      <c r="Y91" s="168"/>
      <c r="Z91" s="168"/>
      <c r="AA91" s="168"/>
      <c r="AB91" s="168"/>
      <c r="AC91" s="169"/>
      <c r="AD91" s="172" t="s">
        <v>266</v>
      </c>
      <c r="AE91" s="165"/>
      <c r="AF91" s="165"/>
      <c r="AG91" s="165"/>
      <c r="AH91" s="166"/>
      <c r="AI91" s="165" t="s">
        <v>265</v>
      </c>
      <c r="AJ91" s="165"/>
      <c r="AK91" s="165"/>
      <c r="AL91" s="165"/>
      <c r="AM91" s="165"/>
      <c r="AN91" s="165"/>
      <c r="AO91" s="165"/>
      <c r="AP91" s="165"/>
      <c r="AQ91" s="165"/>
      <c r="AR91" s="166"/>
      <c r="AS91" s="167" t="s">
        <v>266</v>
      </c>
      <c r="AT91" s="168"/>
      <c r="AU91" s="168"/>
      <c r="AV91" s="168"/>
      <c r="AW91" s="169"/>
    </row>
    <row r="92" spans="5:49" x14ac:dyDescent="0.25">
      <c r="E92" s="58"/>
      <c r="F92" s="58"/>
      <c r="G92" s="58"/>
      <c r="H92" s="58"/>
      <c r="I92" s="58"/>
      <c r="J92" s="58"/>
      <c r="K92" s="58"/>
      <c r="L92" s="58"/>
      <c r="M92" s="58"/>
      <c r="N92" s="59"/>
      <c r="O92" s="58"/>
      <c r="P92" s="58"/>
      <c r="Q92" s="58"/>
      <c r="R92" s="58"/>
      <c r="S92" s="59"/>
      <c r="T92" s="58"/>
      <c r="U92" s="58"/>
      <c r="V92" s="58"/>
      <c r="W92" s="58"/>
      <c r="X92" s="58"/>
      <c r="Y92" s="58"/>
      <c r="Z92" s="28"/>
      <c r="AA92" s="28"/>
      <c r="AB92" s="28"/>
      <c r="AH92" s="35"/>
      <c r="AW92" s="35"/>
    </row>
    <row r="93" spans="5:49" ht="13.8" thickBot="1" x14ac:dyDescent="0.3">
      <c r="E93" s="58" t="s">
        <v>267</v>
      </c>
      <c r="F93" s="58"/>
      <c r="G93" s="58"/>
      <c r="H93" s="58" t="s">
        <v>219</v>
      </c>
      <c r="I93" s="58">
        <v>0.05</v>
      </c>
      <c r="J93" s="58"/>
      <c r="K93" s="58" t="s">
        <v>268</v>
      </c>
      <c r="L93" s="58">
        <v>0</v>
      </c>
      <c r="M93" s="58"/>
      <c r="N93" s="59"/>
      <c r="O93" s="58"/>
      <c r="P93" s="58" t="str">
        <f>A24</f>
        <v>Groupe 1</v>
      </c>
      <c r="Q93" s="58" t="str">
        <f>A64</f>
        <v>Groupe 1</v>
      </c>
      <c r="R93" s="58"/>
      <c r="S93" s="59"/>
      <c r="T93" s="58" t="s">
        <v>267</v>
      </c>
      <c r="U93" s="58"/>
      <c r="V93" s="58"/>
      <c r="W93" s="58" t="s">
        <v>219</v>
      </c>
      <c r="X93" s="58">
        <v>0.05</v>
      </c>
      <c r="Y93" s="58"/>
      <c r="Z93" s="28" t="s">
        <v>268</v>
      </c>
      <c r="AA93" s="28">
        <v>0</v>
      </c>
      <c r="AB93" s="28"/>
      <c r="AE93" s="66" t="str">
        <f>B24</f>
        <v>Groupe 2</v>
      </c>
      <c r="AF93" s="67" t="str">
        <f>B64</f>
        <v>Groupe 2</v>
      </c>
      <c r="AH93" s="35"/>
      <c r="AI93" t="s">
        <v>267</v>
      </c>
      <c r="AL93" t="s">
        <v>219</v>
      </c>
      <c r="AM93">
        <v>0.05</v>
      </c>
      <c r="AO93" t="s">
        <v>268</v>
      </c>
      <c r="AP93">
        <v>0</v>
      </c>
      <c r="AT93" t="str">
        <f>C24</f>
        <v>Groupe 3</v>
      </c>
      <c r="AU93" t="str">
        <f>C64</f>
        <v>Groupe 3</v>
      </c>
      <c r="AW93" s="35"/>
    </row>
    <row r="94" spans="5:49" ht="13.8" thickTop="1" x14ac:dyDescent="0.25">
      <c r="E94" s="60" t="s">
        <v>269</v>
      </c>
      <c r="F94" s="60" t="s">
        <v>225</v>
      </c>
      <c r="G94" s="60" t="s">
        <v>227</v>
      </c>
      <c r="H94" s="60" t="s">
        <v>270</v>
      </c>
      <c r="I94" s="60" t="s">
        <v>230</v>
      </c>
      <c r="J94" s="60" t="s">
        <v>271</v>
      </c>
      <c r="K94" s="60" t="s">
        <v>246</v>
      </c>
      <c r="L94" s="60" t="s">
        <v>272</v>
      </c>
      <c r="M94" s="60" t="s">
        <v>273</v>
      </c>
      <c r="N94" s="61"/>
      <c r="O94" s="62" t="s">
        <v>233</v>
      </c>
      <c r="P94" s="63">
        <f ca="1">MEDIAN(A25:A39)</f>
        <v>0.12669999731911552</v>
      </c>
      <c r="Q94" s="64">
        <f ca="1">MEDIAN(A65:A79)</f>
        <v>0.16305555403232574</v>
      </c>
      <c r="R94" s="62"/>
      <c r="S94" s="61"/>
      <c r="T94" s="65" t="s">
        <v>269</v>
      </c>
      <c r="U94" s="60" t="s">
        <v>225</v>
      </c>
      <c r="V94" s="60" t="s">
        <v>227</v>
      </c>
      <c r="W94" s="60" t="s">
        <v>270</v>
      </c>
      <c r="X94" s="60" t="s">
        <v>230</v>
      </c>
      <c r="Y94" s="60" t="s">
        <v>271</v>
      </c>
      <c r="Z94" s="37" t="s">
        <v>246</v>
      </c>
      <c r="AA94" s="37" t="s">
        <v>272</v>
      </c>
      <c r="AB94" s="37" t="s">
        <v>273</v>
      </c>
      <c r="AD94" t="s">
        <v>233</v>
      </c>
      <c r="AE94" s="66">
        <f ca="1">MEDIAN(B25:B39)</f>
        <v>0.13042222222222222</v>
      </c>
      <c r="AF94" s="67">
        <f ca="1">MEDIAN(B65:B79)</f>
        <v>0.10033333333333333</v>
      </c>
      <c r="AH94" s="35"/>
      <c r="AI94" s="68" t="s">
        <v>269</v>
      </c>
      <c r="AJ94" s="37" t="s">
        <v>225</v>
      </c>
      <c r="AK94" s="37" t="s">
        <v>227</v>
      </c>
      <c r="AL94" s="37" t="s">
        <v>270</v>
      </c>
      <c r="AM94" s="37" t="s">
        <v>230</v>
      </c>
      <c r="AN94" s="37" t="s">
        <v>271</v>
      </c>
      <c r="AO94" s="37" t="s">
        <v>246</v>
      </c>
      <c r="AP94" s="37" t="s">
        <v>272</v>
      </c>
      <c r="AQ94" s="37" t="s">
        <v>273</v>
      </c>
      <c r="AS94" t="s">
        <v>233</v>
      </c>
      <c r="AT94" s="66">
        <f ca="1">MEDIAN(C25:C39)</f>
        <v>0.11684444444444446</v>
      </c>
      <c r="AU94" s="67">
        <f ca="1">MEDIAN(C65:C79)</f>
        <v>0.11417777777777778</v>
      </c>
      <c r="AW94" s="35"/>
    </row>
    <row r="95" spans="5:49" x14ac:dyDescent="0.25">
      <c r="E95" s="58" t="str">
        <f>A24</f>
        <v>Groupe 1</v>
      </c>
      <c r="F95" s="58">
        <f ca="1">COUNT(A25:A39)</f>
        <v>15</v>
      </c>
      <c r="G95" s="58">
        <f ca="1">AVERAGE(A25:A39)</f>
        <v>0.14446814805269242</v>
      </c>
      <c r="H95" s="58">
        <f ca="1">_xlfn.STDEV.S(A25:A39)</f>
        <v>8.2640252665582725E-2</v>
      </c>
      <c r="I95" s="58"/>
      <c r="J95" s="58"/>
      <c r="K95" s="58"/>
      <c r="L95" s="58"/>
      <c r="M95" s="58"/>
      <c r="N95" s="59"/>
      <c r="O95" s="58"/>
      <c r="P95" s="58"/>
      <c r="Q95" s="58"/>
      <c r="R95" s="58"/>
      <c r="S95" s="59"/>
      <c r="T95" s="58" t="str">
        <f>B24</f>
        <v>Groupe 2</v>
      </c>
      <c r="U95" s="58">
        <f ca="1">COUNT(B25:B39)</f>
        <v>15</v>
      </c>
      <c r="V95" s="58">
        <f ca="1">AVERAGE(B25:B39)</f>
        <v>0.14522296296296294</v>
      </c>
      <c r="W95" s="58">
        <f ca="1">_xlfn.STDEV.S(B25:B39)</f>
        <v>7.426931668952208E-2</v>
      </c>
      <c r="X95" s="58"/>
      <c r="Y95" s="58"/>
      <c r="Z95" s="28"/>
      <c r="AA95" s="28"/>
      <c r="AB95" s="28"/>
      <c r="AD95" t="s">
        <v>237</v>
      </c>
      <c r="AE95" s="47">
        <f ca="1">SUMPRODUCT(--ISNUMBER(B69:B83),--ISNUMBER(B88:B102))</f>
        <v>0</v>
      </c>
      <c r="AH95" s="35"/>
      <c r="AI95" t="str">
        <f>C24</f>
        <v>Groupe 3</v>
      </c>
      <c r="AJ95">
        <f ca="1">COUNT(C25:C39)</f>
        <v>15</v>
      </c>
      <c r="AK95">
        <f ca="1">AVERAGE(C25:C39)</f>
        <v>0.11745481481481483</v>
      </c>
      <c r="AL95">
        <f ca="1">_xlfn.STDEV.S(C25:C39)</f>
        <v>3.3251154378302575E-2</v>
      </c>
      <c r="AW95" s="35"/>
    </row>
    <row r="96" spans="5:49" x14ac:dyDescent="0.25">
      <c r="E96" s="58" t="str">
        <f>A64</f>
        <v>Groupe 1</v>
      </c>
      <c r="F96" s="58">
        <f ca="1">COUNT(A65:A79)</f>
        <v>15</v>
      </c>
      <c r="G96" s="58">
        <f ca="1">AVERAGE(A65:A79)</f>
        <v>0.14673925994171039</v>
      </c>
      <c r="H96" s="58">
        <f ca="1">_xlfn.STDEV.S(A65:A79)</f>
        <v>7.1364790525475758E-2</v>
      </c>
      <c r="I96" s="58"/>
      <c r="J96" s="58"/>
      <c r="K96" s="58"/>
      <c r="L96" s="58"/>
      <c r="M96" s="58"/>
      <c r="N96" s="59"/>
      <c r="O96" s="58" t="s">
        <v>237</v>
      </c>
      <c r="P96" s="69">
        <f ca="1">SUMPRODUCT(--ISNUMBER(A25:A39),--ISNUMBER(A65:A79))</f>
        <v>15</v>
      </c>
      <c r="Q96" s="58"/>
      <c r="R96" s="58"/>
      <c r="S96" s="59"/>
      <c r="T96" s="58" t="str">
        <f>B64</f>
        <v>Groupe 2</v>
      </c>
      <c r="U96" s="58">
        <f ca="1">COUNT(B65:B79)</f>
        <v>15</v>
      </c>
      <c r="V96" s="58">
        <f ca="1">AVERAGE(B65:B79)</f>
        <v>0.11406592592592592</v>
      </c>
      <c r="W96" s="58">
        <f ca="1">_xlfn.STDEV.S(B65:B79)</f>
        <v>5.3051525728560922E-2</v>
      </c>
      <c r="X96" s="58"/>
      <c r="Y96" s="58"/>
      <c r="Z96" s="28"/>
      <c r="AA96" s="28"/>
      <c r="AB96" s="28"/>
      <c r="AD96" t="s">
        <v>237</v>
      </c>
      <c r="AE96" s="47">
        <f ca="1">SUMPRODUCT(--ISNUMBER(B25:B39),--ISNUMBER(B65:B79))</f>
        <v>15</v>
      </c>
      <c r="AH96" s="35"/>
      <c r="AI96" t="str">
        <f>C64</f>
        <v>Groupe 3</v>
      </c>
      <c r="AJ96">
        <f ca="1">COUNT(C65:C79)</f>
        <v>15</v>
      </c>
      <c r="AK96">
        <f ca="1">AVERAGE(C65:C79)</f>
        <v>0.12071555555555555</v>
      </c>
      <c r="AL96">
        <f ca="1">_xlfn.STDEV.S(C65:C79)</f>
        <v>3.8819081745757121E-2</v>
      </c>
      <c r="AS96" t="s">
        <v>237</v>
      </c>
      <c r="AT96" s="47">
        <f ca="1">SUMPRODUCT(--ISNUMBER(C25:C39),--ISNUMBER(C65:C79))</f>
        <v>15</v>
      </c>
      <c r="AW96" s="35"/>
    </row>
    <row r="97" spans="5:49" x14ac:dyDescent="0.25">
      <c r="E97" s="70" t="s">
        <v>274</v>
      </c>
      <c r="F97" s="70">
        <f ca="1">F96</f>
        <v>15</v>
      </c>
      <c r="G97" s="70">
        <f ca="1">G95-G96</f>
        <v>-2.2711118890179627E-3</v>
      </c>
      <c r="H97" s="70">
        <f t="array" aca="1" ref="H97" ca="1">_xlfn.STDEV.S(A25:A39-A65:A79)</f>
        <v>4.3426511483000779E-2</v>
      </c>
      <c r="I97" s="70">
        <f ca="1">H97/SQRT(F97)</f>
        <v>1.1212677050503144E-2</v>
      </c>
      <c r="J97" s="70">
        <f ca="1">(G95-G96-L93)/I97</f>
        <v>-0.20254858663891079</v>
      </c>
      <c r="K97" s="70">
        <f ca="1">F97-1</f>
        <v>14</v>
      </c>
      <c r="L97" s="70">
        <f ca="1">ABS(G95-G96-L93)/H97</f>
        <v>5.2297820190023436E-2</v>
      </c>
      <c r="M97" s="70">
        <f ca="1">SQRT(J97^2/(J97^2+K97))</f>
        <v>5.4054243835879354E-2</v>
      </c>
      <c r="N97" s="59"/>
      <c r="O97" s="58" t="s">
        <v>275</v>
      </c>
      <c r="P97" s="71">
        <f ca="1">SUMPRODUCT(--ISNUMBER(A25:A39),--ISNUMBER(A65:A79),--(A25:A39&lt;&gt;A65:A79))</f>
        <v>15</v>
      </c>
      <c r="Q97" s="58"/>
      <c r="R97" s="58"/>
      <c r="S97" s="59"/>
      <c r="T97" s="72" t="s">
        <v>274</v>
      </c>
      <c r="U97" s="70">
        <f ca="1">U96</f>
        <v>15</v>
      </c>
      <c r="V97" s="70">
        <f ca="1">V95-V96</f>
        <v>3.1157037037037025E-2</v>
      </c>
      <c r="W97" s="70">
        <f t="array" aca="1" ref="W97" ca="1">_xlfn.STDEV.S(B25:B39-B65:B79)</f>
        <v>3.87268064209704E-2</v>
      </c>
      <c r="X97" s="70">
        <f ca="1">W97/SQRT(U97)</f>
        <v>9.9992184213477872E-3</v>
      </c>
      <c r="Y97" s="70">
        <f ca="1">(V95-V96-AA93)/X97</f>
        <v>3.1159472394880829</v>
      </c>
      <c r="Z97" s="32">
        <f ca="1">U97-1</f>
        <v>14</v>
      </c>
      <c r="AA97" s="32">
        <f ca="1">ABS(V95-V96-AA93)/W97</f>
        <v>0.80453411774655459</v>
      </c>
      <c r="AB97" s="32">
        <f ca="1">SQRT(Y97^2/(Y97^2+Z97))</f>
        <v>0.63992976668062485</v>
      </c>
      <c r="AD97" t="s">
        <v>275</v>
      </c>
      <c r="AE97" s="54">
        <f ca="1">SUMPRODUCT(--ISNUMBER(B25:B39),--ISNUMBER(B65:B79),--(B25:B39&lt;&gt;B65:B79))</f>
        <v>15</v>
      </c>
      <c r="AH97" s="35"/>
      <c r="AI97" s="73" t="s">
        <v>274</v>
      </c>
      <c r="AJ97" s="32">
        <f ca="1">AJ96</f>
        <v>15</v>
      </c>
      <c r="AK97" s="32">
        <f ca="1">AK95-AK96</f>
        <v>-3.2607407407407168E-3</v>
      </c>
      <c r="AL97" s="32">
        <f t="array" aca="1" ref="AL97" ca="1">_xlfn.STDEV.S(C25:C39-C65:C79)</f>
        <v>3.6450358082608499E-2</v>
      </c>
      <c r="AM97" s="32">
        <f ca="1">AL97/SQRT(AJ97)</f>
        <v>9.4114419878159744E-3</v>
      </c>
      <c r="AN97" s="32">
        <f ca="1">(AK95-AK96-AP93)/AM97</f>
        <v>-0.3464655835909165</v>
      </c>
      <c r="AO97" s="32">
        <f ca="1">AJ97-1</f>
        <v>14</v>
      </c>
      <c r="AP97" s="32">
        <f ca="1">ABS(AK95-AK96-AP93)/AL97</f>
        <v>8.9457029018776876E-2</v>
      </c>
      <c r="AQ97" s="32">
        <f ca="1">SQRT(AN97^2/(AN97^2+AO97))</f>
        <v>9.2202386300805697E-2</v>
      </c>
      <c r="AS97" t="s">
        <v>275</v>
      </c>
      <c r="AT97" s="54">
        <f ca="1">SUMPRODUCT(--ISNUMBER(C25:C39),--ISNUMBER(C65:C79),--(C25:C39&lt;&gt;C65:C79))</f>
        <v>15</v>
      </c>
      <c r="AW97" s="35"/>
    </row>
    <row r="98" spans="5:49" x14ac:dyDescent="0.25">
      <c r="E98" s="58"/>
      <c r="F98" s="58"/>
      <c r="G98" s="58"/>
      <c r="H98" s="58"/>
      <c r="I98" s="58"/>
      <c r="J98" s="58"/>
      <c r="K98" s="58"/>
      <c r="L98" s="58"/>
      <c r="M98" s="58"/>
      <c r="N98" s="59"/>
      <c r="O98" s="58" t="s">
        <v>276</v>
      </c>
      <c r="P98" s="71">
        <f ca="1">IF(P100&lt;=P103,P100,P97*(P97+1)/2)</f>
        <v>45</v>
      </c>
      <c r="Q98" s="58"/>
      <c r="R98" s="58"/>
      <c r="S98" s="59"/>
      <c r="T98" s="58"/>
      <c r="U98" s="58"/>
      <c r="V98" s="58"/>
      <c r="W98" s="58"/>
      <c r="X98" s="58"/>
      <c r="Y98" s="58"/>
      <c r="Z98" s="28"/>
      <c r="AA98" s="28"/>
      <c r="AB98" s="28"/>
      <c r="AD98" t="s">
        <v>276</v>
      </c>
      <c r="AE98" s="54">
        <f ca="1">IF(AE100&lt;=AE103,AE100,AE97*(AE97+1)/2)</f>
        <v>15</v>
      </c>
      <c r="AH98" s="35"/>
      <c r="AS98" t="s">
        <v>276</v>
      </c>
      <c r="AT98" s="54">
        <f ca="1">IF(AT100&lt;=AT103,AT100,AT97*(AT97+1)/2)</f>
        <v>54</v>
      </c>
      <c r="AW98" s="35"/>
    </row>
    <row r="99" spans="5:49" ht="13.8" thickBot="1" x14ac:dyDescent="0.3">
      <c r="E99" s="58" t="s">
        <v>277</v>
      </c>
      <c r="F99" s="58"/>
      <c r="G99" s="58"/>
      <c r="H99" s="58"/>
      <c r="I99" s="58"/>
      <c r="J99" s="58"/>
      <c r="K99" s="58"/>
      <c r="L99" s="58"/>
      <c r="M99" s="58"/>
      <c r="N99" s="59"/>
      <c r="O99" s="58" t="s">
        <v>278</v>
      </c>
      <c r="P99" s="71">
        <f ca="1">P97*(P97+1)/2-P98</f>
        <v>75</v>
      </c>
      <c r="Q99" s="58"/>
      <c r="R99" s="58"/>
      <c r="S99" s="59"/>
      <c r="T99" s="58" t="s">
        <v>277</v>
      </c>
      <c r="U99" s="58"/>
      <c r="V99" s="58"/>
      <c r="W99" s="58"/>
      <c r="X99" s="58"/>
      <c r="Y99" s="58"/>
      <c r="Z99" s="28"/>
      <c r="AA99" s="28"/>
      <c r="AB99" s="28"/>
      <c r="AD99" t="s">
        <v>278</v>
      </c>
      <c r="AE99" s="75">
        <f ca="1">AE97*(AE97+1)/2-AE98</f>
        <v>105</v>
      </c>
      <c r="AH99" s="35"/>
      <c r="AI99" t="s">
        <v>277</v>
      </c>
      <c r="AS99" t="s">
        <v>278</v>
      </c>
      <c r="AT99" s="54">
        <f ca="1">AT97*(AT97+1)/2-AT98</f>
        <v>66</v>
      </c>
      <c r="AW99" s="35"/>
    </row>
    <row r="100" spans="5:49" ht="13.8" thickTop="1" x14ac:dyDescent="0.25">
      <c r="E100" s="60" t="s">
        <v>133</v>
      </c>
      <c r="F100" s="60" t="s">
        <v>208</v>
      </c>
      <c r="G100" s="60" t="s">
        <v>279</v>
      </c>
      <c r="H100" s="60" t="s">
        <v>280</v>
      </c>
      <c r="I100" s="60" t="s">
        <v>281</v>
      </c>
      <c r="J100" s="60" t="s">
        <v>256</v>
      </c>
      <c r="K100" s="58"/>
      <c r="L100" s="58"/>
      <c r="M100" s="58"/>
      <c r="N100" s="61"/>
      <c r="O100" s="62" t="s">
        <v>282</v>
      </c>
      <c r="P100" s="74">
        <f ca="1">[1]!SRANK(A25:A39,A65:A79)</f>
        <v>45</v>
      </c>
      <c r="Q100" s="62"/>
      <c r="R100" s="62"/>
      <c r="S100" s="59"/>
      <c r="T100" s="65" t="s">
        <v>133</v>
      </c>
      <c r="U100" s="60" t="s">
        <v>208</v>
      </c>
      <c r="V100" s="60" t="s">
        <v>279</v>
      </c>
      <c r="W100" s="60" t="s">
        <v>280</v>
      </c>
      <c r="X100" s="60" t="s">
        <v>281</v>
      </c>
      <c r="Y100" s="60" t="s">
        <v>256</v>
      </c>
      <c r="Z100" s="28"/>
      <c r="AA100" s="28"/>
      <c r="AB100" s="28"/>
      <c r="AD100" t="s">
        <v>282</v>
      </c>
      <c r="AE100" s="75">
        <f ca="1">[1]!SRANK(B25:B39,B65:B79)</f>
        <v>15</v>
      </c>
      <c r="AH100" s="35"/>
      <c r="AI100" s="68" t="s">
        <v>133</v>
      </c>
      <c r="AJ100" s="37" t="s">
        <v>208</v>
      </c>
      <c r="AK100" s="37" t="s">
        <v>279</v>
      </c>
      <c r="AL100" s="37" t="s">
        <v>280</v>
      </c>
      <c r="AM100" s="37" t="s">
        <v>281</v>
      </c>
      <c r="AN100" s="37" t="s">
        <v>256</v>
      </c>
      <c r="AS100" t="s">
        <v>282</v>
      </c>
      <c r="AT100" s="75">
        <f ca="1">[1]!SRANK(C25:C39,C65:C79)</f>
        <v>54</v>
      </c>
      <c r="AW100" s="35"/>
    </row>
    <row r="101" spans="5:49" x14ac:dyDescent="0.25">
      <c r="E101" s="58" t="s">
        <v>283</v>
      </c>
      <c r="F101" s="105">
        <f ca="1">_xlfn.T.DIST.RT(ABS(J97),K97)</f>
        <v>0.42120094800762831</v>
      </c>
      <c r="G101" s="58">
        <f ca="1">_xlfn.T.INV.2T(I93*2,K97)</f>
        <v>1.7613101357748921</v>
      </c>
      <c r="H101" s="58"/>
      <c r="I101" s="58"/>
      <c r="J101" s="77" t="str">
        <f ca="1">IF(F101&lt;I93,"yes","no")</f>
        <v>no</v>
      </c>
      <c r="K101" s="58"/>
      <c r="L101" s="58"/>
      <c r="M101" s="58"/>
      <c r="N101" s="59"/>
      <c r="O101" s="76"/>
      <c r="P101" s="58"/>
      <c r="Q101" s="58"/>
      <c r="R101" s="58"/>
      <c r="S101" s="59"/>
      <c r="T101" s="58" t="s">
        <v>283</v>
      </c>
      <c r="U101" s="76">
        <f ca="1">_xlfn.T.DIST.RT(ABS(Y97),Z97)</f>
        <v>3.7940769446655211E-3</v>
      </c>
      <c r="V101" s="58">
        <f ca="1">_xlfn.T.INV.2T(X93*2,Z97)</f>
        <v>1.7613101357748921</v>
      </c>
      <c r="W101" s="58"/>
      <c r="X101" s="58"/>
      <c r="Y101" s="77" t="str">
        <f ca="1">IF(U101&lt;X93,"yes","no")</f>
        <v>yes</v>
      </c>
      <c r="Z101" s="28"/>
      <c r="AA101" s="28"/>
      <c r="AB101" s="28"/>
      <c r="AE101" s="79" t="s">
        <v>285</v>
      </c>
      <c r="AF101" s="79" t="s">
        <v>286</v>
      </c>
      <c r="AH101" s="35"/>
      <c r="AI101" t="s">
        <v>283</v>
      </c>
      <c r="AJ101" s="107">
        <f ca="1">_xlfn.T.DIST.RT(ABS(AN97),AO97)</f>
        <v>0.36707246963909185</v>
      </c>
      <c r="AK101">
        <f ca="1">_xlfn.T.INV.2T(AM93*2,AO97)</f>
        <v>1.7613101357748921</v>
      </c>
      <c r="AN101" s="79" t="str">
        <f ca="1">IF(AJ101&lt;AM93,"yes","no")</f>
        <v>no</v>
      </c>
      <c r="AW101" s="35"/>
    </row>
    <row r="102" spans="5:49" x14ac:dyDescent="0.25">
      <c r="E102" s="58" t="s">
        <v>284</v>
      </c>
      <c r="F102" s="106">
        <f ca="1">_xlfn.T.DIST.2T(ABS(J97),K97)</f>
        <v>0.84240189601525661</v>
      </c>
      <c r="G102" s="77">
        <f ca="1">_xlfn.T.INV.2T(I93,K97)</f>
        <v>2.1447866879178044</v>
      </c>
      <c r="H102" s="58">
        <f ca="1">(G95-G96)-I97*G102</f>
        <v>-2.6319912362858577E-2</v>
      </c>
      <c r="I102" s="58">
        <f ca="1">(G95-G96)+I97*G102</f>
        <v>2.1777688584822652E-2</v>
      </c>
      <c r="J102" s="77" t="str">
        <f ca="1">IF(F102&lt;I93,"yes","no")</f>
        <v>no</v>
      </c>
      <c r="K102" s="58"/>
      <c r="L102" s="58"/>
      <c r="M102" s="58"/>
      <c r="N102" s="59"/>
      <c r="O102" s="76"/>
      <c r="P102" s="77" t="s">
        <v>285</v>
      </c>
      <c r="Q102" s="77" t="s">
        <v>286</v>
      </c>
      <c r="R102" s="58"/>
      <c r="S102" s="59"/>
      <c r="T102" s="58" t="s">
        <v>284</v>
      </c>
      <c r="U102" s="80">
        <f ca="1">_xlfn.T.DIST.2T(ABS(Y97),Z97)</f>
        <v>7.5881538893310422E-3</v>
      </c>
      <c r="V102" s="77">
        <f ca="1">_xlfn.T.INV.2T(X93,Z97)</f>
        <v>2.1447866879178044</v>
      </c>
      <c r="W102" s="58">
        <f ca="1">(V95-V96)-X97*V102</f>
        <v>9.7108464773478093E-3</v>
      </c>
      <c r="X102" s="58">
        <f ca="1">(V95-V96)+X97*V102</f>
        <v>5.260322759672624E-2</v>
      </c>
      <c r="Y102" s="77" t="str">
        <f ca="1">IF(U102&lt;X93,"yes","no")</f>
        <v>yes</v>
      </c>
      <c r="Z102" s="28"/>
      <c r="AA102" s="28"/>
      <c r="AB102" s="28"/>
      <c r="AD102" t="s">
        <v>223</v>
      </c>
      <c r="AE102" s="90" t="s">
        <v>285</v>
      </c>
      <c r="AF102" s="79" t="s">
        <v>286</v>
      </c>
      <c r="AH102" s="35"/>
      <c r="AI102" t="s">
        <v>284</v>
      </c>
      <c r="AJ102" s="107">
        <f ca="1">_xlfn.T.DIST.2T(ABS(AN97),AO97)</f>
        <v>0.73414493927818369</v>
      </c>
      <c r="AK102">
        <f ca="1">_xlfn.T.INV.2T(AM93,AO97)</f>
        <v>2.1447866879178044</v>
      </c>
      <c r="AL102">
        <f ca="1">(AK95-AK96)-AM97*AK102</f>
        <v>-2.3446276230319099E-2</v>
      </c>
      <c r="AM102">
        <f ca="1">(AK95-AK96)+AM97*AK102</f>
        <v>1.6924794748837665E-2</v>
      </c>
      <c r="AN102" s="79" t="str">
        <f ca="1">IF(AJ102&lt;AM93,"yes","no")</f>
        <v>no</v>
      </c>
      <c r="AT102" s="79" t="s">
        <v>285</v>
      </c>
      <c r="AU102" s="79" t="s">
        <v>286</v>
      </c>
      <c r="AW102" s="35"/>
    </row>
    <row r="103" spans="5:49" x14ac:dyDescent="0.25">
      <c r="E103" s="70"/>
      <c r="F103" s="70"/>
      <c r="G103" s="70"/>
      <c r="H103" s="70"/>
      <c r="I103" s="70"/>
      <c r="J103" s="70"/>
      <c r="K103" s="58"/>
      <c r="L103" s="58"/>
      <c r="M103" s="58"/>
      <c r="N103" s="59"/>
      <c r="O103" s="58" t="s">
        <v>223</v>
      </c>
      <c r="P103" s="69">
        <f ca="1">P97*(P97+1)/4</f>
        <v>60</v>
      </c>
      <c r="Q103" s="58"/>
      <c r="R103" s="58"/>
      <c r="S103" s="59"/>
      <c r="T103" s="72"/>
      <c r="U103" s="70"/>
      <c r="V103" s="70"/>
      <c r="W103" s="70"/>
      <c r="X103" s="70"/>
      <c r="Y103" s="70"/>
      <c r="Z103" s="28"/>
      <c r="AA103" s="28"/>
      <c r="AB103" s="28"/>
      <c r="AD103" t="s">
        <v>223</v>
      </c>
      <c r="AE103" s="47">
        <f ca="1">AE97*(AE97+1)/4</f>
        <v>60</v>
      </c>
      <c r="AF103" t="s">
        <v>288</v>
      </c>
      <c r="AH103" s="35"/>
      <c r="AI103" s="73"/>
      <c r="AJ103" s="32"/>
      <c r="AK103" s="32"/>
      <c r="AL103" s="32"/>
      <c r="AM103" s="32"/>
      <c r="AN103" s="32"/>
      <c r="AS103" t="s">
        <v>223</v>
      </c>
      <c r="AT103" s="47">
        <f ca="1">AT97*(AT97+1)/4</f>
        <v>60</v>
      </c>
      <c r="AW103" s="35"/>
    </row>
    <row r="104" spans="5:49" x14ac:dyDescent="0.25">
      <c r="E104" s="58"/>
      <c r="F104" s="58"/>
      <c r="G104" s="58"/>
      <c r="H104" s="58"/>
      <c r="I104" s="58"/>
      <c r="J104" s="58"/>
      <c r="K104" s="58"/>
      <c r="L104" s="58"/>
      <c r="M104" s="58"/>
      <c r="N104" s="59"/>
      <c r="O104" s="58" t="s">
        <v>287</v>
      </c>
      <c r="P104" s="71">
        <f ca="1">SQRT(P103*(2*P97+1)/6-[1]!TiesCorrection(A25:A39,A65:A79,1)/48)</f>
        <v>17.606816861659009</v>
      </c>
      <c r="Q104" s="58" t="s">
        <v>288</v>
      </c>
      <c r="R104" s="58"/>
      <c r="S104" s="59"/>
      <c r="T104" s="58"/>
      <c r="U104" s="58"/>
      <c r="V104" s="58"/>
      <c r="W104" s="58"/>
      <c r="X104" s="58"/>
      <c r="Y104" s="58"/>
      <c r="Z104" s="28"/>
      <c r="AA104" s="28"/>
      <c r="AB104" s="28"/>
      <c r="AD104" t="s">
        <v>287</v>
      </c>
      <c r="AE104" s="54">
        <f ca="1">SQRT(AE103*(2*AE97+1)/6-[1]!TiesCorrection(B25:B39,B65:B79,1)/48)</f>
        <v>17.606816861659009</v>
      </c>
      <c r="AF104" t="s">
        <v>288</v>
      </c>
      <c r="AH104" s="35"/>
      <c r="AS104" t="s">
        <v>287</v>
      </c>
      <c r="AT104" s="54">
        <f ca="1">SQRT(AT103*(2*AT97+1)/6-[1]!TiesCorrection(C25:C39,C65:C79,1)/48)</f>
        <v>17.606816861659009</v>
      </c>
      <c r="AU104" t="s">
        <v>288</v>
      </c>
      <c r="AW104" s="35"/>
    </row>
    <row r="105" spans="5:49" x14ac:dyDescent="0.25">
      <c r="E105" s="58"/>
      <c r="F105" s="58"/>
      <c r="G105" s="58"/>
      <c r="H105" s="58"/>
      <c r="I105" s="58"/>
      <c r="J105" s="58"/>
      <c r="K105" s="58"/>
      <c r="L105" s="58"/>
      <c r="M105" s="58"/>
      <c r="N105" s="59"/>
      <c r="O105" s="58" t="s">
        <v>289</v>
      </c>
      <c r="P105" s="71">
        <f ca="1">ABS(ABS(P100-P103)-1/2)/P104</f>
        <v>0.82354465965824397</v>
      </c>
      <c r="Q105" s="58" t="s">
        <v>290</v>
      </c>
      <c r="R105" s="58"/>
      <c r="S105" s="59"/>
      <c r="T105" s="58"/>
      <c r="U105" s="58"/>
      <c r="V105" s="58"/>
      <c r="W105" s="58"/>
      <c r="X105" s="58"/>
      <c r="Y105" s="58"/>
      <c r="Z105" s="28"/>
      <c r="AA105" s="28"/>
      <c r="AB105" s="28"/>
      <c r="AD105" t="s">
        <v>289</v>
      </c>
      <c r="AE105" s="54">
        <f ca="1">ABS(ABS(AE100-AE103)-1/2)/AE104</f>
        <v>2.5274301623994382</v>
      </c>
      <c r="AF105" t="s">
        <v>290</v>
      </c>
      <c r="AH105" s="35"/>
      <c r="AS105" t="s">
        <v>289</v>
      </c>
      <c r="AT105" s="54">
        <f ca="1">ABS(ABS(AT100-AT103)-1/2)/AT104</f>
        <v>0.31237900883588565</v>
      </c>
      <c r="AU105" t="s">
        <v>290</v>
      </c>
      <c r="AW105" s="35"/>
    </row>
    <row r="106" spans="5:49" x14ac:dyDescent="0.25">
      <c r="E106" s="58"/>
      <c r="F106" s="58"/>
      <c r="G106" s="58"/>
      <c r="H106" s="58"/>
      <c r="I106" s="58"/>
      <c r="J106" s="58"/>
      <c r="K106" s="58"/>
      <c r="L106" s="58"/>
      <c r="M106" s="58"/>
      <c r="N106" s="59"/>
      <c r="O106" s="58" t="s">
        <v>291</v>
      </c>
      <c r="P106" s="71">
        <f ca="1">P105/SQRT(2*P96)</f>
        <v>0.15035799573591166</v>
      </c>
      <c r="Q106" s="58"/>
      <c r="R106" s="58"/>
      <c r="S106" s="59"/>
      <c r="T106" s="58"/>
      <c r="U106" s="58"/>
      <c r="V106" s="58"/>
      <c r="W106" s="58"/>
      <c r="X106" s="58"/>
      <c r="Y106" s="58"/>
      <c r="Z106" s="28"/>
      <c r="AA106" s="28"/>
      <c r="AB106" s="28"/>
      <c r="AD106" t="s">
        <v>291</v>
      </c>
      <c r="AE106" s="91">
        <f ca="1">AE105/SQRT(2*AE96)</f>
        <v>0.46144350415503921</v>
      </c>
      <c r="AF106" s="92">
        <f ca="1">2*AE106</f>
        <v>0.92288700831007842</v>
      </c>
      <c r="AH106" s="35"/>
      <c r="AS106" t="s">
        <v>291</v>
      </c>
      <c r="AT106" s="54">
        <f ca="1">AT105/SQRT(2*AT96)</f>
        <v>5.7032343210173392E-2</v>
      </c>
      <c r="AW106" s="35"/>
    </row>
    <row r="107" spans="5:49" x14ac:dyDescent="0.25">
      <c r="E107" s="76"/>
      <c r="F107" s="76"/>
      <c r="G107" s="58"/>
      <c r="H107" s="58"/>
      <c r="I107" s="58"/>
      <c r="J107" s="58"/>
      <c r="K107" s="58"/>
      <c r="L107" s="58"/>
      <c r="M107" s="58"/>
      <c r="N107" s="59"/>
      <c r="O107" s="58" t="s">
        <v>292</v>
      </c>
      <c r="P107" s="108">
        <f ca="1">1-_xlfn.NORM.S.DIST(P105,TRUE)</f>
        <v>0.20509916575652298</v>
      </c>
      <c r="Q107" s="109">
        <f ca="1">2*P107</f>
        <v>0.41019833151304597</v>
      </c>
      <c r="R107" s="58"/>
      <c r="S107" s="59"/>
      <c r="T107" s="58"/>
      <c r="U107" s="76"/>
      <c r="V107" s="58"/>
      <c r="W107" s="58"/>
      <c r="X107" s="58"/>
      <c r="Y107" s="58"/>
      <c r="Z107" s="28"/>
      <c r="AA107" s="28"/>
      <c r="AB107" s="28"/>
      <c r="AD107" t="s">
        <v>292</v>
      </c>
      <c r="AE107" s="93">
        <f ca="1">1-_xlfn.NORM.S.DIST(AE105,TRUE)</f>
        <v>5.7450336714877093E-3</v>
      </c>
      <c r="AF107" s="94">
        <f ca="1">2*AE107</f>
        <v>1.1490067342975419E-2</v>
      </c>
      <c r="AH107" s="35"/>
      <c r="AS107" t="s">
        <v>292</v>
      </c>
      <c r="AT107" s="108">
        <f ca="1">1-_xlfn.NORM.S.DIST(AT105,TRUE)</f>
        <v>0.37737625064509195</v>
      </c>
      <c r="AU107" s="109">
        <f ca="1">2*AT107</f>
        <v>0.7547525012901839</v>
      </c>
      <c r="AW107" s="35"/>
    </row>
    <row r="108" spans="5:49" x14ac:dyDescent="0.25">
      <c r="E108" s="76"/>
      <c r="F108" s="76"/>
      <c r="G108" s="58"/>
      <c r="H108" s="58"/>
      <c r="I108" s="58"/>
      <c r="J108" s="58"/>
      <c r="K108" s="58"/>
      <c r="L108" s="58"/>
      <c r="M108" s="58"/>
      <c r="N108" s="59"/>
      <c r="O108" s="58" t="s">
        <v>293</v>
      </c>
      <c r="P108" s="110">
        <f ca="1">[1]!SRDIST(P100,P97,1)</f>
        <v>0.210601806640625</v>
      </c>
      <c r="Q108" s="111">
        <f ca="1">2*P108</f>
        <v>0.42120361328125</v>
      </c>
      <c r="R108" s="58"/>
      <c r="S108" s="59"/>
      <c r="T108" s="58"/>
      <c r="U108" s="76"/>
      <c r="V108" s="58"/>
      <c r="W108" s="58"/>
      <c r="X108" s="58"/>
      <c r="Y108" s="58"/>
      <c r="Z108" s="28"/>
      <c r="AA108" s="28"/>
      <c r="AB108" s="28"/>
      <c r="AD108" t="s">
        <v>293</v>
      </c>
      <c r="AE108" s="96">
        <f ca="1">[1]!SRDIST(AE100,AE97,1)</f>
        <v>4.180908203125E-3</v>
      </c>
      <c r="AF108" s="98">
        <f ca="1">2*AE108</f>
        <v>8.36181640625E-3</v>
      </c>
      <c r="AH108" s="35"/>
      <c r="AS108" t="s">
        <v>293</v>
      </c>
      <c r="AT108" s="110">
        <f ca="1">[1]!SRDIST(AT100,AT97,1)</f>
        <v>0.380767822265625</v>
      </c>
      <c r="AU108" s="111">
        <f ca="1">2*AT108</f>
        <v>0.76153564453125</v>
      </c>
      <c r="AW108" s="35"/>
    </row>
    <row r="109" spans="5:49" x14ac:dyDescent="0.25">
      <c r="E109" s="58"/>
      <c r="F109" s="58"/>
      <c r="G109" s="58"/>
      <c r="H109" s="58"/>
      <c r="I109" s="58"/>
      <c r="J109" s="58"/>
      <c r="K109" s="58"/>
      <c r="L109" s="58"/>
      <c r="M109" s="58"/>
      <c r="N109" s="59"/>
      <c r="O109" s="58" t="s">
        <v>294</v>
      </c>
      <c r="P109" s="85" t="s">
        <v>295</v>
      </c>
      <c r="Q109" s="86" t="s">
        <v>295</v>
      </c>
      <c r="R109" s="58"/>
      <c r="S109" s="59"/>
      <c r="T109" s="58"/>
      <c r="U109" s="58"/>
      <c r="V109" s="58"/>
      <c r="W109" s="58"/>
      <c r="X109" s="58"/>
      <c r="Y109" s="58"/>
      <c r="Z109" s="28"/>
      <c r="AA109" s="28"/>
      <c r="AB109" s="28"/>
      <c r="AD109" t="s">
        <v>294</v>
      </c>
      <c r="AE109" s="75" t="s">
        <v>295</v>
      </c>
      <c r="AF109" s="53" t="s">
        <v>295</v>
      </c>
      <c r="AH109" s="35"/>
      <c r="AS109" t="s">
        <v>294</v>
      </c>
      <c r="AT109" s="75" t="s">
        <v>295</v>
      </c>
      <c r="AU109" s="53" t="s">
        <v>295</v>
      </c>
      <c r="AW109" s="35"/>
    </row>
    <row r="110" spans="5:49" x14ac:dyDescent="0.25">
      <c r="N110" s="35"/>
    </row>
    <row r="111" spans="5:49" x14ac:dyDescent="0.25">
      <c r="E111" s="173" t="s">
        <v>300</v>
      </c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  <c r="AA111" s="174"/>
      <c r="AB111" s="174"/>
      <c r="AC111" s="174"/>
      <c r="AD111" s="174"/>
      <c r="AE111" s="174"/>
      <c r="AF111" s="174"/>
      <c r="AG111" s="174"/>
      <c r="AH111" s="174"/>
      <c r="AI111" s="174"/>
      <c r="AJ111" s="174"/>
      <c r="AK111" s="174"/>
      <c r="AL111" s="174"/>
      <c r="AM111" s="174"/>
      <c r="AN111" s="174"/>
      <c r="AO111" s="174"/>
      <c r="AP111" s="174"/>
      <c r="AQ111" s="174"/>
      <c r="AR111" s="174"/>
      <c r="AS111" s="174"/>
      <c r="AT111" s="174"/>
      <c r="AU111" s="174"/>
      <c r="AV111" s="174"/>
      <c r="AW111" s="175"/>
    </row>
    <row r="112" spans="5:49" x14ac:dyDescent="0.25">
      <c r="E112" s="164" t="s">
        <v>182</v>
      </c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73" t="s">
        <v>201</v>
      </c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5"/>
      <c r="AI112" s="164" t="s">
        <v>202</v>
      </c>
      <c r="AJ112" s="164"/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164"/>
      <c r="AW112" s="164"/>
    </row>
    <row r="113" spans="5:49" x14ac:dyDescent="0.25">
      <c r="E113" s="165" t="s">
        <v>265</v>
      </c>
      <c r="F113" s="165"/>
      <c r="G113" s="165"/>
      <c r="H113" s="165"/>
      <c r="I113" s="165"/>
      <c r="J113" s="165"/>
      <c r="K113" s="165"/>
      <c r="L113" s="165"/>
      <c r="M113" s="165"/>
      <c r="N113" s="166"/>
      <c r="O113" s="167" t="s">
        <v>266</v>
      </c>
      <c r="P113" s="168"/>
      <c r="Q113" s="168"/>
      <c r="R113" s="168"/>
      <c r="S113" s="169"/>
      <c r="T113" s="168" t="s">
        <v>265</v>
      </c>
      <c r="U113" s="168"/>
      <c r="V113" s="168"/>
      <c r="W113" s="168"/>
      <c r="X113" s="168"/>
      <c r="Y113" s="168"/>
      <c r="Z113" s="168"/>
      <c r="AA113" s="168"/>
      <c r="AB113" s="168"/>
      <c r="AC113" s="169"/>
      <c r="AD113" s="172" t="s">
        <v>266</v>
      </c>
      <c r="AE113" s="165"/>
      <c r="AF113" s="165"/>
      <c r="AG113" s="165"/>
      <c r="AH113" s="166"/>
      <c r="AI113" s="165" t="s">
        <v>265</v>
      </c>
      <c r="AJ113" s="165"/>
      <c r="AK113" s="165"/>
      <c r="AL113" s="165"/>
      <c r="AM113" s="165"/>
      <c r="AN113" s="165"/>
      <c r="AO113" s="165"/>
      <c r="AP113" s="165"/>
      <c r="AQ113" s="165"/>
      <c r="AR113" s="166"/>
      <c r="AS113" s="167" t="s">
        <v>266</v>
      </c>
      <c r="AT113" s="168"/>
      <c r="AU113" s="168"/>
      <c r="AV113" s="168"/>
      <c r="AW113" s="169"/>
    </row>
    <row r="114" spans="5:49" x14ac:dyDescent="0.25">
      <c r="E114" s="58"/>
      <c r="F114" s="58"/>
      <c r="G114" s="58"/>
      <c r="H114" s="58"/>
      <c r="I114" s="58"/>
      <c r="J114" s="58"/>
      <c r="K114" s="58"/>
      <c r="L114" s="58"/>
      <c r="M114" s="58"/>
      <c r="N114" s="59"/>
      <c r="O114" s="58"/>
      <c r="P114" s="58"/>
      <c r="Q114" s="58"/>
      <c r="R114" s="58"/>
      <c r="S114" s="59"/>
      <c r="T114" s="58"/>
      <c r="U114" s="58"/>
      <c r="V114" s="58"/>
      <c r="W114" s="58"/>
      <c r="X114" s="58"/>
      <c r="Y114" s="58"/>
      <c r="Z114" s="28"/>
      <c r="AA114" s="28"/>
      <c r="AB114" s="28"/>
      <c r="AH114" s="35"/>
      <c r="AW114" s="35"/>
    </row>
    <row r="115" spans="5:49" ht="13.8" thickBot="1" x14ac:dyDescent="0.3">
      <c r="E115" s="58" t="s">
        <v>267</v>
      </c>
      <c r="F115" s="58"/>
      <c r="G115" s="58"/>
      <c r="H115" s="58" t="s">
        <v>219</v>
      </c>
      <c r="I115" s="58">
        <v>0.05</v>
      </c>
      <c r="J115" s="58"/>
      <c r="K115" s="58" t="s">
        <v>268</v>
      </c>
      <c r="L115" s="58">
        <v>0</v>
      </c>
      <c r="M115" s="58"/>
      <c r="N115" s="59"/>
      <c r="O115" s="58"/>
      <c r="P115" s="58" t="str">
        <f>A46</f>
        <v>Groupe 1</v>
      </c>
      <c r="Q115" s="58" t="str">
        <f>A64</f>
        <v>Groupe 1</v>
      </c>
      <c r="R115" s="58"/>
      <c r="S115" s="59"/>
      <c r="T115" s="58" t="s">
        <v>267</v>
      </c>
      <c r="U115" s="58"/>
      <c r="V115" s="58"/>
      <c r="W115" s="58" t="s">
        <v>219</v>
      </c>
      <c r="X115" s="58">
        <v>0.05</v>
      </c>
      <c r="Y115" s="58"/>
      <c r="Z115" s="28" t="s">
        <v>268</v>
      </c>
      <c r="AA115" s="28">
        <v>0</v>
      </c>
      <c r="AB115" s="28"/>
      <c r="AE115" s="66" t="str">
        <f>B46</f>
        <v>Groupe 2</v>
      </c>
      <c r="AF115" s="67" t="str">
        <f>B64</f>
        <v>Groupe 2</v>
      </c>
      <c r="AH115" s="35"/>
      <c r="AI115" t="s">
        <v>267</v>
      </c>
      <c r="AL115" t="s">
        <v>219</v>
      </c>
      <c r="AM115">
        <v>0.05</v>
      </c>
      <c r="AO115" t="s">
        <v>268</v>
      </c>
      <c r="AP115">
        <v>0</v>
      </c>
      <c r="AT115" t="str">
        <f>C46</f>
        <v>Groupe 3</v>
      </c>
      <c r="AU115" t="str">
        <f>C64</f>
        <v>Groupe 3</v>
      </c>
      <c r="AW115" s="35"/>
    </row>
    <row r="116" spans="5:49" ht="13.8" thickTop="1" x14ac:dyDescent="0.25">
      <c r="E116" s="60" t="s">
        <v>269</v>
      </c>
      <c r="F116" s="60" t="s">
        <v>225</v>
      </c>
      <c r="G116" s="60" t="s">
        <v>227</v>
      </c>
      <c r="H116" s="60" t="s">
        <v>270</v>
      </c>
      <c r="I116" s="60" t="s">
        <v>230</v>
      </c>
      <c r="J116" s="60" t="s">
        <v>271</v>
      </c>
      <c r="K116" s="60" t="s">
        <v>246</v>
      </c>
      <c r="L116" s="60" t="s">
        <v>272</v>
      </c>
      <c r="M116" s="60" t="s">
        <v>273</v>
      </c>
      <c r="N116" s="61"/>
      <c r="O116" s="62" t="s">
        <v>233</v>
      </c>
      <c r="P116" s="63">
        <f ca="1">MEDIAN(A47:A61)</f>
        <v>0.16645555529329512</v>
      </c>
      <c r="Q116" s="64">
        <f ca="1">MEDIAN(A65:A79)</f>
        <v>0.16305555403232574</v>
      </c>
      <c r="R116" s="62"/>
      <c r="S116" s="61"/>
      <c r="T116" s="65" t="s">
        <v>269</v>
      </c>
      <c r="U116" s="60" t="s">
        <v>225</v>
      </c>
      <c r="V116" s="60" t="s">
        <v>227</v>
      </c>
      <c r="W116" s="60" t="s">
        <v>270</v>
      </c>
      <c r="X116" s="60" t="s">
        <v>230</v>
      </c>
      <c r="Y116" s="60" t="s">
        <v>271</v>
      </c>
      <c r="Z116" s="37" t="s">
        <v>246</v>
      </c>
      <c r="AA116" s="37" t="s">
        <v>272</v>
      </c>
      <c r="AB116" s="37" t="s">
        <v>273</v>
      </c>
      <c r="AD116" t="s">
        <v>233</v>
      </c>
      <c r="AE116" s="66">
        <f ca="1">MEDIAN(B47:B61)</f>
        <v>0.11349999999999999</v>
      </c>
      <c r="AF116" s="67">
        <f ca="1">MEDIAN(B65:B79)</f>
        <v>0.10033333333333333</v>
      </c>
      <c r="AH116" s="35"/>
      <c r="AI116" s="68" t="s">
        <v>269</v>
      </c>
      <c r="AJ116" s="37" t="s">
        <v>225</v>
      </c>
      <c r="AK116" s="37" t="s">
        <v>227</v>
      </c>
      <c r="AL116" s="37" t="s">
        <v>270</v>
      </c>
      <c r="AM116" s="37" t="s">
        <v>230</v>
      </c>
      <c r="AN116" s="37" t="s">
        <v>271</v>
      </c>
      <c r="AO116" s="37" t="s">
        <v>246</v>
      </c>
      <c r="AP116" s="37" t="s">
        <v>272</v>
      </c>
      <c r="AQ116" s="37" t="s">
        <v>273</v>
      </c>
      <c r="AS116" t="s">
        <v>233</v>
      </c>
      <c r="AT116" s="66">
        <f ca="1">MEDIAN(C47:C61)</f>
        <v>0.12944444444444445</v>
      </c>
      <c r="AU116" s="67">
        <f ca="1">MEDIAN(C65:C79)</f>
        <v>0.11417777777777778</v>
      </c>
      <c r="AW116" s="35"/>
    </row>
    <row r="117" spans="5:49" x14ac:dyDescent="0.25">
      <c r="E117" s="58" t="str">
        <f>A46</f>
        <v>Groupe 1</v>
      </c>
      <c r="F117" s="58">
        <f ca="1">COUNT(A47:A61)</f>
        <v>15</v>
      </c>
      <c r="G117" s="58">
        <f ca="1">AVERAGE(A47:A61)</f>
        <v>0.14920962957872286</v>
      </c>
      <c r="H117" s="58">
        <f ca="1">_xlfn.STDEV.S(A47:A61)</f>
        <v>6.8060091111882604E-2</v>
      </c>
      <c r="I117" s="58"/>
      <c r="J117" s="58"/>
      <c r="K117" s="58"/>
      <c r="L117" s="58"/>
      <c r="M117" s="58"/>
      <c r="N117" s="59"/>
      <c r="O117" s="58"/>
      <c r="P117" s="58"/>
      <c r="Q117" s="58"/>
      <c r="R117" s="58"/>
      <c r="S117" s="59"/>
      <c r="T117" s="58" t="str">
        <f>B46</f>
        <v>Groupe 2</v>
      </c>
      <c r="U117" s="58">
        <f ca="1">COUNT(B47:B61)</f>
        <v>15</v>
      </c>
      <c r="V117" s="58">
        <f ca="1">AVERAGE(B47:B61)</f>
        <v>0.15113925925925925</v>
      </c>
      <c r="W117" s="58">
        <f ca="1">_xlfn.STDEV.S(B47:B61)</f>
        <v>9.1939701490544826E-2</v>
      </c>
      <c r="X117" s="58"/>
      <c r="Y117" s="58"/>
      <c r="Z117" s="28"/>
      <c r="AA117" s="28"/>
      <c r="AB117" s="28"/>
      <c r="AD117" t="s">
        <v>237</v>
      </c>
      <c r="AE117" s="47">
        <f>SUMPRODUCT(--ISNUMBER(B91:B105),--ISNUMBER(B110:B124))</f>
        <v>0</v>
      </c>
      <c r="AH117" s="35"/>
      <c r="AI117" t="str">
        <f>C46</f>
        <v>Groupe 3</v>
      </c>
      <c r="AJ117">
        <f ca="1">COUNT(C47:C61)</f>
        <v>15</v>
      </c>
      <c r="AK117">
        <f ca="1">AVERAGE(C47:C61)</f>
        <v>0.12609111111111113</v>
      </c>
      <c r="AL117">
        <f ca="1">_xlfn.STDEV.S(C47:C61)</f>
        <v>3.2551548374651872E-2</v>
      </c>
      <c r="AW117" s="35"/>
    </row>
    <row r="118" spans="5:49" x14ac:dyDescent="0.25">
      <c r="E118" s="58" t="str">
        <f>A64</f>
        <v>Groupe 1</v>
      </c>
      <c r="F118" s="58">
        <f ca="1">COUNT(A65:A79)</f>
        <v>15</v>
      </c>
      <c r="G118" s="58">
        <f ca="1">AVERAGE(A65:A79)</f>
        <v>0.14673925994171039</v>
      </c>
      <c r="H118" s="58">
        <f ca="1">_xlfn.STDEV.S(A65:A79)</f>
        <v>7.1364790525475758E-2</v>
      </c>
      <c r="I118" s="58"/>
      <c r="J118" s="58"/>
      <c r="K118" s="58"/>
      <c r="L118" s="58"/>
      <c r="M118" s="58"/>
      <c r="N118" s="59"/>
      <c r="O118" s="58" t="s">
        <v>237</v>
      </c>
      <c r="P118" s="69">
        <f ca="1">SUMPRODUCT(--ISNUMBER(A47:A61),--ISNUMBER(A65:A79))</f>
        <v>15</v>
      </c>
      <c r="Q118" s="58"/>
      <c r="R118" s="58"/>
      <c r="S118" s="59"/>
      <c r="T118" s="58" t="str">
        <f>B64</f>
        <v>Groupe 2</v>
      </c>
      <c r="U118" s="58">
        <f ca="1">COUNT(B65:B79)</f>
        <v>15</v>
      </c>
      <c r="V118" s="58">
        <f ca="1">AVERAGE(B65:B79)</f>
        <v>0.11406592592592592</v>
      </c>
      <c r="W118" s="58">
        <f ca="1">_xlfn.STDEV.S(B65:B79)</f>
        <v>5.3051525728560922E-2</v>
      </c>
      <c r="X118" s="58"/>
      <c r="Y118" s="58"/>
      <c r="Z118" s="28"/>
      <c r="AA118" s="28"/>
      <c r="AB118" s="28"/>
      <c r="AD118" t="s">
        <v>237</v>
      </c>
      <c r="AE118" s="47">
        <f ca="1">SUMPRODUCT(--ISNUMBER(B47:B61),--ISNUMBER(B65:B79))</f>
        <v>15</v>
      </c>
      <c r="AH118" s="35"/>
      <c r="AI118" t="str">
        <f>C64</f>
        <v>Groupe 3</v>
      </c>
      <c r="AJ118">
        <f ca="1">COUNT(C65:C79)</f>
        <v>15</v>
      </c>
      <c r="AK118">
        <f ca="1">AVERAGE(C65:C79)</f>
        <v>0.12071555555555555</v>
      </c>
      <c r="AL118">
        <f ca="1">_xlfn.STDEV.S(C65:C79)</f>
        <v>3.8819081745757121E-2</v>
      </c>
      <c r="AS118" t="s">
        <v>237</v>
      </c>
      <c r="AT118" s="47">
        <f ca="1">SUMPRODUCT(--ISNUMBER(C47:C61),--ISNUMBER(C65:C79))</f>
        <v>15</v>
      </c>
      <c r="AW118" s="35"/>
    </row>
    <row r="119" spans="5:49" x14ac:dyDescent="0.25">
      <c r="E119" s="70" t="s">
        <v>274</v>
      </c>
      <c r="F119" s="70">
        <f ca="1">F118</f>
        <v>15</v>
      </c>
      <c r="G119" s="70">
        <f ca="1">G117-G118</f>
        <v>2.4703696370124706E-3</v>
      </c>
      <c r="H119" s="70">
        <f t="array" aca="1" ref="H119" ca="1">_xlfn.STDEV.S(A47:A61-A65:A79)</f>
        <v>1.3530970436908643E-2</v>
      </c>
      <c r="I119" s="70">
        <f ca="1">H119/SQRT(F119)</f>
        <v>3.4936815440114711E-3</v>
      </c>
      <c r="J119" s="70">
        <f ca="1">(G117-G118-L115)/I119</f>
        <v>0.70709639842444649</v>
      </c>
      <c r="K119" s="70">
        <f ca="1">F119-1</f>
        <v>14</v>
      </c>
      <c r="L119" s="70">
        <f ca="1">ABS(G117-G118-L115)/H119</f>
        <v>0.18257150501740838</v>
      </c>
      <c r="M119" s="70">
        <f ca="1">SQRT(J119^2/(J119^2+K119))</f>
        <v>0.18569270555045023</v>
      </c>
      <c r="N119" s="59"/>
      <c r="O119" s="58" t="s">
        <v>275</v>
      </c>
      <c r="P119" s="71">
        <f ca="1">SUMPRODUCT(--ISNUMBER(A47:A61),--ISNUMBER(A65:A79),--(A47:A61&lt;&gt;A65:A79))</f>
        <v>15</v>
      </c>
      <c r="Q119" s="58"/>
      <c r="R119" s="58"/>
      <c r="S119" s="59"/>
      <c r="T119" s="72" t="s">
        <v>274</v>
      </c>
      <c r="U119" s="70">
        <f ca="1">U118</f>
        <v>15</v>
      </c>
      <c r="V119" s="70">
        <f ca="1">V117-V118</f>
        <v>3.7073333333333333E-2</v>
      </c>
      <c r="W119" s="70">
        <f t="array" aca="1" ref="W119" ca="1">_xlfn.STDEV.S(B47:B61-B65:B79)</f>
        <v>5.0444965349383752E-2</v>
      </c>
      <c r="X119" s="70">
        <f ca="1">W119/SQRT(U119)</f>
        <v>1.3024834046544899E-2</v>
      </c>
      <c r="Y119" s="70">
        <f ca="1">(V117-V118-AA115)/X119</f>
        <v>2.8463574430852563</v>
      </c>
      <c r="Z119" s="32">
        <f ca="1">U119-1</f>
        <v>14</v>
      </c>
      <c r="AA119" s="32">
        <f ca="1">ABS(V117-V118-AA115)/W119</f>
        <v>0.73492633162818155</v>
      </c>
      <c r="AB119" s="32">
        <f ca="1">SQRT(Y119^2/(Y119^2+Z119))</f>
        <v>0.60544695538894033</v>
      </c>
      <c r="AD119" t="s">
        <v>275</v>
      </c>
      <c r="AE119" s="54">
        <f ca="1">SUMPRODUCT(--ISNUMBER(B47:B61),--ISNUMBER(B65:B79),--(B47:B61&lt;&gt;B65:B79))</f>
        <v>15</v>
      </c>
      <c r="AH119" s="35"/>
      <c r="AI119" s="73" t="s">
        <v>274</v>
      </c>
      <c r="AJ119" s="32">
        <f ca="1">AJ118</f>
        <v>15</v>
      </c>
      <c r="AK119" s="32">
        <f ca="1">AK117-AK118</f>
        <v>5.3755555555555778E-3</v>
      </c>
      <c r="AL119" s="32">
        <f t="array" aca="1" ref="AL119" ca="1">_xlfn.STDEV.S(C47:C61-C65:C79)</f>
        <v>3.5186114936198221E-2</v>
      </c>
      <c r="AM119" s="32">
        <f ca="1">AL119/SQRT(AJ119)</f>
        <v>9.0850158110423827E-3</v>
      </c>
      <c r="AN119" s="32">
        <f ca="1">(AK117-AK118-AP115)/AM119</f>
        <v>0.59169468357136579</v>
      </c>
      <c r="AO119" s="32">
        <f ca="1">AJ119-1</f>
        <v>14</v>
      </c>
      <c r="AP119" s="32">
        <f ca="1">ABS(AK117-AK118-AP115)/AL119</f>
        <v>0.15277491036742444</v>
      </c>
      <c r="AQ119" s="32">
        <f ca="1">SQRT(AN119^2/(AN119^2+AO119))</f>
        <v>0.15619609212430993</v>
      </c>
      <c r="AS119" t="s">
        <v>275</v>
      </c>
      <c r="AT119" s="54">
        <f ca="1">SUMPRODUCT(--ISNUMBER(C47:C61),--ISNUMBER(C65:C79),--(C47:C61&lt;&gt;C65:C79))</f>
        <v>15</v>
      </c>
      <c r="AW119" s="35"/>
    </row>
    <row r="120" spans="5:49" x14ac:dyDescent="0.25">
      <c r="E120" s="58"/>
      <c r="F120" s="58"/>
      <c r="G120" s="58"/>
      <c r="H120" s="58"/>
      <c r="I120" s="58"/>
      <c r="J120" s="58"/>
      <c r="K120" s="58"/>
      <c r="L120" s="58"/>
      <c r="M120" s="58"/>
      <c r="N120" s="59"/>
      <c r="O120" s="58" t="s">
        <v>276</v>
      </c>
      <c r="P120" s="71">
        <f ca="1">IF(P122&lt;=P125,P122,P119*(P119+1)/2)</f>
        <v>54</v>
      </c>
      <c r="Q120" s="58"/>
      <c r="R120" s="58"/>
      <c r="S120" s="59"/>
      <c r="T120" s="58"/>
      <c r="U120" s="58"/>
      <c r="V120" s="58"/>
      <c r="W120" s="58"/>
      <c r="X120" s="58"/>
      <c r="Y120" s="58"/>
      <c r="Z120" s="28"/>
      <c r="AA120" s="28"/>
      <c r="AB120" s="28"/>
      <c r="AD120" t="s">
        <v>276</v>
      </c>
      <c r="AE120" s="54">
        <f ca="1">IF(AE122&lt;=AE125,AE122,AE119*(AE119+1)/2)</f>
        <v>11</v>
      </c>
      <c r="AH120" s="35"/>
      <c r="AS120" t="s">
        <v>276</v>
      </c>
      <c r="AT120" s="54">
        <f ca="1">IF(AT122&lt;=AT125,AT122,AT119*(AT119+1)/2)</f>
        <v>54</v>
      </c>
      <c r="AW120" s="35"/>
    </row>
    <row r="121" spans="5:49" ht="13.8" thickBot="1" x14ac:dyDescent="0.3">
      <c r="E121" s="58" t="s">
        <v>277</v>
      </c>
      <c r="F121" s="58"/>
      <c r="G121" s="58"/>
      <c r="H121" s="58"/>
      <c r="I121" s="58"/>
      <c r="J121" s="58"/>
      <c r="K121" s="58"/>
      <c r="L121" s="58"/>
      <c r="M121" s="58"/>
      <c r="N121" s="59"/>
      <c r="O121" s="58" t="s">
        <v>278</v>
      </c>
      <c r="P121" s="71">
        <f ca="1">P119*(P119+1)/2-P120</f>
        <v>66</v>
      </c>
      <c r="Q121" s="58"/>
      <c r="R121" s="58"/>
      <c r="S121" s="59"/>
      <c r="T121" s="58" t="s">
        <v>277</v>
      </c>
      <c r="U121" s="58"/>
      <c r="V121" s="58"/>
      <c r="W121" s="58"/>
      <c r="X121" s="58"/>
      <c r="Y121" s="58"/>
      <c r="Z121" s="28"/>
      <c r="AA121" s="28"/>
      <c r="AB121" s="28"/>
      <c r="AD121" t="s">
        <v>278</v>
      </c>
      <c r="AE121" s="75">
        <f ca="1">AE119*(AE119+1)/2-AE120</f>
        <v>109</v>
      </c>
      <c r="AH121" s="35"/>
      <c r="AI121" t="s">
        <v>277</v>
      </c>
      <c r="AS121" t="s">
        <v>278</v>
      </c>
      <c r="AT121" s="54">
        <f ca="1">AT119*(AT119+1)/2-AT120</f>
        <v>66</v>
      </c>
      <c r="AW121" s="35"/>
    </row>
    <row r="122" spans="5:49" ht="13.8" thickTop="1" x14ac:dyDescent="0.25">
      <c r="E122" s="60" t="s">
        <v>133</v>
      </c>
      <c r="F122" s="60" t="s">
        <v>208</v>
      </c>
      <c r="G122" s="60" t="s">
        <v>279</v>
      </c>
      <c r="H122" s="60" t="s">
        <v>280</v>
      </c>
      <c r="I122" s="60" t="s">
        <v>281</v>
      </c>
      <c r="J122" s="60" t="s">
        <v>256</v>
      </c>
      <c r="K122" s="58"/>
      <c r="L122" s="58"/>
      <c r="M122" s="58"/>
      <c r="N122" s="61"/>
      <c r="O122" s="62" t="s">
        <v>282</v>
      </c>
      <c r="P122" s="74">
        <f ca="1">[1]!SRANK(A47:A61,A65:A79)</f>
        <v>54</v>
      </c>
      <c r="Q122" s="62"/>
      <c r="R122" s="62"/>
      <c r="S122" s="59"/>
      <c r="T122" s="65" t="s">
        <v>133</v>
      </c>
      <c r="U122" s="60" t="s">
        <v>208</v>
      </c>
      <c r="V122" s="60" t="s">
        <v>279</v>
      </c>
      <c r="W122" s="60" t="s">
        <v>280</v>
      </c>
      <c r="X122" s="60" t="s">
        <v>281</v>
      </c>
      <c r="Y122" s="60" t="s">
        <v>256</v>
      </c>
      <c r="Z122" s="28"/>
      <c r="AA122" s="28"/>
      <c r="AB122" s="28"/>
      <c r="AD122" t="s">
        <v>282</v>
      </c>
      <c r="AE122" s="75">
        <f ca="1">[1]!SRANK(B47:B61,B65:B79)</f>
        <v>11</v>
      </c>
      <c r="AH122" s="35"/>
      <c r="AI122" s="68" t="s">
        <v>133</v>
      </c>
      <c r="AJ122" s="37" t="s">
        <v>208</v>
      </c>
      <c r="AK122" s="37" t="s">
        <v>279</v>
      </c>
      <c r="AL122" s="37" t="s">
        <v>280</v>
      </c>
      <c r="AM122" s="37" t="s">
        <v>281</v>
      </c>
      <c r="AN122" s="37" t="s">
        <v>256</v>
      </c>
      <c r="AS122" t="s">
        <v>282</v>
      </c>
      <c r="AT122" s="75">
        <f ca="1">[1]!SRANK(C47:C61,C65:C79)</f>
        <v>54</v>
      </c>
      <c r="AW122" s="35"/>
    </row>
    <row r="123" spans="5:49" x14ac:dyDescent="0.25">
      <c r="E123" s="58" t="s">
        <v>283</v>
      </c>
      <c r="F123" s="76">
        <f ca="1">_xlfn.T.DIST.RT(ABS(J119),K119)</f>
        <v>0.24555481576144417</v>
      </c>
      <c r="G123" s="58">
        <f ca="1">_xlfn.T.INV.2T(I115*2,K119)</f>
        <v>1.7613101357748921</v>
      </c>
      <c r="H123" s="58"/>
      <c r="I123" s="58"/>
      <c r="J123" s="77" t="str">
        <f ca="1">IF(F123&lt;I115,"yes","no")</f>
        <v>no</v>
      </c>
      <c r="K123" s="58"/>
      <c r="L123" s="58"/>
      <c r="M123" s="58"/>
      <c r="N123" s="59"/>
      <c r="O123" s="76"/>
      <c r="P123" s="58"/>
      <c r="Q123" s="58"/>
      <c r="R123" s="58"/>
      <c r="S123" s="59"/>
      <c r="T123" s="58" t="s">
        <v>283</v>
      </c>
      <c r="U123" s="105">
        <f ca="1">_xlfn.T.DIST.RT(ABS(Y119),Z119)</f>
        <v>6.4712864920876871E-3</v>
      </c>
      <c r="V123" s="58">
        <f ca="1">_xlfn.T.INV.2T(X115*2,Z119)</f>
        <v>1.7613101357748921</v>
      </c>
      <c r="W123" s="58"/>
      <c r="X123" s="58"/>
      <c r="Y123" s="77" t="str">
        <f ca="1">IF(U123&lt;X115,"yes","no")</f>
        <v>yes</v>
      </c>
      <c r="Z123" s="28"/>
      <c r="AA123" s="28"/>
      <c r="AB123" s="28"/>
      <c r="AE123" s="79" t="s">
        <v>285</v>
      </c>
      <c r="AF123" s="79" t="s">
        <v>286</v>
      </c>
      <c r="AH123" s="35"/>
      <c r="AI123" t="s">
        <v>283</v>
      </c>
      <c r="AJ123" s="97">
        <f ca="1">_xlfn.T.DIST.RT(ABS(AN119),AO119)</f>
        <v>0.28174419254075334</v>
      </c>
      <c r="AK123">
        <f ca="1">_xlfn.T.INV.2T(AM115*2,AO119)</f>
        <v>1.7613101357748921</v>
      </c>
      <c r="AN123" s="79" t="str">
        <f ca="1">IF(AJ123&lt;AM115,"yes","no")</f>
        <v>no</v>
      </c>
      <c r="AW123" s="35"/>
    </row>
    <row r="124" spans="5:49" x14ac:dyDescent="0.25">
      <c r="E124" s="58" t="s">
        <v>284</v>
      </c>
      <c r="F124" s="80">
        <f ca="1">_xlfn.T.DIST.2T(ABS(J119),K119)</f>
        <v>0.49110963152288833</v>
      </c>
      <c r="G124" s="77">
        <f ca="1">_xlfn.T.INV.2T(I115,K119)</f>
        <v>2.1447866879178044</v>
      </c>
      <c r="H124" s="58">
        <f ca="1">(G117-G118)-I119*G124</f>
        <v>-5.0228320304074531E-3</v>
      </c>
      <c r="I124" s="58">
        <f ca="1">(G117-G118)+I119*G124</f>
        <v>9.9635713044323934E-3</v>
      </c>
      <c r="J124" s="77" t="str">
        <f ca="1">IF(F124&lt;I115,"yes","no")</f>
        <v>no</v>
      </c>
      <c r="K124" s="58"/>
      <c r="L124" s="58"/>
      <c r="M124" s="58"/>
      <c r="N124" s="59"/>
      <c r="O124" s="76"/>
      <c r="P124" s="77" t="s">
        <v>285</v>
      </c>
      <c r="Q124" s="77" t="s">
        <v>286</v>
      </c>
      <c r="R124" s="58"/>
      <c r="S124" s="59"/>
      <c r="T124" s="58" t="s">
        <v>284</v>
      </c>
      <c r="U124" s="80">
        <f ca="1">_xlfn.T.DIST.2T(ABS(Y119),Z119)</f>
        <v>1.2942572984175374E-2</v>
      </c>
      <c r="V124" s="77">
        <f ca="1">_xlfn.T.INV.2T(X115,Z119)</f>
        <v>2.1447866879178044</v>
      </c>
      <c r="W124" s="58">
        <f ca="1">(V117-V118)-X119*V124</f>
        <v>9.137842657965245E-3</v>
      </c>
      <c r="X124" s="58">
        <f ca="1">(V117-V118)+X119*V124</f>
        <v>6.5008824008701421E-2</v>
      </c>
      <c r="Y124" s="77" t="str">
        <f ca="1">IF(U124&lt;X115,"yes","no")</f>
        <v>yes</v>
      </c>
      <c r="Z124" s="28"/>
      <c r="AA124" s="28"/>
      <c r="AB124" s="28"/>
      <c r="AD124" t="s">
        <v>223</v>
      </c>
      <c r="AE124" s="90" t="s">
        <v>285</v>
      </c>
      <c r="AF124" s="79" t="s">
        <v>286</v>
      </c>
      <c r="AH124" s="35"/>
      <c r="AI124" t="s">
        <v>284</v>
      </c>
      <c r="AJ124" s="97">
        <f ca="1">_xlfn.T.DIST.2T(ABS(AN119),AO119)</f>
        <v>0.56348838508150667</v>
      </c>
      <c r="AK124">
        <f ca="1">_xlfn.T.INV.2T(AM115,AO119)</f>
        <v>2.1447866879178044</v>
      </c>
      <c r="AL124">
        <f ca="1">(AK117-AK118)-AM119*AK124</f>
        <v>-1.4109865415490898E-2</v>
      </c>
      <c r="AM124">
        <f ca="1">(AK117-AK118)+AM119*AK124</f>
        <v>2.4860976526602054E-2</v>
      </c>
      <c r="AN124" s="79" t="str">
        <f ca="1">IF(AJ124&lt;AM115,"yes","no")</f>
        <v>no</v>
      </c>
      <c r="AT124" s="79" t="s">
        <v>285</v>
      </c>
      <c r="AU124" s="79" t="s">
        <v>286</v>
      </c>
      <c r="AW124" s="35"/>
    </row>
    <row r="125" spans="5:49" x14ac:dyDescent="0.25">
      <c r="E125" s="70"/>
      <c r="F125" s="70"/>
      <c r="G125" s="70"/>
      <c r="H125" s="70"/>
      <c r="I125" s="70"/>
      <c r="J125" s="70"/>
      <c r="K125" s="58"/>
      <c r="L125" s="58"/>
      <c r="M125" s="58"/>
      <c r="N125" s="59"/>
      <c r="O125" s="58" t="s">
        <v>223</v>
      </c>
      <c r="P125" s="69">
        <f ca="1">P119*(P119+1)/4</f>
        <v>60</v>
      </c>
      <c r="Q125" s="58"/>
      <c r="R125" s="58"/>
      <c r="S125" s="59"/>
      <c r="T125" s="72"/>
      <c r="U125" s="70"/>
      <c r="V125" s="70"/>
      <c r="W125" s="70"/>
      <c r="X125" s="70"/>
      <c r="Y125" s="70"/>
      <c r="Z125" s="28"/>
      <c r="AA125" s="28"/>
      <c r="AB125" s="28"/>
      <c r="AD125" t="s">
        <v>223</v>
      </c>
      <c r="AE125" s="47">
        <f ca="1">AE119*(AE119+1)/4</f>
        <v>60</v>
      </c>
      <c r="AF125" t="s">
        <v>288</v>
      </c>
      <c r="AH125" s="35"/>
      <c r="AI125" s="73"/>
      <c r="AJ125" s="32"/>
      <c r="AK125" s="32"/>
      <c r="AL125" s="32"/>
      <c r="AM125" s="32"/>
      <c r="AN125" s="32"/>
      <c r="AS125" t="s">
        <v>223</v>
      </c>
      <c r="AT125" s="47">
        <f ca="1">AT119*(AT119+1)/4</f>
        <v>60</v>
      </c>
      <c r="AW125" s="35"/>
    </row>
    <row r="126" spans="5:49" x14ac:dyDescent="0.25">
      <c r="E126" s="58"/>
      <c r="F126" s="58"/>
      <c r="G126" s="58"/>
      <c r="H126" s="58"/>
      <c r="I126" s="58"/>
      <c r="J126" s="58"/>
      <c r="K126" s="58"/>
      <c r="L126" s="58"/>
      <c r="M126" s="58"/>
      <c r="N126" s="59"/>
      <c r="O126" s="58" t="s">
        <v>287</v>
      </c>
      <c r="P126" s="71">
        <f ca="1">SQRT(P125*(2*P119+1)/6-[1]!TiesCorrection(A47:A61,A65:A79,1)/48)</f>
        <v>17.606816861659009</v>
      </c>
      <c r="Q126" s="58" t="s">
        <v>288</v>
      </c>
      <c r="R126" s="58"/>
      <c r="S126" s="59"/>
      <c r="T126" s="58"/>
      <c r="U126" s="58"/>
      <c r="V126" s="58"/>
      <c r="W126" s="58"/>
      <c r="X126" s="58"/>
      <c r="Y126" s="58"/>
      <c r="Z126" s="28"/>
      <c r="AA126" s="28"/>
      <c r="AB126" s="28"/>
      <c r="AD126" t="s">
        <v>287</v>
      </c>
      <c r="AE126" s="54">
        <f ca="1">SQRT(AE125*(2*AE119+1)/6-[1]!TiesCorrection(B47:B61,B65:B79,1)/48)</f>
        <v>17.606816861659009</v>
      </c>
      <c r="AF126" t="s">
        <v>288</v>
      </c>
      <c r="AH126" s="35"/>
      <c r="AS126" t="s">
        <v>287</v>
      </c>
      <c r="AT126" s="54">
        <f ca="1">SQRT(AT125*(2*AT119+1)/6-[1]!TiesCorrection(C47:C61,C65:C79,1)/48)</f>
        <v>17.606816861659009</v>
      </c>
      <c r="AU126" t="s">
        <v>288</v>
      </c>
      <c r="AW126" s="35"/>
    </row>
    <row r="127" spans="5:49" x14ac:dyDescent="0.25">
      <c r="E127" s="58"/>
      <c r="F127" s="58"/>
      <c r="G127" s="58"/>
      <c r="H127" s="58"/>
      <c r="I127" s="58"/>
      <c r="J127" s="58"/>
      <c r="K127" s="58"/>
      <c r="L127" s="58"/>
      <c r="M127" s="58"/>
      <c r="N127" s="59"/>
      <c r="O127" s="58" t="s">
        <v>289</v>
      </c>
      <c r="P127" s="71">
        <f ca="1">ABS(ABS(P122-P125)-1/2)/P126</f>
        <v>0.31237900883588565</v>
      </c>
      <c r="Q127" s="58" t="s">
        <v>290</v>
      </c>
      <c r="R127" s="58"/>
      <c r="S127" s="59"/>
      <c r="T127" s="58"/>
      <c r="U127" s="58"/>
      <c r="V127" s="58"/>
      <c r="W127" s="58"/>
      <c r="X127" s="58"/>
      <c r="Y127" s="58"/>
      <c r="Z127" s="28"/>
      <c r="AA127" s="28"/>
      <c r="AB127" s="28"/>
      <c r="AD127" t="s">
        <v>289</v>
      </c>
      <c r="AE127" s="54">
        <f ca="1">ABS(ABS(AE122-AE125)-1/2)/AE126</f>
        <v>2.7546148960982642</v>
      </c>
      <c r="AF127" t="s">
        <v>290</v>
      </c>
      <c r="AH127" s="35"/>
      <c r="AS127" t="s">
        <v>289</v>
      </c>
      <c r="AT127" s="54">
        <f ca="1">ABS(ABS(AT122-AT125)-1/2)/AT126</f>
        <v>0.31237900883588565</v>
      </c>
      <c r="AU127" t="s">
        <v>290</v>
      </c>
      <c r="AW127" s="35"/>
    </row>
    <row r="128" spans="5:49" x14ac:dyDescent="0.25">
      <c r="E128" s="58"/>
      <c r="F128" s="58"/>
      <c r="G128" s="58"/>
      <c r="H128" s="58"/>
      <c r="I128" s="58"/>
      <c r="J128" s="58"/>
      <c r="K128" s="58"/>
      <c r="L128" s="58"/>
      <c r="M128" s="58"/>
      <c r="N128" s="59"/>
      <c r="O128" s="58" t="s">
        <v>291</v>
      </c>
      <c r="P128" s="71">
        <f ca="1">P127/SQRT(2*P118)</f>
        <v>5.7032343210173392E-2</v>
      </c>
      <c r="Q128" s="58"/>
      <c r="R128" s="58"/>
      <c r="S128" s="59"/>
      <c r="T128" s="58"/>
      <c r="U128" s="58"/>
      <c r="V128" s="58"/>
      <c r="W128" s="58"/>
      <c r="X128" s="58"/>
      <c r="Y128" s="58"/>
      <c r="Z128" s="28"/>
      <c r="AA128" s="28"/>
      <c r="AB128" s="28"/>
      <c r="AD128" t="s">
        <v>291</v>
      </c>
      <c r="AE128" s="91">
        <f ca="1">AE127/SQRT(2*AE118)</f>
        <v>0.50292157194425624</v>
      </c>
      <c r="AF128" s="92">
        <f ca="1">2*AE128</f>
        <v>1.0058431438885125</v>
      </c>
      <c r="AH128" s="35"/>
      <c r="AS128" t="s">
        <v>291</v>
      </c>
      <c r="AT128" s="54">
        <f ca="1">AT127/SQRT(2*AT118)</f>
        <v>5.7032343210173392E-2</v>
      </c>
      <c r="AW128" s="35"/>
    </row>
    <row r="129" spans="5:49" x14ac:dyDescent="0.25">
      <c r="E129" s="76"/>
      <c r="F129" s="76"/>
      <c r="G129" s="58"/>
      <c r="H129" s="58"/>
      <c r="I129" s="58"/>
      <c r="J129" s="58"/>
      <c r="K129" s="58"/>
      <c r="L129" s="58"/>
      <c r="M129" s="58"/>
      <c r="N129" s="59"/>
      <c r="O129" s="58" t="s">
        <v>292</v>
      </c>
      <c r="P129" s="81">
        <f ca="1">1-_xlfn.NORM.S.DIST(P127,TRUE)</f>
        <v>0.37737625064509195</v>
      </c>
      <c r="Q129" s="82">
        <f ca="1">2*P129</f>
        <v>0.7547525012901839</v>
      </c>
      <c r="R129" s="58"/>
      <c r="S129" s="59"/>
      <c r="T129" s="58"/>
      <c r="U129" s="76"/>
      <c r="V129" s="58"/>
      <c r="W129" s="58"/>
      <c r="X129" s="58"/>
      <c r="Y129" s="58"/>
      <c r="Z129" s="28"/>
      <c r="AA129" s="28"/>
      <c r="AB129" s="28"/>
      <c r="AD129" t="s">
        <v>292</v>
      </c>
      <c r="AE129" s="93">
        <f ca="1">1-_xlfn.NORM.S.DIST(AE127,TRUE)</f>
        <v>2.9380627070797471E-3</v>
      </c>
      <c r="AF129" s="94">
        <f ca="1">2*AE129</f>
        <v>5.8761254141594943E-3</v>
      </c>
      <c r="AH129" s="35"/>
      <c r="AS129" t="s">
        <v>292</v>
      </c>
      <c r="AT129" s="81">
        <f ca="1">1-_xlfn.NORM.S.DIST(AT127,TRUE)</f>
        <v>0.37737625064509195</v>
      </c>
      <c r="AU129" s="82">
        <f ca="1">2*AT129</f>
        <v>0.7547525012901839</v>
      </c>
      <c r="AW129" s="35"/>
    </row>
    <row r="130" spans="5:49" x14ac:dyDescent="0.25">
      <c r="E130" s="76"/>
      <c r="F130" s="76"/>
      <c r="G130" s="58"/>
      <c r="H130" s="58"/>
      <c r="I130" s="58"/>
      <c r="J130" s="58"/>
      <c r="K130" s="58"/>
      <c r="L130" s="58"/>
      <c r="M130" s="58"/>
      <c r="N130" s="59"/>
      <c r="O130" s="58" t="s">
        <v>293</v>
      </c>
      <c r="P130" s="83">
        <f ca="1">[1]!SRDIST(P122,P119,1)</f>
        <v>0.380767822265625</v>
      </c>
      <c r="Q130" s="84">
        <f ca="1">2*P130</f>
        <v>0.76153564453125</v>
      </c>
      <c r="R130" s="58"/>
      <c r="S130" s="59"/>
      <c r="T130" s="58"/>
      <c r="U130" s="76"/>
      <c r="V130" s="58"/>
      <c r="W130" s="58"/>
      <c r="X130" s="58"/>
      <c r="Y130" s="58"/>
      <c r="Z130" s="28"/>
      <c r="AA130" s="28"/>
      <c r="AB130" s="28"/>
      <c r="AD130" t="s">
        <v>293</v>
      </c>
      <c r="AE130" s="96">
        <f ca="1">[1]!SRDIST(AE122,AE119,1)</f>
        <v>1.678466796875E-3</v>
      </c>
      <c r="AF130" s="98">
        <f ca="1">2*AE130</f>
        <v>3.35693359375E-3</v>
      </c>
      <c r="AH130" s="35"/>
      <c r="AS130" t="s">
        <v>293</v>
      </c>
      <c r="AT130" s="83">
        <f ca="1">[1]!SRDIST(AT122,AT119,1)</f>
        <v>0.380767822265625</v>
      </c>
      <c r="AU130" s="84">
        <f ca="1">2*AT130</f>
        <v>0.76153564453125</v>
      </c>
      <c r="AW130" s="35"/>
    </row>
    <row r="131" spans="5:49" x14ac:dyDescent="0.25">
      <c r="E131" s="58"/>
      <c r="F131" s="58"/>
      <c r="G131" s="58"/>
      <c r="H131" s="58"/>
      <c r="I131" s="58"/>
      <c r="J131" s="58"/>
      <c r="K131" s="58"/>
      <c r="L131" s="58"/>
      <c r="M131" s="58"/>
      <c r="N131" s="59"/>
      <c r="O131" s="58" t="s">
        <v>294</v>
      </c>
      <c r="P131" s="85" t="s">
        <v>295</v>
      </c>
      <c r="Q131" s="86" t="s">
        <v>295</v>
      </c>
      <c r="R131" s="58"/>
      <c r="S131" s="59"/>
      <c r="T131" s="58"/>
      <c r="U131" s="58"/>
      <c r="V131" s="58"/>
      <c r="W131" s="58"/>
      <c r="X131" s="58"/>
      <c r="Y131" s="58"/>
      <c r="Z131" s="28"/>
      <c r="AA131" s="28"/>
      <c r="AB131" s="28"/>
      <c r="AD131" t="s">
        <v>294</v>
      </c>
      <c r="AE131" s="75" t="s">
        <v>295</v>
      </c>
      <c r="AF131" s="53" t="s">
        <v>295</v>
      </c>
      <c r="AH131" s="35"/>
      <c r="AS131" t="s">
        <v>294</v>
      </c>
      <c r="AT131" s="75" t="s">
        <v>295</v>
      </c>
      <c r="AU131" s="53" t="s">
        <v>295</v>
      </c>
      <c r="AW131" s="35"/>
    </row>
    <row r="132" spans="5:49" x14ac:dyDescent="0.25">
      <c r="N132" s="35"/>
    </row>
  </sheetData>
  <mergeCells count="60"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K4" sqref="K4"/>
    </sheetView>
  </sheetViews>
  <sheetFormatPr baseColWidth="10" defaultColWidth="11.5546875" defaultRowHeight="13.2" x14ac:dyDescent="0.25"/>
  <cols>
    <col min="2" max="2" width="18.109375" customWidth="1"/>
    <col min="3" max="3" width="10.55468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" x14ac:dyDescent="0.25">
      <c r="A5" s="179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" x14ac:dyDescent="0.25">
      <c r="A6" s="179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" x14ac:dyDescent="0.25">
      <c r="A7" s="179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" x14ac:dyDescent="0.25">
      <c r="A8" s="179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" x14ac:dyDescent="0.25">
      <c r="A9" s="179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" x14ac:dyDescent="0.25">
      <c r="A10" s="179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" x14ac:dyDescent="0.25">
      <c r="A11" s="179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" x14ac:dyDescent="0.25">
      <c r="A12" s="179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" x14ac:dyDescent="0.25">
      <c r="A13" s="178"/>
      <c r="B13" s="178"/>
      <c r="C13" s="178"/>
      <c r="D13" s="178"/>
      <c r="E13" s="5" t="s">
        <v>22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" x14ac:dyDescent="0.25">
      <c r="A16" s="179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" x14ac:dyDescent="0.25">
      <c r="A17" s="179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" x14ac:dyDescent="0.25">
      <c r="A18" s="179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" x14ac:dyDescent="0.25">
      <c r="A19" s="179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" x14ac:dyDescent="0.25">
      <c r="A20" s="179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" x14ac:dyDescent="0.25">
      <c r="A21" s="179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" x14ac:dyDescent="0.25">
      <c r="A22" s="179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" x14ac:dyDescent="0.25">
      <c r="A23" s="178"/>
      <c r="B23" s="178"/>
      <c r="C23" s="178"/>
      <c r="D23" s="178"/>
      <c r="E23" s="5" t="s">
        <v>22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" x14ac:dyDescent="0.25">
      <c r="A25" s="179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" x14ac:dyDescent="0.25">
      <c r="A26" s="179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" x14ac:dyDescent="0.25">
      <c r="A27" s="179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" x14ac:dyDescent="0.25">
      <c r="A28" s="179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" x14ac:dyDescent="0.25">
      <c r="A29" s="179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" x14ac:dyDescent="0.25">
      <c r="A30" s="179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" x14ac:dyDescent="0.25">
      <c r="A31" s="179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" x14ac:dyDescent="0.25">
      <c r="A32" s="179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" x14ac:dyDescent="0.25">
      <c r="A33" s="178"/>
      <c r="B33" s="178"/>
      <c r="C33" s="178"/>
      <c r="D33" s="178"/>
      <c r="E33" s="5" t="s">
        <v>22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" x14ac:dyDescent="0.25">
      <c r="A35" s="179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" x14ac:dyDescent="0.25">
      <c r="A36" s="179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" x14ac:dyDescent="0.25">
      <c r="A37" s="179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" x14ac:dyDescent="0.25">
      <c r="A38" s="179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" x14ac:dyDescent="0.25">
      <c r="A39" s="179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" x14ac:dyDescent="0.25">
      <c r="A40" s="179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" x14ac:dyDescent="0.25">
      <c r="A41" s="179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" x14ac:dyDescent="0.25">
      <c r="A42" s="179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" x14ac:dyDescent="0.25">
      <c r="A43" s="178"/>
      <c r="B43" s="178"/>
      <c r="C43" s="178"/>
      <c r="D43" s="178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5" sqref="B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5546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" x14ac:dyDescent="0.25">
      <c r="A5" s="179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" x14ac:dyDescent="0.25">
      <c r="A6" s="179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" x14ac:dyDescent="0.25">
      <c r="A7" s="179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" x14ac:dyDescent="0.25">
      <c r="A8" s="179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" x14ac:dyDescent="0.25">
      <c r="A9" s="179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" x14ac:dyDescent="0.25">
      <c r="A10" s="179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" x14ac:dyDescent="0.25">
      <c r="A11" s="179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" x14ac:dyDescent="0.25">
      <c r="A12" s="179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" x14ac:dyDescent="0.25">
      <c r="A13" s="178"/>
      <c r="B13" s="178"/>
      <c r="C13" s="178"/>
      <c r="D13" s="178"/>
      <c r="E13" s="5" t="s">
        <v>47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" x14ac:dyDescent="0.25">
      <c r="A15" s="179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" x14ac:dyDescent="0.25">
      <c r="A16" s="179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" x14ac:dyDescent="0.25">
      <c r="A17" s="179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" x14ac:dyDescent="0.25">
      <c r="A18" s="179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" x14ac:dyDescent="0.25">
      <c r="A19" s="179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" x14ac:dyDescent="0.25">
      <c r="A20" s="179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" x14ac:dyDescent="0.25">
      <c r="A21" s="179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" x14ac:dyDescent="0.25">
      <c r="A22" s="179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" x14ac:dyDescent="0.25">
      <c r="A23" s="178"/>
      <c r="B23" s="178"/>
      <c r="C23" s="178"/>
      <c r="D23" s="178"/>
      <c r="E23" s="5" t="s">
        <v>52</v>
      </c>
      <c r="F23" s="5" t="s">
        <v>53</v>
      </c>
    </row>
    <row r="24" spans="1:14" ht="15" x14ac:dyDescent="0.25">
      <c r="A24" s="179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" x14ac:dyDescent="0.25">
      <c r="A25" s="179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" x14ac:dyDescent="0.25">
      <c r="A26" s="179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" x14ac:dyDescent="0.25">
      <c r="A27" s="179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" x14ac:dyDescent="0.25">
      <c r="A28" s="179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" x14ac:dyDescent="0.25">
      <c r="A29" s="179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" x14ac:dyDescent="0.25">
      <c r="A30" s="179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" x14ac:dyDescent="0.25">
      <c r="A31" s="179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" x14ac:dyDescent="0.25">
      <c r="A32" s="179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" x14ac:dyDescent="0.25">
      <c r="A33" s="178"/>
      <c r="B33" s="178"/>
      <c r="C33" s="178"/>
      <c r="D33" s="178"/>
      <c r="E33" s="5" t="s">
        <v>56</v>
      </c>
      <c r="F33" s="5" t="s">
        <v>57</v>
      </c>
    </row>
    <row r="34" spans="1:14" ht="15" x14ac:dyDescent="0.25">
      <c r="A34" s="179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" x14ac:dyDescent="0.25">
      <c r="A35" s="179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" x14ac:dyDescent="0.25">
      <c r="A36" s="179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" x14ac:dyDescent="0.25">
      <c r="A37" s="179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" x14ac:dyDescent="0.25">
      <c r="A38" s="179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" x14ac:dyDescent="0.25">
      <c r="A39" s="179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" x14ac:dyDescent="0.25">
      <c r="A40" s="179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" x14ac:dyDescent="0.25">
      <c r="A41" s="179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" x14ac:dyDescent="0.25">
      <c r="A42" s="179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" x14ac:dyDescent="0.25">
      <c r="A43" s="178"/>
      <c r="B43" s="178"/>
      <c r="C43" s="178"/>
      <c r="D43" s="178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1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" x14ac:dyDescent="0.25">
      <c r="A5" s="179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" x14ac:dyDescent="0.25">
      <c r="A6" s="179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" x14ac:dyDescent="0.25">
      <c r="A7" s="179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" x14ac:dyDescent="0.25">
      <c r="A9" s="179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" x14ac:dyDescent="0.25">
      <c r="A10" s="179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" x14ac:dyDescent="0.25">
      <c r="A11" s="179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" x14ac:dyDescent="0.25">
      <c r="A12" s="179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" x14ac:dyDescent="0.25">
      <c r="A13" s="178"/>
      <c r="B13" s="178"/>
      <c r="C13" s="178"/>
      <c r="D13" s="178"/>
      <c r="E13" s="5" t="s">
        <v>61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" x14ac:dyDescent="0.25">
      <c r="A15" s="179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" x14ac:dyDescent="0.25">
      <c r="A16" s="179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" x14ac:dyDescent="0.25">
      <c r="A17" s="179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" x14ac:dyDescent="0.25">
      <c r="A18" s="179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" x14ac:dyDescent="0.25">
      <c r="A19" s="179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" x14ac:dyDescent="0.25">
      <c r="A20" s="179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" x14ac:dyDescent="0.25">
      <c r="A21" s="179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" x14ac:dyDescent="0.25">
      <c r="A22" s="179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" x14ac:dyDescent="0.25">
      <c r="A23" s="178"/>
      <c r="B23" s="178"/>
      <c r="C23" s="178"/>
      <c r="D23" s="178"/>
      <c r="E23" s="5" t="s">
        <v>61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" x14ac:dyDescent="0.25">
      <c r="A25" s="179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" x14ac:dyDescent="0.25">
      <c r="A26" s="179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" x14ac:dyDescent="0.25">
      <c r="A27" s="179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" x14ac:dyDescent="0.25">
      <c r="A28" s="179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" x14ac:dyDescent="0.25">
      <c r="A29" s="179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" x14ac:dyDescent="0.25">
      <c r="A30" s="179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" x14ac:dyDescent="0.25">
      <c r="A31" s="179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" x14ac:dyDescent="0.25">
      <c r="A32" s="179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" x14ac:dyDescent="0.25">
      <c r="A33" s="178"/>
      <c r="B33" s="178"/>
      <c r="C33" s="178"/>
      <c r="D33" s="178"/>
      <c r="E33" s="5" t="s">
        <v>67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" x14ac:dyDescent="0.25">
      <c r="A35" s="179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" x14ac:dyDescent="0.25">
      <c r="A36" s="179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" x14ac:dyDescent="0.25">
      <c r="A37" s="179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" x14ac:dyDescent="0.25">
      <c r="A38" s="179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" x14ac:dyDescent="0.25">
      <c r="A39" s="179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" x14ac:dyDescent="0.25">
      <c r="A40" s="179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" x14ac:dyDescent="0.25">
      <c r="A41" s="179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" x14ac:dyDescent="0.25">
      <c r="A42" s="179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" x14ac:dyDescent="0.25">
      <c r="A43" s="178"/>
      <c r="B43" s="178"/>
      <c r="C43" s="178"/>
      <c r="D43" s="178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N43" sqref="N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2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" x14ac:dyDescent="0.25">
      <c r="A5" s="179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" x14ac:dyDescent="0.25">
      <c r="A6" s="179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" x14ac:dyDescent="0.25">
      <c r="A7" s="179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" x14ac:dyDescent="0.25">
      <c r="A8" s="179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" x14ac:dyDescent="0.25">
      <c r="A9" s="179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" x14ac:dyDescent="0.25">
      <c r="A10" s="179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" x14ac:dyDescent="0.25">
      <c r="A11" s="179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" x14ac:dyDescent="0.25">
      <c r="A12" s="179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" x14ac:dyDescent="0.25">
      <c r="A13" s="178"/>
      <c r="B13" s="178"/>
      <c r="C13" s="178"/>
      <c r="D13" s="178"/>
      <c r="E13" s="5" t="s">
        <v>73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" x14ac:dyDescent="0.25">
      <c r="A16" s="179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" x14ac:dyDescent="0.25">
      <c r="A17" s="179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" x14ac:dyDescent="0.25">
      <c r="A18" s="179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" x14ac:dyDescent="0.25">
      <c r="A19" s="179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" x14ac:dyDescent="0.25">
      <c r="A20" s="179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" x14ac:dyDescent="0.25">
      <c r="A21" s="179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" x14ac:dyDescent="0.25">
      <c r="A22" s="179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" x14ac:dyDescent="0.25">
      <c r="A23" s="178"/>
      <c r="B23" s="178"/>
      <c r="C23" s="178"/>
      <c r="D23" s="178"/>
      <c r="E23" s="5" t="s">
        <v>73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" x14ac:dyDescent="0.25">
      <c r="A25" s="179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" x14ac:dyDescent="0.25">
      <c r="A26" s="179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" x14ac:dyDescent="0.25">
      <c r="A27" s="179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" x14ac:dyDescent="0.25">
      <c r="A28" s="179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" x14ac:dyDescent="0.25">
      <c r="A29" s="179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" x14ac:dyDescent="0.25">
      <c r="A30" s="179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" x14ac:dyDescent="0.25">
      <c r="A31" s="179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" x14ac:dyDescent="0.25">
      <c r="A32" s="179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" x14ac:dyDescent="0.25">
      <c r="A33" s="178"/>
      <c r="B33" s="178"/>
      <c r="C33" s="178"/>
      <c r="D33" s="178"/>
      <c r="E33" s="5" t="s">
        <v>73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" x14ac:dyDescent="0.25">
      <c r="A35" s="179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" x14ac:dyDescent="0.25">
      <c r="A36" s="179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" x14ac:dyDescent="0.25">
      <c r="A37" s="179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" x14ac:dyDescent="0.25">
      <c r="A38" s="179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" x14ac:dyDescent="0.25">
      <c r="A39" s="179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" x14ac:dyDescent="0.25">
      <c r="A40" s="179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" x14ac:dyDescent="0.25">
      <c r="A41" s="179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" x14ac:dyDescent="0.25">
      <c r="A42" s="179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" x14ac:dyDescent="0.25">
      <c r="A43" s="178"/>
      <c r="B43" s="178"/>
      <c r="C43" s="178"/>
      <c r="D43" s="178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" x14ac:dyDescent="0.25">
      <c r="A5" s="179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" x14ac:dyDescent="0.25">
      <c r="A6" s="179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" x14ac:dyDescent="0.25">
      <c r="A7" s="179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" x14ac:dyDescent="0.25">
      <c r="A8" s="179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" x14ac:dyDescent="0.25">
      <c r="A9" s="179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" x14ac:dyDescent="0.25">
      <c r="A10" s="179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" x14ac:dyDescent="0.25">
      <c r="A11" s="179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" x14ac:dyDescent="0.25">
      <c r="A12" s="179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" x14ac:dyDescent="0.25">
      <c r="A15" s="179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" x14ac:dyDescent="0.25">
      <c r="A16" s="179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" x14ac:dyDescent="0.25">
      <c r="A17" s="179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" x14ac:dyDescent="0.25">
      <c r="A18" s="179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" x14ac:dyDescent="0.25">
      <c r="A19" s="179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" x14ac:dyDescent="0.25">
      <c r="A20" s="179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" x14ac:dyDescent="0.25">
      <c r="A21" s="179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" x14ac:dyDescent="0.25">
      <c r="A22" s="179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" x14ac:dyDescent="0.25">
      <c r="A23" s="178"/>
      <c r="B23" s="178"/>
      <c r="C23" s="178"/>
      <c r="D23" s="178"/>
      <c r="E23" s="5" t="s">
        <v>84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" x14ac:dyDescent="0.25">
      <c r="A25" s="179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" x14ac:dyDescent="0.25">
      <c r="A26" s="179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" x14ac:dyDescent="0.25">
      <c r="A27" s="179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" x14ac:dyDescent="0.25">
      <c r="A28" s="179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" x14ac:dyDescent="0.25">
      <c r="A29" s="179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" x14ac:dyDescent="0.25">
      <c r="A30" s="179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" x14ac:dyDescent="0.25">
      <c r="A31" s="179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" x14ac:dyDescent="0.25">
      <c r="A32" s="179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" x14ac:dyDescent="0.25">
      <c r="A33" s="178"/>
      <c r="B33" s="178"/>
      <c r="C33" s="178"/>
      <c r="D33" s="178"/>
      <c r="E33" s="5" t="s">
        <v>82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" x14ac:dyDescent="0.25">
      <c r="A35" s="179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" x14ac:dyDescent="0.25">
      <c r="A36" s="179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" x14ac:dyDescent="0.25">
      <c r="A37" s="179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" x14ac:dyDescent="0.25">
      <c r="A38" s="179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" x14ac:dyDescent="0.25">
      <c r="A39" s="179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" x14ac:dyDescent="0.25">
      <c r="A40" s="179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" x14ac:dyDescent="0.25">
      <c r="A41" s="179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" x14ac:dyDescent="0.25">
      <c r="A42" s="179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" x14ac:dyDescent="0.25">
      <c r="A43" s="178"/>
      <c r="B43" s="178"/>
      <c r="C43" s="178"/>
      <c r="D43" s="178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35" sqref="F3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" x14ac:dyDescent="0.25">
      <c r="A5" s="179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" x14ac:dyDescent="0.25">
      <c r="A6" s="179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" x14ac:dyDescent="0.25">
      <c r="A7" s="179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" x14ac:dyDescent="0.25">
      <c r="A8" s="179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" x14ac:dyDescent="0.25">
      <c r="A9" s="179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" x14ac:dyDescent="0.25">
      <c r="A10" s="179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" x14ac:dyDescent="0.25">
      <c r="A11" s="179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" x14ac:dyDescent="0.25">
      <c r="A12" s="179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" x14ac:dyDescent="0.25">
      <c r="A15" s="179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" x14ac:dyDescent="0.25">
      <c r="A16" s="179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" x14ac:dyDescent="0.25">
      <c r="A17" s="179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" x14ac:dyDescent="0.25">
      <c r="A18" s="179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" x14ac:dyDescent="0.25">
      <c r="A19" s="179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" x14ac:dyDescent="0.25">
      <c r="A20" s="179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" x14ac:dyDescent="0.25">
      <c r="A21" s="179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" x14ac:dyDescent="0.25">
      <c r="A22" s="179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" x14ac:dyDescent="0.25">
      <c r="A23" s="178"/>
      <c r="B23" s="178"/>
      <c r="C23" s="178"/>
      <c r="D23" s="178"/>
      <c r="E23" s="5" t="s">
        <v>92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" x14ac:dyDescent="0.25">
      <c r="A25" s="179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" x14ac:dyDescent="0.25">
      <c r="A26" s="179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" x14ac:dyDescent="0.25">
      <c r="A27" s="179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" x14ac:dyDescent="0.25">
      <c r="A28" s="179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" x14ac:dyDescent="0.25">
      <c r="A29" s="179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" x14ac:dyDescent="0.25">
      <c r="A30" s="179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" x14ac:dyDescent="0.25">
      <c r="A31" s="179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" x14ac:dyDescent="0.25">
      <c r="A32" s="179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" x14ac:dyDescent="0.25">
      <c r="A33" s="178"/>
      <c r="B33" s="178"/>
      <c r="C33" s="178"/>
      <c r="D33" s="178"/>
      <c r="E33" s="5" t="s">
        <v>47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" x14ac:dyDescent="0.25">
      <c r="A35" s="179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" x14ac:dyDescent="0.25">
      <c r="A36" s="179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" x14ac:dyDescent="0.25">
      <c r="A37" s="179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" x14ac:dyDescent="0.25">
      <c r="A38" s="179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" x14ac:dyDescent="0.25">
      <c r="A39" s="179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" x14ac:dyDescent="0.25">
      <c r="A40" s="179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" x14ac:dyDescent="0.25">
      <c r="A41" s="179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" x14ac:dyDescent="0.25">
      <c r="A42" s="179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" x14ac:dyDescent="0.25">
      <c r="A43" s="178"/>
      <c r="B43" s="178"/>
      <c r="C43" s="178"/>
      <c r="D43" s="178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" x14ac:dyDescent="0.25">
      <c r="A5" s="179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" x14ac:dyDescent="0.25">
      <c r="A6" s="179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" x14ac:dyDescent="0.25">
      <c r="A7" s="179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" x14ac:dyDescent="0.25">
      <c r="A8" s="179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" x14ac:dyDescent="0.25">
      <c r="A9" s="179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" x14ac:dyDescent="0.25">
      <c r="A10" s="179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" x14ac:dyDescent="0.25">
      <c r="A11" s="179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" x14ac:dyDescent="0.25">
      <c r="A12" s="179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" x14ac:dyDescent="0.25">
      <c r="A13" s="178"/>
      <c r="B13" s="178"/>
      <c r="C13" s="178"/>
      <c r="D13" s="178"/>
      <c r="E13" s="5" t="s">
        <v>97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" x14ac:dyDescent="0.25">
      <c r="A15" s="179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" x14ac:dyDescent="0.25">
      <c r="A16" s="179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" x14ac:dyDescent="0.25">
      <c r="A17" s="179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" x14ac:dyDescent="0.25">
      <c r="A18" s="179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" x14ac:dyDescent="0.25">
      <c r="A19" s="179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" x14ac:dyDescent="0.25">
      <c r="A20" s="179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" x14ac:dyDescent="0.25">
      <c r="A21" s="179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" x14ac:dyDescent="0.25">
      <c r="A22" s="179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" x14ac:dyDescent="0.25">
      <c r="A23" s="178"/>
      <c r="B23" s="178"/>
      <c r="C23" s="178"/>
      <c r="D23" s="178"/>
      <c r="E23" s="5" t="s">
        <v>97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" x14ac:dyDescent="0.25">
      <c r="A25" s="179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" x14ac:dyDescent="0.25">
      <c r="A26" s="179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" x14ac:dyDescent="0.25">
      <c r="A27" s="179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" x14ac:dyDescent="0.25">
      <c r="A28" s="179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" x14ac:dyDescent="0.25">
      <c r="A29" s="179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" x14ac:dyDescent="0.25">
      <c r="A30" s="179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" x14ac:dyDescent="0.25">
      <c r="A31" s="179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" x14ac:dyDescent="0.25">
      <c r="A32" s="179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" x14ac:dyDescent="0.25">
      <c r="A33" s="178"/>
      <c r="B33" s="178"/>
      <c r="C33" s="178"/>
      <c r="D33" s="178"/>
      <c r="E33" s="5" t="s">
        <v>47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" x14ac:dyDescent="0.25">
      <c r="A35" s="179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" x14ac:dyDescent="0.25">
      <c r="A36" s="179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" x14ac:dyDescent="0.25">
      <c r="A37" s="179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" x14ac:dyDescent="0.25">
      <c r="A38" s="179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" x14ac:dyDescent="0.25">
      <c r="A39" s="179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" x14ac:dyDescent="0.25">
      <c r="A40" s="179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" x14ac:dyDescent="0.25">
      <c r="A41" s="179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" x14ac:dyDescent="0.25">
      <c r="A42" s="179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" x14ac:dyDescent="0.25">
      <c r="A43" s="178"/>
      <c r="B43" s="178"/>
      <c r="C43" s="178"/>
      <c r="D43" s="178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" x14ac:dyDescent="0.25">
      <c r="A5" s="179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" x14ac:dyDescent="0.25">
      <c r="A6" s="179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" x14ac:dyDescent="0.25">
      <c r="A7" s="179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" x14ac:dyDescent="0.25">
      <c r="A8" s="179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" x14ac:dyDescent="0.25">
      <c r="A9" s="179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" x14ac:dyDescent="0.25">
      <c r="A10" s="179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" x14ac:dyDescent="0.25">
      <c r="A11" s="179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" x14ac:dyDescent="0.25">
      <c r="A12" s="179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" x14ac:dyDescent="0.25">
      <c r="A15" s="179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" x14ac:dyDescent="0.25">
      <c r="A16" s="179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" x14ac:dyDescent="0.25">
      <c r="A17" s="179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" x14ac:dyDescent="0.25">
      <c r="A18" s="179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" x14ac:dyDescent="0.25">
      <c r="A19" s="179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" x14ac:dyDescent="0.25">
      <c r="A20" s="179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" x14ac:dyDescent="0.25">
      <c r="A21" s="179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" x14ac:dyDescent="0.25">
      <c r="A22" s="179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" x14ac:dyDescent="0.25">
      <c r="A23" s="178"/>
      <c r="B23" s="178"/>
      <c r="C23" s="178"/>
      <c r="D23" s="178"/>
      <c r="E23" s="5" t="s">
        <v>84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" x14ac:dyDescent="0.25">
      <c r="A25" s="179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" x14ac:dyDescent="0.25">
      <c r="A26" s="179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" x14ac:dyDescent="0.25">
      <c r="A27" s="179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" x14ac:dyDescent="0.25">
      <c r="A28" s="179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" x14ac:dyDescent="0.25">
      <c r="A29" s="179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" x14ac:dyDescent="0.25">
      <c r="A30" s="179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" x14ac:dyDescent="0.25">
      <c r="A31" s="179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" x14ac:dyDescent="0.25">
      <c r="A32" s="179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" x14ac:dyDescent="0.25">
      <c r="A33" s="178"/>
      <c r="B33" s="178"/>
      <c r="C33" s="178"/>
      <c r="D33" s="178"/>
      <c r="E33" s="5" t="s">
        <v>102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" x14ac:dyDescent="0.25">
      <c r="A35" s="179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" x14ac:dyDescent="0.25">
      <c r="A36" s="179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" x14ac:dyDescent="0.25">
      <c r="A37" s="179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" x14ac:dyDescent="0.25">
      <c r="A38" s="179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" x14ac:dyDescent="0.25">
      <c r="A39" s="179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" x14ac:dyDescent="0.25">
      <c r="A40" s="179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" x14ac:dyDescent="0.25">
      <c r="A41" s="179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" x14ac:dyDescent="0.25">
      <c r="A42" s="179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" x14ac:dyDescent="0.25">
      <c r="A43" s="178"/>
      <c r="B43" s="178"/>
      <c r="C43" s="178"/>
      <c r="D43" s="178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" x14ac:dyDescent="0.25">
      <c r="A5" s="179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" x14ac:dyDescent="0.25">
      <c r="A6" s="179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" x14ac:dyDescent="0.25">
      <c r="A7" s="179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" x14ac:dyDescent="0.25">
      <c r="A8" s="179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" x14ac:dyDescent="0.25">
      <c r="A9" s="179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" x14ac:dyDescent="0.25">
      <c r="A10" s="179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" x14ac:dyDescent="0.25">
      <c r="A11" s="179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" x14ac:dyDescent="0.25">
      <c r="A12" s="179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" x14ac:dyDescent="0.25">
      <c r="A13" s="178"/>
      <c r="B13" s="178"/>
      <c r="C13" s="178"/>
      <c r="D13" s="178"/>
      <c r="E13" s="5" t="s">
        <v>73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" x14ac:dyDescent="0.25">
      <c r="A15" s="179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" x14ac:dyDescent="0.25">
      <c r="A16" s="179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" x14ac:dyDescent="0.25">
      <c r="A17" s="179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" x14ac:dyDescent="0.25">
      <c r="A18" s="179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" x14ac:dyDescent="0.25">
      <c r="A19" s="179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" x14ac:dyDescent="0.25">
      <c r="A20" s="179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" x14ac:dyDescent="0.25">
      <c r="A21" s="179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" x14ac:dyDescent="0.25">
      <c r="A22" s="179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" x14ac:dyDescent="0.25">
      <c r="A23" s="178"/>
      <c r="B23" s="178"/>
      <c r="C23" s="178"/>
      <c r="D23" s="178"/>
      <c r="E23" s="5" t="s">
        <v>47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" x14ac:dyDescent="0.25">
      <c r="A25" s="179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" x14ac:dyDescent="0.25">
      <c r="A26" s="179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" x14ac:dyDescent="0.25">
      <c r="A27" s="179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" x14ac:dyDescent="0.25">
      <c r="A28" s="179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" x14ac:dyDescent="0.25">
      <c r="A29" s="179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" x14ac:dyDescent="0.25">
      <c r="A30" s="179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" x14ac:dyDescent="0.25">
      <c r="A31" s="179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" x14ac:dyDescent="0.25">
      <c r="A32" s="179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" x14ac:dyDescent="0.25">
      <c r="A33" s="178"/>
      <c r="B33" s="178"/>
      <c r="C33" s="178"/>
      <c r="D33" s="178"/>
      <c r="E33" s="5" t="s">
        <v>73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" x14ac:dyDescent="0.25">
      <c r="A35" s="179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" x14ac:dyDescent="0.25">
      <c r="A36" s="179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" x14ac:dyDescent="0.25">
      <c r="A37" s="179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" x14ac:dyDescent="0.25">
      <c r="A38" s="179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" x14ac:dyDescent="0.25">
      <c r="A39" s="179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" x14ac:dyDescent="0.25">
      <c r="A40" s="179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" x14ac:dyDescent="0.25">
      <c r="A41" s="179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" x14ac:dyDescent="0.25">
      <c r="A42" s="179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" x14ac:dyDescent="0.25">
      <c r="A43" s="178"/>
      <c r="B43" s="178"/>
      <c r="C43" s="178"/>
      <c r="D43" s="178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" x14ac:dyDescent="0.25">
      <c r="A5" s="179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" x14ac:dyDescent="0.25">
      <c r="A6" s="179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" x14ac:dyDescent="0.25">
      <c r="A7" s="179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" x14ac:dyDescent="0.25">
      <c r="A8" s="179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" x14ac:dyDescent="0.25">
      <c r="A9" s="179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" x14ac:dyDescent="0.25">
      <c r="A10" s="179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" x14ac:dyDescent="0.25">
      <c r="A11" s="179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" x14ac:dyDescent="0.25">
      <c r="A12" s="179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" x14ac:dyDescent="0.25">
      <c r="A15" s="179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" x14ac:dyDescent="0.25">
      <c r="A16" s="179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" x14ac:dyDescent="0.25">
      <c r="A17" s="179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" x14ac:dyDescent="0.25">
      <c r="A18" s="179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" x14ac:dyDescent="0.25">
      <c r="A19" s="179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" x14ac:dyDescent="0.25">
      <c r="A20" s="179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" x14ac:dyDescent="0.25">
      <c r="A21" s="179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" x14ac:dyDescent="0.25">
      <c r="A22" s="179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" x14ac:dyDescent="0.25">
      <c r="A23" s="178"/>
      <c r="B23" s="178"/>
      <c r="C23" s="178"/>
      <c r="D23" s="178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" x14ac:dyDescent="0.25">
      <c r="A25" s="179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" x14ac:dyDescent="0.25">
      <c r="A26" s="179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" x14ac:dyDescent="0.25">
      <c r="A27" s="179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" x14ac:dyDescent="0.25">
      <c r="A28" s="179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" x14ac:dyDescent="0.25">
      <c r="A29" s="179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" x14ac:dyDescent="0.25">
      <c r="A30" s="179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" x14ac:dyDescent="0.25">
      <c r="A31" s="179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" x14ac:dyDescent="0.25">
      <c r="A32" s="179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" x14ac:dyDescent="0.25">
      <c r="A33" s="178"/>
      <c r="B33" s="178"/>
      <c r="C33" s="178"/>
      <c r="D33" s="178"/>
      <c r="E33" s="5" t="s">
        <v>47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" x14ac:dyDescent="0.25">
      <c r="A35" s="179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" x14ac:dyDescent="0.25">
      <c r="A36" s="179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" x14ac:dyDescent="0.25">
      <c r="A37" s="179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" x14ac:dyDescent="0.25">
      <c r="A38" s="179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" x14ac:dyDescent="0.25">
      <c r="A39" s="179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" x14ac:dyDescent="0.25">
      <c r="A40" s="179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" x14ac:dyDescent="0.25">
      <c r="A41" s="179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" x14ac:dyDescent="0.25">
      <c r="A42" s="179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" x14ac:dyDescent="0.25">
      <c r="A43" s="178"/>
      <c r="B43" s="178"/>
      <c r="C43" s="178"/>
      <c r="D43" s="178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4" sqref="E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" x14ac:dyDescent="0.25">
      <c r="A5" s="179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" x14ac:dyDescent="0.25">
      <c r="A6" s="179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" x14ac:dyDescent="0.25">
      <c r="A7" s="179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" x14ac:dyDescent="0.25">
      <c r="A8" s="179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" x14ac:dyDescent="0.25">
      <c r="A9" s="179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" x14ac:dyDescent="0.25">
      <c r="A10" s="179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" x14ac:dyDescent="0.25">
      <c r="A11" s="179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" x14ac:dyDescent="0.25">
      <c r="A12" s="179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" x14ac:dyDescent="0.25">
      <c r="A15" s="179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" x14ac:dyDescent="0.25">
      <c r="A16" s="179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" x14ac:dyDescent="0.25">
      <c r="A17" s="179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" x14ac:dyDescent="0.25">
      <c r="A18" s="179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" x14ac:dyDescent="0.25">
      <c r="A19" s="179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" x14ac:dyDescent="0.25">
      <c r="A20" s="179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" x14ac:dyDescent="0.25">
      <c r="A21" s="179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" x14ac:dyDescent="0.25">
      <c r="A22" s="179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" x14ac:dyDescent="0.25">
      <c r="A23" s="178"/>
      <c r="B23" s="178"/>
      <c r="C23" s="178"/>
      <c r="D23" s="178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" x14ac:dyDescent="0.25">
      <c r="A25" s="179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" x14ac:dyDescent="0.25">
      <c r="A26" s="179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" x14ac:dyDescent="0.25">
      <c r="A27" s="179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" x14ac:dyDescent="0.25">
      <c r="A28" s="179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" x14ac:dyDescent="0.25">
      <c r="A29" s="179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" x14ac:dyDescent="0.25">
      <c r="A30" s="179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" x14ac:dyDescent="0.25">
      <c r="A31" s="179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" x14ac:dyDescent="0.25">
      <c r="A32" s="179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" x14ac:dyDescent="0.25">
      <c r="A33" s="178"/>
      <c r="B33" s="178"/>
      <c r="C33" s="178"/>
      <c r="D33" s="178"/>
      <c r="E33" s="5" t="s">
        <v>83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" x14ac:dyDescent="0.25">
      <c r="A35" s="179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" x14ac:dyDescent="0.25">
      <c r="A36" s="179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" x14ac:dyDescent="0.25">
      <c r="A37" s="179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" x14ac:dyDescent="0.25">
      <c r="A38" s="179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" x14ac:dyDescent="0.25">
      <c r="A39" s="179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" x14ac:dyDescent="0.25">
      <c r="A40" s="179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" x14ac:dyDescent="0.25">
      <c r="A41" s="179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" x14ac:dyDescent="0.25">
      <c r="A42" s="179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" x14ac:dyDescent="0.25">
      <c r="A43" s="178"/>
      <c r="B43" s="178"/>
      <c r="C43" s="178"/>
      <c r="D43" s="178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1" sqref="E4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" x14ac:dyDescent="0.25">
      <c r="A5" s="179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" x14ac:dyDescent="0.25">
      <c r="A6" s="179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" x14ac:dyDescent="0.25">
      <c r="A7" s="179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" x14ac:dyDescent="0.25">
      <c r="A8" s="179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" x14ac:dyDescent="0.25">
      <c r="A9" s="179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" x14ac:dyDescent="0.25">
      <c r="A10" s="179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" x14ac:dyDescent="0.25">
      <c r="A11" s="179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" x14ac:dyDescent="0.25">
      <c r="A12" s="179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" x14ac:dyDescent="0.25">
      <c r="A13" s="178"/>
      <c r="B13" s="178"/>
      <c r="C13" s="178"/>
      <c r="D13" s="178"/>
      <c r="E13" s="5" t="s">
        <v>117</v>
      </c>
      <c r="F13" s="5" t="s">
        <v>118</v>
      </c>
    </row>
    <row r="14" spans="1:14" ht="15" x14ac:dyDescent="0.25">
      <c r="A14" s="179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" x14ac:dyDescent="0.25">
      <c r="A15" s="179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" x14ac:dyDescent="0.25">
      <c r="A16" s="179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" x14ac:dyDescent="0.25">
      <c r="A17" s="179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" x14ac:dyDescent="0.25">
      <c r="A18" s="179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" x14ac:dyDescent="0.25">
      <c r="A19" s="179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" x14ac:dyDescent="0.25">
      <c r="A20" s="179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" x14ac:dyDescent="0.25">
      <c r="A21" s="179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" x14ac:dyDescent="0.25">
      <c r="A22" s="179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" x14ac:dyDescent="0.25">
      <c r="A23" s="178"/>
      <c r="B23" s="178"/>
      <c r="C23" s="178"/>
      <c r="D23" s="178"/>
      <c r="E23" s="5" t="s">
        <v>117</v>
      </c>
      <c r="F23" s="5" t="s">
        <v>120</v>
      </c>
    </row>
    <row r="24" spans="1:14" ht="15" x14ac:dyDescent="0.25">
      <c r="A24" s="179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" x14ac:dyDescent="0.25">
      <c r="A25" s="179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" x14ac:dyDescent="0.25">
      <c r="A26" s="179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" x14ac:dyDescent="0.25">
      <c r="A27" s="179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" x14ac:dyDescent="0.25">
      <c r="A28" s="179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" x14ac:dyDescent="0.25">
      <c r="A29" s="179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" x14ac:dyDescent="0.25">
      <c r="A30" s="179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" x14ac:dyDescent="0.25">
      <c r="A31" s="179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" x14ac:dyDescent="0.25">
      <c r="A32" s="179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" x14ac:dyDescent="0.25">
      <c r="A33" s="178"/>
      <c r="B33" s="178"/>
      <c r="C33" s="178"/>
      <c r="D33" s="178"/>
      <c r="E33" s="5" t="s">
        <v>84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" x14ac:dyDescent="0.25">
      <c r="A35" s="179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" x14ac:dyDescent="0.25">
      <c r="A36" s="179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" x14ac:dyDescent="0.25">
      <c r="A37" s="179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" x14ac:dyDescent="0.25">
      <c r="A38" s="179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" x14ac:dyDescent="0.25">
      <c r="A39" s="179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" x14ac:dyDescent="0.25">
      <c r="A40" s="179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" x14ac:dyDescent="0.25">
      <c r="A41" s="179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" x14ac:dyDescent="0.25">
      <c r="A42" s="179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" x14ac:dyDescent="0.25">
      <c r="A43" s="178"/>
      <c r="B43" s="178"/>
      <c r="C43" s="178"/>
      <c r="D43" s="178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" x14ac:dyDescent="0.25">
      <c r="A5" s="179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" x14ac:dyDescent="0.25">
      <c r="A6" s="179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" x14ac:dyDescent="0.25">
      <c r="A7" s="179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" x14ac:dyDescent="0.25">
      <c r="A8" s="179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" x14ac:dyDescent="0.25">
      <c r="A9" s="179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" x14ac:dyDescent="0.25">
      <c r="A10" s="179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" x14ac:dyDescent="0.25">
      <c r="A11" s="179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" x14ac:dyDescent="0.25">
      <c r="A12" s="179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" x14ac:dyDescent="0.25">
      <c r="A15" s="179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" x14ac:dyDescent="0.25">
      <c r="A16" s="179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" x14ac:dyDescent="0.25">
      <c r="A17" s="179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" x14ac:dyDescent="0.25">
      <c r="A18" s="179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" x14ac:dyDescent="0.25">
      <c r="A19" s="179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" x14ac:dyDescent="0.25">
      <c r="A20" s="179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" x14ac:dyDescent="0.25">
      <c r="A21" s="179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" x14ac:dyDescent="0.25">
      <c r="A22" s="179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" x14ac:dyDescent="0.25">
      <c r="A23" s="178"/>
      <c r="B23" s="178"/>
      <c r="C23" s="178"/>
      <c r="D23" s="178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" x14ac:dyDescent="0.25">
      <c r="A25" s="179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" x14ac:dyDescent="0.25">
      <c r="A26" s="179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" x14ac:dyDescent="0.25">
      <c r="A27" s="179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" x14ac:dyDescent="0.25">
      <c r="A28" s="179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" x14ac:dyDescent="0.25">
      <c r="A29" s="179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" x14ac:dyDescent="0.25">
      <c r="A30" s="179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" x14ac:dyDescent="0.25">
      <c r="A31" s="179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" x14ac:dyDescent="0.25">
      <c r="A32" s="179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" x14ac:dyDescent="0.25">
      <c r="A33" s="178"/>
      <c r="B33" s="178"/>
      <c r="C33" s="178"/>
      <c r="D33" s="178"/>
      <c r="E33" s="5" t="s">
        <v>97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" x14ac:dyDescent="0.25">
      <c r="A35" s="179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" x14ac:dyDescent="0.25">
      <c r="A36" s="179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" x14ac:dyDescent="0.25">
      <c r="A37" s="179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" x14ac:dyDescent="0.25">
      <c r="A38" s="179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" x14ac:dyDescent="0.25">
      <c r="A39" s="179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" x14ac:dyDescent="0.25">
      <c r="A40" s="179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" x14ac:dyDescent="0.25">
      <c r="A41" s="179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" x14ac:dyDescent="0.25">
      <c r="A42" s="179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43" sqref="E43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" x14ac:dyDescent="0.25">
      <c r="A5" s="179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" x14ac:dyDescent="0.25">
      <c r="A6" s="179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" x14ac:dyDescent="0.25">
      <c r="A7" s="179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" x14ac:dyDescent="0.25">
      <c r="A8" s="179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" x14ac:dyDescent="0.25">
      <c r="A9" s="179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" x14ac:dyDescent="0.25">
      <c r="A10" s="179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" x14ac:dyDescent="0.25">
      <c r="A11" s="179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" x14ac:dyDescent="0.25">
      <c r="A12" s="179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" x14ac:dyDescent="0.25">
      <c r="A15" s="179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" x14ac:dyDescent="0.25">
      <c r="A16" s="179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" x14ac:dyDescent="0.25">
      <c r="A17" s="179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" x14ac:dyDescent="0.25">
      <c r="A18" s="179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" x14ac:dyDescent="0.25">
      <c r="A19" s="179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" x14ac:dyDescent="0.25">
      <c r="A20" s="179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" x14ac:dyDescent="0.25">
      <c r="A21" s="179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" x14ac:dyDescent="0.25">
      <c r="A22" s="179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" x14ac:dyDescent="0.25">
      <c r="A23" s="178"/>
      <c r="B23" s="178"/>
      <c r="C23" s="178"/>
      <c r="D23" s="178"/>
      <c r="E23" s="5" t="s">
        <v>83</v>
      </c>
      <c r="F23" s="5"/>
    </row>
    <row r="24" spans="1:14" ht="15" x14ac:dyDescent="0.25">
      <c r="A24" s="179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" x14ac:dyDescent="0.25">
      <c r="A25" s="179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" x14ac:dyDescent="0.25">
      <c r="A26" s="179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" x14ac:dyDescent="0.25">
      <c r="A27" s="179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" x14ac:dyDescent="0.25">
      <c r="A28" s="179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" x14ac:dyDescent="0.25">
      <c r="A29" s="179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" x14ac:dyDescent="0.25">
      <c r="A30" s="179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" x14ac:dyDescent="0.25">
      <c r="A31" s="179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" x14ac:dyDescent="0.25">
      <c r="A32" s="179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" x14ac:dyDescent="0.25">
      <c r="A33" s="178"/>
      <c r="B33" s="178"/>
      <c r="C33" s="178"/>
      <c r="D33" s="178"/>
      <c r="E33" s="5" t="s">
        <v>84</v>
      </c>
      <c r="F33" s="5"/>
    </row>
    <row r="34" spans="1:14" ht="15" x14ac:dyDescent="0.25">
      <c r="A34" s="179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" x14ac:dyDescent="0.25">
      <c r="A35" s="179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" x14ac:dyDescent="0.25">
      <c r="A36" s="179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" x14ac:dyDescent="0.25">
      <c r="A37" s="179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" x14ac:dyDescent="0.25">
      <c r="A38" s="179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" x14ac:dyDescent="0.25">
      <c r="A39" s="179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" x14ac:dyDescent="0.25">
      <c r="A40" s="179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" x14ac:dyDescent="0.25">
      <c r="A41" s="179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" x14ac:dyDescent="0.25">
      <c r="A42" s="179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" x14ac:dyDescent="0.25">
      <c r="A43" s="178"/>
      <c r="B43" s="178"/>
      <c r="C43" s="178"/>
      <c r="D43" s="178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D27" workbookViewId="0">
      <selection activeCell="E45" sqref="E45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" customHeight="1" x14ac:dyDescent="0.25">
      <c r="A4" s="179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" customHeight="1" x14ac:dyDescent="0.25">
      <c r="A5" s="179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" customHeight="1" x14ac:dyDescent="0.25">
      <c r="A6" s="179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" customHeight="1" x14ac:dyDescent="0.25">
      <c r="A7" s="179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" customHeight="1" x14ac:dyDescent="0.25">
      <c r="A8" s="179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" customHeight="1" x14ac:dyDescent="0.25">
      <c r="A9" s="179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" customHeight="1" x14ac:dyDescent="0.25">
      <c r="A10" s="179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" customHeight="1" x14ac:dyDescent="0.25">
      <c r="A11" s="179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" customHeight="1" x14ac:dyDescent="0.25">
      <c r="A12" s="179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.6" customHeight="1" x14ac:dyDescent="0.25">
      <c r="A14" s="179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" customHeight="1" x14ac:dyDescent="0.25">
      <c r="A15" s="179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" customHeight="1" x14ac:dyDescent="0.25">
      <c r="A16" s="179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" customHeight="1" x14ac:dyDescent="0.25">
      <c r="A17" s="179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" customHeight="1" x14ac:dyDescent="0.25">
      <c r="A18" s="179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" customHeight="1" x14ac:dyDescent="0.25">
      <c r="A19" s="179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" customHeight="1" x14ac:dyDescent="0.25">
      <c r="A20" s="179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" customHeight="1" x14ac:dyDescent="0.25">
      <c r="A21" s="179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" customHeight="1" x14ac:dyDescent="0.25">
      <c r="A22" s="179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" x14ac:dyDescent="0.25">
      <c r="A23" s="178"/>
      <c r="B23" s="178"/>
      <c r="C23" s="178"/>
      <c r="D23" s="178"/>
      <c r="E23" s="5" t="s">
        <v>83</v>
      </c>
      <c r="F23" s="5"/>
    </row>
    <row r="24" spans="1:14" ht="15.6" customHeight="1" x14ac:dyDescent="0.25">
      <c r="A24" s="179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" customHeight="1" x14ac:dyDescent="0.25">
      <c r="A25" s="179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" customHeight="1" x14ac:dyDescent="0.25">
      <c r="A26" s="179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" customHeight="1" x14ac:dyDescent="0.25">
      <c r="A27" s="179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" customHeight="1" x14ac:dyDescent="0.25">
      <c r="A28" s="179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" customHeight="1" x14ac:dyDescent="0.25">
      <c r="A29" s="179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" customHeight="1" x14ac:dyDescent="0.25">
      <c r="A30" s="179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" customHeight="1" x14ac:dyDescent="0.25">
      <c r="A31" s="179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" customHeight="1" x14ac:dyDescent="0.25">
      <c r="A32" s="179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" x14ac:dyDescent="0.25">
      <c r="A33" s="178"/>
      <c r="B33" s="178"/>
      <c r="C33" s="178"/>
      <c r="D33" s="178"/>
      <c r="E33" s="5" t="s">
        <v>83</v>
      </c>
      <c r="F33" s="5"/>
    </row>
    <row r="34" spans="1:14" ht="15.6" customHeight="1" x14ac:dyDescent="0.25">
      <c r="A34" s="179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" customHeight="1" x14ac:dyDescent="0.25">
      <c r="A35" s="179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" customHeight="1" x14ac:dyDescent="0.25">
      <c r="A36" s="179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" customHeight="1" x14ac:dyDescent="0.25">
      <c r="A37" s="179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" customHeight="1" x14ac:dyDescent="0.25">
      <c r="A38" s="179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" customHeight="1" x14ac:dyDescent="0.25">
      <c r="A39" s="179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" customHeight="1" x14ac:dyDescent="0.25">
      <c r="A40" s="179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" customHeight="1" x14ac:dyDescent="0.25">
      <c r="A41" s="179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" customHeight="1" x14ac:dyDescent="0.25">
      <c r="A42" s="179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4" sqref="B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6.4414062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" x14ac:dyDescent="0.25">
      <c r="A5" s="179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" x14ac:dyDescent="0.25">
      <c r="A6" s="179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" x14ac:dyDescent="0.25">
      <c r="A7" s="179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" x14ac:dyDescent="0.25">
      <c r="A8" s="179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" x14ac:dyDescent="0.25">
      <c r="A9" s="179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" x14ac:dyDescent="0.25">
      <c r="A10" s="179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" x14ac:dyDescent="0.25">
      <c r="A11" s="179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" x14ac:dyDescent="0.25">
      <c r="A12" s="179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" x14ac:dyDescent="0.25">
      <c r="A13" s="178"/>
      <c r="B13" s="178"/>
      <c r="C13" s="178"/>
      <c r="D13" s="178"/>
      <c r="E13" s="5" t="s">
        <v>56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" x14ac:dyDescent="0.25">
      <c r="A15" s="179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" x14ac:dyDescent="0.25">
      <c r="A16" s="179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" x14ac:dyDescent="0.25">
      <c r="A17" s="179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" x14ac:dyDescent="0.25">
      <c r="A18" s="179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" x14ac:dyDescent="0.25">
      <c r="A19" s="179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" x14ac:dyDescent="0.25">
      <c r="A20" s="179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" x14ac:dyDescent="0.25">
      <c r="A21" s="179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" x14ac:dyDescent="0.25">
      <c r="A22" s="179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" x14ac:dyDescent="0.25">
      <c r="A23" s="178"/>
      <c r="B23" s="178"/>
      <c r="C23" s="178"/>
      <c r="D23" s="178"/>
      <c r="E23" s="5" t="s">
        <v>124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" x14ac:dyDescent="0.25">
      <c r="A25" s="179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" x14ac:dyDescent="0.25">
      <c r="A26" s="179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" x14ac:dyDescent="0.25">
      <c r="A27" s="179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" x14ac:dyDescent="0.25">
      <c r="A28" s="179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" x14ac:dyDescent="0.25">
      <c r="A29" s="179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" x14ac:dyDescent="0.25">
      <c r="A30" s="179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" x14ac:dyDescent="0.25">
      <c r="A31" s="179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" x14ac:dyDescent="0.25">
      <c r="A32" s="179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" x14ac:dyDescent="0.25">
      <c r="A33" s="178"/>
      <c r="B33" s="178"/>
      <c r="C33" s="178"/>
      <c r="D33" s="178"/>
      <c r="E33" s="5" t="s">
        <v>124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" x14ac:dyDescent="0.25">
      <c r="A35" s="179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" x14ac:dyDescent="0.25">
      <c r="A36" s="179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" x14ac:dyDescent="0.25">
      <c r="A37" s="179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" x14ac:dyDescent="0.25">
      <c r="A38" s="179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" x14ac:dyDescent="0.25">
      <c r="A39" s="179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" x14ac:dyDescent="0.25">
      <c r="A40" s="179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" x14ac:dyDescent="0.25">
      <c r="A41" s="179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" x14ac:dyDescent="0.25">
      <c r="A42" s="179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" x14ac:dyDescent="0.25">
      <c r="A5" s="179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" x14ac:dyDescent="0.25">
      <c r="A6" s="179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" x14ac:dyDescent="0.25">
      <c r="A7" s="179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" x14ac:dyDescent="0.25">
      <c r="A8" s="179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" x14ac:dyDescent="0.25">
      <c r="A9" s="179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" x14ac:dyDescent="0.25">
      <c r="A10" s="179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" x14ac:dyDescent="0.25">
      <c r="A11" s="179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" x14ac:dyDescent="0.25">
      <c r="A12" s="179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" x14ac:dyDescent="0.25">
      <c r="A13" s="178"/>
      <c r="B13" s="178"/>
      <c r="C13" s="178"/>
      <c r="D13" s="178"/>
      <c r="E13" s="5" t="s">
        <v>56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" x14ac:dyDescent="0.25">
      <c r="A15" s="179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" x14ac:dyDescent="0.25">
      <c r="A16" s="179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" x14ac:dyDescent="0.25">
      <c r="A17" s="179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" x14ac:dyDescent="0.25">
      <c r="A18" s="179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" x14ac:dyDescent="0.25">
      <c r="A19" s="179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" x14ac:dyDescent="0.25">
      <c r="A20" s="179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" x14ac:dyDescent="0.25">
      <c r="A21" s="179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" x14ac:dyDescent="0.25">
      <c r="A22" s="179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" x14ac:dyDescent="0.25">
      <c r="A23" s="178"/>
      <c r="B23" s="178"/>
      <c r="C23" s="178"/>
      <c r="D23" s="178"/>
      <c r="E23" s="5" t="s">
        <v>92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" x14ac:dyDescent="0.25">
      <c r="A25" s="179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" x14ac:dyDescent="0.25">
      <c r="A26" s="179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" x14ac:dyDescent="0.25">
      <c r="A27" s="179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" x14ac:dyDescent="0.25">
      <c r="A28" s="179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" x14ac:dyDescent="0.25">
      <c r="A29" s="179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" x14ac:dyDescent="0.25">
      <c r="A30" s="179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" x14ac:dyDescent="0.25">
      <c r="A31" s="179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" x14ac:dyDescent="0.25">
      <c r="A32" s="179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" x14ac:dyDescent="0.25">
      <c r="A33" s="178"/>
      <c r="B33" s="178"/>
      <c r="C33" s="178"/>
      <c r="D33" s="178"/>
      <c r="E33" s="5" t="s">
        <v>82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" x14ac:dyDescent="0.25">
      <c r="A35" s="179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" x14ac:dyDescent="0.25">
      <c r="A36" s="179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" x14ac:dyDescent="0.25">
      <c r="A37" s="179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" x14ac:dyDescent="0.25">
      <c r="A38" s="179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" x14ac:dyDescent="0.25">
      <c r="A39" s="179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" x14ac:dyDescent="0.25">
      <c r="A40" s="179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" x14ac:dyDescent="0.25">
      <c r="A41" s="179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" x14ac:dyDescent="0.25">
      <c r="A42" s="179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1" sqref="B1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" x14ac:dyDescent="0.25">
      <c r="A5" s="179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" x14ac:dyDescent="0.25">
      <c r="A6" s="179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" x14ac:dyDescent="0.25">
      <c r="A7" s="179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" x14ac:dyDescent="0.25">
      <c r="A9" s="179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" x14ac:dyDescent="0.25">
      <c r="A10" s="179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" x14ac:dyDescent="0.25">
      <c r="A11" s="179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" x14ac:dyDescent="0.25">
      <c r="A12" s="179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" x14ac:dyDescent="0.25">
      <c r="A13" s="178"/>
      <c r="B13" s="178"/>
      <c r="C13" s="178"/>
      <c r="D13" s="178"/>
      <c r="E13" s="5" t="s">
        <v>117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" x14ac:dyDescent="0.25">
      <c r="A15" s="179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" x14ac:dyDescent="0.25">
      <c r="A16" s="179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" x14ac:dyDescent="0.25">
      <c r="A17" s="179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" x14ac:dyDescent="0.25">
      <c r="A18" s="179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" x14ac:dyDescent="0.25">
      <c r="A19" s="179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" x14ac:dyDescent="0.25">
      <c r="A20" s="179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" x14ac:dyDescent="0.25">
      <c r="A21" s="179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" x14ac:dyDescent="0.25">
      <c r="A22" s="179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" x14ac:dyDescent="0.25">
      <c r="A23" s="178"/>
      <c r="B23" s="178"/>
      <c r="C23" s="178"/>
      <c r="D23" s="178"/>
      <c r="E23" s="5" t="s">
        <v>92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" x14ac:dyDescent="0.25">
      <c r="A25" s="179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" x14ac:dyDescent="0.25">
      <c r="A26" s="179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" x14ac:dyDescent="0.25">
      <c r="A27" s="179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" x14ac:dyDescent="0.25">
      <c r="A28" s="179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" x14ac:dyDescent="0.25">
      <c r="A29" s="179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" x14ac:dyDescent="0.25">
      <c r="A30" s="179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" x14ac:dyDescent="0.25">
      <c r="A31" s="179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" x14ac:dyDescent="0.25">
      <c r="A32" s="179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" x14ac:dyDescent="0.25">
      <c r="A33" s="178"/>
      <c r="B33" s="178"/>
      <c r="C33" s="178"/>
      <c r="D33" s="178"/>
      <c r="E33" s="5" t="s">
        <v>92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" x14ac:dyDescent="0.25">
      <c r="A35" s="179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" x14ac:dyDescent="0.25">
      <c r="A36" s="179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" x14ac:dyDescent="0.25">
      <c r="A37" s="179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" x14ac:dyDescent="0.25">
      <c r="A38" s="179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" x14ac:dyDescent="0.25">
      <c r="A39" s="179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" x14ac:dyDescent="0.25">
      <c r="A40" s="179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" x14ac:dyDescent="0.25">
      <c r="A41" s="179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" x14ac:dyDescent="0.25">
      <c r="A42" s="179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" x14ac:dyDescent="0.25">
      <c r="A5" s="179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" x14ac:dyDescent="0.25">
      <c r="A6" s="179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" x14ac:dyDescent="0.25">
      <c r="A7" s="179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" x14ac:dyDescent="0.25">
      <c r="A8" s="179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" x14ac:dyDescent="0.25">
      <c r="A9" s="179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" x14ac:dyDescent="0.25">
      <c r="A10" s="179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" x14ac:dyDescent="0.25">
      <c r="A11" s="179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" x14ac:dyDescent="0.25">
      <c r="A12" s="179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" x14ac:dyDescent="0.25">
      <c r="A15" s="179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" x14ac:dyDescent="0.25">
      <c r="A16" s="179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" x14ac:dyDescent="0.25">
      <c r="A17" s="179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" x14ac:dyDescent="0.25">
      <c r="A18" s="179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" x14ac:dyDescent="0.25">
      <c r="A19" s="179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" x14ac:dyDescent="0.25">
      <c r="A20" s="179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" x14ac:dyDescent="0.25">
      <c r="A21" s="179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" x14ac:dyDescent="0.25">
      <c r="A22" s="179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" x14ac:dyDescent="0.25">
      <c r="A23" s="178"/>
      <c r="B23" s="178"/>
      <c r="C23" s="178"/>
      <c r="D23" s="178"/>
      <c r="E23" s="5" t="s">
        <v>128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" x14ac:dyDescent="0.25">
      <c r="A25" s="179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" x14ac:dyDescent="0.25">
      <c r="A26" s="179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" x14ac:dyDescent="0.25">
      <c r="A27" s="179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" x14ac:dyDescent="0.25">
      <c r="A28" s="179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" x14ac:dyDescent="0.25">
      <c r="A29" s="179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" x14ac:dyDescent="0.25">
      <c r="A30" s="179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" x14ac:dyDescent="0.25">
      <c r="A31" s="179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" x14ac:dyDescent="0.25">
      <c r="A32" s="179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" x14ac:dyDescent="0.25">
      <c r="A33" s="178"/>
      <c r="B33" s="178"/>
      <c r="C33" s="178"/>
      <c r="D33" s="178"/>
      <c r="E33" s="5" t="s">
        <v>117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" x14ac:dyDescent="0.25">
      <c r="A35" s="179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" x14ac:dyDescent="0.25">
      <c r="A36" s="179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" x14ac:dyDescent="0.25">
      <c r="A37" s="179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" x14ac:dyDescent="0.25">
      <c r="A38" s="179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" x14ac:dyDescent="0.25">
      <c r="A39" s="179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" x14ac:dyDescent="0.25">
      <c r="A40" s="179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" x14ac:dyDescent="0.25">
      <c r="A41" s="179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" x14ac:dyDescent="0.25">
      <c r="A42" s="179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" x14ac:dyDescent="0.25">
      <c r="A5" s="179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" x14ac:dyDescent="0.25">
      <c r="A6" s="179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" x14ac:dyDescent="0.25">
      <c r="A7" s="179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" x14ac:dyDescent="0.25">
      <c r="A8" s="179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" x14ac:dyDescent="0.25">
      <c r="A9" s="179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" x14ac:dyDescent="0.25">
      <c r="A10" s="179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" x14ac:dyDescent="0.25">
      <c r="A11" s="179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" x14ac:dyDescent="0.25">
      <c r="A12" s="179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" x14ac:dyDescent="0.25">
      <c r="A15" s="179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" x14ac:dyDescent="0.25">
      <c r="A16" s="179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" x14ac:dyDescent="0.25">
      <c r="A17" s="179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" x14ac:dyDescent="0.25">
      <c r="A18" s="179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" x14ac:dyDescent="0.25">
      <c r="A19" s="179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" x14ac:dyDescent="0.25">
      <c r="A20" s="179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" x14ac:dyDescent="0.25">
      <c r="A21" s="179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" x14ac:dyDescent="0.25">
      <c r="A22" s="179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" x14ac:dyDescent="0.25">
      <c r="A23" s="178"/>
      <c r="B23" s="178"/>
      <c r="C23" s="178"/>
      <c r="D23" s="178"/>
      <c r="E23" s="5" t="s">
        <v>84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" x14ac:dyDescent="0.25">
      <c r="A25" s="179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" x14ac:dyDescent="0.25">
      <c r="A26" s="179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" x14ac:dyDescent="0.25">
      <c r="A27" s="179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" x14ac:dyDescent="0.25">
      <c r="A28" s="179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" x14ac:dyDescent="0.25">
      <c r="A29" s="179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" x14ac:dyDescent="0.25">
      <c r="A30" s="179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" x14ac:dyDescent="0.25">
      <c r="A31" s="179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" x14ac:dyDescent="0.25">
      <c r="A32" s="179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" x14ac:dyDescent="0.25">
      <c r="A33" s="178"/>
      <c r="B33" s="178"/>
      <c r="C33" s="178"/>
      <c r="D33" s="178"/>
      <c r="E33" s="5" t="s">
        <v>83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" x14ac:dyDescent="0.25">
      <c r="A35" s="179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" x14ac:dyDescent="0.25">
      <c r="A36" s="179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" x14ac:dyDescent="0.25">
      <c r="A37" s="179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" x14ac:dyDescent="0.25">
      <c r="A38" s="179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" x14ac:dyDescent="0.25">
      <c r="A39" s="179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" x14ac:dyDescent="0.25">
      <c r="A40" s="179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" x14ac:dyDescent="0.25">
      <c r="A41" s="179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" x14ac:dyDescent="0.25">
      <c r="A42" s="179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" x14ac:dyDescent="0.25">
      <c r="A5" s="179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" x14ac:dyDescent="0.25">
      <c r="A6" s="179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" x14ac:dyDescent="0.25">
      <c r="A7" s="179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" x14ac:dyDescent="0.25">
      <c r="A9" s="179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" x14ac:dyDescent="0.25">
      <c r="A10" s="179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" x14ac:dyDescent="0.25">
      <c r="A11" s="179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" x14ac:dyDescent="0.25">
      <c r="A12" s="179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" x14ac:dyDescent="0.25">
      <c r="A13" s="178"/>
      <c r="B13" s="178"/>
      <c r="C13" s="178"/>
      <c r="D13" s="178"/>
      <c r="E13" s="5" t="s">
        <v>56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" x14ac:dyDescent="0.25">
      <c r="A15" s="179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" x14ac:dyDescent="0.25">
      <c r="A16" s="179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" x14ac:dyDescent="0.25">
      <c r="A17" s="179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" x14ac:dyDescent="0.25">
      <c r="A18" s="179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" x14ac:dyDescent="0.25">
      <c r="A19" s="179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" x14ac:dyDescent="0.25">
      <c r="A20" s="179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" x14ac:dyDescent="0.25">
      <c r="A21" s="179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" x14ac:dyDescent="0.25">
      <c r="A22" s="179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" x14ac:dyDescent="0.25">
      <c r="A23" s="178"/>
      <c r="B23" s="178"/>
      <c r="C23" s="178"/>
      <c r="D23" s="178"/>
      <c r="E23" s="5" t="s">
        <v>124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" x14ac:dyDescent="0.25">
      <c r="A25" s="179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" x14ac:dyDescent="0.25">
      <c r="A26" s="179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" x14ac:dyDescent="0.25">
      <c r="A27" s="179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" x14ac:dyDescent="0.25">
      <c r="A28" s="179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" x14ac:dyDescent="0.25">
      <c r="A29" s="179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" x14ac:dyDescent="0.25">
      <c r="A30" s="179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" x14ac:dyDescent="0.25">
      <c r="A31" s="179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" x14ac:dyDescent="0.25">
      <c r="A32" s="179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" x14ac:dyDescent="0.25">
      <c r="A33" s="178"/>
      <c r="B33" s="178"/>
      <c r="C33" s="178"/>
      <c r="D33" s="178"/>
      <c r="E33" s="5" t="s">
        <v>102</v>
      </c>
      <c r="F33" s="5" t="s">
        <v>137</v>
      </c>
      <c r="G33" t="s">
        <v>133</v>
      </c>
    </row>
    <row r="34" spans="1:14" ht="15" x14ac:dyDescent="0.25">
      <c r="A34" s="179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" x14ac:dyDescent="0.25">
      <c r="A35" s="179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" x14ac:dyDescent="0.25">
      <c r="A36" s="179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" x14ac:dyDescent="0.25">
      <c r="A37" s="179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" x14ac:dyDescent="0.25">
      <c r="A38" s="179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" x14ac:dyDescent="0.25">
      <c r="A39" s="179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" x14ac:dyDescent="0.25">
      <c r="A40" s="179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" x14ac:dyDescent="0.25">
      <c r="A41" s="179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" x14ac:dyDescent="0.25">
      <c r="A42" s="179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H39" sqref="H39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" x14ac:dyDescent="0.25">
      <c r="A5" s="179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" x14ac:dyDescent="0.25">
      <c r="A6" s="179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" x14ac:dyDescent="0.25">
      <c r="A7" s="179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" x14ac:dyDescent="0.25">
      <c r="A8" s="179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" x14ac:dyDescent="0.25">
      <c r="A9" s="179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" x14ac:dyDescent="0.25">
      <c r="A10" s="179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" x14ac:dyDescent="0.25">
      <c r="A11" s="179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" x14ac:dyDescent="0.25">
      <c r="A12" s="179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" x14ac:dyDescent="0.25">
      <c r="A13" s="178"/>
      <c r="B13" s="178"/>
      <c r="C13" s="178"/>
      <c r="D13" s="178"/>
      <c r="E13" s="5" t="s">
        <v>83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" x14ac:dyDescent="0.25">
      <c r="A15" s="179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" x14ac:dyDescent="0.25">
      <c r="A16" s="179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" x14ac:dyDescent="0.25">
      <c r="A17" s="179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" x14ac:dyDescent="0.25">
      <c r="A18" s="179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" x14ac:dyDescent="0.25">
      <c r="A19" s="179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" x14ac:dyDescent="0.25">
      <c r="A20" s="179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" x14ac:dyDescent="0.25">
      <c r="A21" s="179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" x14ac:dyDescent="0.25">
      <c r="A22" s="179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" x14ac:dyDescent="0.25">
      <c r="A23" s="178"/>
      <c r="B23" s="178"/>
      <c r="C23" s="178"/>
      <c r="D23" s="178"/>
      <c r="E23" s="5" t="s">
        <v>84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" x14ac:dyDescent="0.25">
      <c r="A25" s="179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" x14ac:dyDescent="0.25">
      <c r="A26" s="179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" x14ac:dyDescent="0.25">
      <c r="A27" s="179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" x14ac:dyDescent="0.25">
      <c r="A28" s="179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" x14ac:dyDescent="0.25">
      <c r="A29" s="179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" x14ac:dyDescent="0.25">
      <c r="A30" s="179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" x14ac:dyDescent="0.25">
      <c r="A31" s="179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" x14ac:dyDescent="0.25">
      <c r="A32" s="179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" x14ac:dyDescent="0.25">
      <c r="A33" s="178"/>
      <c r="B33" s="178"/>
      <c r="C33" s="178"/>
      <c r="D33" s="178"/>
      <c r="E33" s="5" t="s">
        <v>84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" x14ac:dyDescent="0.25">
      <c r="A35" s="179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" x14ac:dyDescent="0.25">
      <c r="A36" s="179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" x14ac:dyDescent="0.25">
      <c r="A37" s="179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" x14ac:dyDescent="0.25">
      <c r="A38" s="179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" x14ac:dyDescent="0.25">
      <c r="A39" s="179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" x14ac:dyDescent="0.25">
      <c r="A40" s="179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" x14ac:dyDescent="0.25">
      <c r="A41" s="179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" x14ac:dyDescent="0.25">
      <c r="A42" s="179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4414062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" x14ac:dyDescent="0.25">
      <c r="A5" s="179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" x14ac:dyDescent="0.25">
      <c r="A6" s="179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" x14ac:dyDescent="0.25">
      <c r="A7" s="179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" x14ac:dyDescent="0.25">
      <c r="A9" s="179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" x14ac:dyDescent="0.25">
      <c r="A10" s="179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" x14ac:dyDescent="0.25">
      <c r="A11" s="179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" x14ac:dyDescent="0.25">
      <c r="A12" s="179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" x14ac:dyDescent="0.25">
      <c r="A13" s="178"/>
      <c r="B13" s="178"/>
      <c r="C13" s="178"/>
      <c r="D13" s="178"/>
      <c r="E13" s="5" t="s">
        <v>112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" x14ac:dyDescent="0.25">
      <c r="A15" s="179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" x14ac:dyDescent="0.25">
      <c r="A16" s="179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" x14ac:dyDescent="0.25">
      <c r="A17" s="179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" x14ac:dyDescent="0.25">
      <c r="A18" s="179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" x14ac:dyDescent="0.25">
      <c r="A19" s="179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" x14ac:dyDescent="0.25">
      <c r="A20" s="179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" x14ac:dyDescent="0.25">
      <c r="A21" s="179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" x14ac:dyDescent="0.25">
      <c r="A22" s="179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" x14ac:dyDescent="0.25">
      <c r="A23" s="178"/>
      <c r="B23" s="178"/>
      <c r="C23" s="178"/>
      <c r="D23" s="178"/>
      <c r="E23" s="5" t="s">
        <v>101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" x14ac:dyDescent="0.25">
      <c r="A25" s="179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" x14ac:dyDescent="0.25">
      <c r="A26" s="179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" x14ac:dyDescent="0.25">
      <c r="A27" s="179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" x14ac:dyDescent="0.25">
      <c r="A28" s="179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" x14ac:dyDescent="0.25">
      <c r="A29" s="179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" x14ac:dyDescent="0.25">
      <c r="A30" s="179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" x14ac:dyDescent="0.25">
      <c r="A31" s="179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" x14ac:dyDescent="0.25">
      <c r="A32" s="179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" x14ac:dyDescent="0.25">
      <c r="A33" s="178"/>
      <c r="B33" s="178"/>
      <c r="C33" s="178"/>
      <c r="D33" s="178"/>
      <c r="E33" s="5" t="s">
        <v>92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" x14ac:dyDescent="0.25">
      <c r="A35" s="179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" x14ac:dyDescent="0.25">
      <c r="A36" s="179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" x14ac:dyDescent="0.25">
      <c r="A37" s="179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" x14ac:dyDescent="0.25">
      <c r="A38" s="179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" x14ac:dyDescent="0.25">
      <c r="A39" s="179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" x14ac:dyDescent="0.25">
      <c r="A40" s="179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" x14ac:dyDescent="0.25">
      <c r="A41" s="179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" x14ac:dyDescent="0.25">
      <c r="A42" s="179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" x14ac:dyDescent="0.25">
      <c r="A5" s="179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" x14ac:dyDescent="0.25">
      <c r="A6" s="179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" x14ac:dyDescent="0.25">
      <c r="A7" s="179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" x14ac:dyDescent="0.25">
      <c r="A8" s="179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" x14ac:dyDescent="0.25">
      <c r="A9" s="179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" x14ac:dyDescent="0.25">
      <c r="A10" s="179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" x14ac:dyDescent="0.25">
      <c r="A11" s="179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" x14ac:dyDescent="0.25">
      <c r="A12" s="179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" x14ac:dyDescent="0.25">
      <c r="A13" s="178"/>
      <c r="B13" s="178"/>
      <c r="C13" s="178"/>
      <c r="D13" s="178"/>
      <c r="E13" s="5" t="s">
        <v>139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" x14ac:dyDescent="0.25">
      <c r="A15" s="179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" x14ac:dyDescent="0.25">
      <c r="A16" s="179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" x14ac:dyDescent="0.25">
      <c r="A17" s="179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" x14ac:dyDescent="0.25">
      <c r="A18" s="179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" x14ac:dyDescent="0.25">
      <c r="A19" s="179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" x14ac:dyDescent="0.25">
      <c r="A20" s="179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" x14ac:dyDescent="0.25">
      <c r="A21" s="179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" x14ac:dyDescent="0.25">
      <c r="A22" s="179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" x14ac:dyDescent="0.25">
      <c r="A23" s="178"/>
      <c r="B23" s="178"/>
      <c r="C23" s="178"/>
      <c r="D23" s="178"/>
      <c r="E23" s="5" t="s">
        <v>84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" x14ac:dyDescent="0.25">
      <c r="A25" s="179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" x14ac:dyDescent="0.25">
      <c r="A26" s="179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" x14ac:dyDescent="0.25">
      <c r="A27" s="179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" x14ac:dyDescent="0.25">
      <c r="A28" s="179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" x14ac:dyDescent="0.25">
      <c r="A29" s="179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" x14ac:dyDescent="0.25">
      <c r="A30" s="179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" x14ac:dyDescent="0.25">
      <c r="A31" s="179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" x14ac:dyDescent="0.25">
      <c r="A32" s="179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" x14ac:dyDescent="0.25">
      <c r="A33" s="178"/>
      <c r="B33" s="178"/>
      <c r="C33" s="178"/>
      <c r="D33" s="178"/>
      <c r="E33" s="5" t="s">
        <v>112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" x14ac:dyDescent="0.25">
      <c r="A35" s="179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" x14ac:dyDescent="0.25">
      <c r="A36" s="179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" x14ac:dyDescent="0.25">
      <c r="A37" s="179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" x14ac:dyDescent="0.25">
      <c r="A38" s="179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" x14ac:dyDescent="0.25">
      <c r="A39" s="179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" x14ac:dyDescent="0.25">
      <c r="A40" s="179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" x14ac:dyDescent="0.25">
      <c r="A41" s="179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" x14ac:dyDescent="0.25">
      <c r="A42" s="179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" x14ac:dyDescent="0.25">
      <c r="A5" s="179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" x14ac:dyDescent="0.25">
      <c r="A6" s="179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" x14ac:dyDescent="0.25">
      <c r="A7" s="179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" x14ac:dyDescent="0.25">
      <c r="A8" s="179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" x14ac:dyDescent="0.25">
      <c r="A9" s="179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" x14ac:dyDescent="0.25">
      <c r="A10" s="179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" x14ac:dyDescent="0.25">
      <c r="A11" s="179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" x14ac:dyDescent="0.25">
      <c r="A12" s="179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" x14ac:dyDescent="0.25">
      <c r="A13" s="178"/>
      <c r="B13" s="178"/>
      <c r="C13" s="178"/>
      <c r="D13" s="178"/>
      <c r="E13" s="5" t="s">
        <v>117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" x14ac:dyDescent="0.25">
      <c r="A15" s="179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" x14ac:dyDescent="0.25">
      <c r="A16" s="179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" x14ac:dyDescent="0.25">
      <c r="A17" s="179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" x14ac:dyDescent="0.25">
      <c r="A18" s="179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" x14ac:dyDescent="0.25">
      <c r="A19" s="179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" x14ac:dyDescent="0.25">
      <c r="A20" s="179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" x14ac:dyDescent="0.25">
      <c r="A21" s="179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" x14ac:dyDescent="0.25">
      <c r="A22" s="179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" x14ac:dyDescent="0.25">
      <c r="A23" s="178"/>
      <c r="B23" s="178"/>
      <c r="C23" s="178"/>
      <c r="D23" s="178"/>
      <c r="E23" s="5" t="s">
        <v>97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" x14ac:dyDescent="0.25">
      <c r="A25" s="179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" x14ac:dyDescent="0.25">
      <c r="A26" s="179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" x14ac:dyDescent="0.25">
      <c r="A27" s="179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" x14ac:dyDescent="0.25">
      <c r="A28" s="179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" x14ac:dyDescent="0.25">
      <c r="A29" s="179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" x14ac:dyDescent="0.25">
      <c r="A30" s="179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" x14ac:dyDescent="0.25">
      <c r="A31" s="179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" x14ac:dyDescent="0.25">
      <c r="A32" s="179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" x14ac:dyDescent="0.25">
      <c r="A33" s="178"/>
      <c r="B33" s="178"/>
      <c r="C33" s="178"/>
      <c r="D33" s="178"/>
      <c r="E33" s="5" t="s">
        <v>102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" x14ac:dyDescent="0.25">
      <c r="A35" s="179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" x14ac:dyDescent="0.25">
      <c r="A36" s="179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" x14ac:dyDescent="0.25">
      <c r="A37" s="179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" x14ac:dyDescent="0.25">
      <c r="A38" s="179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" x14ac:dyDescent="0.25">
      <c r="A39" s="179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" x14ac:dyDescent="0.25">
      <c r="A40" s="179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" x14ac:dyDescent="0.25">
      <c r="A41" s="179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" x14ac:dyDescent="0.25">
      <c r="A42" s="179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A1" t="s">
        <v>143</v>
      </c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" x14ac:dyDescent="0.25">
      <c r="A5" s="179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" x14ac:dyDescent="0.25">
      <c r="A6" s="179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" x14ac:dyDescent="0.25">
      <c r="A7" s="179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" x14ac:dyDescent="0.25">
      <c r="A8" s="179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" x14ac:dyDescent="0.25">
      <c r="A9" s="179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" x14ac:dyDescent="0.25">
      <c r="A10" s="179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" x14ac:dyDescent="0.25">
      <c r="A11" s="179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" x14ac:dyDescent="0.25">
      <c r="A12" s="179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" x14ac:dyDescent="0.25">
      <c r="A13" s="178"/>
      <c r="B13" s="178"/>
      <c r="C13" s="178"/>
      <c r="D13" s="178"/>
      <c r="E13" s="5" t="s">
        <v>84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" x14ac:dyDescent="0.25">
      <c r="A15" s="179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" x14ac:dyDescent="0.25">
      <c r="A16" s="179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" x14ac:dyDescent="0.25">
      <c r="A17" s="179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" x14ac:dyDescent="0.25">
      <c r="A18" s="179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" x14ac:dyDescent="0.25">
      <c r="A19" s="179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" x14ac:dyDescent="0.25">
      <c r="A20" s="179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" x14ac:dyDescent="0.25">
      <c r="A21" s="179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" x14ac:dyDescent="0.25">
      <c r="A22" s="179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" x14ac:dyDescent="0.25">
      <c r="A23" s="178"/>
      <c r="B23" s="178"/>
      <c r="C23" s="178"/>
      <c r="D23" s="178"/>
      <c r="E23" s="5" t="s">
        <v>144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" x14ac:dyDescent="0.25">
      <c r="A25" s="179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" x14ac:dyDescent="0.25">
      <c r="A26" s="179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" x14ac:dyDescent="0.25">
      <c r="A27" s="179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" x14ac:dyDescent="0.25">
      <c r="A28" s="179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" x14ac:dyDescent="0.25">
      <c r="A29" s="179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" x14ac:dyDescent="0.25">
      <c r="A30" s="179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" x14ac:dyDescent="0.25">
      <c r="A31" s="179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" x14ac:dyDescent="0.25">
      <c r="A32" s="179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" x14ac:dyDescent="0.25">
      <c r="A33" s="178"/>
      <c r="B33" s="178"/>
      <c r="C33" s="178"/>
      <c r="D33" s="178"/>
      <c r="E33" s="5" t="s">
        <v>82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" x14ac:dyDescent="0.25">
      <c r="A35" s="179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" x14ac:dyDescent="0.25">
      <c r="A36" s="179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" x14ac:dyDescent="0.25">
      <c r="A37" s="179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" x14ac:dyDescent="0.25">
      <c r="A38" s="179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" x14ac:dyDescent="0.25">
      <c r="A39" s="179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" x14ac:dyDescent="0.25">
      <c r="A40" s="179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" x14ac:dyDescent="0.25">
      <c r="A41" s="179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" x14ac:dyDescent="0.25">
      <c r="A42" s="179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3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" x14ac:dyDescent="0.25">
      <c r="A5" s="179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" x14ac:dyDescent="0.25">
      <c r="A6" s="179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" x14ac:dyDescent="0.25">
      <c r="A7" s="179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" x14ac:dyDescent="0.25">
      <c r="A8" s="179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" x14ac:dyDescent="0.25">
      <c r="A9" s="179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" x14ac:dyDescent="0.25">
      <c r="A10" s="179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" x14ac:dyDescent="0.25">
      <c r="A11" s="179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" x14ac:dyDescent="0.25">
      <c r="A12" s="179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" x14ac:dyDescent="0.25">
      <c r="A13" s="178"/>
      <c r="B13" s="178"/>
      <c r="C13" s="178"/>
      <c r="D13" s="178"/>
      <c r="E13" s="5" t="s">
        <v>84</v>
      </c>
      <c r="F13" s="5" t="s">
        <v>145</v>
      </c>
    </row>
    <row r="14" spans="1:14" ht="15" x14ac:dyDescent="0.25">
      <c r="A14" s="179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" x14ac:dyDescent="0.25">
      <c r="A16" s="179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" x14ac:dyDescent="0.25">
      <c r="A17" s="179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" x14ac:dyDescent="0.25">
      <c r="A18" s="179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" x14ac:dyDescent="0.25">
      <c r="A19" s="179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" x14ac:dyDescent="0.25">
      <c r="A20" s="179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" x14ac:dyDescent="0.25">
      <c r="A21" s="179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" x14ac:dyDescent="0.25">
      <c r="A22" s="179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" x14ac:dyDescent="0.25">
      <c r="A23" s="178"/>
      <c r="B23" s="178"/>
      <c r="C23" s="178"/>
      <c r="D23" s="178"/>
      <c r="E23" s="5" t="s">
        <v>97</v>
      </c>
      <c r="F23" s="5" t="s">
        <v>146</v>
      </c>
    </row>
    <row r="24" spans="1:14" ht="15" x14ac:dyDescent="0.25">
      <c r="A24" s="179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" x14ac:dyDescent="0.25">
      <c r="A25" s="179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" x14ac:dyDescent="0.25">
      <c r="A26" s="179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" x14ac:dyDescent="0.25">
      <c r="A27" s="179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" x14ac:dyDescent="0.25">
      <c r="A28" s="179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" x14ac:dyDescent="0.25">
      <c r="A29" s="179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" x14ac:dyDescent="0.25">
      <c r="A30" s="179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" x14ac:dyDescent="0.25">
      <c r="A31" s="179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" x14ac:dyDescent="0.25">
      <c r="A32" s="179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" x14ac:dyDescent="0.25">
      <c r="A33" s="178"/>
      <c r="B33" s="178"/>
      <c r="C33" s="178"/>
      <c r="D33" s="178"/>
      <c r="E33" s="5" t="s">
        <v>84</v>
      </c>
      <c r="F33" s="5" t="s">
        <v>147</v>
      </c>
    </row>
    <row r="34" spans="1:14" ht="15" x14ac:dyDescent="0.25">
      <c r="A34" s="179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" x14ac:dyDescent="0.25">
      <c r="A35" s="179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" x14ac:dyDescent="0.25">
      <c r="A36" s="179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" x14ac:dyDescent="0.25">
      <c r="A37" s="179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" x14ac:dyDescent="0.25">
      <c r="A38" s="179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" x14ac:dyDescent="0.25">
      <c r="A39" s="179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" x14ac:dyDescent="0.25">
      <c r="A40" s="179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" x14ac:dyDescent="0.25">
      <c r="A41" s="179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" x14ac:dyDescent="0.25">
      <c r="A42" s="179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M34" sqref="M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" x14ac:dyDescent="0.25">
      <c r="A5" s="179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" x14ac:dyDescent="0.25">
      <c r="A6" s="179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" x14ac:dyDescent="0.25">
      <c r="A7" s="179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" x14ac:dyDescent="0.25">
      <c r="A8" s="179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" x14ac:dyDescent="0.25">
      <c r="A9" s="179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" x14ac:dyDescent="0.25">
      <c r="A10" s="179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" x14ac:dyDescent="0.25">
      <c r="A11" s="179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" x14ac:dyDescent="0.25">
      <c r="A12" s="179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" x14ac:dyDescent="0.25">
      <c r="A13" s="178"/>
      <c r="B13" s="178"/>
      <c r="C13" s="178"/>
      <c r="D13" s="178"/>
      <c r="E13" s="5" t="s">
        <v>117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" x14ac:dyDescent="0.25">
      <c r="A15" s="179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" x14ac:dyDescent="0.25">
      <c r="A16" s="179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" x14ac:dyDescent="0.25">
      <c r="A17" s="179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" x14ac:dyDescent="0.25">
      <c r="A18" s="179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" x14ac:dyDescent="0.25">
      <c r="A19" s="179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" x14ac:dyDescent="0.25">
      <c r="A20" s="179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" x14ac:dyDescent="0.25">
      <c r="A21" s="179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" x14ac:dyDescent="0.25">
      <c r="A22" s="179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" x14ac:dyDescent="0.25">
      <c r="A23" s="178"/>
      <c r="B23" s="178"/>
      <c r="C23" s="178"/>
      <c r="D23" s="178"/>
      <c r="E23" s="5" t="s">
        <v>41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" x14ac:dyDescent="0.25">
      <c r="A25" s="179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" x14ac:dyDescent="0.25">
      <c r="A26" s="179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" x14ac:dyDescent="0.25">
      <c r="A27" s="179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" x14ac:dyDescent="0.25">
      <c r="A28" s="179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" x14ac:dyDescent="0.25">
      <c r="A29" s="179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" x14ac:dyDescent="0.25">
      <c r="A30" s="179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" x14ac:dyDescent="0.25">
      <c r="A31" s="179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" x14ac:dyDescent="0.25">
      <c r="A32" s="179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" x14ac:dyDescent="0.25">
      <c r="A33" s="178"/>
      <c r="B33" s="178"/>
      <c r="C33" s="178"/>
      <c r="D33" s="178"/>
      <c r="E33" s="5" t="s">
        <v>149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" x14ac:dyDescent="0.25">
      <c r="A35" s="179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" x14ac:dyDescent="0.25">
      <c r="A36" s="179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" x14ac:dyDescent="0.25">
      <c r="A37" s="179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" x14ac:dyDescent="0.25">
      <c r="A38" s="179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" x14ac:dyDescent="0.25">
      <c r="A39" s="179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" x14ac:dyDescent="0.25">
      <c r="A40" s="179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" x14ac:dyDescent="0.25">
      <c r="A41" s="179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" x14ac:dyDescent="0.25">
      <c r="A42" s="179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B34" sqref="B3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" x14ac:dyDescent="0.25">
      <c r="A5" s="179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" x14ac:dyDescent="0.25">
      <c r="A6" s="179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" x14ac:dyDescent="0.25">
      <c r="A7" s="179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" x14ac:dyDescent="0.25">
      <c r="A8" s="179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" x14ac:dyDescent="0.25">
      <c r="A9" s="179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" x14ac:dyDescent="0.25">
      <c r="A10" s="179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" x14ac:dyDescent="0.25">
      <c r="A11" s="179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" x14ac:dyDescent="0.25">
      <c r="A12" s="179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" x14ac:dyDescent="0.25">
      <c r="A13" s="178"/>
      <c r="B13" s="178"/>
      <c r="C13" s="178"/>
      <c r="D13" s="178"/>
      <c r="E13" s="5" t="s">
        <v>149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" x14ac:dyDescent="0.25">
      <c r="A15" s="179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" x14ac:dyDescent="0.25">
      <c r="A16" s="179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" x14ac:dyDescent="0.25">
      <c r="A17" s="179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" x14ac:dyDescent="0.25">
      <c r="A18" s="179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" x14ac:dyDescent="0.25">
      <c r="A19" s="179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" x14ac:dyDescent="0.25">
      <c r="A20" s="179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" x14ac:dyDescent="0.25">
      <c r="A21" s="179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" x14ac:dyDescent="0.25">
      <c r="A22" s="179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" x14ac:dyDescent="0.25">
      <c r="A23" s="178"/>
      <c r="B23" s="178"/>
      <c r="C23" s="178"/>
      <c r="D23" s="178"/>
      <c r="E23" s="5" t="s">
        <v>149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" x14ac:dyDescent="0.25">
      <c r="A25" s="179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" x14ac:dyDescent="0.25">
      <c r="A26" s="179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" x14ac:dyDescent="0.25">
      <c r="A27" s="179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" x14ac:dyDescent="0.25">
      <c r="A28" s="179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" x14ac:dyDescent="0.25">
      <c r="A29" s="179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" x14ac:dyDescent="0.25">
      <c r="A30" s="179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" x14ac:dyDescent="0.25">
      <c r="A31" s="179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" x14ac:dyDescent="0.25">
      <c r="A32" s="179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" x14ac:dyDescent="0.25">
      <c r="A33" s="178"/>
      <c r="B33" s="178"/>
      <c r="C33" s="178"/>
      <c r="D33" s="178"/>
      <c r="E33" s="5" t="s">
        <v>41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" x14ac:dyDescent="0.25">
      <c r="A35" s="179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" x14ac:dyDescent="0.25">
      <c r="A36" s="179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" x14ac:dyDescent="0.25">
      <c r="A37" s="179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" x14ac:dyDescent="0.25">
      <c r="A38" s="179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" x14ac:dyDescent="0.25">
      <c r="A39" s="179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" x14ac:dyDescent="0.25">
      <c r="A40" s="179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" x14ac:dyDescent="0.25">
      <c r="A41" s="179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" x14ac:dyDescent="0.25">
      <c r="A42" s="179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G27" workbookViewId="0">
      <selection activeCell="T44" sqref="T44"/>
    </sheetView>
  </sheetViews>
  <sheetFormatPr baseColWidth="10" defaultColWidth="11.5546875" defaultRowHeight="13.2" x14ac:dyDescent="0.25"/>
  <cols>
    <col min="2" max="2" width="18.109375" customWidth="1"/>
    <col min="4" max="4" width="17.44140625" customWidth="1"/>
    <col min="5" max="5" width="24.88671875" customWidth="1"/>
    <col min="6" max="6" width="14.5546875" customWidth="1"/>
  </cols>
  <sheetData>
    <row r="1" spans="1:14" ht="17.399999999999999" x14ac:dyDescent="0.25">
      <c r="G1" s="180" t="s">
        <v>0</v>
      </c>
      <c r="H1" s="180"/>
      <c r="I1" s="180"/>
      <c r="J1" s="180"/>
      <c r="K1" s="180"/>
      <c r="L1" s="180"/>
      <c r="M1" s="180"/>
      <c r="N1" s="180"/>
    </row>
    <row r="2" spans="1:14" ht="17.399999999999999" x14ac:dyDescent="0.25">
      <c r="G2" s="181" t="s">
        <v>1</v>
      </c>
      <c r="H2" s="181"/>
      <c r="I2" s="182" t="s">
        <v>2</v>
      </c>
      <c r="J2" s="182"/>
      <c r="K2" s="182" t="s">
        <v>3</v>
      </c>
      <c r="L2" s="182"/>
      <c r="M2" s="182" t="s">
        <v>4</v>
      </c>
      <c r="N2" s="182"/>
    </row>
    <row r="3" spans="1:14" ht="17.399999999999999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" x14ac:dyDescent="0.25">
      <c r="A4" s="179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" x14ac:dyDescent="0.25">
      <c r="A5" s="179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" x14ac:dyDescent="0.25">
      <c r="A6" s="179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" x14ac:dyDescent="0.25">
      <c r="A7" s="179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" x14ac:dyDescent="0.25">
      <c r="A8" s="179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" x14ac:dyDescent="0.25">
      <c r="A9" s="179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" x14ac:dyDescent="0.25">
      <c r="A10" s="179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" x14ac:dyDescent="0.25">
      <c r="A11" s="179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" x14ac:dyDescent="0.25">
      <c r="A12" s="179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" x14ac:dyDescent="0.25">
      <c r="A13" s="178"/>
      <c r="B13" s="178"/>
      <c r="C13" s="178"/>
      <c r="D13" s="178"/>
      <c r="E13" s="5" t="s">
        <v>150</v>
      </c>
      <c r="F13" s="5"/>
    </row>
    <row r="14" spans="1:14" ht="15" x14ac:dyDescent="0.25">
      <c r="A14" s="179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" x14ac:dyDescent="0.25">
      <c r="A15" s="179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" x14ac:dyDescent="0.25">
      <c r="A16" s="179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" x14ac:dyDescent="0.25">
      <c r="A17" s="179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" x14ac:dyDescent="0.25">
      <c r="A18" s="179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" x14ac:dyDescent="0.25">
      <c r="A19" s="179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" x14ac:dyDescent="0.25">
      <c r="A20" s="179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" x14ac:dyDescent="0.25">
      <c r="A21" s="179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" x14ac:dyDescent="0.25">
      <c r="A22" s="179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" x14ac:dyDescent="0.25">
      <c r="A23" s="178"/>
      <c r="B23" s="178"/>
      <c r="C23" s="178"/>
      <c r="D23" s="178"/>
      <c r="E23" s="5" t="s">
        <v>102</v>
      </c>
      <c r="F23" s="5"/>
    </row>
    <row r="24" spans="1:14" ht="15" x14ac:dyDescent="0.25">
      <c r="A24" s="179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" x14ac:dyDescent="0.25">
      <c r="A25" s="179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" x14ac:dyDescent="0.25">
      <c r="A26" s="179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" x14ac:dyDescent="0.25">
      <c r="A27" s="179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" x14ac:dyDescent="0.25">
      <c r="A28" s="179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" x14ac:dyDescent="0.25">
      <c r="A29" s="179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" x14ac:dyDescent="0.25">
      <c r="A30" s="179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" x14ac:dyDescent="0.25">
      <c r="A31" s="179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" x14ac:dyDescent="0.25">
      <c r="A32" s="179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" x14ac:dyDescent="0.25">
      <c r="A33" s="178"/>
      <c r="B33" s="178"/>
      <c r="C33" s="178"/>
      <c r="D33" s="178"/>
      <c r="E33" s="5" t="s">
        <v>102</v>
      </c>
      <c r="F33" s="5"/>
    </row>
    <row r="34" spans="1:14" ht="15" x14ac:dyDescent="0.25">
      <c r="A34" s="179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" x14ac:dyDescent="0.25">
      <c r="A35" s="179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" x14ac:dyDescent="0.25">
      <c r="A36" s="179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" x14ac:dyDescent="0.25">
      <c r="A37" s="179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" x14ac:dyDescent="0.25">
      <c r="A38" s="179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" x14ac:dyDescent="0.25">
      <c r="A39" s="179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" x14ac:dyDescent="0.25">
      <c r="A40" s="179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" x14ac:dyDescent="0.25">
      <c r="A41" s="179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" x14ac:dyDescent="0.25">
      <c r="A42" s="179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" x14ac:dyDescent="0.25">
      <c r="A43" s="178"/>
      <c r="B43" s="178"/>
      <c r="C43" s="178"/>
      <c r="D43" s="178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:A12"/>
    <mergeCell ref="G1:N1"/>
    <mergeCell ref="G2:H2"/>
    <mergeCell ref="I2:J2"/>
    <mergeCell ref="K2:L2"/>
    <mergeCell ref="M2:N2"/>
    <mergeCell ref="A43:D43"/>
    <mergeCell ref="A13:D13"/>
    <mergeCell ref="A14:A22"/>
    <mergeCell ref="A23:D23"/>
    <mergeCell ref="A24:A32"/>
    <mergeCell ref="A33:D33"/>
    <mergeCell ref="A34:A4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62</v>
      </c>
      <c r="D4" s="119">
        <v>6.5</v>
      </c>
      <c r="E4" s="119"/>
      <c r="F4" s="119"/>
      <c r="G4">
        <v>5.0500001758337021E-2</v>
      </c>
      <c r="H4">
        <v>0.11150000244379039</v>
      </c>
      <c r="I4">
        <v>5.8299999684095383E-2</v>
      </c>
      <c r="J4">
        <v>1.449999958276749E-2</v>
      </c>
      <c r="K4">
        <v>0.14869999885559079</v>
      </c>
      <c r="L4">
        <v>0.21979999542236331</v>
      </c>
      <c r="M4">
        <v>6.7800000309944153E-2</v>
      </c>
      <c r="N4">
        <v>0.1146999970078468</v>
      </c>
    </row>
    <row r="5" spans="1:14" ht="15" x14ac:dyDescent="0.25">
      <c r="A5" s="186"/>
      <c r="B5" s="119">
        <f t="shared" ref="B5:B12" si="0">B4+1</f>
        <v>2</v>
      </c>
      <c r="C5" s="120" t="s">
        <v>45</v>
      </c>
      <c r="D5" s="119">
        <v>6.5</v>
      </c>
      <c r="E5" s="119"/>
      <c r="F5" s="119"/>
      <c r="G5">
        <v>8.619999885559082E-2</v>
      </c>
      <c r="H5">
        <v>7.590000331401825E-2</v>
      </c>
      <c r="I5">
        <v>0.1155999973416328</v>
      </c>
      <c r="J5">
        <v>7.1999996900558472E-2</v>
      </c>
      <c r="K5">
        <v>0.13490000367164609</v>
      </c>
      <c r="L5">
        <v>0.28479999303817749</v>
      </c>
      <c r="M5">
        <v>6.6100001335144043E-2</v>
      </c>
      <c r="N5">
        <v>0.1134999990463257</v>
      </c>
    </row>
    <row r="6" spans="1:14" ht="15" x14ac:dyDescent="0.25">
      <c r="A6" s="186"/>
      <c r="B6" s="119">
        <f t="shared" si="0"/>
        <v>3</v>
      </c>
      <c r="C6" s="119" t="s">
        <v>35</v>
      </c>
      <c r="D6" s="119">
        <v>3.5</v>
      </c>
      <c r="E6" s="119"/>
      <c r="F6" s="119"/>
      <c r="G6">
        <v>6.0899998992681503E-2</v>
      </c>
      <c r="H6">
        <v>0.1011999994516373</v>
      </c>
      <c r="I6">
        <v>7.8000001609325409E-2</v>
      </c>
      <c r="J6">
        <v>3.4499999135732651E-2</v>
      </c>
      <c r="K6">
        <v>0.1193000003695488</v>
      </c>
      <c r="L6">
        <v>0.26069998741149902</v>
      </c>
      <c r="M6">
        <v>5.6800000369548798E-2</v>
      </c>
      <c r="N6">
        <v>0.10429999977350229</v>
      </c>
    </row>
    <row r="7" spans="1:14" ht="15" x14ac:dyDescent="0.25">
      <c r="A7" s="186"/>
      <c r="B7" s="119">
        <f t="shared" si="0"/>
        <v>4</v>
      </c>
      <c r="C7" s="119" t="s">
        <v>43</v>
      </c>
      <c r="D7" s="119">
        <v>19</v>
      </c>
      <c r="E7" s="119"/>
      <c r="F7" s="119"/>
      <c r="G7">
        <v>6.1799999326467507E-2</v>
      </c>
      <c r="H7">
        <v>0.1002999991178513</v>
      </c>
      <c r="I7">
        <v>8.1799998879432678E-2</v>
      </c>
      <c r="J7">
        <v>3.840000182390213E-2</v>
      </c>
      <c r="K7">
        <v>0.2113000005483627</v>
      </c>
      <c r="L7">
        <v>0.39440000057220459</v>
      </c>
      <c r="M7">
        <v>7.0799998939037323E-2</v>
      </c>
      <c r="N7">
        <v>0.1180000007152557</v>
      </c>
    </row>
    <row r="8" spans="1:14" ht="15" x14ac:dyDescent="0.25">
      <c r="A8" s="186"/>
      <c r="B8" s="119">
        <f t="shared" si="0"/>
        <v>5</v>
      </c>
      <c r="C8" s="119" t="s">
        <v>20</v>
      </c>
      <c r="D8" s="119">
        <v>5.5</v>
      </c>
      <c r="E8" s="119"/>
      <c r="F8" s="119"/>
      <c r="G8">
        <v>6.1000000685453408E-2</v>
      </c>
      <c r="H8">
        <v>0.10130000114440919</v>
      </c>
      <c r="I8">
        <v>6.9399997591972351E-2</v>
      </c>
      <c r="J8">
        <v>2.569999918341637E-2</v>
      </c>
      <c r="K8">
        <v>0.119499996304512</v>
      </c>
      <c r="L8">
        <v>0.29670000076293951</v>
      </c>
      <c r="M8">
        <v>5.0299998372793198E-2</v>
      </c>
      <c r="N8">
        <v>9.7499996423721313E-2</v>
      </c>
    </row>
    <row r="9" spans="1:14" ht="15" x14ac:dyDescent="0.25">
      <c r="A9" s="186"/>
      <c r="B9" s="119">
        <f t="shared" si="0"/>
        <v>6</v>
      </c>
      <c r="C9" s="119" t="s">
        <v>77</v>
      </c>
      <c r="D9" s="119">
        <v>5</v>
      </c>
      <c r="E9" s="119"/>
      <c r="F9" s="119"/>
      <c r="G9">
        <v>8.8100001215934753E-2</v>
      </c>
      <c r="H9">
        <v>7.4000000953674316E-2</v>
      </c>
      <c r="I9">
        <v>0.1098999977111816</v>
      </c>
      <c r="J9">
        <v>6.6100001335144043E-2</v>
      </c>
      <c r="K9">
        <v>0.122699998319149</v>
      </c>
      <c r="L9">
        <v>0.31850001215934748</v>
      </c>
      <c r="M9">
        <v>3.5599999129772193E-2</v>
      </c>
      <c r="N9">
        <v>8.2699999213218689E-2</v>
      </c>
    </row>
    <row r="10" spans="1:14" ht="15" x14ac:dyDescent="0.25">
      <c r="A10" s="186"/>
      <c r="B10" s="119">
        <f t="shared" si="0"/>
        <v>7</v>
      </c>
      <c r="C10" s="119" t="s">
        <v>18</v>
      </c>
      <c r="D10" s="119">
        <v>12</v>
      </c>
      <c r="E10" s="119"/>
      <c r="F10" s="119"/>
      <c r="G10">
        <v>7.1500003337860107E-2</v>
      </c>
      <c r="H10">
        <v>9.0499997138977051E-2</v>
      </c>
      <c r="I10">
        <v>8.5600003600120544E-2</v>
      </c>
      <c r="J10">
        <v>4.179999977350235E-2</v>
      </c>
      <c r="K10">
        <v>0.19429999589920041</v>
      </c>
      <c r="L10">
        <v>0.38679999113082891</v>
      </c>
      <c r="M10">
        <v>4.439999908208847E-2</v>
      </c>
      <c r="N10">
        <v>9.1399997472763062E-2</v>
      </c>
    </row>
    <row r="11" spans="1:14" ht="15" x14ac:dyDescent="0.25">
      <c r="A11" s="186"/>
      <c r="B11" s="119">
        <f t="shared" si="0"/>
        <v>8</v>
      </c>
      <c r="C11" s="119" t="s">
        <v>35</v>
      </c>
      <c r="D11" s="119">
        <v>8</v>
      </c>
      <c r="E11" s="119"/>
      <c r="F11" s="119"/>
      <c r="G11">
        <v>0.12780000269412989</v>
      </c>
      <c r="H11">
        <v>3.4299999475479133E-2</v>
      </c>
      <c r="I11">
        <v>0.1669999957084656</v>
      </c>
      <c r="J11">
        <v>0.1233000010251999</v>
      </c>
      <c r="K11">
        <v>0.16899999976158139</v>
      </c>
      <c r="L11">
        <v>0.37509998679161072</v>
      </c>
      <c r="M11">
        <v>1.9200000911951069E-2</v>
      </c>
      <c r="N11">
        <v>6.5700002014636993E-2</v>
      </c>
    </row>
    <row r="12" spans="1:14" ht="15" x14ac:dyDescent="0.25">
      <c r="A12" s="186"/>
      <c r="B12" s="119">
        <f t="shared" si="0"/>
        <v>9</v>
      </c>
      <c r="C12" s="119" t="s">
        <v>55</v>
      </c>
      <c r="D12" s="119">
        <v>11</v>
      </c>
      <c r="E12" s="119"/>
      <c r="F12" s="119"/>
      <c r="G12">
        <v>9.4700001180171967E-2</v>
      </c>
      <c r="H12">
        <v>6.7400000989437103E-2</v>
      </c>
      <c r="I12">
        <v>0.1164999976754189</v>
      </c>
      <c r="J12">
        <v>7.2700001299381256E-2</v>
      </c>
      <c r="K12">
        <v>0.12649999558925629</v>
      </c>
      <c r="L12">
        <v>0.30149999260902399</v>
      </c>
      <c r="M12">
        <v>2.7699999511241909E-2</v>
      </c>
      <c r="N12">
        <v>7.4000000953674316E-2</v>
      </c>
    </row>
    <row r="13" spans="1:14" ht="15" x14ac:dyDescent="0.25">
      <c r="A13" s="187"/>
      <c r="B13" s="187"/>
      <c r="C13" s="187"/>
      <c r="D13" s="187"/>
      <c r="E13" s="121" t="s">
        <v>153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103</v>
      </c>
      <c r="D14" s="119">
        <v>47</v>
      </c>
      <c r="E14" s="119"/>
      <c r="F14" s="119"/>
      <c r="G14">
        <v>1.080000028014183E-2</v>
      </c>
      <c r="H14">
        <v>0.15139999985694891</v>
      </c>
      <c r="I14">
        <v>1.5699999406933781E-2</v>
      </c>
      <c r="J14">
        <v>2.9500000178813931E-2</v>
      </c>
      <c r="K14">
        <v>0.2233999967575073</v>
      </c>
      <c r="L14">
        <v>0.43299999833106989</v>
      </c>
      <c r="M14">
        <v>2.370000071823597E-2</v>
      </c>
      <c r="N14">
        <v>6.5700002014636993E-2</v>
      </c>
    </row>
    <row r="15" spans="1:14" ht="15" x14ac:dyDescent="0.25">
      <c r="A15" s="186"/>
      <c r="B15" s="119">
        <f t="shared" ref="B15:B22" si="1">B14+1</f>
        <v>11</v>
      </c>
      <c r="C15" s="119" t="s">
        <v>27</v>
      </c>
      <c r="D15" s="119">
        <v>12.5</v>
      </c>
      <c r="E15" s="119"/>
      <c r="F15" s="119"/>
      <c r="G15">
        <v>1.6899999231100079E-2</v>
      </c>
      <c r="H15">
        <v>0.14509999752044681</v>
      </c>
      <c r="I15">
        <v>2.070000022649765E-2</v>
      </c>
      <c r="J15">
        <v>2.3600000888109211E-2</v>
      </c>
      <c r="K15">
        <v>0.13259999454021451</v>
      </c>
      <c r="L15">
        <v>0.33919999003410339</v>
      </c>
      <c r="M15">
        <v>2.27000005543232E-2</v>
      </c>
      <c r="N15">
        <v>6.7800000309944153E-2</v>
      </c>
    </row>
    <row r="16" spans="1:14" ht="15" x14ac:dyDescent="0.25">
      <c r="A16" s="186"/>
      <c r="B16" s="119">
        <f t="shared" si="1"/>
        <v>12</v>
      </c>
      <c r="C16" s="119" t="s">
        <v>89</v>
      </c>
      <c r="D16" s="119">
        <v>14.5</v>
      </c>
      <c r="E16" s="119"/>
      <c r="F16" s="119"/>
      <c r="G16">
        <v>7.2800002992153168E-2</v>
      </c>
      <c r="H16">
        <v>8.9299999177455902E-2</v>
      </c>
      <c r="I16">
        <v>8.8699996471405029E-2</v>
      </c>
      <c r="J16">
        <v>4.4900000095367432E-2</v>
      </c>
      <c r="K16">
        <v>0.11519999802112579</v>
      </c>
      <c r="L16">
        <v>0.31360000371932978</v>
      </c>
      <c r="M16">
        <v>1.169999968260527E-2</v>
      </c>
      <c r="N16">
        <v>4.7200001776218407E-2</v>
      </c>
    </row>
    <row r="17" spans="1:14" ht="15" x14ac:dyDescent="0.25">
      <c r="A17" s="186"/>
      <c r="B17" s="119">
        <f t="shared" si="1"/>
        <v>13</v>
      </c>
      <c r="C17" s="119" t="s">
        <v>80</v>
      </c>
      <c r="D17" s="119">
        <v>9</v>
      </c>
      <c r="E17" s="119"/>
      <c r="F17" s="119"/>
      <c r="G17">
        <v>8.489999920129776E-2</v>
      </c>
      <c r="H17">
        <v>7.720000296831131E-2</v>
      </c>
      <c r="I17">
        <v>9.4200000166893005E-2</v>
      </c>
      <c r="J17">
        <v>5.0400000065565109E-2</v>
      </c>
      <c r="K17">
        <v>0.1561000049114227</v>
      </c>
      <c r="L17">
        <v>0.37389999628067022</v>
      </c>
      <c r="M17">
        <v>1.5399999916553501E-2</v>
      </c>
      <c r="N17">
        <v>5.9000000357627869E-2</v>
      </c>
    </row>
    <row r="18" spans="1:14" ht="15" x14ac:dyDescent="0.25">
      <c r="A18" s="186"/>
      <c r="B18" s="119">
        <f t="shared" si="1"/>
        <v>14</v>
      </c>
      <c r="C18" s="119" t="s">
        <v>96</v>
      </c>
      <c r="D18" s="119">
        <v>10</v>
      </c>
      <c r="E18" s="119"/>
      <c r="F18" s="119"/>
      <c r="G18">
        <v>0.1061000004410744</v>
      </c>
      <c r="H18">
        <v>5.6099999696016312E-2</v>
      </c>
      <c r="I18">
        <v>0.1067999973893166</v>
      </c>
      <c r="J18">
        <v>6.3400000333786011E-2</v>
      </c>
      <c r="K18">
        <v>0.16740000247955319</v>
      </c>
      <c r="L18">
        <v>0.40970000624656677</v>
      </c>
      <c r="M18">
        <v>4.4500000774860382E-2</v>
      </c>
      <c r="N18">
        <v>2.60000005364418E-2</v>
      </c>
    </row>
    <row r="19" spans="1:14" ht="15" x14ac:dyDescent="0.25">
      <c r="A19" s="186"/>
      <c r="B19" s="119">
        <f t="shared" si="1"/>
        <v>15</v>
      </c>
      <c r="C19" s="119" t="s">
        <v>48</v>
      </c>
      <c r="D19" s="119">
        <v>1</v>
      </c>
      <c r="E19" s="119"/>
      <c r="F19" s="119"/>
      <c r="G19">
        <v>6.7800000309944153E-2</v>
      </c>
      <c r="H19">
        <v>9.4300001859664917E-2</v>
      </c>
      <c r="I19">
        <v>7.590000331401825E-2</v>
      </c>
      <c r="J19">
        <v>3.2000001519918442E-2</v>
      </c>
      <c r="K19">
        <v>0.19879999756813049</v>
      </c>
      <c r="L19">
        <v>0.4357999861240387</v>
      </c>
      <c r="M19">
        <v>5.8899998664855957E-2</v>
      </c>
      <c r="N19">
        <v>3.2999999821186073E-2</v>
      </c>
    </row>
    <row r="20" spans="1:14" ht="15" x14ac:dyDescent="0.25">
      <c r="A20" s="186"/>
      <c r="B20" s="119">
        <f t="shared" si="1"/>
        <v>16</v>
      </c>
      <c r="C20" s="119" t="s">
        <v>19</v>
      </c>
      <c r="D20" s="119">
        <v>12.5</v>
      </c>
      <c r="E20" s="119"/>
      <c r="F20" s="119"/>
      <c r="G20">
        <v>5.2499998360872269E-2</v>
      </c>
      <c r="H20">
        <v>0.1094999983906746</v>
      </c>
      <c r="I20">
        <v>6.3100002706050873E-2</v>
      </c>
      <c r="J20">
        <v>1.9300000742077831E-2</v>
      </c>
      <c r="K20">
        <v>0.1358000040054321</v>
      </c>
      <c r="L20">
        <v>0.36550000309944147</v>
      </c>
      <c r="M20">
        <v>2.0500000566244129E-2</v>
      </c>
      <c r="N20">
        <v>4.4700000435113907E-2</v>
      </c>
    </row>
    <row r="21" spans="1:14" ht="15" x14ac:dyDescent="0.25">
      <c r="A21" s="186"/>
      <c r="B21" s="119">
        <f t="shared" si="1"/>
        <v>17</v>
      </c>
      <c r="C21" s="119" t="s">
        <v>24</v>
      </c>
      <c r="D21" s="119">
        <v>6</v>
      </c>
      <c r="E21" s="119"/>
      <c r="F21" s="119"/>
      <c r="G21">
        <v>7.9599998891353607E-2</v>
      </c>
      <c r="H21">
        <v>8.2500003278255463E-2</v>
      </c>
      <c r="I21">
        <v>8.789999783039093E-2</v>
      </c>
      <c r="J21">
        <v>4.4100001454353333E-2</v>
      </c>
      <c r="K21">
        <v>0.14149999618530271</v>
      </c>
      <c r="L21">
        <v>0.37259998917579651</v>
      </c>
      <c r="M21">
        <v>3.5799998790025711E-2</v>
      </c>
      <c r="N21">
        <v>2.8899999335408211E-2</v>
      </c>
    </row>
    <row r="22" spans="1:14" ht="15" x14ac:dyDescent="0.25">
      <c r="A22" s="186"/>
      <c r="B22" s="119">
        <f t="shared" si="1"/>
        <v>18</v>
      </c>
      <c r="C22" s="119" t="s">
        <v>24</v>
      </c>
      <c r="D22" s="119">
        <v>4</v>
      </c>
      <c r="E22" s="119"/>
      <c r="F22" s="119"/>
      <c r="G22">
        <v>4.6900000423192978E-2</v>
      </c>
      <c r="H22">
        <v>0.11529999971389771</v>
      </c>
      <c r="I22">
        <v>4.9699999392032623E-2</v>
      </c>
      <c r="J22">
        <v>5.9000002220273018E-3</v>
      </c>
      <c r="K22">
        <v>0.12530000507831571</v>
      </c>
      <c r="L22">
        <v>0.34970000386238098</v>
      </c>
      <c r="M22">
        <v>2.3299999535083771E-2</v>
      </c>
      <c r="N22">
        <v>5.820000171661377E-2</v>
      </c>
    </row>
    <row r="23" spans="1:14" ht="15" x14ac:dyDescent="0.25">
      <c r="A23" s="187"/>
      <c r="B23" s="187"/>
      <c r="C23" s="187"/>
      <c r="D23" s="187"/>
      <c r="E23" s="121" t="s">
        <v>154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54</v>
      </c>
      <c r="D24" s="119">
        <v>9</v>
      </c>
      <c r="E24" s="119"/>
      <c r="F24" s="119"/>
      <c r="G24">
        <v>1.099999994039536E-2</v>
      </c>
      <c r="H24">
        <v>0.15109999477863309</v>
      </c>
      <c r="I24">
        <v>2.4499999359250069E-2</v>
      </c>
      <c r="J24">
        <v>2.339999936521053E-2</v>
      </c>
      <c r="K24">
        <v>0.2072000056505203</v>
      </c>
      <c r="L24">
        <v>0.40529999136924738</v>
      </c>
      <c r="M24">
        <v>1.7999999225139621E-2</v>
      </c>
      <c r="N24">
        <v>6.5300002694129944E-2</v>
      </c>
    </row>
    <row r="25" spans="1:14" ht="15" x14ac:dyDescent="0.25">
      <c r="A25" s="186"/>
      <c r="B25" s="119">
        <f t="shared" ref="B25:B32" si="2">B24+1</f>
        <v>20</v>
      </c>
      <c r="C25" s="119" t="s">
        <v>70</v>
      </c>
      <c r="D25" s="119">
        <v>4.5</v>
      </c>
      <c r="E25" s="119"/>
      <c r="F25" s="119"/>
      <c r="G25">
        <v>8.6300000548362732E-2</v>
      </c>
      <c r="H25">
        <v>7.590000331401825E-2</v>
      </c>
      <c r="I25">
        <v>9.1200001537799835E-2</v>
      </c>
      <c r="J25">
        <v>4.7499999403953552E-2</v>
      </c>
      <c r="K25">
        <v>0.18299999833106989</v>
      </c>
      <c r="L25">
        <v>0.40779998898506159</v>
      </c>
      <c r="M25">
        <v>3.1300000846385963E-2</v>
      </c>
      <c r="N25">
        <v>3.4499999135732651E-2</v>
      </c>
    </row>
    <row r="26" spans="1:14" ht="15" x14ac:dyDescent="0.25">
      <c r="A26" s="186"/>
      <c r="B26" s="119">
        <f t="shared" si="2"/>
        <v>21</v>
      </c>
      <c r="C26" s="119" t="s">
        <v>151</v>
      </c>
      <c r="D26" s="119">
        <v>16.5</v>
      </c>
      <c r="E26" s="119"/>
      <c r="F26" s="119"/>
      <c r="G26">
        <v>7.5300000607967377E-2</v>
      </c>
      <c r="H26">
        <v>8.6699999868869781E-2</v>
      </c>
      <c r="I26">
        <v>9.3900002539157867E-2</v>
      </c>
      <c r="J26">
        <v>5.0099998712539673E-2</v>
      </c>
      <c r="K26">
        <v>0.1988999992609024</v>
      </c>
      <c r="L26">
        <v>0.42429998517036438</v>
      </c>
      <c r="M26">
        <v>3.9299998432397842E-2</v>
      </c>
      <c r="N26">
        <v>3.4400001168251038E-2</v>
      </c>
    </row>
    <row r="27" spans="1:14" ht="15" x14ac:dyDescent="0.25">
      <c r="A27" s="186"/>
      <c r="B27" s="119">
        <f t="shared" si="2"/>
        <v>22</v>
      </c>
      <c r="C27" s="119" t="s">
        <v>15</v>
      </c>
      <c r="D27" s="119">
        <v>2</v>
      </c>
      <c r="E27" s="119"/>
      <c r="F27" s="119"/>
      <c r="G27">
        <v>7.2099998593330383E-2</v>
      </c>
      <c r="H27">
        <v>9.0000003576278687E-2</v>
      </c>
      <c r="I27">
        <v>9.3099996447563171E-2</v>
      </c>
      <c r="J27">
        <v>4.9499999731779099E-2</v>
      </c>
      <c r="K27">
        <v>0.18469999730587011</v>
      </c>
      <c r="L27">
        <v>0.39160001277923578</v>
      </c>
      <c r="M27">
        <v>1.8500000238418579E-2</v>
      </c>
      <c r="N27">
        <v>6.589999794960022E-2</v>
      </c>
    </row>
    <row r="28" spans="1:14" ht="15" x14ac:dyDescent="0.25">
      <c r="A28" s="186"/>
      <c r="B28" s="119">
        <f t="shared" si="2"/>
        <v>23</v>
      </c>
      <c r="C28" s="119" t="s">
        <v>93</v>
      </c>
      <c r="D28" s="119">
        <v>9.5</v>
      </c>
      <c r="E28" s="119"/>
      <c r="F28" s="119"/>
      <c r="G28">
        <v>8.4100000560283661E-2</v>
      </c>
      <c r="H28">
        <v>7.8100003302097321E-2</v>
      </c>
      <c r="I28">
        <v>0.10939999669790269</v>
      </c>
      <c r="J28">
        <v>6.5800003707408905E-2</v>
      </c>
      <c r="K28">
        <v>0.19589999318122861</v>
      </c>
      <c r="L28">
        <v>0.43790000677108759</v>
      </c>
      <c r="M28">
        <v>6.4800001680850983E-2</v>
      </c>
      <c r="N28">
        <v>3.3500000834465027E-2</v>
      </c>
    </row>
    <row r="29" spans="1:14" ht="15" x14ac:dyDescent="0.25">
      <c r="A29" s="186"/>
      <c r="B29" s="119">
        <f t="shared" si="2"/>
        <v>24</v>
      </c>
      <c r="C29" s="119" t="s">
        <v>70</v>
      </c>
      <c r="D29" s="119">
        <v>4.5</v>
      </c>
      <c r="E29" s="119"/>
      <c r="F29" s="119"/>
      <c r="G29">
        <v>9.7099997103214264E-2</v>
      </c>
      <c r="H29">
        <v>6.4999997615814209E-2</v>
      </c>
      <c r="I29">
        <v>0.12780000269412989</v>
      </c>
      <c r="J29">
        <v>8.4100000560283661E-2</v>
      </c>
      <c r="K29">
        <v>0.15860000252723691</v>
      </c>
      <c r="L29">
        <v>0.39280000329017639</v>
      </c>
      <c r="M29">
        <v>4.6599999070167542E-2</v>
      </c>
      <c r="N29">
        <v>3.3399999141693122E-2</v>
      </c>
    </row>
    <row r="30" spans="1:14" ht="15" x14ac:dyDescent="0.25">
      <c r="A30" s="186"/>
      <c r="B30" s="119">
        <f t="shared" si="2"/>
        <v>25</v>
      </c>
      <c r="C30" s="119" t="s">
        <v>155</v>
      </c>
      <c r="D30" s="119">
        <v>16.5</v>
      </c>
      <c r="E30" s="119"/>
      <c r="F30" s="119"/>
      <c r="G30">
        <v>6.2700003385543823E-2</v>
      </c>
      <c r="H30">
        <v>9.9399998784065247E-2</v>
      </c>
      <c r="I30">
        <v>7.8299999237060547E-2</v>
      </c>
      <c r="J30">
        <v>3.4699998795986182E-2</v>
      </c>
      <c r="K30">
        <v>0.30340000987052917</v>
      </c>
      <c r="L30">
        <v>0.51130002737045288</v>
      </c>
      <c r="M30">
        <v>9.3999998643994331E-3</v>
      </c>
      <c r="N30">
        <v>5.2400000393390662E-2</v>
      </c>
    </row>
    <row r="31" spans="1:14" ht="15" x14ac:dyDescent="0.25">
      <c r="A31" s="186"/>
      <c r="B31" s="119">
        <f t="shared" si="2"/>
        <v>26</v>
      </c>
      <c r="C31" s="119" t="s">
        <v>19</v>
      </c>
      <c r="D31" s="119">
        <v>14</v>
      </c>
      <c r="E31" s="119"/>
      <c r="F31" s="119"/>
      <c r="G31">
        <v>0.1102000027894974</v>
      </c>
      <c r="H31">
        <v>5.1899999380111687E-2</v>
      </c>
      <c r="I31">
        <v>0.1141000017523766</v>
      </c>
      <c r="J31">
        <v>7.0600003004074097E-2</v>
      </c>
      <c r="K31">
        <v>0.164000004529953</v>
      </c>
      <c r="L31">
        <v>0.4000999927520752</v>
      </c>
      <c r="M31">
        <v>5.130000039935112E-2</v>
      </c>
      <c r="N31">
        <v>3.2000001519918442E-2</v>
      </c>
    </row>
    <row r="32" spans="1:14" ht="15" x14ac:dyDescent="0.25">
      <c r="A32" s="186"/>
      <c r="B32" s="119">
        <f t="shared" si="2"/>
        <v>27</v>
      </c>
      <c r="C32" s="119" t="s">
        <v>77</v>
      </c>
      <c r="D32" s="119">
        <v>3</v>
      </c>
      <c r="E32" s="119"/>
      <c r="F32" s="119"/>
      <c r="G32">
        <v>9.3500003218650818E-2</v>
      </c>
      <c r="H32">
        <v>6.8599998950958252E-2</v>
      </c>
      <c r="I32">
        <v>0.1076000034809113</v>
      </c>
      <c r="J32">
        <v>6.3699997961521149E-2</v>
      </c>
      <c r="K32">
        <v>0.1063999980688095</v>
      </c>
      <c r="L32">
        <v>0.27489998936653143</v>
      </c>
      <c r="M32">
        <v>1.510000042617321E-2</v>
      </c>
      <c r="N32">
        <v>6.2399998307228088E-2</v>
      </c>
    </row>
    <row r="33" spans="1:14" ht="15" x14ac:dyDescent="0.25">
      <c r="A33" s="187"/>
      <c r="B33" s="187"/>
      <c r="C33" s="187"/>
      <c r="D33" s="187"/>
      <c r="E33" s="121" t="s">
        <v>156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46</v>
      </c>
      <c r="D34" s="119">
        <v>10.5</v>
      </c>
      <c r="E34" s="119"/>
      <c r="F34" s="119"/>
      <c r="G34">
        <v>3.5900000482797623E-2</v>
      </c>
      <c r="H34">
        <v>0.12610000371932981</v>
      </c>
      <c r="I34">
        <v>5.4200001060962677E-2</v>
      </c>
      <c r="J34">
        <v>1.27999996766448E-2</v>
      </c>
      <c r="K34">
        <v>0.33619999885559082</v>
      </c>
      <c r="L34">
        <v>0.53460001945495605</v>
      </c>
      <c r="M34">
        <v>4.5200001448392868E-2</v>
      </c>
      <c r="N34">
        <v>9.1899998486042023E-2</v>
      </c>
    </row>
    <row r="35" spans="1:14" ht="15" x14ac:dyDescent="0.25">
      <c r="A35" s="186"/>
      <c r="B35" s="119">
        <f t="shared" ref="B35:B42" si="3">B34+1</f>
        <v>29</v>
      </c>
      <c r="C35" s="119" t="s">
        <v>37</v>
      </c>
      <c r="D35" s="119">
        <v>9</v>
      </c>
      <c r="E35" s="119"/>
      <c r="F35" s="119"/>
      <c r="G35">
        <v>4.4700000435113907E-2</v>
      </c>
      <c r="H35">
        <v>0.11729999631643299</v>
      </c>
      <c r="I35">
        <v>6.849999725818634E-2</v>
      </c>
      <c r="J35">
        <v>2.6200000196695331E-2</v>
      </c>
      <c r="K35">
        <v>0.1503999978303909</v>
      </c>
      <c r="L35">
        <v>0.31180000305175781</v>
      </c>
      <c r="M35">
        <v>2.6799999177455899E-2</v>
      </c>
      <c r="N35">
        <v>7.1099996566772461E-2</v>
      </c>
    </row>
    <row r="36" spans="1:14" ht="15" x14ac:dyDescent="0.25">
      <c r="A36" s="186"/>
      <c r="B36" s="119">
        <f t="shared" si="3"/>
        <v>30</v>
      </c>
      <c r="C36" s="119" t="s">
        <v>18</v>
      </c>
      <c r="D36" s="119">
        <v>14</v>
      </c>
      <c r="E36" s="119"/>
      <c r="F36" s="119"/>
      <c r="G36">
        <v>5.6200001388788223E-2</v>
      </c>
      <c r="H36">
        <v>0.10589999705553051</v>
      </c>
      <c r="I36">
        <v>7.0100001990795135E-2</v>
      </c>
      <c r="J36">
        <v>2.6499999687075611E-2</v>
      </c>
      <c r="K36">
        <v>0.24889999628067019</v>
      </c>
      <c r="L36">
        <v>0.45339998602867132</v>
      </c>
      <c r="M36">
        <v>1.3700000010430809E-2</v>
      </c>
      <c r="N36">
        <v>5.469999834895134E-2</v>
      </c>
    </row>
    <row r="37" spans="1:14" ht="15" x14ac:dyDescent="0.25">
      <c r="A37" s="186"/>
      <c r="B37" s="119">
        <f t="shared" si="3"/>
        <v>31</v>
      </c>
      <c r="C37" s="119" t="s">
        <v>36</v>
      </c>
      <c r="D37" s="119">
        <v>6</v>
      </c>
      <c r="E37" s="119"/>
      <c r="F37" s="119"/>
      <c r="G37">
        <v>6.1799999326467507E-2</v>
      </c>
      <c r="H37">
        <v>0.10069999843835831</v>
      </c>
      <c r="I37">
        <v>8.2199998199939728E-2</v>
      </c>
      <c r="J37">
        <v>3.9200000464916229E-2</v>
      </c>
      <c r="K37">
        <v>0.13099999725818631</v>
      </c>
      <c r="L37">
        <v>0.30219998955726618</v>
      </c>
      <c r="M37">
        <v>3.1700000166893012E-2</v>
      </c>
      <c r="N37">
        <v>7.8100003302097321E-2</v>
      </c>
    </row>
    <row r="38" spans="1:14" ht="15" x14ac:dyDescent="0.25">
      <c r="A38" s="186"/>
      <c r="B38" s="119">
        <f t="shared" si="3"/>
        <v>32</v>
      </c>
      <c r="C38" s="119" t="s">
        <v>24</v>
      </c>
      <c r="D38" s="119">
        <v>7.5</v>
      </c>
      <c r="E38" s="119"/>
      <c r="F38" s="119"/>
      <c r="G38">
        <v>7.4600003659725189E-2</v>
      </c>
      <c r="H38">
        <v>8.7600000202655792E-2</v>
      </c>
      <c r="I38">
        <v>8.7399996817111969E-2</v>
      </c>
      <c r="J38">
        <v>4.3600000441074371E-2</v>
      </c>
      <c r="K38">
        <v>0.1336999982595444</v>
      </c>
      <c r="L38">
        <v>0.31000000238418579</v>
      </c>
      <c r="M38">
        <v>3.5900000482797623E-2</v>
      </c>
      <c r="N38">
        <v>8.3300001919269562E-2</v>
      </c>
    </row>
    <row r="39" spans="1:14" ht="15" x14ac:dyDescent="0.25">
      <c r="A39" s="186"/>
      <c r="B39" s="119">
        <f t="shared" si="3"/>
        <v>33</v>
      </c>
      <c r="C39" s="119" t="s">
        <v>36</v>
      </c>
      <c r="D39" s="119">
        <v>7.5</v>
      </c>
      <c r="E39" s="119"/>
      <c r="F39" s="119"/>
      <c r="G39">
        <v>7.4199996888637543E-2</v>
      </c>
      <c r="H39">
        <v>8.8600002229213715E-2</v>
      </c>
      <c r="I39">
        <v>7.2700001299381256E-2</v>
      </c>
      <c r="J39">
        <v>2.899999916553497E-2</v>
      </c>
      <c r="K39">
        <v>0.11739999800920491</v>
      </c>
      <c r="L39">
        <v>0.28069999814033508</v>
      </c>
      <c r="M39">
        <v>3.0400000512599949E-2</v>
      </c>
      <c r="N39">
        <v>7.7699996531009674E-2</v>
      </c>
    </row>
    <row r="40" spans="1:14" ht="15" x14ac:dyDescent="0.25">
      <c r="A40" s="186"/>
      <c r="B40" s="119">
        <f t="shared" si="3"/>
        <v>34</v>
      </c>
      <c r="C40" s="119" t="s">
        <v>17</v>
      </c>
      <c r="D40" s="119">
        <v>9</v>
      </c>
      <c r="E40" s="122"/>
      <c r="F40" s="122"/>
      <c r="G40">
        <v>3.4800000488758087E-2</v>
      </c>
      <c r="H40">
        <v>0.12759999930858609</v>
      </c>
      <c r="I40">
        <v>4.9800001084804528E-2</v>
      </c>
      <c r="J40">
        <v>1.150000002235174E-2</v>
      </c>
      <c r="K40">
        <v>0.1827999949455261</v>
      </c>
      <c r="L40">
        <v>0.37580001354217529</v>
      </c>
      <c r="M40">
        <v>3.1500000506639481E-2</v>
      </c>
      <c r="N40">
        <v>7.890000194311142E-2</v>
      </c>
    </row>
    <row r="41" spans="1:14" ht="15" x14ac:dyDescent="0.25">
      <c r="A41" s="186"/>
      <c r="B41" s="119">
        <f t="shared" si="3"/>
        <v>35</v>
      </c>
      <c r="C41" s="119" t="s">
        <v>37</v>
      </c>
      <c r="D41" s="119">
        <v>5.5</v>
      </c>
      <c r="E41" s="122"/>
      <c r="F41" s="122"/>
      <c r="G41">
        <v>2.2500000894069672E-2</v>
      </c>
      <c r="H41">
        <v>0.1395999938249588</v>
      </c>
      <c r="I41">
        <v>1.9899999722838398E-2</v>
      </c>
      <c r="J41">
        <v>2.4199999868869781E-2</v>
      </c>
      <c r="K41">
        <v>0.1009000018239021</v>
      </c>
      <c r="L41">
        <v>0.28850001096725458</v>
      </c>
      <c r="M41">
        <v>1.2299999594688421E-2</v>
      </c>
      <c r="N41">
        <v>4.2199999094009399E-2</v>
      </c>
    </row>
    <row r="42" spans="1:14" ht="15" x14ac:dyDescent="0.25">
      <c r="A42" s="186"/>
      <c r="B42" s="123">
        <f t="shared" si="3"/>
        <v>36</v>
      </c>
      <c r="C42" s="123" t="s">
        <v>80</v>
      </c>
      <c r="D42" s="123">
        <v>7</v>
      </c>
      <c r="E42" s="124"/>
      <c r="F42" s="124"/>
      <c r="G42">
        <v>4.7499999403953552E-2</v>
      </c>
      <c r="H42">
        <v>0.1150999963283539</v>
      </c>
      <c r="I42">
        <v>6.7800000309944153E-2</v>
      </c>
      <c r="J42">
        <v>2.6399999856948849E-2</v>
      </c>
      <c r="K42">
        <v>0.12530000507831571</v>
      </c>
      <c r="L42">
        <v>0.27860000729560852</v>
      </c>
      <c r="M42">
        <v>1.2900000438094141E-2</v>
      </c>
      <c r="N42">
        <v>5.950000137090683E-2</v>
      </c>
    </row>
    <row r="43" spans="1:14" ht="15" x14ac:dyDescent="0.25">
      <c r="A43" s="187"/>
      <c r="B43" s="187"/>
      <c r="C43" s="187"/>
      <c r="D43" s="187"/>
      <c r="E43" s="121" t="s">
        <v>157</v>
      </c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38</v>
      </c>
      <c r="D4" s="119">
        <v>8</v>
      </c>
      <c r="E4" s="119"/>
      <c r="F4" s="119"/>
      <c r="G4">
        <v>8.2400001585483551E-2</v>
      </c>
      <c r="H4">
        <v>7.9700000584125519E-2</v>
      </c>
      <c r="I4">
        <v>0.12110000103712081</v>
      </c>
      <c r="J4">
        <v>7.7699996531009674E-2</v>
      </c>
      <c r="K4">
        <v>0.12960000336170199</v>
      </c>
      <c r="L4">
        <v>0.28630000352859503</v>
      </c>
      <c r="M4">
        <v>4.9800001084804528E-2</v>
      </c>
      <c r="N4">
        <v>9.7099997103214264E-2</v>
      </c>
    </row>
    <row r="5" spans="1:14" ht="15" x14ac:dyDescent="0.25">
      <c r="A5" s="186"/>
      <c r="B5" s="119">
        <f t="shared" ref="B5:B12" si="0">B4+1</f>
        <v>2</v>
      </c>
      <c r="C5" s="120" t="s">
        <v>55</v>
      </c>
      <c r="D5" s="119">
        <v>13</v>
      </c>
      <c r="E5" s="119"/>
      <c r="F5" s="119"/>
      <c r="G5">
        <v>8.0799996852874756E-2</v>
      </c>
      <c r="H5">
        <v>8.1600002944469452E-2</v>
      </c>
      <c r="I5">
        <v>0.13560000061988831</v>
      </c>
      <c r="J5">
        <v>9.2600002884864807E-2</v>
      </c>
      <c r="K5">
        <v>0.15680000185966489</v>
      </c>
      <c r="L5">
        <v>0.26170000433921808</v>
      </c>
      <c r="M5">
        <v>6.4599998295307159E-2</v>
      </c>
      <c r="N5">
        <v>0.1118000000715256</v>
      </c>
    </row>
    <row r="6" spans="1:14" ht="15" x14ac:dyDescent="0.25">
      <c r="A6" s="186"/>
      <c r="B6" s="119">
        <f t="shared" si="0"/>
        <v>3</v>
      </c>
      <c r="C6" s="119" t="s">
        <v>148</v>
      </c>
      <c r="D6" s="119">
        <v>10</v>
      </c>
      <c r="E6" s="119"/>
      <c r="F6" s="119"/>
      <c r="G6">
        <v>0.1225000023841858</v>
      </c>
      <c r="H6">
        <v>3.970000147819519E-2</v>
      </c>
      <c r="I6">
        <v>0.18899999558925629</v>
      </c>
      <c r="J6">
        <v>0.14569999277591711</v>
      </c>
      <c r="K6">
        <v>0.14300000667572019</v>
      </c>
      <c r="L6">
        <v>0.25900000333786011</v>
      </c>
      <c r="M6">
        <v>4.0600001811981201E-2</v>
      </c>
      <c r="N6">
        <v>8.8100001215934753E-2</v>
      </c>
    </row>
    <row r="7" spans="1:14" ht="15" x14ac:dyDescent="0.25">
      <c r="A7" s="186"/>
      <c r="B7" s="119">
        <f t="shared" si="0"/>
        <v>4</v>
      </c>
      <c r="C7" s="119" t="s">
        <v>76</v>
      </c>
      <c r="D7" s="119">
        <v>12</v>
      </c>
      <c r="E7" s="119"/>
      <c r="F7" s="119"/>
      <c r="G7">
        <v>0.1149000003933907</v>
      </c>
      <c r="H7">
        <v>4.7100000083446503E-2</v>
      </c>
      <c r="I7">
        <v>0.1524000018835068</v>
      </c>
      <c r="J7">
        <v>0.10869999974966051</v>
      </c>
      <c r="K7">
        <v>0.1447000056505203</v>
      </c>
      <c r="L7">
        <v>0.27259999513626099</v>
      </c>
      <c r="M7">
        <v>6.7100003361701965E-2</v>
      </c>
      <c r="N7">
        <v>0.11450000107288361</v>
      </c>
    </row>
    <row r="8" spans="1:14" ht="15" x14ac:dyDescent="0.25">
      <c r="A8" s="186"/>
      <c r="B8" s="119">
        <f t="shared" si="0"/>
        <v>5</v>
      </c>
      <c r="C8" s="119" t="s">
        <v>38</v>
      </c>
      <c r="D8" s="119">
        <v>5</v>
      </c>
      <c r="E8" s="119"/>
      <c r="F8" s="119"/>
      <c r="G8">
        <v>7.4400000274181366E-2</v>
      </c>
      <c r="H8">
        <v>8.8100001215934753E-2</v>
      </c>
      <c r="I8">
        <v>0.13549999892711639</v>
      </c>
      <c r="J8">
        <v>9.2900000512599945E-2</v>
      </c>
      <c r="K8">
        <v>0.15440000593662259</v>
      </c>
      <c r="L8">
        <v>0.27250000834465032</v>
      </c>
      <c r="M8">
        <v>4.6999998390674591E-2</v>
      </c>
      <c r="N8">
        <v>9.4400003552436829E-2</v>
      </c>
    </row>
    <row r="9" spans="1:14" ht="15" x14ac:dyDescent="0.25">
      <c r="A9" s="186"/>
      <c r="B9" s="119">
        <f t="shared" si="0"/>
        <v>6</v>
      </c>
      <c r="C9" s="119" t="s">
        <v>115</v>
      </c>
      <c r="D9" s="119">
        <v>0</v>
      </c>
      <c r="E9" s="119"/>
      <c r="F9" s="119"/>
      <c r="G9">
        <v>5.6400001049041748E-2</v>
      </c>
      <c r="H9">
        <v>0.10570000112056729</v>
      </c>
      <c r="I9">
        <v>0.1045000031590462</v>
      </c>
      <c r="J9">
        <v>6.2399998307228088E-2</v>
      </c>
      <c r="K9">
        <v>0.22939999401569369</v>
      </c>
      <c r="L9">
        <v>0.39640000462532038</v>
      </c>
      <c r="M9">
        <v>5.0099998712539673E-2</v>
      </c>
      <c r="N9">
        <v>9.7400002181529999E-2</v>
      </c>
    </row>
    <row r="10" spans="1:14" ht="15" x14ac:dyDescent="0.25">
      <c r="A10" s="186"/>
      <c r="B10" s="119">
        <f t="shared" si="0"/>
        <v>7</v>
      </c>
      <c r="C10" s="119" t="s">
        <v>21</v>
      </c>
      <c r="D10" s="119">
        <v>5</v>
      </c>
      <c r="E10" s="119"/>
      <c r="F10" s="119"/>
      <c r="G10">
        <v>6.7500002682209015E-2</v>
      </c>
      <c r="H10">
        <v>9.4599999487400055E-2</v>
      </c>
      <c r="I10">
        <v>0.1160999983549118</v>
      </c>
      <c r="J10">
        <v>7.3600001633167267E-2</v>
      </c>
      <c r="K10">
        <v>0.15729999542236331</v>
      </c>
      <c r="L10">
        <v>0.31290000677108759</v>
      </c>
      <c r="M10">
        <v>5.2000001072883613E-2</v>
      </c>
      <c r="N10">
        <v>9.9399998784065247E-2</v>
      </c>
    </row>
    <row r="11" spans="1:14" ht="15" x14ac:dyDescent="0.25">
      <c r="A11" s="186"/>
      <c r="B11" s="119">
        <f t="shared" si="0"/>
        <v>8</v>
      </c>
      <c r="C11" s="119" t="s">
        <v>21</v>
      </c>
      <c r="D11" s="119">
        <v>8.5</v>
      </c>
      <c r="E11" s="119"/>
      <c r="F11" s="119"/>
      <c r="G11">
        <v>5.8699999004602432E-2</v>
      </c>
      <c r="H11">
        <v>0.1033999994397163</v>
      </c>
      <c r="I11">
        <v>0.1037999987602234</v>
      </c>
      <c r="J11">
        <v>6.1799999326467507E-2</v>
      </c>
      <c r="K11">
        <v>0.1386000066995621</v>
      </c>
      <c r="L11">
        <v>0.27340000867843628</v>
      </c>
      <c r="M11">
        <v>5.7000000029802322E-2</v>
      </c>
      <c r="N11">
        <v>0.10429999977350229</v>
      </c>
    </row>
    <row r="12" spans="1:14" ht="15" x14ac:dyDescent="0.25">
      <c r="A12" s="186"/>
      <c r="B12" s="119">
        <f t="shared" si="0"/>
        <v>9</v>
      </c>
      <c r="C12" s="119" t="s">
        <v>59</v>
      </c>
      <c r="D12" s="119">
        <v>11</v>
      </c>
      <c r="E12" s="119"/>
      <c r="F12" s="119"/>
      <c r="G12">
        <v>7.3399998247623444E-2</v>
      </c>
      <c r="H12">
        <v>8.8699996471405029E-2</v>
      </c>
      <c r="I12">
        <v>0.1297000050544739</v>
      </c>
      <c r="J12">
        <v>8.7300002574920654E-2</v>
      </c>
      <c r="K12">
        <v>0.14720000326633451</v>
      </c>
      <c r="L12">
        <v>0.27439999580383301</v>
      </c>
      <c r="M12">
        <v>3.2800000160932541E-2</v>
      </c>
      <c r="N12">
        <v>7.980000227689743E-2</v>
      </c>
    </row>
    <row r="13" spans="1:14" ht="15" x14ac:dyDescent="0.25">
      <c r="A13" s="187"/>
      <c r="B13" s="187"/>
      <c r="C13" s="187"/>
      <c r="D13" s="187"/>
      <c r="E13" s="121" t="s">
        <v>153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19</v>
      </c>
      <c r="D14" s="119">
        <v>14.8</v>
      </c>
      <c r="E14" s="119"/>
      <c r="F14" s="119"/>
      <c r="G14">
        <v>3.7099998444318771E-2</v>
      </c>
      <c r="H14">
        <v>0.125</v>
      </c>
      <c r="I14">
        <v>6.289999932050705E-2</v>
      </c>
      <c r="J14">
        <v>2.2199999541044239E-2</v>
      </c>
      <c r="K14">
        <v>0.10869999974966051</v>
      </c>
      <c r="L14">
        <v>0.3059999942779541</v>
      </c>
      <c r="M14">
        <v>1.8600000068545341E-2</v>
      </c>
      <c r="N14">
        <v>5.0299998372793198E-2</v>
      </c>
    </row>
    <row r="15" spans="1:14" ht="15" x14ac:dyDescent="0.25">
      <c r="A15" s="186"/>
      <c r="B15" s="119">
        <f t="shared" ref="B15:B22" si="1">B14+1</f>
        <v>11</v>
      </c>
      <c r="C15" s="119" t="s">
        <v>40</v>
      </c>
      <c r="D15" s="119">
        <v>18</v>
      </c>
      <c r="E15" s="119"/>
      <c r="F15" s="119"/>
      <c r="G15">
        <v>3.0700000002980229E-2</v>
      </c>
      <c r="H15">
        <v>0.13140000402927399</v>
      </c>
      <c r="I15">
        <v>6.1000000685453408E-2</v>
      </c>
      <c r="J15">
        <v>2.239999920129776E-2</v>
      </c>
      <c r="K15">
        <v>0.1077999994158745</v>
      </c>
      <c r="L15">
        <v>0.25249999761581421</v>
      </c>
      <c r="M15">
        <v>2.500000037252903E-2</v>
      </c>
      <c r="N15">
        <v>6.8599998950958252E-2</v>
      </c>
    </row>
    <row r="16" spans="1:14" ht="15" x14ac:dyDescent="0.25">
      <c r="A16" s="186"/>
      <c r="B16" s="119">
        <f t="shared" si="1"/>
        <v>12</v>
      </c>
      <c r="C16" s="119" t="s">
        <v>38</v>
      </c>
      <c r="D16" s="119">
        <v>7</v>
      </c>
      <c r="E16" s="119"/>
      <c r="F16" s="119"/>
      <c r="G16">
        <v>2.9200000688433651E-2</v>
      </c>
      <c r="H16">
        <v>0.13279999792575839</v>
      </c>
      <c r="I16">
        <v>6.120000034570694E-2</v>
      </c>
      <c r="J16">
        <v>2.339999936521053E-2</v>
      </c>
      <c r="K16">
        <v>0.10289999842643741</v>
      </c>
      <c r="L16">
        <v>0.23100000619888311</v>
      </c>
      <c r="M16">
        <v>2.009999938309193E-2</v>
      </c>
      <c r="N16">
        <v>6.120000034570694E-2</v>
      </c>
    </row>
    <row r="17" spans="1:14" ht="15" x14ac:dyDescent="0.25">
      <c r="A17" s="186"/>
      <c r="B17" s="119">
        <f t="shared" si="1"/>
        <v>13</v>
      </c>
      <c r="C17" s="119" t="s">
        <v>38</v>
      </c>
      <c r="D17" s="119">
        <v>7</v>
      </c>
      <c r="E17" s="119"/>
      <c r="F17" s="119"/>
      <c r="G17">
        <v>4.6799998730421073E-2</v>
      </c>
      <c r="H17">
        <v>0.11529999971389771</v>
      </c>
      <c r="I17">
        <v>9.1499999165534973E-2</v>
      </c>
      <c r="J17">
        <v>5.0400000065565109E-2</v>
      </c>
      <c r="K17">
        <v>0.1242000013589859</v>
      </c>
      <c r="L17">
        <v>0.21279999613761899</v>
      </c>
      <c r="M17">
        <v>4.0600001811981201E-2</v>
      </c>
      <c r="N17">
        <v>8.7600000202655792E-2</v>
      </c>
    </row>
    <row r="18" spans="1:14" ht="15" x14ac:dyDescent="0.25">
      <c r="A18" s="186"/>
      <c r="B18" s="119">
        <f t="shared" si="1"/>
        <v>14</v>
      </c>
      <c r="C18" s="119" t="s">
        <v>76</v>
      </c>
      <c r="D18" s="119">
        <v>14.5</v>
      </c>
      <c r="E18" s="119"/>
      <c r="F18" s="119"/>
      <c r="G18">
        <v>2.5800000876188282E-2</v>
      </c>
      <c r="H18">
        <v>0.13619999587535861</v>
      </c>
      <c r="I18">
        <v>5.2400000393390662E-2</v>
      </c>
      <c r="J18">
        <v>1.7000000923871991E-2</v>
      </c>
      <c r="K18">
        <v>0.15459999442100519</v>
      </c>
      <c r="L18">
        <v>0.2022999972105026</v>
      </c>
      <c r="M18">
        <v>4.3800000101327903E-2</v>
      </c>
      <c r="N18">
        <v>9.1200001537799835E-2</v>
      </c>
    </row>
    <row r="19" spans="1:14" ht="15" x14ac:dyDescent="0.25">
      <c r="A19" s="186"/>
      <c r="B19" s="119">
        <f t="shared" si="1"/>
        <v>15</v>
      </c>
      <c r="C19" s="119" t="s">
        <v>77</v>
      </c>
      <c r="D19" s="119">
        <v>6</v>
      </c>
      <c r="E19" s="119"/>
      <c r="F19" s="119"/>
      <c r="G19">
        <v>4.2599998414516449E-2</v>
      </c>
      <c r="H19">
        <v>0.1194000020623207</v>
      </c>
      <c r="I19">
        <v>7.8000001609325409E-2</v>
      </c>
      <c r="J19">
        <v>3.7300001829862588E-2</v>
      </c>
      <c r="K19">
        <v>0.1571999937295914</v>
      </c>
      <c r="L19">
        <v>0.1880999952554703</v>
      </c>
      <c r="M19">
        <v>3.6499999463558197E-2</v>
      </c>
      <c r="N19">
        <v>8.2999996840953827E-2</v>
      </c>
    </row>
    <row r="20" spans="1:14" ht="15" x14ac:dyDescent="0.25">
      <c r="A20" s="186"/>
      <c r="B20" s="119">
        <f t="shared" si="1"/>
        <v>16</v>
      </c>
      <c r="C20" s="119" t="s">
        <v>45</v>
      </c>
      <c r="D20" s="119">
        <v>5.5</v>
      </c>
      <c r="E20" s="119"/>
      <c r="F20" s="119"/>
      <c r="G20">
        <v>2.6100000366568569E-2</v>
      </c>
      <c r="H20">
        <v>0.1360999941825867</v>
      </c>
      <c r="I20">
        <v>7.7699996531009674E-2</v>
      </c>
      <c r="J20">
        <v>4.1999999433755868E-2</v>
      </c>
      <c r="K20">
        <v>0.1045999974012375</v>
      </c>
      <c r="L20">
        <v>0.25130000710487371</v>
      </c>
      <c r="M20">
        <v>2.5599999353289601E-2</v>
      </c>
      <c r="N20">
        <v>6.9700002670288086E-2</v>
      </c>
    </row>
    <row r="21" spans="1:14" ht="15" x14ac:dyDescent="0.25">
      <c r="A21" s="186"/>
      <c r="B21" s="119">
        <f t="shared" si="1"/>
        <v>17</v>
      </c>
      <c r="C21" s="119" t="s">
        <v>21</v>
      </c>
      <c r="D21" s="119">
        <v>6.5</v>
      </c>
      <c r="E21" s="119"/>
      <c r="F21" s="119"/>
      <c r="G21">
        <v>9.08999964594841E-2</v>
      </c>
      <c r="H21">
        <v>7.1099996566772461E-2</v>
      </c>
      <c r="I21">
        <v>0.1379999965429306</v>
      </c>
      <c r="J21">
        <v>9.4800002872943878E-2</v>
      </c>
      <c r="K21">
        <v>0.12999999523162839</v>
      </c>
      <c r="L21">
        <v>0.29899999499320978</v>
      </c>
      <c r="M21">
        <v>4.8000002279877663E-3</v>
      </c>
      <c r="N21">
        <v>5.2099999040365219E-2</v>
      </c>
    </row>
    <row r="22" spans="1:14" ht="15" x14ac:dyDescent="0.25">
      <c r="A22" s="186"/>
      <c r="B22" s="119">
        <f t="shared" si="1"/>
        <v>18</v>
      </c>
      <c r="C22" s="119" t="s">
        <v>76</v>
      </c>
      <c r="D22" s="119">
        <v>11</v>
      </c>
      <c r="E22" s="119"/>
      <c r="F22" s="119"/>
      <c r="G22">
        <v>7.0500001311302185E-2</v>
      </c>
      <c r="H22">
        <v>9.1499999165534973E-2</v>
      </c>
      <c r="I22">
        <v>0.1248999983072281</v>
      </c>
      <c r="J22">
        <v>8.2699999213218689E-2</v>
      </c>
      <c r="K22">
        <v>0.15029999613761899</v>
      </c>
      <c r="L22">
        <v>0.27559998631477362</v>
      </c>
      <c r="M22">
        <v>2.0199999213218689E-2</v>
      </c>
      <c r="N22">
        <v>5.4600000381469727E-2</v>
      </c>
    </row>
    <row r="23" spans="1:14" ht="15" x14ac:dyDescent="0.25">
      <c r="A23" s="187"/>
      <c r="B23" s="187"/>
      <c r="C23" s="187"/>
      <c r="D23" s="187"/>
      <c r="E23" s="121" t="s">
        <v>158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62</v>
      </c>
      <c r="D24" s="119">
        <v>9.5</v>
      </c>
      <c r="E24" s="119"/>
      <c r="F24" s="119"/>
      <c r="G24">
        <v>1.7200000584125519E-2</v>
      </c>
      <c r="H24">
        <v>0.14480000734329221</v>
      </c>
      <c r="I24">
        <v>3.8300000131130219E-2</v>
      </c>
      <c r="J24">
        <v>1.5900000929832458E-2</v>
      </c>
      <c r="K24">
        <v>0.14040000736713409</v>
      </c>
      <c r="L24">
        <v>0.32850000262260443</v>
      </c>
      <c r="M24">
        <v>2.700000070035458E-2</v>
      </c>
      <c r="N24">
        <v>7.3200002312660217E-2</v>
      </c>
    </row>
    <row r="25" spans="1:14" ht="15" x14ac:dyDescent="0.25">
      <c r="A25" s="186"/>
      <c r="B25" s="119">
        <f t="shared" ref="B25:B32" si="2">B24+1</f>
        <v>20</v>
      </c>
      <c r="C25" s="119" t="s">
        <v>45</v>
      </c>
      <c r="D25" s="119">
        <v>6.5</v>
      </c>
      <c r="E25" s="119"/>
      <c r="F25" s="119"/>
      <c r="G25">
        <v>4.9400001764297492E-2</v>
      </c>
      <c r="H25">
        <v>0.1128000020980835</v>
      </c>
      <c r="I25">
        <v>7.5599998235702515E-2</v>
      </c>
      <c r="J25">
        <v>3.3700000494718552E-2</v>
      </c>
      <c r="K25">
        <v>0.124099999666214</v>
      </c>
      <c r="L25">
        <v>0.2833000123500824</v>
      </c>
      <c r="M25">
        <v>2.4100000038743019E-2</v>
      </c>
      <c r="N25">
        <v>6.6500000655651093E-2</v>
      </c>
    </row>
    <row r="26" spans="1:14" ht="15" x14ac:dyDescent="0.25">
      <c r="A26" s="186"/>
      <c r="B26" s="119">
        <f t="shared" si="2"/>
        <v>21</v>
      </c>
      <c r="C26" s="119" t="s">
        <v>39</v>
      </c>
      <c r="D26" s="119">
        <v>10.5</v>
      </c>
      <c r="E26" s="119"/>
      <c r="F26" s="119"/>
      <c r="G26">
        <v>4.0699999779462807E-2</v>
      </c>
      <c r="H26">
        <v>0.121299996972084</v>
      </c>
      <c r="I26">
        <v>7.0399999618530273E-2</v>
      </c>
      <c r="J26">
        <v>2.9200000688433651E-2</v>
      </c>
      <c r="K26">
        <v>0.12590000033378601</v>
      </c>
      <c r="L26">
        <v>0.26890000700950623</v>
      </c>
      <c r="M26">
        <v>3.4699998795986182E-2</v>
      </c>
      <c r="N26">
        <v>8.1100001931190491E-2</v>
      </c>
    </row>
    <row r="27" spans="1:14" ht="15" x14ac:dyDescent="0.25">
      <c r="A27" s="186"/>
      <c r="B27" s="119">
        <f t="shared" si="2"/>
        <v>22</v>
      </c>
      <c r="C27" s="119" t="s">
        <v>28</v>
      </c>
      <c r="D27" s="119">
        <v>12.5</v>
      </c>
      <c r="E27" s="119"/>
      <c r="F27" s="119"/>
      <c r="G27">
        <v>4.179999977350235E-2</v>
      </c>
      <c r="H27">
        <v>0.12030000239610671</v>
      </c>
      <c r="I27">
        <v>7.6700001955032349E-2</v>
      </c>
      <c r="J27">
        <v>3.5700000822544098E-2</v>
      </c>
      <c r="K27">
        <v>0.1059999987483025</v>
      </c>
      <c r="L27">
        <v>0.24539999663829801</v>
      </c>
      <c r="M27">
        <v>3.7900000810623169E-2</v>
      </c>
      <c r="N27">
        <v>8.4700003266334534E-2</v>
      </c>
    </row>
    <row r="28" spans="1:14" ht="15" x14ac:dyDescent="0.25">
      <c r="A28" s="186"/>
      <c r="B28" s="119">
        <f t="shared" si="2"/>
        <v>23</v>
      </c>
      <c r="C28" s="119" t="s">
        <v>70</v>
      </c>
      <c r="D28" s="119">
        <v>7</v>
      </c>
      <c r="E28" s="119"/>
      <c r="F28" s="119"/>
      <c r="G28">
        <v>4.3400000780820847E-2</v>
      </c>
      <c r="H28">
        <v>0.1186000034213066</v>
      </c>
      <c r="I28">
        <v>8.5600003600120544E-2</v>
      </c>
      <c r="J28">
        <v>4.4900000095367432E-2</v>
      </c>
      <c r="K28">
        <v>0.11969999969005581</v>
      </c>
      <c r="L28">
        <v>0.25369998812675482</v>
      </c>
      <c r="M28">
        <v>4.439999908208847E-2</v>
      </c>
      <c r="N28">
        <v>9.1799996793270111E-2</v>
      </c>
    </row>
    <row r="29" spans="1:14" ht="15" x14ac:dyDescent="0.25">
      <c r="A29" s="186"/>
      <c r="B29" s="119">
        <f t="shared" si="2"/>
        <v>24</v>
      </c>
      <c r="C29" s="119" t="s">
        <v>89</v>
      </c>
      <c r="D29" s="119">
        <v>12</v>
      </c>
      <c r="E29" s="119"/>
      <c r="F29" s="119"/>
      <c r="G29">
        <v>1.810000091791153E-2</v>
      </c>
      <c r="H29">
        <v>0.14399999380111689</v>
      </c>
      <c r="I29">
        <v>6.1799999326467507E-2</v>
      </c>
      <c r="J29">
        <v>2.9400000348687168E-2</v>
      </c>
      <c r="K29">
        <v>0.125</v>
      </c>
      <c r="L29">
        <v>0.23899999260902399</v>
      </c>
      <c r="M29">
        <v>2.9799999669194221E-2</v>
      </c>
      <c r="N29">
        <v>7.720000296831131E-2</v>
      </c>
    </row>
    <row r="30" spans="1:14" ht="15" x14ac:dyDescent="0.25">
      <c r="A30" s="186"/>
      <c r="B30" s="119">
        <f t="shared" si="2"/>
        <v>25</v>
      </c>
      <c r="C30" s="119" t="s">
        <v>76</v>
      </c>
      <c r="D30" s="119">
        <v>13</v>
      </c>
      <c r="E30" s="119"/>
      <c r="F30" s="119"/>
      <c r="G30">
        <v>7.2999998927116394E-2</v>
      </c>
      <c r="H30">
        <v>8.9000001549720764E-2</v>
      </c>
      <c r="I30">
        <v>0.11580000072717669</v>
      </c>
      <c r="J30">
        <v>7.2899997234344482E-2</v>
      </c>
      <c r="K30">
        <v>0.1066000014543533</v>
      </c>
      <c r="L30">
        <v>0.23039999604225159</v>
      </c>
      <c r="M30">
        <v>2.239999920129776E-2</v>
      </c>
      <c r="N30">
        <v>6.9799996912479401E-2</v>
      </c>
    </row>
    <row r="31" spans="1:14" ht="15" x14ac:dyDescent="0.25">
      <c r="A31" s="186"/>
      <c r="B31" s="119">
        <f t="shared" si="2"/>
        <v>26</v>
      </c>
      <c r="C31" s="119" t="s">
        <v>105</v>
      </c>
      <c r="D31" s="119">
        <v>19.5</v>
      </c>
      <c r="E31" s="119"/>
      <c r="F31" s="119"/>
      <c r="G31">
        <v>3.8699999451637268E-2</v>
      </c>
      <c r="H31">
        <v>0.1233000010251999</v>
      </c>
      <c r="I31">
        <v>8.1000000238418579E-2</v>
      </c>
      <c r="J31">
        <v>4.1099999099969857E-2</v>
      </c>
      <c r="K31">
        <v>0.15950000286102289</v>
      </c>
      <c r="L31">
        <v>0.17870000004768369</v>
      </c>
      <c r="M31">
        <v>3.2099999487400048E-2</v>
      </c>
      <c r="N31">
        <v>7.9499997198581696E-2</v>
      </c>
    </row>
    <row r="32" spans="1:14" ht="15" x14ac:dyDescent="0.25">
      <c r="A32" s="186"/>
      <c r="B32" s="119">
        <f t="shared" si="2"/>
        <v>27</v>
      </c>
      <c r="C32" s="119" t="s">
        <v>50</v>
      </c>
      <c r="D32" s="119">
        <v>5.5</v>
      </c>
      <c r="E32" s="119"/>
      <c r="F32" s="119"/>
      <c r="G32">
        <v>6.679999828338623E-2</v>
      </c>
      <c r="H32">
        <v>9.5200002193450928E-2</v>
      </c>
      <c r="I32">
        <v>0.1233000010251999</v>
      </c>
      <c r="J32">
        <v>8.1299997866153717E-2</v>
      </c>
      <c r="K32">
        <v>0.15350000560283661</v>
      </c>
      <c r="L32">
        <v>0.18569999933242801</v>
      </c>
      <c r="M32">
        <v>4.9699999392032623E-2</v>
      </c>
      <c r="N32">
        <v>9.6900001168251038E-2</v>
      </c>
    </row>
    <row r="33" spans="1:14" ht="15" x14ac:dyDescent="0.25">
      <c r="A33" s="187"/>
      <c r="B33" s="187"/>
      <c r="C33" s="187"/>
      <c r="D33" s="187"/>
      <c r="E33" s="121" t="s">
        <v>158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93</v>
      </c>
      <c r="D34" s="119">
        <v>10</v>
      </c>
      <c r="E34" s="119"/>
      <c r="F34" s="119"/>
      <c r="G34">
        <v>4.3999999761581421E-3</v>
      </c>
      <c r="H34">
        <v>0.1592999994754791</v>
      </c>
      <c r="I34">
        <v>1.8600000068545341E-2</v>
      </c>
      <c r="J34">
        <v>2.8799999505281448E-2</v>
      </c>
      <c r="K34">
        <v>0.1127000004053116</v>
      </c>
      <c r="L34">
        <v>0.15780000388622281</v>
      </c>
      <c r="M34">
        <v>4.050000011920929E-2</v>
      </c>
      <c r="N34">
        <v>8.6099997162818909E-2</v>
      </c>
    </row>
    <row r="35" spans="1:14" ht="15" x14ac:dyDescent="0.25">
      <c r="A35" s="186"/>
      <c r="B35" s="119">
        <f t="shared" ref="B35:B42" si="3">B34+1</f>
        <v>29</v>
      </c>
      <c r="C35" s="119" t="s">
        <v>43</v>
      </c>
      <c r="D35" s="119">
        <v>19.5</v>
      </c>
      <c r="E35" s="119"/>
      <c r="F35" s="119"/>
      <c r="G35">
        <v>1.5999999595806E-3</v>
      </c>
      <c r="H35">
        <v>0.16259999573230741</v>
      </c>
      <c r="I35">
        <v>1.679999940097332E-2</v>
      </c>
      <c r="J35">
        <v>3.2800000160932541E-2</v>
      </c>
      <c r="K35">
        <v>0.1215000003576279</v>
      </c>
      <c r="L35">
        <v>0.1526000052690506</v>
      </c>
      <c r="M35">
        <v>6.1999998986721039E-2</v>
      </c>
      <c r="N35">
        <v>0.1037999987602234</v>
      </c>
    </row>
    <row r="36" spans="1:14" ht="15" x14ac:dyDescent="0.25">
      <c r="A36" s="186"/>
      <c r="B36" s="119">
        <f t="shared" si="3"/>
        <v>30</v>
      </c>
      <c r="C36" s="119" t="s">
        <v>24</v>
      </c>
      <c r="D36" s="119">
        <v>4.5</v>
      </c>
      <c r="E36" s="119"/>
      <c r="F36" s="119"/>
      <c r="G36">
        <v>2.7899999171495441E-2</v>
      </c>
      <c r="H36">
        <v>0.1342000067234039</v>
      </c>
      <c r="I36">
        <v>4.7200001776218407E-2</v>
      </c>
      <c r="J36">
        <v>9.7000002861022949E-3</v>
      </c>
      <c r="K36">
        <v>0.1186999976634979</v>
      </c>
      <c r="L36">
        <v>0.16889999806880951</v>
      </c>
      <c r="M36">
        <v>7.1800000965595245E-2</v>
      </c>
      <c r="N36">
        <v>0.11599999666213991</v>
      </c>
    </row>
    <row r="37" spans="1:14" ht="15" x14ac:dyDescent="0.25">
      <c r="A37" s="186"/>
      <c r="B37" s="119">
        <f t="shared" si="3"/>
        <v>31</v>
      </c>
      <c r="C37" s="119" t="s">
        <v>77</v>
      </c>
      <c r="D37" s="119">
        <v>4.5</v>
      </c>
      <c r="E37" s="119"/>
      <c r="F37" s="119"/>
      <c r="G37">
        <v>3.4000001847743988E-2</v>
      </c>
      <c r="H37">
        <v>0.1281999945640564</v>
      </c>
      <c r="I37">
        <v>7.3100000619888306E-2</v>
      </c>
      <c r="J37">
        <v>3.2999999821186073E-2</v>
      </c>
      <c r="K37">
        <v>0.14699999988079071</v>
      </c>
      <c r="L37">
        <v>0.13230000436306</v>
      </c>
      <c r="M37">
        <v>4.0600001811981201E-2</v>
      </c>
      <c r="N37">
        <v>8.7099999189376831E-2</v>
      </c>
    </row>
    <row r="38" spans="1:14" ht="15" x14ac:dyDescent="0.25">
      <c r="A38" s="186"/>
      <c r="B38" s="119">
        <f t="shared" si="3"/>
        <v>32</v>
      </c>
      <c r="C38" s="119" t="s">
        <v>38</v>
      </c>
      <c r="D38" s="119">
        <v>2.5</v>
      </c>
      <c r="E38" s="119"/>
      <c r="F38" s="119"/>
      <c r="G38">
        <v>2.2800000384449959E-2</v>
      </c>
      <c r="H38">
        <v>0.13930000364780429</v>
      </c>
      <c r="I38">
        <v>6.6500000655651093E-2</v>
      </c>
      <c r="J38">
        <v>3.0400000512599949E-2</v>
      </c>
      <c r="K38">
        <v>0.1273999959230423</v>
      </c>
      <c r="L38">
        <v>0.17329999804496771</v>
      </c>
      <c r="M38">
        <v>4.8799999058246613E-2</v>
      </c>
      <c r="N38">
        <v>9.3900002539157867E-2</v>
      </c>
    </row>
    <row r="39" spans="1:14" ht="15" x14ac:dyDescent="0.25">
      <c r="A39" s="186"/>
      <c r="B39" s="119">
        <f t="shared" si="3"/>
        <v>33</v>
      </c>
      <c r="C39" s="119" t="s">
        <v>38</v>
      </c>
      <c r="D39" s="119">
        <v>3.5</v>
      </c>
      <c r="E39" s="119"/>
      <c r="F39" s="119"/>
      <c r="G39">
        <v>5.3100001066923141E-2</v>
      </c>
      <c r="H39">
        <v>0.1089999973773956</v>
      </c>
      <c r="I39">
        <v>0.1182999983429909</v>
      </c>
      <c r="J39">
        <v>7.7500000596046448E-2</v>
      </c>
      <c r="K39">
        <v>0.18700000643730161</v>
      </c>
      <c r="L39">
        <v>0.1049999967217445</v>
      </c>
      <c r="M39">
        <v>7.720000296831131E-2</v>
      </c>
      <c r="N39">
        <v>0.1234000027179718</v>
      </c>
    </row>
    <row r="40" spans="1:14" ht="15" x14ac:dyDescent="0.25">
      <c r="A40" s="186"/>
      <c r="B40" s="119">
        <f t="shared" si="3"/>
        <v>34</v>
      </c>
      <c r="C40" s="119" t="s">
        <v>16</v>
      </c>
      <c r="D40" s="119">
        <v>13.5</v>
      </c>
      <c r="E40" s="122"/>
      <c r="F40" s="122"/>
      <c r="G40">
        <v>6.6200003027915955E-2</v>
      </c>
      <c r="H40">
        <v>9.6000000834465027E-2</v>
      </c>
      <c r="I40">
        <v>0.101000003516674</v>
      </c>
      <c r="J40">
        <v>5.7700000703334808E-2</v>
      </c>
      <c r="K40">
        <v>0.12749999761581421</v>
      </c>
      <c r="L40">
        <v>0.1691000014543533</v>
      </c>
      <c r="M40">
        <v>5.4200001060962677E-2</v>
      </c>
      <c r="N40">
        <v>0.1001999974250793</v>
      </c>
    </row>
    <row r="41" spans="1:14" ht="15" x14ac:dyDescent="0.25">
      <c r="A41" s="186"/>
      <c r="B41" s="119">
        <f t="shared" si="3"/>
        <v>35</v>
      </c>
      <c r="C41" s="119" t="s">
        <v>69</v>
      </c>
      <c r="D41" s="119">
        <v>11</v>
      </c>
      <c r="E41" s="122"/>
      <c r="F41" s="122"/>
      <c r="G41">
        <v>6.0000000521540642E-3</v>
      </c>
      <c r="H41">
        <v>0.15860000252723691</v>
      </c>
      <c r="I41">
        <v>4.14000004529953E-2</v>
      </c>
      <c r="J41">
        <v>2.2199999541044239E-2</v>
      </c>
      <c r="K41">
        <v>0.18950000405311579</v>
      </c>
      <c r="L41">
        <v>7.3799997568130493E-2</v>
      </c>
      <c r="M41">
        <v>5.469999834895134E-2</v>
      </c>
      <c r="N41">
        <v>0.10199999809265139</v>
      </c>
    </row>
    <row r="42" spans="1:14" ht="15" x14ac:dyDescent="0.25">
      <c r="A42" s="186"/>
      <c r="B42" s="123">
        <f t="shared" si="3"/>
        <v>36</v>
      </c>
      <c r="C42" s="123" t="s">
        <v>34</v>
      </c>
      <c r="D42" s="123">
        <v>14</v>
      </c>
      <c r="E42" s="124"/>
      <c r="F42" s="124"/>
      <c r="G42">
        <v>4.3000001460313797E-2</v>
      </c>
      <c r="H42">
        <v>0.1190000027418137</v>
      </c>
      <c r="I42">
        <v>8.3400003612041473E-2</v>
      </c>
      <c r="J42">
        <v>4.2300000786781311E-2</v>
      </c>
      <c r="K42">
        <v>0.1062000021338463</v>
      </c>
      <c r="L42">
        <v>0.22789999842643741</v>
      </c>
      <c r="M42">
        <v>5.0200000405311578E-2</v>
      </c>
      <c r="N42">
        <v>9.7599998116493225E-2</v>
      </c>
    </row>
    <row r="43" spans="1:14" ht="15" x14ac:dyDescent="0.25">
      <c r="A43" s="187"/>
      <c r="B43" s="187"/>
      <c r="C43" s="187"/>
      <c r="D43" s="187"/>
      <c r="E43" s="121" t="s">
        <v>158</v>
      </c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55</v>
      </c>
      <c r="D4" s="119">
        <v>11.5</v>
      </c>
      <c r="E4" s="119"/>
      <c r="F4" s="119"/>
      <c r="G4">
        <v>8.2000000402331352E-3</v>
      </c>
      <c r="H4">
        <v>0.15410000085830691</v>
      </c>
      <c r="I4">
        <v>2.60000005364418E-2</v>
      </c>
      <c r="J4">
        <v>2.27000005543232E-2</v>
      </c>
      <c r="K4">
        <v>0.18060000240802759</v>
      </c>
      <c r="L4">
        <v>0.100100003182888</v>
      </c>
      <c r="M4">
        <v>0.13140000402927399</v>
      </c>
      <c r="N4">
        <v>0.17839999496936801</v>
      </c>
    </row>
    <row r="5" spans="1:14" ht="15" x14ac:dyDescent="0.25">
      <c r="A5" s="186"/>
      <c r="B5" s="119">
        <f t="shared" ref="B5:B12" si="0">B4+1</f>
        <v>2</v>
      </c>
      <c r="C5" s="120" t="s">
        <v>94</v>
      </c>
      <c r="D5" s="119">
        <v>10.5</v>
      </c>
      <c r="E5" s="119"/>
      <c r="F5" s="119"/>
      <c r="G5">
        <v>1.4899999834597111E-2</v>
      </c>
      <c r="H5">
        <v>0.14720000326633451</v>
      </c>
      <c r="I5">
        <v>2.5800000876188282E-2</v>
      </c>
      <c r="J5">
        <v>1.9799999892711639E-2</v>
      </c>
      <c r="K5">
        <v>0.1772000044584274</v>
      </c>
      <c r="L5">
        <v>0.14380000531673429</v>
      </c>
      <c r="M5">
        <v>0.14040000736713409</v>
      </c>
      <c r="N5">
        <v>0.18739999830722809</v>
      </c>
    </row>
    <row r="6" spans="1:14" ht="15" x14ac:dyDescent="0.25">
      <c r="A6" s="186"/>
      <c r="B6" s="119">
        <f t="shared" si="0"/>
        <v>3</v>
      </c>
      <c r="C6" s="119" t="s">
        <v>38</v>
      </c>
      <c r="D6" s="119">
        <v>9</v>
      </c>
      <c r="E6" s="119"/>
      <c r="F6" s="119"/>
      <c r="G6">
        <v>8.0000003799796104E-3</v>
      </c>
      <c r="H6">
        <v>0.1542000025510788</v>
      </c>
      <c r="I6">
        <v>2.239999920129776E-2</v>
      </c>
      <c r="J6">
        <v>2.4900000542402271E-2</v>
      </c>
      <c r="K6">
        <v>0.1648000031709671</v>
      </c>
      <c r="L6">
        <v>0.12809999287128451</v>
      </c>
      <c r="M6">
        <v>0.15090000629425049</v>
      </c>
      <c r="N6">
        <v>0.1977999955415726</v>
      </c>
    </row>
    <row r="7" spans="1:14" ht="15" x14ac:dyDescent="0.25">
      <c r="A7" s="186"/>
      <c r="B7" s="119">
        <f t="shared" si="0"/>
        <v>4</v>
      </c>
      <c r="C7" s="119" t="s">
        <v>21</v>
      </c>
      <c r="D7" s="119">
        <v>2.5</v>
      </c>
      <c r="E7" s="119"/>
      <c r="F7" s="119"/>
      <c r="G7">
        <v>1.130000036209822E-2</v>
      </c>
      <c r="H7">
        <v>0.15090000629425049</v>
      </c>
      <c r="I7">
        <v>3.7399999797344208E-2</v>
      </c>
      <c r="J7">
        <v>1.7899999395012859E-2</v>
      </c>
      <c r="K7">
        <v>0.20409999787807459</v>
      </c>
      <c r="L7">
        <v>7.2499997913837433E-2</v>
      </c>
      <c r="M7">
        <v>0.12980000674724579</v>
      </c>
      <c r="N7">
        <v>0.17649999260902399</v>
      </c>
    </row>
    <row r="8" spans="1:14" ht="15" x14ac:dyDescent="0.25">
      <c r="A8" s="186"/>
      <c r="B8" s="119">
        <f t="shared" si="0"/>
        <v>5</v>
      </c>
      <c r="C8" s="119" t="s">
        <v>64</v>
      </c>
      <c r="D8" s="119">
        <v>8</v>
      </c>
      <c r="E8" s="119"/>
      <c r="F8" s="119"/>
      <c r="G8">
        <v>6.8000000901520252E-3</v>
      </c>
      <c r="H8">
        <v>0.16789999604225159</v>
      </c>
      <c r="I8">
        <v>3.0999999493360519E-2</v>
      </c>
      <c r="J8">
        <v>2.9500000178813931E-2</v>
      </c>
      <c r="K8">
        <v>0.19390000402927399</v>
      </c>
      <c r="L8">
        <v>0.1218999996781349</v>
      </c>
      <c r="M8">
        <v>0.1374000012874603</v>
      </c>
      <c r="N8">
        <v>0.18459999561309809</v>
      </c>
    </row>
    <row r="9" spans="1:14" ht="15" x14ac:dyDescent="0.25">
      <c r="A9" s="186"/>
      <c r="B9" s="119">
        <f t="shared" si="0"/>
        <v>6</v>
      </c>
      <c r="C9" s="119" t="s">
        <v>64</v>
      </c>
      <c r="D9" s="119">
        <v>3.5</v>
      </c>
      <c r="E9" s="119"/>
      <c r="F9" s="119"/>
      <c r="G9">
        <v>1.219999976456165E-2</v>
      </c>
      <c r="H9">
        <v>0.17409999668598181</v>
      </c>
      <c r="I9">
        <v>1.559999957680702E-2</v>
      </c>
      <c r="J9">
        <v>4.1900001466274261E-2</v>
      </c>
      <c r="K9">
        <v>0.20550000667572019</v>
      </c>
      <c r="L9">
        <v>9.790000319480896E-2</v>
      </c>
      <c r="M9">
        <v>0.14169999957084661</v>
      </c>
      <c r="N9">
        <v>0.18880000710487371</v>
      </c>
    </row>
    <row r="10" spans="1:14" ht="15" x14ac:dyDescent="0.25">
      <c r="A10" s="186"/>
      <c r="B10" s="119">
        <f t="shared" si="0"/>
        <v>7</v>
      </c>
      <c r="C10" s="119" t="s">
        <v>66</v>
      </c>
      <c r="D10" s="119">
        <v>2.5</v>
      </c>
      <c r="E10" s="119"/>
      <c r="F10" s="119"/>
      <c r="G10">
        <v>3.599999938160181E-3</v>
      </c>
      <c r="H10">
        <v>0.16490000486373901</v>
      </c>
      <c r="I10">
        <v>2.0800000056624409E-2</v>
      </c>
      <c r="J10">
        <v>3.1800001859664917E-2</v>
      </c>
      <c r="K10">
        <v>0.18449999392032621</v>
      </c>
      <c r="L10">
        <v>0.1026000007987022</v>
      </c>
      <c r="M10">
        <v>0.14440000057220459</v>
      </c>
      <c r="N10">
        <v>0.1914999932050705</v>
      </c>
    </row>
    <row r="11" spans="1:14" ht="15" x14ac:dyDescent="0.25">
      <c r="A11" s="186"/>
      <c r="B11" s="119">
        <f t="shared" si="0"/>
        <v>8</v>
      </c>
      <c r="C11" s="119" t="s">
        <v>27</v>
      </c>
      <c r="D11" s="119">
        <v>12</v>
      </c>
      <c r="E11" s="119"/>
      <c r="F11" s="119"/>
      <c r="G11">
        <v>1.740000024437904E-2</v>
      </c>
      <c r="H11">
        <v>0.1793999969959259</v>
      </c>
      <c r="I11">
        <v>1.4000000432133669E-2</v>
      </c>
      <c r="J11">
        <v>5.2200000733137131E-2</v>
      </c>
      <c r="K11">
        <v>0.1809999942779541</v>
      </c>
      <c r="L11">
        <v>0.14810000360012049</v>
      </c>
      <c r="M11">
        <v>0.14509999752044681</v>
      </c>
      <c r="N11">
        <v>0.1922000050544739</v>
      </c>
    </row>
    <row r="12" spans="1:14" ht="15" x14ac:dyDescent="0.25">
      <c r="A12" s="186"/>
      <c r="B12" s="119">
        <f t="shared" si="0"/>
        <v>9</v>
      </c>
      <c r="C12" s="119" t="s">
        <v>54</v>
      </c>
      <c r="D12" s="119">
        <v>5</v>
      </c>
      <c r="E12" s="119"/>
      <c r="F12" s="119"/>
      <c r="G12">
        <v>6.6999997943639764E-3</v>
      </c>
      <c r="H12">
        <v>0.1553000062704086</v>
      </c>
      <c r="I12">
        <v>7.6000001281499863E-3</v>
      </c>
      <c r="J12">
        <v>3.6400001496076577E-2</v>
      </c>
      <c r="K12">
        <v>0.1967000067234039</v>
      </c>
      <c r="L12">
        <v>0.13109999895095831</v>
      </c>
      <c r="M12">
        <v>0.15459999442100519</v>
      </c>
      <c r="N12">
        <v>0.20160000026226041</v>
      </c>
    </row>
    <row r="13" spans="1:14" ht="15" x14ac:dyDescent="0.25">
      <c r="A13" s="187"/>
      <c r="B13" s="187"/>
      <c r="C13" s="187"/>
      <c r="D13" s="187"/>
      <c r="E13" s="121" t="s">
        <v>82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43</v>
      </c>
      <c r="D14" s="119">
        <v>35</v>
      </c>
      <c r="E14" s="119"/>
      <c r="F14" s="119"/>
      <c r="G14">
        <v>3.3300001174211502E-2</v>
      </c>
      <c r="H14">
        <v>0.19529999792575839</v>
      </c>
      <c r="I14">
        <v>3.7099998444318771E-2</v>
      </c>
      <c r="J14">
        <v>8.0700002610683441E-2</v>
      </c>
      <c r="K14">
        <v>0.13950000703334811</v>
      </c>
      <c r="L14">
        <v>0.34310001134872442</v>
      </c>
      <c r="M14">
        <v>5.6800000369548798E-2</v>
      </c>
      <c r="N14">
        <v>0.1036999970674515</v>
      </c>
    </row>
    <row r="15" spans="1:14" ht="15" x14ac:dyDescent="0.25">
      <c r="A15" s="186"/>
      <c r="B15" s="119">
        <f t="shared" ref="B15:B22" si="1">B14+1</f>
        <v>11</v>
      </c>
      <c r="C15" s="119" t="s">
        <v>43</v>
      </c>
      <c r="D15" s="119">
        <v>18</v>
      </c>
      <c r="E15" s="119"/>
      <c r="F15" s="119"/>
      <c r="G15">
        <v>3.5799998790025711E-2</v>
      </c>
      <c r="H15">
        <v>0.1977999955415726</v>
      </c>
      <c r="I15">
        <v>3.7999998778104782E-2</v>
      </c>
      <c r="J15">
        <v>8.150000125169754E-2</v>
      </c>
      <c r="K15">
        <v>7.6899997889995575E-2</v>
      </c>
      <c r="L15">
        <v>0.24909999966621399</v>
      </c>
      <c r="M15">
        <v>7.2999998927116394E-2</v>
      </c>
      <c r="N15">
        <v>0.12030000239610671</v>
      </c>
    </row>
    <row r="16" spans="1:14" ht="15" x14ac:dyDescent="0.25">
      <c r="A16" s="186"/>
      <c r="B16" s="119">
        <f t="shared" si="1"/>
        <v>12</v>
      </c>
      <c r="C16" s="119" t="s">
        <v>19</v>
      </c>
      <c r="D16" s="119">
        <v>11</v>
      </c>
      <c r="E16" s="119"/>
      <c r="F16" s="119"/>
      <c r="G16">
        <v>3.0400000512599949E-2</v>
      </c>
      <c r="H16">
        <v>0.19239999353885651</v>
      </c>
      <c r="I16">
        <v>3.1700000166893012E-2</v>
      </c>
      <c r="J16">
        <v>7.5199998915195465E-2</v>
      </c>
      <c r="K16">
        <v>6.5800003707408905E-2</v>
      </c>
      <c r="L16">
        <v>0.2418999969959259</v>
      </c>
      <c r="M16">
        <v>6.379999965429306E-2</v>
      </c>
      <c r="N16">
        <v>0.11079999804496771</v>
      </c>
    </row>
    <row r="17" spans="1:14" ht="15" x14ac:dyDescent="0.25">
      <c r="A17" s="186"/>
      <c r="B17" s="119">
        <f t="shared" si="1"/>
        <v>13</v>
      </c>
      <c r="C17" s="119" t="s">
        <v>77</v>
      </c>
      <c r="D17" s="119">
        <v>2.5</v>
      </c>
      <c r="E17" s="119"/>
      <c r="F17" s="119"/>
      <c r="G17">
        <v>2.529999986290932E-2</v>
      </c>
      <c r="H17">
        <v>0.1872999966144562</v>
      </c>
      <c r="I17">
        <v>2.7499999850988392E-2</v>
      </c>
      <c r="J17">
        <v>7.0900000631809235E-2</v>
      </c>
      <c r="K17">
        <v>5.4800000041723251E-2</v>
      </c>
      <c r="L17">
        <v>0.21580000221729281</v>
      </c>
      <c r="M17">
        <v>7.1699999272823334E-2</v>
      </c>
      <c r="N17">
        <v>0.11879999935626979</v>
      </c>
    </row>
    <row r="18" spans="1:14" ht="15" x14ac:dyDescent="0.25">
      <c r="A18" s="186"/>
      <c r="B18" s="119">
        <f t="shared" si="1"/>
        <v>14</v>
      </c>
      <c r="C18" s="119" t="s">
        <v>19</v>
      </c>
      <c r="D18" s="119">
        <v>11.5</v>
      </c>
      <c r="E18" s="119"/>
      <c r="F18" s="119"/>
      <c r="G18">
        <v>2.2900000214576721E-2</v>
      </c>
      <c r="H18">
        <v>0.18490000069141391</v>
      </c>
      <c r="I18">
        <v>2.500000037252903E-2</v>
      </c>
      <c r="J18">
        <v>6.8400003015995026E-2</v>
      </c>
      <c r="K18">
        <v>7.2599999606609344E-2</v>
      </c>
      <c r="L18">
        <v>0.24259999394416809</v>
      </c>
      <c r="M18">
        <v>5.0099998712539673E-2</v>
      </c>
      <c r="N18">
        <v>9.7300000488758087E-2</v>
      </c>
    </row>
    <row r="19" spans="1:14" ht="15" x14ac:dyDescent="0.25">
      <c r="A19" s="186"/>
      <c r="B19" s="119">
        <f t="shared" si="1"/>
        <v>15</v>
      </c>
      <c r="C19" s="119" t="s">
        <v>62</v>
      </c>
      <c r="D19" s="119">
        <v>2</v>
      </c>
      <c r="E19" s="119"/>
      <c r="F19" s="119"/>
      <c r="G19">
        <v>3.0400000512599949E-2</v>
      </c>
      <c r="H19">
        <v>0.19239999353885651</v>
      </c>
      <c r="I19">
        <v>2.6799999177455899E-2</v>
      </c>
      <c r="J19">
        <v>6.9399997591972351E-2</v>
      </c>
      <c r="K19">
        <v>6.9399997591972351E-2</v>
      </c>
      <c r="L19">
        <v>0.20450000464916229</v>
      </c>
      <c r="M19">
        <v>7.0600003004074097E-2</v>
      </c>
      <c r="N19">
        <v>0.11729999631643299</v>
      </c>
    </row>
    <row r="20" spans="1:14" ht="15" x14ac:dyDescent="0.25">
      <c r="A20" s="186"/>
      <c r="B20" s="119">
        <f t="shared" si="1"/>
        <v>16</v>
      </c>
      <c r="C20" s="119" t="s">
        <v>37</v>
      </c>
      <c r="D20" s="119">
        <v>5.5</v>
      </c>
      <c r="E20" s="119"/>
      <c r="F20" s="119"/>
      <c r="G20">
        <v>2.3199999704957008E-2</v>
      </c>
      <c r="H20">
        <v>0.18520000576972959</v>
      </c>
      <c r="I20">
        <v>2.0199999213218689E-2</v>
      </c>
      <c r="J20">
        <v>6.289999932050705E-2</v>
      </c>
      <c r="K20">
        <v>0.119499996304512</v>
      </c>
      <c r="L20">
        <v>0.17219999432563779</v>
      </c>
      <c r="M20">
        <v>9.3699999153614044E-2</v>
      </c>
      <c r="N20">
        <v>0.14090000092983249</v>
      </c>
    </row>
    <row r="21" spans="1:14" ht="15" x14ac:dyDescent="0.25">
      <c r="A21" s="186"/>
      <c r="B21" s="119">
        <f t="shared" si="1"/>
        <v>17</v>
      </c>
      <c r="C21" s="119" t="s">
        <v>18</v>
      </c>
      <c r="D21" s="119">
        <v>12</v>
      </c>
      <c r="E21" s="119"/>
      <c r="F21" s="119"/>
      <c r="G21">
        <v>1.6499999910593029E-2</v>
      </c>
      <c r="H21">
        <v>0.17810000479221341</v>
      </c>
      <c r="I21">
        <v>1.099999994039536E-2</v>
      </c>
      <c r="J21">
        <v>4.9899999052286148E-2</v>
      </c>
      <c r="K21">
        <v>0.1458999961614609</v>
      </c>
      <c r="L21">
        <v>0.1474999934434891</v>
      </c>
      <c r="M21">
        <v>0.1102000027894974</v>
      </c>
      <c r="N21">
        <v>0.15760000050067899</v>
      </c>
    </row>
    <row r="22" spans="1:14" ht="15" x14ac:dyDescent="0.25">
      <c r="A22" s="186"/>
      <c r="B22" s="119">
        <f t="shared" si="1"/>
        <v>18</v>
      </c>
      <c r="C22" s="119" t="s">
        <v>66</v>
      </c>
      <c r="D22" s="119">
        <v>3.5</v>
      </c>
      <c r="E22" s="119"/>
      <c r="F22" s="119"/>
      <c r="G22">
        <v>2.999999932944775E-2</v>
      </c>
      <c r="H22">
        <v>0.19200000166893011</v>
      </c>
      <c r="I22">
        <v>2.6599999517202381E-2</v>
      </c>
      <c r="J22">
        <v>6.9200001657009125E-2</v>
      </c>
      <c r="K22">
        <v>0.12690000236034391</v>
      </c>
      <c r="L22">
        <v>0.15539999306201929</v>
      </c>
      <c r="M22">
        <v>0.1032999977469444</v>
      </c>
      <c r="N22">
        <v>0.15060000121593481</v>
      </c>
    </row>
    <row r="23" spans="1:14" ht="15" x14ac:dyDescent="0.25">
      <c r="A23" s="187"/>
      <c r="B23" s="187"/>
      <c r="C23" s="187"/>
      <c r="D23" s="187"/>
      <c r="E23" s="121" t="s">
        <v>92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27</v>
      </c>
      <c r="D24" s="119">
        <v>13.5</v>
      </c>
      <c r="E24" s="119"/>
      <c r="F24" s="119"/>
      <c r="G24">
        <v>2.2500000894069672E-2</v>
      </c>
      <c r="H24">
        <v>0.18449999392032621</v>
      </c>
      <c r="I24">
        <v>2.1900000050663952E-2</v>
      </c>
      <c r="J24">
        <v>6.5300002694129944E-2</v>
      </c>
      <c r="K24">
        <v>0.11810000240802759</v>
      </c>
      <c r="L24">
        <v>0.19570000469684601</v>
      </c>
      <c r="M24">
        <v>0.1106999963521957</v>
      </c>
      <c r="N24">
        <v>0.15700000524520871</v>
      </c>
    </row>
    <row r="25" spans="1:14" ht="15" x14ac:dyDescent="0.25">
      <c r="A25" s="186"/>
      <c r="B25" s="119">
        <f t="shared" ref="B25:B32" si="2">B24+1</f>
        <v>20</v>
      </c>
      <c r="C25" s="119" t="s">
        <v>80</v>
      </c>
      <c r="D25" s="119">
        <v>5.5</v>
      </c>
      <c r="E25" s="119"/>
      <c r="F25" s="119"/>
      <c r="G25">
        <v>2.5599999353289601E-2</v>
      </c>
      <c r="H25">
        <v>0.1875</v>
      </c>
      <c r="I25">
        <v>2.300000004470348E-2</v>
      </c>
      <c r="J25">
        <v>6.5999999642372131E-2</v>
      </c>
      <c r="K25">
        <v>0.13709999620914459</v>
      </c>
      <c r="L25">
        <v>0.14000000059604639</v>
      </c>
      <c r="M25">
        <v>0.1229000017046928</v>
      </c>
      <c r="N25">
        <v>0.16899999976158139</v>
      </c>
    </row>
    <row r="26" spans="1:14" ht="15" x14ac:dyDescent="0.25">
      <c r="A26" s="186"/>
      <c r="B26" s="119">
        <f t="shared" si="2"/>
        <v>21</v>
      </c>
      <c r="C26" s="119" t="s">
        <v>66</v>
      </c>
      <c r="D26" s="119">
        <v>7</v>
      </c>
      <c r="E26" s="119"/>
      <c r="F26" s="119"/>
      <c r="G26">
        <v>2.3299999535083771E-2</v>
      </c>
      <c r="H26">
        <v>0.1852999925613403</v>
      </c>
      <c r="I26">
        <v>1.9899999722838398E-2</v>
      </c>
      <c r="J26">
        <v>6.2399998307228088E-2</v>
      </c>
      <c r="K26">
        <v>0.16230000555515289</v>
      </c>
      <c r="L26">
        <v>0.10790000110864641</v>
      </c>
      <c r="M26">
        <v>0.1292999982833862</v>
      </c>
      <c r="N26">
        <v>0.1750999987125397</v>
      </c>
    </row>
    <row r="27" spans="1:14" ht="15" x14ac:dyDescent="0.25">
      <c r="A27" s="186"/>
      <c r="B27" s="119">
        <f t="shared" si="2"/>
        <v>22</v>
      </c>
      <c r="C27" s="119" t="s">
        <v>24</v>
      </c>
      <c r="D27" s="119">
        <v>8</v>
      </c>
      <c r="E27" s="119"/>
      <c r="F27" s="119"/>
      <c r="G27">
        <v>2.6100000366568569E-2</v>
      </c>
      <c r="H27">
        <v>0.18819999694824219</v>
      </c>
      <c r="I27">
        <v>3.020000085234642E-2</v>
      </c>
      <c r="J27">
        <v>7.3899999260902405E-2</v>
      </c>
      <c r="K27">
        <v>0.1011999994516373</v>
      </c>
      <c r="L27">
        <v>0.17689999938011169</v>
      </c>
      <c r="M27">
        <v>0.1102000027894974</v>
      </c>
      <c r="N27">
        <v>0.15620000660419461</v>
      </c>
    </row>
    <row r="28" spans="1:14" ht="15" x14ac:dyDescent="0.25">
      <c r="A28" s="186"/>
      <c r="B28" s="119">
        <f t="shared" si="2"/>
        <v>23</v>
      </c>
      <c r="C28" s="119" t="s">
        <v>21</v>
      </c>
      <c r="D28" s="119">
        <v>6.5</v>
      </c>
      <c r="E28" s="119"/>
      <c r="F28" s="119"/>
      <c r="G28">
        <v>2.4599999189376831E-2</v>
      </c>
      <c r="H28">
        <v>0.18659999966621399</v>
      </c>
      <c r="I28">
        <v>2.7100000530481339E-2</v>
      </c>
      <c r="J28">
        <v>7.0600003004074097E-2</v>
      </c>
      <c r="K28">
        <v>9.4099998474121094E-2</v>
      </c>
      <c r="L28">
        <v>0.18170000612735751</v>
      </c>
      <c r="M28">
        <v>0.1119000017642975</v>
      </c>
      <c r="N28">
        <v>0.15809999406337741</v>
      </c>
    </row>
    <row r="29" spans="1:14" ht="15" x14ac:dyDescent="0.25">
      <c r="A29" s="186"/>
      <c r="B29" s="119">
        <f t="shared" si="2"/>
        <v>24</v>
      </c>
      <c r="C29" s="119" t="s">
        <v>80</v>
      </c>
      <c r="D29" s="119">
        <v>6</v>
      </c>
      <c r="E29" s="119"/>
      <c r="F29" s="119"/>
      <c r="G29">
        <v>1.1599999852478501E-2</v>
      </c>
      <c r="H29">
        <v>0.17360000312328339</v>
      </c>
      <c r="I29">
        <v>1.4200000092387199E-2</v>
      </c>
      <c r="J29">
        <v>5.7900000363588333E-2</v>
      </c>
      <c r="K29">
        <v>0.1011999994516373</v>
      </c>
      <c r="L29">
        <v>0.19570000469684601</v>
      </c>
      <c r="M29">
        <v>0.1136000007390976</v>
      </c>
      <c r="N29">
        <v>0.15979999303817749</v>
      </c>
    </row>
    <row r="30" spans="1:14" ht="15" x14ac:dyDescent="0.25">
      <c r="A30" s="186"/>
      <c r="B30" s="119">
        <f t="shared" si="2"/>
        <v>25</v>
      </c>
      <c r="C30" s="119" t="s">
        <v>16</v>
      </c>
      <c r="D30" s="119">
        <v>11</v>
      </c>
      <c r="E30" s="119"/>
      <c r="F30" s="119"/>
      <c r="G30">
        <v>1.18000004440546E-2</v>
      </c>
      <c r="H30">
        <v>0.1737000048160553</v>
      </c>
      <c r="I30">
        <v>1.1400000192224979E-2</v>
      </c>
      <c r="J30">
        <v>5.469999834895134E-2</v>
      </c>
      <c r="K30">
        <v>7.4299998581409454E-2</v>
      </c>
      <c r="L30">
        <v>0.19490000605583191</v>
      </c>
      <c r="M30">
        <v>7.4299998581409454E-2</v>
      </c>
      <c r="N30">
        <v>0.119099996984005</v>
      </c>
    </row>
    <row r="31" spans="1:14" ht="15" x14ac:dyDescent="0.25">
      <c r="A31" s="186"/>
      <c r="B31" s="119">
        <f t="shared" si="2"/>
        <v>26</v>
      </c>
      <c r="C31" s="119" t="s">
        <v>50</v>
      </c>
      <c r="D31" s="119">
        <v>7</v>
      </c>
      <c r="E31" s="119"/>
      <c r="F31" s="119"/>
      <c r="G31">
        <v>2.370000071823597E-2</v>
      </c>
      <c r="H31">
        <v>0.18569999933242801</v>
      </c>
      <c r="I31">
        <v>2.3299999535083771E-2</v>
      </c>
      <c r="J31">
        <v>6.6500000655651093E-2</v>
      </c>
      <c r="K31">
        <v>0.1030000001192093</v>
      </c>
      <c r="L31">
        <v>0.17839999496936801</v>
      </c>
      <c r="M31">
        <v>7.9000003635883331E-2</v>
      </c>
      <c r="N31">
        <v>0.12600000202655789</v>
      </c>
    </row>
    <row r="32" spans="1:14" ht="15" x14ac:dyDescent="0.25">
      <c r="A32" s="186"/>
      <c r="B32" s="119">
        <f t="shared" si="2"/>
        <v>27</v>
      </c>
      <c r="C32" s="119" t="s">
        <v>46</v>
      </c>
      <c r="D32" s="119">
        <v>10.5</v>
      </c>
      <c r="E32" s="119"/>
      <c r="F32" s="119"/>
      <c r="G32">
        <v>1.6000000759959221E-2</v>
      </c>
      <c r="H32">
        <v>0.1780000030994415</v>
      </c>
      <c r="I32">
        <v>1.480000000447035E-2</v>
      </c>
      <c r="J32">
        <v>5.7399999350309372E-2</v>
      </c>
      <c r="K32">
        <v>9.2500001192092896E-2</v>
      </c>
      <c r="L32">
        <v>0.2043000012636185</v>
      </c>
      <c r="M32">
        <v>7.6200000941753387E-2</v>
      </c>
      <c r="N32">
        <v>0.1233000010251999</v>
      </c>
    </row>
    <row r="33" spans="1:14" ht="15" x14ac:dyDescent="0.25">
      <c r="A33" s="187"/>
      <c r="B33" s="187"/>
      <c r="C33" s="187"/>
      <c r="D33" s="187"/>
      <c r="E33" s="121" t="s">
        <v>159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18</v>
      </c>
      <c r="D34" s="119">
        <v>14</v>
      </c>
      <c r="E34" s="119"/>
      <c r="F34" s="119"/>
      <c r="G34">
        <v>1.18000004440546E-2</v>
      </c>
      <c r="H34">
        <v>0.17380000650882721</v>
      </c>
      <c r="I34">
        <v>1.150000002235174E-2</v>
      </c>
      <c r="J34">
        <v>5.4400000721216202E-2</v>
      </c>
      <c r="K34">
        <v>7.3899999260902405E-2</v>
      </c>
      <c r="L34">
        <v>0.24660000205039981</v>
      </c>
      <c r="M34">
        <v>6.679999828338623E-2</v>
      </c>
      <c r="N34">
        <v>0.1121999993920326</v>
      </c>
    </row>
    <row r="35" spans="1:14" ht="15" x14ac:dyDescent="0.25">
      <c r="A35" s="186"/>
      <c r="B35" s="119">
        <f t="shared" ref="B35:B42" si="3">B34+1</f>
        <v>29</v>
      </c>
      <c r="C35" s="119" t="s">
        <v>59</v>
      </c>
      <c r="D35" s="119">
        <v>12.5</v>
      </c>
      <c r="E35" s="119"/>
      <c r="F35" s="119"/>
      <c r="G35">
        <v>9.3000000342726707E-3</v>
      </c>
      <c r="H35">
        <v>0.17139999568462369</v>
      </c>
      <c r="I35">
        <v>1.0099999606609339E-2</v>
      </c>
      <c r="J35">
        <v>5.3100001066923141E-2</v>
      </c>
      <c r="K35">
        <v>6.9899998605251312E-2</v>
      </c>
      <c r="L35">
        <v>0.24619999527931211</v>
      </c>
      <c r="M35">
        <v>5.2700001746416092E-2</v>
      </c>
      <c r="N35">
        <v>9.9500000476837158E-2</v>
      </c>
    </row>
    <row r="36" spans="1:14" ht="15" x14ac:dyDescent="0.25">
      <c r="A36" s="186"/>
      <c r="B36" s="119">
        <f t="shared" si="3"/>
        <v>30</v>
      </c>
      <c r="C36" s="119" t="s">
        <v>23</v>
      </c>
      <c r="D36" s="119">
        <v>27</v>
      </c>
      <c r="E36" s="119"/>
      <c r="F36" s="119"/>
      <c r="G36">
        <v>9.3999998643994331E-3</v>
      </c>
      <c r="H36">
        <v>0.17139999568462369</v>
      </c>
      <c r="I36">
        <v>9.3999998643994331E-3</v>
      </c>
      <c r="J36">
        <v>5.2299998700618737E-2</v>
      </c>
      <c r="K36">
        <v>0.1125999987125397</v>
      </c>
      <c r="L36">
        <v>0.26179999113082891</v>
      </c>
      <c r="M36">
        <v>6.4300000667572021E-2</v>
      </c>
      <c r="N36">
        <v>0.1116999983787537</v>
      </c>
    </row>
    <row r="37" spans="1:14" ht="15" x14ac:dyDescent="0.25">
      <c r="A37" s="186"/>
      <c r="B37" s="119">
        <f t="shared" si="3"/>
        <v>31</v>
      </c>
      <c r="C37" s="119" t="s">
        <v>24</v>
      </c>
      <c r="D37" s="119">
        <v>4.5</v>
      </c>
      <c r="E37" s="119"/>
      <c r="F37" s="119"/>
      <c r="G37">
        <v>3.1700000166893012E-2</v>
      </c>
      <c r="H37">
        <v>0.19359999895095831</v>
      </c>
      <c r="I37">
        <v>2.7899999171495441E-2</v>
      </c>
      <c r="J37">
        <v>7.0699997246265411E-2</v>
      </c>
      <c r="K37">
        <v>0.14699999988079071</v>
      </c>
      <c r="L37">
        <v>0.15739999711513519</v>
      </c>
      <c r="M37">
        <v>0.12590000033378601</v>
      </c>
      <c r="N37">
        <v>0.1730999946594238</v>
      </c>
    </row>
    <row r="38" spans="1:14" ht="15" x14ac:dyDescent="0.25">
      <c r="A38" s="186"/>
      <c r="B38" s="119">
        <f t="shared" si="3"/>
        <v>32</v>
      </c>
      <c r="C38" s="119" t="s">
        <v>70</v>
      </c>
      <c r="D38" s="119">
        <v>4</v>
      </c>
      <c r="E38" s="119"/>
      <c r="F38" s="119"/>
      <c r="G38">
        <v>2.2500000894069672E-2</v>
      </c>
      <c r="H38">
        <v>0.18449999392032621</v>
      </c>
      <c r="I38">
        <v>2.0199999213218689E-2</v>
      </c>
      <c r="J38">
        <v>6.2700003385543823E-2</v>
      </c>
      <c r="K38">
        <v>0.14440000057220459</v>
      </c>
      <c r="L38">
        <v>0.16550000011920929</v>
      </c>
      <c r="M38">
        <v>0.12610000371932981</v>
      </c>
      <c r="N38">
        <v>0.1729000061750412</v>
      </c>
    </row>
    <row r="39" spans="1:14" ht="15" x14ac:dyDescent="0.25">
      <c r="A39" s="186"/>
      <c r="B39" s="119">
        <f t="shared" si="3"/>
        <v>33</v>
      </c>
      <c r="C39" s="119" t="s">
        <v>38</v>
      </c>
      <c r="D39" s="119">
        <v>7.5</v>
      </c>
      <c r="E39" s="119"/>
      <c r="F39" s="119"/>
      <c r="G39">
        <v>1.6899999231100079E-2</v>
      </c>
      <c r="H39">
        <v>0.1788000017404556</v>
      </c>
      <c r="I39">
        <v>1.4899999834597111E-2</v>
      </c>
      <c r="J39">
        <v>5.7900000363588333E-2</v>
      </c>
      <c r="K39">
        <v>0.1344999969005585</v>
      </c>
      <c r="L39">
        <v>0.16380000114440921</v>
      </c>
      <c r="M39">
        <v>0.1076000034809113</v>
      </c>
      <c r="N39">
        <v>0.15440000593662259</v>
      </c>
    </row>
    <row r="40" spans="1:14" ht="15" x14ac:dyDescent="0.25">
      <c r="A40" s="186"/>
      <c r="B40" s="119">
        <f t="shared" si="3"/>
        <v>34</v>
      </c>
      <c r="C40" s="119" t="s">
        <v>16</v>
      </c>
      <c r="D40" s="119">
        <v>10.5</v>
      </c>
      <c r="E40" s="122"/>
      <c r="F40" s="122"/>
      <c r="G40">
        <v>2.4800000712275509E-2</v>
      </c>
      <c r="H40">
        <v>0.18680000305175781</v>
      </c>
      <c r="I40">
        <v>2.1900000050663952E-2</v>
      </c>
      <c r="J40">
        <v>6.3600003719329834E-2</v>
      </c>
      <c r="K40">
        <v>0.1418000012636185</v>
      </c>
      <c r="L40">
        <v>0.14710000157356259</v>
      </c>
      <c r="M40">
        <v>0.1200999990105629</v>
      </c>
      <c r="N40">
        <v>0.16709999740123749</v>
      </c>
    </row>
    <row r="41" spans="1:14" ht="15" x14ac:dyDescent="0.25">
      <c r="A41" s="186"/>
      <c r="B41" s="119">
        <f t="shared" si="3"/>
        <v>35</v>
      </c>
      <c r="C41" s="119" t="s">
        <v>70</v>
      </c>
      <c r="D41" s="119">
        <v>4</v>
      </c>
      <c r="E41" s="122"/>
      <c r="F41" s="122"/>
      <c r="G41">
        <v>2.2199999541044239E-2</v>
      </c>
      <c r="H41">
        <v>0.18410000205039981</v>
      </c>
      <c r="I41">
        <v>2.0500000566244129E-2</v>
      </c>
      <c r="J41">
        <v>6.3600003719329834E-2</v>
      </c>
      <c r="K41">
        <v>9.1200001537799835E-2</v>
      </c>
      <c r="L41">
        <v>0.21629999577999109</v>
      </c>
      <c r="M41">
        <v>8.5799999535083771E-2</v>
      </c>
      <c r="N41">
        <v>0.13320000469684601</v>
      </c>
    </row>
    <row r="42" spans="1:14" ht="15" x14ac:dyDescent="0.25">
      <c r="A42" s="186"/>
      <c r="B42" s="123">
        <f t="shared" si="3"/>
        <v>36</v>
      </c>
      <c r="C42" s="123" t="s">
        <v>14</v>
      </c>
      <c r="D42" s="123">
        <v>20</v>
      </c>
      <c r="E42" s="124"/>
      <c r="F42" s="124"/>
      <c r="G42">
        <v>6.3000000081956387E-3</v>
      </c>
      <c r="H42">
        <v>0.16830000281333921</v>
      </c>
      <c r="I42">
        <v>1.1599999852478501E-2</v>
      </c>
      <c r="J42">
        <v>5.5500000715255737E-2</v>
      </c>
      <c r="K42">
        <v>0.1111000031232834</v>
      </c>
      <c r="L42">
        <v>0.30799999833106989</v>
      </c>
      <c r="M42">
        <v>4.8000000417232513E-2</v>
      </c>
      <c r="N42">
        <v>9.3500003218650818E-2</v>
      </c>
    </row>
    <row r="43" spans="1:14" ht="15" x14ac:dyDescent="0.25">
      <c r="A43" s="187"/>
      <c r="B43" s="187"/>
      <c r="C43" s="187"/>
      <c r="D43" s="187"/>
      <c r="E43" s="121" t="s">
        <v>92</v>
      </c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XFD1048576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25</v>
      </c>
      <c r="D4" s="119">
        <v>10.5</v>
      </c>
      <c r="E4" s="119" t="s">
        <v>318</v>
      </c>
      <c r="F4" s="119" t="s">
        <v>160</v>
      </c>
      <c r="G4">
        <v>0.13429999351501459</v>
      </c>
      <c r="H4">
        <v>2.8500000014901161E-2</v>
      </c>
      <c r="I4">
        <v>0.13950000703334811</v>
      </c>
      <c r="J4">
        <v>9.5899999141693115E-2</v>
      </c>
      <c r="K4">
        <v>0.35890001058578491</v>
      </c>
      <c r="L4">
        <v>0.34670001268386841</v>
      </c>
      <c r="M4">
        <v>0.25339999794960022</v>
      </c>
      <c r="N4">
        <v>0.30000001192092901</v>
      </c>
    </row>
    <row r="5" spans="1:14" ht="15" x14ac:dyDescent="0.25">
      <c r="A5" s="186"/>
      <c r="B5" s="119">
        <f t="shared" ref="B5:B12" si="0">B4+1</f>
        <v>2</v>
      </c>
      <c r="C5" s="120" t="s">
        <v>26</v>
      </c>
      <c r="D5" s="119">
        <v>13.5</v>
      </c>
      <c r="E5" s="119"/>
      <c r="F5" s="119"/>
      <c r="G5">
        <v>0.1542000025510788</v>
      </c>
      <c r="H5">
        <v>8.7000001221895218E-3</v>
      </c>
      <c r="I5">
        <v>0.14869999885559079</v>
      </c>
      <c r="J5">
        <v>0.10580000281333921</v>
      </c>
      <c r="K5">
        <v>0.33730000257492071</v>
      </c>
      <c r="L5">
        <v>0.31959998607635498</v>
      </c>
      <c r="M5">
        <v>0.24160000681877139</v>
      </c>
      <c r="N5">
        <v>0.28799998760223389</v>
      </c>
    </row>
    <row r="6" spans="1:14" ht="15" x14ac:dyDescent="0.25">
      <c r="A6" s="186"/>
      <c r="B6" s="119">
        <f t="shared" si="0"/>
        <v>3</v>
      </c>
      <c r="C6" s="119" t="s">
        <v>106</v>
      </c>
      <c r="D6" s="119">
        <v>11</v>
      </c>
      <c r="E6" s="119"/>
      <c r="F6" s="119"/>
      <c r="G6">
        <v>0.16349999606609339</v>
      </c>
      <c r="H6">
        <v>3.8000000640749931E-3</v>
      </c>
      <c r="I6">
        <v>0.1606999933719635</v>
      </c>
      <c r="J6">
        <v>0.1176000013947487</v>
      </c>
      <c r="K6">
        <v>0.33739998936653143</v>
      </c>
      <c r="L6">
        <v>0.32269999384880071</v>
      </c>
      <c r="M6">
        <v>0.23350000381469729</v>
      </c>
      <c r="N6">
        <v>0.2800000011920929</v>
      </c>
    </row>
    <row r="7" spans="1:14" ht="15" x14ac:dyDescent="0.25">
      <c r="A7" s="186"/>
      <c r="B7" s="119">
        <f t="shared" si="0"/>
        <v>4</v>
      </c>
      <c r="C7" s="119" t="s">
        <v>80</v>
      </c>
      <c r="D7" s="119">
        <v>5.5</v>
      </c>
      <c r="E7" s="119"/>
      <c r="F7" s="119"/>
      <c r="G7">
        <v>7.5499996542930603E-2</v>
      </c>
      <c r="H7">
        <v>8.6499996483325958E-2</v>
      </c>
      <c r="I7">
        <v>8.4600001573562622E-2</v>
      </c>
      <c r="J7">
        <v>4.0800001472234733E-2</v>
      </c>
      <c r="K7">
        <v>0.36449998617172241</v>
      </c>
      <c r="L7">
        <v>0.32929998636245728</v>
      </c>
      <c r="M7">
        <v>0.24799999594688421</v>
      </c>
      <c r="N7">
        <v>0.29409998655319208</v>
      </c>
    </row>
    <row r="8" spans="1:14" ht="15" x14ac:dyDescent="0.25">
      <c r="A8" s="186"/>
      <c r="B8" s="119">
        <f t="shared" si="0"/>
        <v>5</v>
      </c>
      <c r="C8" s="119" t="s">
        <v>106</v>
      </c>
      <c r="D8" s="119">
        <v>11</v>
      </c>
      <c r="E8" s="119"/>
      <c r="F8" s="119"/>
      <c r="G8">
        <v>0.1169999986886978</v>
      </c>
      <c r="H8">
        <v>4.5000001788139343E-2</v>
      </c>
      <c r="I8">
        <v>0.1379999965429306</v>
      </c>
      <c r="J8">
        <v>9.4200000166893005E-2</v>
      </c>
      <c r="K8">
        <v>0.36230000853538508</v>
      </c>
      <c r="L8">
        <v>0.33030000329017639</v>
      </c>
      <c r="M8">
        <v>0.2381000071763992</v>
      </c>
      <c r="N8">
        <v>0.2849000096321106</v>
      </c>
    </row>
    <row r="9" spans="1:14" ht="15" x14ac:dyDescent="0.25">
      <c r="A9" s="186"/>
      <c r="B9" s="119">
        <f t="shared" si="0"/>
        <v>6</v>
      </c>
      <c r="C9" s="119" t="s">
        <v>21</v>
      </c>
      <c r="D9" s="119">
        <v>5</v>
      </c>
      <c r="E9" s="119"/>
      <c r="F9" s="119"/>
      <c r="G9">
        <v>0.13060000538825989</v>
      </c>
      <c r="H9">
        <v>3.1599998474121087E-2</v>
      </c>
      <c r="I9">
        <v>0.14129999279975891</v>
      </c>
      <c r="J9">
        <v>9.7599998116493225E-2</v>
      </c>
      <c r="K9">
        <v>0.3529999852180481</v>
      </c>
      <c r="L9">
        <v>0.34220001101493841</v>
      </c>
      <c r="M9">
        <v>0.23579999804496771</v>
      </c>
      <c r="N9">
        <v>0.28200000524520868</v>
      </c>
    </row>
    <row r="10" spans="1:14" ht="15" x14ac:dyDescent="0.25">
      <c r="A10" s="186"/>
      <c r="B10" s="119">
        <f t="shared" si="0"/>
        <v>7</v>
      </c>
      <c r="C10" s="119" t="s">
        <v>45</v>
      </c>
      <c r="D10" s="119">
        <v>8.5</v>
      </c>
      <c r="E10" s="119"/>
      <c r="F10" s="119"/>
      <c r="G10">
        <v>9.9399998784065247E-2</v>
      </c>
      <c r="H10">
        <v>6.2700003385543823E-2</v>
      </c>
      <c r="I10">
        <v>8.9800000190734863E-2</v>
      </c>
      <c r="J10">
        <v>4.8099998384714127E-2</v>
      </c>
      <c r="K10">
        <v>0.3700999915599823</v>
      </c>
      <c r="L10">
        <v>0.33680000901222229</v>
      </c>
      <c r="M10">
        <v>0.24629999697208399</v>
      </c>
      <c r="N10">
        <v>0.29229998588562012</v>
      </c>
    </row>
    <row r="11" spans="1:14" ht="15" x14ac:dyDescent="0.25">
      <c r="A11" s="186"/>
      <c r="B11" s="119">
        <f t="shared" si="0"/>
        <v>8</v>
      </c>
      <c r="C11" s="119" t="s">
        <v>21</v>
      </c>
      <c r="D11" s="119">
        <v>3</v>
      </c>
      <c r="E11" s="119"/>
      <c r="F11" s="119"/>
      <c r="G11">
        <v>0.1445000022649765</v>
      </c>
      <c r="H11">
        <v>1.7599999904632568E-2</v>
      </c>
      <c r="I11">
        <v>0.1483000069856644</v>
      </c>
      <c r="J11">
        <v>0.10490000247955319</v>
      </c>
      <c r="K11">
        <v>0.34729999303817749</v>
      </c>
      <c r="L11">
        <v>0.33989998698234558</v>
      </c>
      <c r="M11">
        <v>0.2407999932765961</v>
      </c>
      <c r="N11">
        <v>0.28720000386238098</v>
      </c>
    </row>
    <row r="12" spans="1:14" ht="15" x14ac:dyDescent="0.25">
      <c r="A12" s="186"/>
      <c r="B12" s="119">
        <f t="shared" si="0"/>
        <v>9</v>
      </c>
      <c r="C12" s="119" t="s">
        <v>24</v>
      </c>
      <c r="D12" s="119">
        <v>2</v>
      </c>
      <c r="E12" s="119"/>
      <c r="F12" s="119"/>
      <c r="G12">
        <v>0.1284999996423721</v>
      </c>
      <c r="H12">
        <v>3.3500000834465027E-2</v>
      </c>
      <c r="I12">
        <v>0.13889999687671661</v>
      </c>
      <c r="J12">
        <v>9.5299996435642242E-2</v>
      </c>
      <c r="K12">
        <v>0.35350000858306879</v>
      </c>
      <c r="L12">
        <v>0.34020000696182251</v>
      </c>
      <c r="M12">
        <v>0.24500000476837161</v>
      </c>
      <c r="N12">
        <v>0.29120001196861273</v>
      </c>
    </row>
    <row r="13" spans="1:14" ht="15" x14ac:dyDescent="0.25">
      <c r="A13" s="187"/>
      <c r="B13" s="187"/>
      <c r="C13" s="187"/>
      <c r="D13" s="187"/>
      <c r="E13" s="121" t="s">
        <v>92</v>
      </c>
      <c r="F13" s="121" t="s">
        <v>22</v>
      </c>
    </row>
    <row r="14" spans="1:14" ht="15" x14ac:dyDescent="0.25">
      <c r="A14" s="186" t="s">
        <v>152</v>
      </c>
      <c r="B14" s="119">
        <f>B12+1</f>
        <v>10</v>
      </c>
      <c r="C14" s="119" t="s">
        <v>33</v>
      </c>
      <c r="D14" s="119">
        <v>22.5</v>
      </c>
      <c r="E14" s="119"/>
      <c r="F14" s="119" t="s">
        <v>161</v>
      </c>
      <c r="G14">
        <v>0.33790001273155212</v>
      </c>
      <c r="H14">
        <v>0.1758999973535538</v>
      </c>
      <c r="I14">
        <v>0.36919999122619629</v>
      </c>
      <c r="J14">
        <v>0.3255000114440918</v>
      </c>
      <c r="K14">
        <v>0.32870000600814819</v>
      </c>
      <c r="L14">
        <v>0.32690000534057623</v>
      </c>
      <c r="M14">
        <v>0.25560000538825989</v>
      </c>
      <c r="N14">
        <v>0.30149999260902399</v>
      </c>
    </row>
    <row r="15" spans="1:14" ht="15" x14ac:dyDescent="0.25">
      <c r="A15" s="186"/>
      <c r="B15" s="119">
        <f t="shared" ref="B15:B22" si="1">B14+1</f>
        <v>11</v>
      </c>
      <c r="C15" s="119" t="s">
        <v>80</v>
      </c>
      <c r="D15" s="119">
        <v>6.5</v>
      </c>
      <c r="E15" s="119"/>
      <c r="F15" s="119"/>
      <c r="G15">
        <v>2.7799999341368679E-2</v>
      </c>
      <c r="H15">
        <v>0.13429999351501459</v>
      </c>
      <c r="I15">
        <v>3.880000114440918E-2</v>
      </c>
      <c r="J15">
        <v>8.1000002101063728E-3</v>
      </c>
      <c r="K15">
        <v>0.33590000867843628</v>
      </c>
      <c r="L15">
        <v>0.36590000987052917</v>
      </c>
      <c r="M15">
        <v>0.21549999713897711</v>
      </c>
      <c r="N15">
        <v>0.2621999979019165</v>
      </c>
    </row>
    <row r="16" spans="1:14" ht="15" x14ac:dyDescent="0.25">
      <c r="A16" s="186"/>
      <c r="B16" s="119">
        <f t="shared" si="1"/>
        <v>12</v>
      </c>
      <c r="C16" s="119" t="s">
        <v>43</v>
      </c>
      <c r="D16" s="119">
        <v>18</v>
      </c>
      <c r="E16" s="119"/>
      <c r="F16" s="129"/>
      <c r="G16">
        <v>4.9699999392032623E-2</v>
      </c>
      <c r="H16">
        <v>0.11230000108480449</v>
      </c>
      <c r="I16">
        <v>5.6800000369548798E-2</v>
      </c>
      <c r="J16">
        <v>1.30000002682209E-2</v>
      </c>
      <c r="K16">
        <v>0.32310000061988831</v>
      </c>
      <c r="L16">
        <v>0.36910000443458563</v>
      </c>
      <c r="M16">
        <v>0.18880000710487371</v>
      </c>
      <c r="N16">
        <v>0.23589999973773959</v>
      </c>
    </row>
    <row r="17" spans="1:14" ht="15" x14ac:dyDescent="0.25">
      <c r="A17" s="186"/>
      <c r="B17" s="119">
        <f t="shared" si="1"/>
        <v>13</v>
      </c>
      <c r="C17" s="119" t="s">
        <v>43</v>
      </c>
      <c r="D17" s="119">
        <v>25</v>
      </c>
      <c r="E17" s="119"/>
      <c r="F17" s="119"/>
      <c r="G17">
        <v>5.3599998354911797E-2</v>
      </c>
      <c r="H17">
        <v>0.1084000021219254</v>
      </c>
      <c r="I17">
        <v>7.3399998247623444E-2</v>
      </c>
      <c r="J17">
        <v>3.0099999159574509E-2</v>
      </c>
      <c r="K17">
        <v>0.34279999136924738</v>
      </c>
      <c r="L17">
        <v>0.3596000075340271</v>
      </c>
      <c r="M17">
        <v>0.2231999933719635</v>
      </c>
      <c r="N17">
        <v>0.26960000395774841</v>
      </c>
    </row>
    <row r="18" spans="1:14" ht="15" x14ac:dyDescent="0.25">
      <c r="A18" s="186"/>
      <c r="B18" s="119">
        <f t="shared" si="1"/>
        <v>14</v>
      </c>
      <c r="C18" s="119" t="s">
        <v>18</v>
      </c>
      <c r="D18" s="119">
        <v>12.5</v>
      </c>
      <c r="E18" s="119"/>
      <c r="F18" s="119" t="s">
        <v>162</v>
      </c>
      <c r="G18">
        <v>2.9400000348687168E-2</v>
      </c>
      <c r="H18">
        <v>0.13259999454021451</v>
      </c>
      <c r="I18">
        <v>3.3100001513957977E-2</v>
      </c>
      <c r="J18">
        <v>1.080000028014183E-2</v>
      </c>
      <c r="K18">
        <v>0.34860000014305109</v>
      </c>
      <c r="L18">
        <v>0.26530000567436218</v>
      </c>
      <c r="M18">
        <v>0.2457000017166138</v>
      </c>
      <c r="N18">
        <v>0.29179999232292181</v>
      </c>
    </row>
    <row r="19" spans="1:14" ht="15" x14ac:dyDescent="0.25">
      <c r="A19" s="186"/>
      <c r="B19" s="119">
        <f t="shared" si="1"/>
        <v>15</v>
      </c>
      <c r="C19" s="119" t="s">
        <v>45</v>
      </c>
      <c r="D19" s="119">
        <v>9</v>
      </c>
      <c r="E19" s="119"/>
      <c r="F19" s="119"/>
      <c r="G19">
        <v>1.119999960064888E-2</v>
      </c>
      <c r="H19">
        <v>0.1508000046014786</v>
      </c>
      <c r="I19">
        <v>1.329999975860119E-2</v>
      </c>
      <c r="J19">
        <v>3.0700000002980229E-2</v>
      </c>
      <c r="K19">
        <v>0.35379999876022339</v>
      </c>
      <c r="L19">
        <v>0.31549999117851257</v>
      </c>
      <c r="M19">
        <v>0.25510001182556152</v>
      </c>
      <c r="N19">
        <v>0.30140000581741327</v>
      </c>
    </row>
    <row r="20" spans="1:14" ht="15" x14ac:dyDescent="0.25">
      <c r="A20" s="186"/>
      <c r="B20" s="119">
        <f t="shared" si="1"/>
        <v>16</v>
      </c>
      <c r="C20" s="119" t="s">
        <v>16</v>
      </c>
      <c r="D20" s="119">
        <v>15.5</v>
      </c>
      <c r="E20" s="119"/>
      <c r="F20" s="119"/>
      <c r="G20">
        <v>3.0099999159574509E-2</v>
      </c>
      <c r="H20">
        <v>0.13230000436306</v>
      </c>
      <c r="I20">
        <v>4.2899999767541892E-2</v>
      </c>
      <c r="J20">
        <v>3.400000045076013E-3</v>
      </c>
      <c r="K20">
        <v>0.31749999523162842</v>
      </c>
      <c r="L20">
        <v>0.32910001277923578</v>
      </c>
      <c r="M20">
        <v>0.21539999544620511</v>
      </c>
      <c r="N20">
        <v>0.2614000141620636</v>
      </c>
    </row>
    <row r="21" spans="1:14" ht="15" x14ac:dyDescent="0.25">
      <c r="A21" s="186"/>
      <c r="B21" s="119">
        <f t="shared" si="1"/>
        <v>17</v>
      </c>
      <c r="C21" s="119" t="s">
        <v>43</v>
      </c>
      <c r="D21" s="119">
        <v>28</v>
      </c>
      <c r="E21" s="119"/>
      <c r="F21" s="119"/>
      <c r="G21">
        <v>4.6599999070167542E-2</v>
      </c>
      <c r="H21">
        <v>0.1155999973416328</v>
      </c>
      <c r="I21">
        <v>7.0299997925758362E-2</v>
      </c>
      <c r="J21">
        <v>2.7200000360608101E-2</v>
      </c>
      <c r="K21">
        <v>0.31540000438690191</v>
      </c>
      <c r="L21">
        <v>0.32229998707771301</v>
      </c>
      <c r="M21">
        <v>0.21699999272823331</v>
      </c>
      <c r="N21">
        <v>0.26320001482963562</v>
      </c>
    </row>
    <row r="22" spans="1:14" ht="15" x14ac:dyDescent="0.25">
      <c r="A22" s="186"/>
      <c r="B22" s="119">
        <f t="shared" si="1"/>
        <v>18</v>
      </c>
      <c r="C22" s="119" t="s">
        <v>28</v>
      </c>
      <c r="D22" s="119">
        <v>16</v>
      </c>
      <c r="E22" s="119"/>
      <c r="F22" s="119"/>
      <c r="G22">
        <v>0.1328999996185303</v>
      </c>
      <c r="H22">
        <v>2.9100000858306881E-2</v>
      </c>
      <c r="I22">
        <v>0.1328999996185303</v>
      </c>
      <c r="J22">
        <v>9.0000003576278687E-2</v>
      </c>
      <c r="K22">
        <v>0.31760001182556152</v>
      </c>
      <c r="L22">
        <v>0.29530000686645508</v>
      </c>
      <c r="M22">
        <v>0.21549999713897711</v>
      </c>
      <c r="N22">
        <v>0.26170000433921808</v>
      </c>
    </row>
    <row r="23" spans="1:14" ht="15" x14ac:dyDescent="0.25">
      <c r="A23" s="187"/>
      <c r="B23" s="187"/>
      <c r="C23" s="187"/>
      <c r="D23" s="187"/>
      <c r="E23" s="121" t="s">
        <v>101</v>
      </c>
      <c r="F23" s="121" t="s">
        <v>22</v>
      </c>
    </row>
    <row r="24" spans="1:14" ht="15" x14ac:dyDescent="0.25">
      <c r="A24" s="186" t="s">
        <v>152</v>
      </c>
      <c r="B24" s="119">
        <f>B22+1</f>
        <v>19</v>
      </c>
      <c r="C24" s="119" t="s">
        <v>54</v>
      </c>
      <c r="D24" s="119">
        <v>4</v>
      </c>
      <c r="E24" s="119"/>
      <c r="F24" s="119"/>
      <c r="G24">
        <v>5.3399998694658279E-2</v>
      </c>
      <c r="H24">
        <v>0.10859999805688859</v>
      </c>
      <c r="I24">
        <v>5.9900000691413879E-2</v>
      </c>
      <c r="J24">
        <v>1.610000059008598E-2</v>
      </c>
      <c r="K24">
        <v>0.21269999444484711</v>
      </c>
      <c r="L24">
        <v>0.226500004529953</v>
      </c>
      <c r="M24">
        <v>0.19589999318122861</v>
      </c>
      <c r="N24">
        <v>0.23989999294281009</v>
      </c>
    </row>
    <row r="25" spans="1:14" ht="15" x14ac:dyDescent="0.25">
      <c r="A25" s="186"/>
      <c r="B25" s="119">
        <f t="shared" ref="B25:B32" si="2">B24+1</f>
        <v>20</v>
      </c>
      <c r="C25" s="119" t="s">
        <v>96</v>
      </c>
      <c r="D25" s="119">
        <v>10</v>
      </c>
      <c r="E25" s="119"/>
      <c r="F25" s="119"/>
      <c r="G25">
        <v>4.2199999094009399E-2</v>
      </c>
      <c r="H25">
        <v>0.1198000013828278</v>
      </c>
      <c r="I25">
        <v>3.9400000125169747E-2</v>
      </c>
      <c r="J25">
        <v>8.2999998703598976E-3</v>
      </c>
      <c r="K25">
        <v>0.209199994802475</v>
      </c>
      <c r="L25">
        <v>0.23180000483989721</v>
      </c>
      <c r="M25">
        <v>0.19609999656677249</v>
      </c>
      <c r="N25">
        <v>0.24029999971389771</v>
      </c>
    </row>
    <row r="26" spans="1:14" ht="15" x14ac:dyDescent="0.25">
      <c r="A26" s="186"/>
      <c r="B26" s="119">
        <f t="shared" si="2"/>
        <v>21</v>
      </c>
      <c r="C26" s="119" t="s">
        <v>125</v>
      </c>
      <c r="D26" s="119">
        <v>9.5</v>
      </c>
      <c r="E26" s="119"/>
      <c r="F26" s="119"/>
      <c r="G26">
        <v>9.0700000524520874E-2</v>
      </c>
      <c r="H26">
        <v>7.1299999952316284E-2</v>
      </c>
      <c r="I26">
        <v>8.6400002241134644E-2</v>
      </c>
      <c r="J26">
        <v>4.4300001114606857E-2</v>
      </c>
      <c r="K26">
        <v>0.24220000207424161</v>
      </c>
      <c r="L26">
        <v>0.27039998769760132</v>
      </c>
      <c r="M26">
        <v>0.19589999318122861</v>
      </c>
      <c r="N26">
        <v>0.24120000004768369</v>
      </c>
    </row>
    <row r="27" spans="1:14" ht="15" x14ac:dyDescent="0.25">
      <c r="A27" s="186"/>
      <c r="B27" s="119">
        <f t="shared" si="2"/>
        <v>22</v>
      </c>
      <c r="C27" s="119" t="s">
        <v>76</v>
      </c>
      <c r="D27" s="119">
        <v>13</v>
      </c>
      <c r="E27" s="119"/>
      <c r="F27" s="119"/>
      <c r="G27">
        <v>4.3200001120567322E-2</v>
      </c>
      <c r="H27">
        <v>0.1190000027418137</v>
      </c>
      <c r="I27">
        <v>4.439999908208847E-2</v>
      </c>
      <c r="J27">
        <v>6.399999838322401E-3</v>
      </c>
      <c r="K27">
        <v>0.26730000972747803</v>
      </c>
      <c r="L27">
        <v>0.18109999597072601</v>
      </c>
      <c r="M27">
        <v>0.22390000522136691</v>
      </c>
      <c r="N27">
        <v>0.26910001039504999</v>
      </c>
    </row>
    <row r="28" spans="1:14" ht="15" x14ac:dyDescent="0.25">
      <c r="A28" s="186"/>
      <c r="B28" s="119">
        <f t="shared" si="2"/>
        <v>23</v>
      </c>
      <c r="C28" s="119" t="s">
        <v>64</v>
      </c>
      <c r="D28" s="119">
        <v>5.5</v>
      </c>
      <c r="E28" s="119"/>
      <c r="F28" s="119"/>
      <c r="G28">
        <v>5.2700001746416092E-2</v>
      </c>
      <c r="H28">
        <v>0.10930000245571141</v>
      </c>
      <c r="I28">
        <v>5.8299999684095383E-2</v>
      </c>
      <c r="J28">
        <v>1.480000000447035E-2</v>
      </c>
      <c r="K28">
        <v>0.1890999972820282</v>
      </c>
      <c r="L28">
        <v>0.2339999973773956</v>
      </c>
      <c r="M28">
        <v>0.17329999804496771</v>
      </c>
      <c r="N28">
        <v>0.2175000011920929</v>
      </c>
    </row>
    <row r="29" spans="1:14" ht="15" x14ac:dyDescent="0.25">
      <c r="A29" s="186"/>
      <c r="B29" s="119">
        <f t="shared" si="2"/>
        <v>24</v>
      </c>
      <c r="C29" s="119" t="s">
        <v>64</v>
      </c>
      <c r="D29" s="119">
        <v>8</v>
      </c>
      <c r="E29" s="119"/>
      <c r="F29" s="119"/>
      <c r="G29">
        <v>3.060000017285347E-2</v>
      </c>
      <c r="H29">
        <v>0.13140000402927399</v>
      </c>
      <c r="I29">
        <v>4.6100001782178879E-2</v>
      </c>
      <c r="J29">
        <v>6.8000000901520252E-3</v>
      </c>
      <c r="K29">
        <v>0.22120000422000891</v>
      </c>
      <c r="L29">
        <v>0.2120999991893768</v>
      </c>
      <c r="M29">
        <v>0.21240000426769259</v>
      </c>
      <c r="N29">
        <v>0.25659999251365662</v>
      </c>
    </row>
    <row r="30" spans="1:14" ht="15" x14ac:dyDescent="0.25">
      <c r="A30" s="186"/>
      <c r="B30" s="119">
        <f t="shared" si="2"/>
        <v>25</v>
      </c>
      <c r="C30" s="119" t="s">
        <v>81</v>
      </c>
      <c r="D30" s="119">
        <v>19</v>
      </c>
      <c r="E30" s="119"/>
      <c r="F30" s="119"/>
      <c r="G30">
        <v>4.1000001132488251E-2</v>
      </c>
      <c r="H30">
        <v>0.12110000103712081</v>
      </c>
      <c r="I30">
        <v>4.1999999433755868E-2</v>
      </c>
      <c r="J30">
        <v>6.8000000901520252E-3</v>
      </c>
      <c r="K30">
        <v>0.22089999914169309</v>
      </c>
      <c r="L30">
        <v>0.17790000140666959</v>
      </c>
      <c r="M30">
        <v>0.19900000095367429</v>
      </c>
      <c r="N30">
        <v>0.24300000071525571</v>
      </c>
    </row>
    <row r="31" spans="1:14" ht="15" x14ac:dyDescent="0.25">
      <c r="A31" s="186"/>
      <c r="B31" s="119">
        <f t="shared" si="2"/>
        <v>26</v>
      </c>
      <c r="C31" s="119" t="s">
        <v>17</v>
      </c>
      <c r="D31" s="119">
        <v>5</v>
      </c>
      <c r="E31" s="119"/>
      <c r="F31" s="119"/>
      <c r="G31">
        <v>9.8000001162290573E-3</v>
      </c>
      <c r="H31">
        <v>0.15250000357627869</v>
      </c>
      <c r="I31">
        <v>1.18000004440546E-2</v>
      </c>
      <c r="J31">
        <v>3.2099999487400048E-2</v>
      </c>
      <c r="K31">
        <v>0.23649999499320981</v>
      </c>
      <c r="L31">
        <v>0.23090000450611109</v>
      </c>
      <c r="M31">
        <v>0.21879999339580539</v>
      </c>
      <c r="N31">
        <v>0.26320001482963562</v>
      </c>
    </row>
    <row r="32" spans="1:14" ht="15" x14ac:dyDescent="0.25">
      <c r="A32" s="186"/>
      <c r="B32" s="119">
        <f t="shared" si="2"/>
        <v>27</v>
      </c>
      <c r="C32" s="119" t="s">
        <v>70</v>
      </c>
      <c r="D32" s="119">
        <v>5.5</v>
      </c>
      <c r="E32" s="119"/>
      <c r="F32" s="119"/>
      <c r="G32">
        <v>2.0800000056624409E-2</v>
      </c>
      <c r="H32">
        <v>0.14129999279975891</v>
      </c>
      <c r="I32">
        <v>2.170000039041042E-2</v>
      </c>
      <c r="J32">
        <v>2.2199999541044239E-2</v>
      </c>
      <c r="K32">
        <v>0.20569999516010279</v>
      </c>
      <c r="L32">
        <v>0.20679999887943271</v>
      </c>
      <c r="M32">
        <v>0.1906999945640564</v>
      </c>
      <c r="N32">
        <v>0.2344000041484833</v>
      </c>
    </row>
    <row r="33" spans="1:14" ht="15" x14ac:dyDescent="0.25">
      <c r="A33" s="187"/>
      <c r="B33" s="187"/>
      <c r="C33" s="187"/>
      <c r="D33" s="187"/>
      <c r="E33" s="121" t="s">
        <v>163</v>
      </c>
      <c r="F33" s="121" t="s">
        <v>163</v>
      </c>
    </row>
    <row r="34" spans="1:14" ht="15" x14ac:dyDescent="0.25">
      <c r="A34" s="186" t="s">
        <v>152</v>
      </c>
      <c r="B34" s="119">
        <f>B32+1</f>
        <v>28</v>
      </c>
      <c r="C34" s="119" t="s">
        <v>37</v>
      </c>
      <c r="D34" s="119">
        <v>3.5</v>
      </c>
      <c r="E34" s="119"/>
      <c r="F34" s="119"/>
      <c r="G34">
        <v>1.020000036805868E-2</v>
      </c>
      <c r="H34">
        <v>0.15209999680519101</v>
      </c>
      <c r="I34">
        <v>1.6200000420212749E-2</v>
      </c>
      <c r="J34">
        <v>2.8100000694394112E-2</v>
      </c>
      <c r="K34">
        <v>0.23610000312328339</v>
      </c>
      <c r="L34">
        <v>0.22409999370574951</v>
      </c>
      <c r="M34">
        <v>0.19589999318122861</v>
      </c>
      <c r="N34">
        <v>0.24140000343322751</v>
      </c>
    </row>
    <row r="35" spans="1:14" ht="15" x14ac:dyDescent="0.25">
      <c r="A35" s="186"/>
      <c r="B35" s="119">
        <f t="shared" ref="B35:B42" si="3">B34+1</f>
        <v>29</v>
      </c>
      <c r="C35" s="119" t="s">
        <v>29</v>
      </c>
      <c r="D35" s="119">
        <v>17</v>
      </c>
      <c r="E35" s="119"/>
      <c r="F35" s="119"/>
      <c r="G35">
        <v>8.39999970048666E-3</v>
      </c>
      <c r="H35">
        <v>0.15369999408721921</v>
      </c>
      <c r="I35">
        <v>5.2999998442828664E-3</v>
      </c>
      <c r="J35">
        <v>3.9000000804662698E-2</v>
      </c>
      <c r="K35">
        <v>0.25609999895095831</v>
      </c>
      <c r="L35">
        <v>0.24279999732971189</v>
      </c>
      <c r="M35">
        <v>0.20370000600814819</v>
      </c>
      <c r="N35">
        <v>0.24959999322891241</v>
      </c>
    </row>
    <row r="36" spans="1:14" ht="15" x14ac:dyDescent="0.25">
      <c r="A36" s="186"/>
      <c r="B36" s="119">
        <f t="shared" si="3"/>
        <v>30</v>
      </c>
      <c r="C36" s="119" t="s">
        <v>59</v>
      </c>
      <c r="D36" s="119">
        <v>12.5</v>
      </c>
      <c r="E36" s="119"/>
      <c r="F36" s="119"/>
      <c r="G36">
        <v>4.9199998378753662E-2</v>
      </c>
      <c r="H36">
        <v>0.1128999963402748</v>
      </c>
      <c r="I36">
        <v>5.0400000065565109E-2</v>
      </c>
      <c r="J36">
        <v>9.3000000342726707E-3</v>
      </c>
      <c r="K36">
        <v>0.2452999949455261</v>
      </c>
      <c r="L36">
        <v>0.26769998669624329</v>
      </c>
      <c r="M36">
        <v>0.21719999611377719</v>
      </c>
      <c r="N36">
        <v>0.26260000467300421</v>
      </c>
    </row>
    <row r="37" spans="1:14" ht="15" x14ac:dyDescent="0.25">
      <c r="A37" s="186"/>
      <c r="B37" s="119">
        <f t="shared" si="3"/>
        <v>31</v>
      </c>
      <c r="C37" s="119" t="s">
        <v>21</v>
      </c>
      <c r="D37" s="119">
        <v>7</v>
      </c>
      <c r="E37" s="119"/>
      <c r="F37" s="119"/>
      <c r="G37">
        <v>1.1099999770522119E-2</v>
      </c>
      <c r="H37">
        <v>0.15090000629425049</v>
      </c>
      <c r="I37">
        <v>1.080000028014183E-2</v>
      </c>
      <c r="J37">
        <v>3.3100001513957977E-2</v>
      </c>
      <c r="K37">
        <v>0.24830000102519989</v>
      </c>
      <c r="L37">
        <v>0.20319999754428861</v>
      </c>
      <c r="M37">
        <v>0.22930000722408289</v>
      </c>
      <c r="N37">
        <v>0.27419999241828918</v>
      </c>
    </row>
    <row r="38" spans="1:14" ht="15" x14ac:dyDescent="0.25">
      <c r="A38" s="186"/>
      <c r="B38" s="119">
        <f t="shared" si="3"/>
        <v>32</v>
      </c>
      <c r="C38" s="119" t="s">
        <v>34</v>
      </c>
      <c r="D38" s="119">
        <v>11.5</v>
      </c>
      <c r="E38" s="119"/>
      <c r="F38" s="119"/>
      <c r="G38">
        <v>3.1000000890344381E-3</v>
      </c>
      <c r="H38">
        <v>0.16310000419616699</v>
      </c>
      <c r="I38">
        <v>5.4000001400709152E-3</v>
      </c>
      <c r="J38">
        <v>4.0199998766183853E-2</v>
      </c>
      <c r="K38">
        <v>0.21520000696182251</v>
      </c>
      <c r="L38">
        <v>0.19210000336170199</v>
      </c>
      <c r="M38">
        <v>0.2101999968290329</v>
      </c>
      <c r="N38">
        <v>0.25409999489784241</v>
      </c>
    </row>
    <row r="39" spans="1:14" ht="15" x14ac:dyDescent="0.25">
      <c r="A39" s="186"/>
      <c r="B39" s="119">
        <f t="shared" si="3"/>
        <v>33</v>
      </c>
      <c r="C39" s="119" t="s">
        <v>34</v>
      </c>
      <c r="D39" s="119">
        <v>14</v>
      </c>
      <c r="E39" s="119"/>
      <c r="F39" s="119"/>
      <c r="G39">
        <v>3.5500001162290573E-2</v>
      </c>
      <c r="H39">
        <v>0.1265999972820282</v>
      </c>
      <c r="I39">
        <v>3.840000182390213E-2</v>
      </c>
      <c r="J39">
        <v>6.2000001780688763E-3</v>
      </c>
      <c r="K39">
        <v>0.22120000422000891</v>
      </c>
      <c r="L39">
        <v>0.23059999942779541</v>
      </c>
      <c r="M39">
        <v>0.20250000059604639</v>
      </c>
      <c r="N39">
        <v>0.24670000374317169</v>
      </c>
    </row>
    <row r="40" spans="1:14" ht="15" x14ac:dyDescent="0.25">
      <c r="A40" s="186"/>
      <c r="B40" s="119">
        <f t="shared" si="3"/>
        <v>34</v>
      </c>
      <c r="C40" s="119" t="s">
        <v>141</v>
      </c>
      <c r="D40" s="119">
        <v>10</v>
      </c>
      <c r="E40" s="122"/>
      <c r="F40" s="122"/>
      <c r="G40">
        <v>1.0900000110268589E-2</v>
      </c>
      <c r="H40">
        <v>0.15129999816417691</v>
      </c>
      <c r="I40">
        <v>2.2299999371171001E-2</v>
      </c>
      <c r="J40">
        <v>2.3499999195337299E-2</v>
      </c>
      <c r="K40">
        <v>0.2101999968290329</v>
      </c>
      <c r="L40">
        <v>0.21629999577999109</v>
      </c>
      <c r="M40">
        <v>0.19290000200271609</v>
      </c>
      <c r="N40">
        <v>0.23720000684261319</v>
      </c>
    </row>
    <row r="41" spans="1:14" ht="15" x14ac:dyDescent="0.25">
      <c r="A41" s="186"/>
      <c r="B41" s="119">
        <f t="shared" si="3"/>
        <v>35</v>
      </c>
      <c r="C41" s="119" t="s">
        <v>34</v>
      </c>
      <c r="D41" s="119">
        <v>12.5</v>
      </c>
      <c r="E41" s="122"/>
      <c r="F41" s="122"/>
      <c r="G41">
        <v>2.4599999189376831E-2</v>
      </c>
      <c r="H41">
        <v>0.1374000012874603</v>
      </c>
      <c r="I41">
        <v>2.1900000050663952E-2</v>
      </c>
      <c r="J41">
        <v>2.300000004470348E-2</v>
      </c>
      <c r="K41">
        <v>0.1999000012874603</v>
      </c>
      <c r="L41">
        <v>0.2703000009059906</v>
      </c>
      <c r="M41">
        <v>0.17929999530315399</v>
      </c>
      <c r="N41">
        <v>0.22370000183582309</v>
      </c>
    </row>
    <row r="42" spans="1:14" ht="15" x14ac:dyDescent="0.25">
      <c r="A42" s="186"/>
      <c r="B42" s="123">
        <f t="shared" si="3"/>
        <v>36</v>
      </c>
      <c r="C42" s="123" t="s">
        <v>24</v>
      </c>
      <c r="D42" s="123">
        <v>5</v>
      </c>
      <c r="E42" s="124"/>
      <c r="F42" s="124"/>
      <c r="G42">
        <v>2.5499999523162838E-2</v>
      </c>
      <c r="H42">
        <v>0.1366000026464462</v>
      </c>
      <c r="I42">
        <v>2.2099999710917469E-2</v>
      </c>
      <c r="J42">
        <v>2.2299999371171001E-2</v>
      </c>
      <c r="K42">
        <v>0.1832000017166138</v>
      </c>
      <c r="L42">
        <v>0.210999995470047</v>
      </c>
      <c r="M42">
        <v>0.18299999833106989</v>
      </c>
      <c r="N42">
        <v>0.22589999437332151</v>
      </c>
    </row>
    <row r="43" spans="1:14" ht="15" x14ac:dyDescent="0.25">
      <c r="A43" s="187"/>
      <c r="B43" s="187"/>
      <c r="C43" s="187"/>
      <c r="D43" s="187"/>
      <c r="E43" s="121" t="s">
        <v>164</v>
      </c>
      <c r="F43" s="125" t="s">
        <v>165</v>
      </c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:A12"/>
    <mergeCell ref="A43:D43"/>
    <mergeCell ref="A13:D13"/>
    <mergeCell ref="A14:A22"/>
    <mergeCell ref="A23:D23"/>
    <mergeCell ref="A24:A32"/>
    <mergeCell ref="A33:D33"/>
    <mergeCell ref="A34:A42"/>
    <mergeCell ref="G1:N1"/>
    <mergeCell ref="G2:H2"/>
    <mergeCell ref="I2:J2"/>
    <mergeCell ref="K2:L2"/>
    <mergeCell ref="M2:N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2" sqref="D2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64</v>
      </c>
      <c r="D4" s="119">
        <v>5.5</v>
      </c>
      <c r="E4" s="119" t="s">
        <v>318</v>
      </c>
      <c r="F4" s="119"/>
      <c r="G4">
        <v>6.6299997270107269E-2</v>
      </c>
      <c r="H4">
        <v>9.5700003206729889E-2</v>
      </c>
      <c r="I4">
        <v>7.9700000584125519E-2</v>
      </c>
      <c r="J4">
        <v>3.5799998790025711E-2</v>
      </c>
      <c r="K4">
        <v>7.7299997210502625E-2</v>
      </c>
      <c r="L4">
        <v>0.2157000005245209</v>
      </c>
      <c r="M4">
        <v>9.0099997818470001E-2</v>
      </c>
      <c r="N4">
        <v>0.13670000433921811</v>
      </c>
    </row>
    <row r="5" spans="1:14" ht="15" x14ac:dyDescent="0.25">
      <c r="A5" s="186"/>
      <c r="B5" s="119">
        <f t="shared" ref="B5:B12" si="0">B4+1</f>
        <v>2</v>
      </c>
      <c r="C5" s="120" t="s">
        <v>50</v>
      </c>
      <c r="D5" s="119">
        <v>6.5</v>
      </c>
      <c r="E5" s="119"/>
      <c r="F5" s="119"/>
      <c r="G5">
        <v>7.1500003337860107E-2</v>
      </c>
      <c r="H5">
        <v>9.0499997138977051E-2</v>
      </c>
      <c r="I5">
        <v>9.8499998450279236E-2</v>
      </c>
      <c r="J5">
        <v>5.4999999701976783E-2</v>
      </c>
      <c r="K5">
        <v>0.12300000339746479</v>
      </c>
      <c r="L5">
        <v>0.31470000743865972</v>
      </c>
      <c r="M5">
        <v>9.0499997138977051E-2</v>
      </c>
      <c r="N5">
        <v>0.13709999620914459</v>
      </c>
    </row>
    <row r="6" spans="1:14" ht="15" x14ac:dyDescent="0.25">
      <c r="A6" s="186"/>
      <c r="B6" s="119">
        <f t="shared" si="0"/>
        <v>3</v>
      </c>
      <c r="C6" s="119" t="s">
        <v>25</v>
      </c>
      <c r="D6" s="119">
        <v>15.5</v>
      </c>
      <c r="E6" s="119"/>
      <c r="F6" s="119"/>
      <c r="G6">
        <v>9.6100002527236938E-2</v>
      </c>
      <c r="H6">
        <v>6.589999794960022E-2</v>
      </c>
      <c r="I6">
        <v>0.1208000034093857</v>
      </c>
      <c r="J6">
        <v>7.6999999582767487E-2</v>
      </c>
      <c r="K6">
        <v>0.23579999804496771</v>
      </c>
      <c r="L6">
        <v>0.44330000877380371</v>
      </c>
      <c r="M6">
        <v>5.2299998700618737E-2</v>
      </c>
      <c r="N6">
        <v>9.8899997770786285E-2</v>
      </c>
    </row>
    <row r="7" spans="1:14" ht="15" x14ac:dyDescent="0.25">
      <c r="A7" s="186"/>
      <c r="B7" s="119">
        <f t="shared" si="0"/>
        <v>4</v>
      </c>
      <c r="C7" s="119" t="s">
        <v>20</v>
      </c>
      <c r="D7" s="119">
        <v>5.5</v>
      </c>
      <c r="E7" s="119"/>
      <c r="F7" s="119"/>
      <c r="G7">
        <v>6.7900002002716064E-2</v>
      </c>
      <c r="H7">
        <v>9.4099998474121094E-2</v>
      </c>
      <c r="I7">
        <v>8.619999885559082E-2</v>
      </c>
      <c r="J7">
        <v>4.2399998754262917E-2</v>
      </c>
      <c r="K7">
        <v>0.18029999732971189</v>
      </c>
      <c r="L7">
        <v>0.38589999079704279</v>
      </c>
      <c r="M7">
        <v>5.9200000017881393E-2</v>
      </c>
      <c r="N7">
        <v>0.1061000004410744</v>
      </c>
    </row>
    <row r="8" spans="1:14" ht="15" x14ac:dyDescent="0.25">
      <c r="A8" s="186"/>
      <c r="B8" s="119">
        <f t="shared" si="0"/>
        <v>5</v>
      </c>
      <c r="C8" s="119" t="s">
        <v>39</v>
      </c>
      <c r="D8" s="119">
        <v>9.5</v>
      </c>
      <c r="E8" s="119"/>
      <c r="F8" s="119"/>
      <c r="G8">
        <v>8.2099996507167816E-2</v>
      </c>
      <c r="H8">
        <v>7.9899996519088745E-2</v>
      </c>
      <c r="I8">
        <v>9.8499998450279236E-2</v>
      </c>
      <c r="J8">
        <v>5.4600000381469727E-2</v>
      </c>
      <c r="K8">
        <v>0.1869000047445297</v>
      </c>
      <c r="L8">
        <v>0.39869999885559082</v>
      </c>
      <c r="M8">
        <v>5.469999834895134E-2</v>
      </c>
      <c r="N8">
        <v>0.10199999809265139</v>
      </c>
    </row>
    <row r="9" spans="1:14" ht="15" x14ac:dyDescent="0.25">
      <c r="A9" s="186"/>
      <c r="B9" s="119">
        <f t="shared" si="0"/>
        <v>6</v>
      </c>
      <c r="C9" s="119" t="s">
        <v>166</v>
      </c>
      <c r="D9" s="119">
        <v>10</v>
      </c>
      <c r="E9" s="119"/>
      <c r="F9" s="119"/>
      <c r="G9">
        <v>9.2900000512599945E-2</v>
      </c>
      <c r="H9">
        <v>6.9200001657009125E-2</v>
      </c>
      <c r="I9">
        <v>0.11370000243186951</v>
      </c>
      <c r="J9">
        <v>6.9799996912479401E-2</v>
      </c>
      <c r="K9">
        <v>0.20819999277591711</v>
      </c>
      <c r="L9">
        <v>0.43180000782012939</v>
      </c>
      <c r="M9">
        <v>1.779999956488609E-2</v>
      </c>
      <c r="N9">
        <v>6.5200001001358032E-2</v>
      </c>
    </row>
    <row r="10" spans="1:14" ht="15" x14ac:dyDescent="0.25">
      <c r="A10" s="186"/>
      <c r="B10" s="119">
        <f t="shared" si="0"/>
        <v>7</v>
      </c>
      <c r="C10" s="119" t="s">
        <v>62</v>
      </c>
      <c r="D10" s="119">
        <v>7</v>
      </c>
      <c r="E10" s="119"/>
      <c r="F10" s="119"/>
      <c r="G10">
        <v>3.5000000149011612E-2</v>
      </c>
      <c r="H10">
        <v>0.12700000405311579</v>
      </c>
      <c r="I10">
        <v>5.5199999362230301E-2</v>
      </c>
      <c r="J10">
        <v>1.449999958276749E-2</v>
      </c>
      <c r="K10">
        <v>0.1255999952554703</v>
      </c>
      <c r="L10">
        <v>0.34049999713897711</v>
      </c>
      <c r="M10">
        <v>7.890000194311142E-2</v>
      </c>
      <c r="N10">
        <v>0.1263999938964844</v>
      </c>
    </row>
    <row r="11" spans="1:14" ht="15" x14ac:dyDescent="0.25">
      <c r="A11" s="186"/>
      <c r="B11" s="119">
        <f t="shared" si="0"/>
        <v>8</v>
      </c>
      <c r="C11" s="119" t="s">
        <v>36</v>
      </c>
      <c r="D11" s="119">
        <v>7</v>
      </c>
      <c r="E11" s="119"/>
      <c r="F11" s="119"/>
      <c r="G11">
        <v>3.7599999457597733E-2</v>
      </c>
      <c r="H11">
        <v>0.1243999972939491</v>
      </c>
      <c r="I11">
        <v>5.429999902844429E-2</v>
      </c>
      <c r="J11">
        <v>1.2299999594688421E-2</v>
      </c>
      <c r="K11">
        <v>7.8199997544288635E-2</v>
      </c>
      <c r="L11">
        <v>0.28790000081062322</v>
      </c>
      <c r="M11">
        <v>8.5500001907348633E-2</v>
      </c>
      <c r="N11">
        <v>0.1328999996185303</v>
      </c>
    </row>
    <row r="12" spans="1:14" ht="15" x14ac:dyDescent="0.25">
      <c r="A12" s="186"/>
      <c r="B12" s="119">
        <f t="shared" si="0"/>
        <v>9</v>
      </c>
      <c r="C12" s="119" t="s">
        <v>94</v>
      </c>
      <c r="D12" s="119">
        <v>12.5</v>
      </c>
      <c r="E12" s="119"/>
      <c r="F12" s="119"/>
      <c r="G12">
        <v>7.2400003671646118E-2</v>
      </c>
      <c r="H12">
        <v>8.959999680519104E-2</v>
      </c>
      <c r="I12">
        <v>9.1399997472763062E-2</v>
      </c>
      <c r="J12">
        <v>4.7600001096725457E-2</v>
      </c>
      <c r="K12">
        <v>0.18520000576972959</v>
      </c>
      <c r="L12">
        <v>0.41010001301765442</v>
      </c>
      <c r="M12">
        <v>2.7799999341368679E-2</v>
      </c>
      <c r="N12">
        <v>7.5300000607967377E-2</v>
      </c>
    </row>
    <row r="13" spans="1:14" ht="15" x14ac:dyDescent="0.25">
      <c r="A13" s="187"/>
      <c r="B13" s="187"/>
      <c r="C13" s="187"/>
      <c r="D13" s="187"/>
      <c r="E13" s="121" t="s">
        <v>61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45</v>
      </c>
      <c r="D14" s="119">
        <v>9.5</v>
      </c>
      <c r="E14" s="119"/>
      <c r="F14" s="119"/>
      <c r="G14">
        <v>1.0900000110268589E-2</v>
      </c>
      <c r="H14">
        <v>0.17299999296665189</v>
      </c>
      <c r="I14">
        <v>1.200000010430813E-2</v>
      </c>
      <c r="J14">
        <v>4.5299999415874481E-2</v>
      </c>
      <c r="K14">
        <v>0.16609999537467959</v>
      </c>
      <c r="L14">
        <v>0.38350000977516169</v>
      </c>
      <c r="M14">
        <v>2.2800000384449959E-2</v>
      </c>
      <c r="N14">
        <v>6.289999932050705E-2</v>
      </c>
    </row>
    <row r="15" spans="1:14" ht="15" x14ac:dyDescent="0.25">
      <c r="A15" s="186"/>
      <c r="B15" s="119">
        <f t="shared" ref="B15:B22" si="1">B14+1</f>
        <v>11</v>
      </c>
      <c r="C15" s="119" t="s">
        <v>148</v>
      </c>
      <c r="D15" s="119">
        <v>8.5</v>
      </c>
      <c r="E15" s="119"/>
      <c r="F15" s="119"/>
      <c r="G15">
        <v>2.140000090003014E-2</v>
      </c>
      <c r="H15">
        <v>0.14069999754428861</v>
      </c>
      <c r="I15">
        <v>5.0999999046325677E-2</v>
      </c>
      <c r="J15">
        <v>1.779999956488609E-2</v>
      </c>
      <c r="K15">
        <v>0.20000000298023221</v>
      </c>
      <c r="L15">
        <v>0.42489999532699579</v>
      </c>
      <c r="M15">
        <v>5.8100000023841858E-2</v>
      </c>
      <c r="N15">
        <v>2.930000051856041E-2</v>
      </c>
    </row>
    <row r="16" spans="1:14" ht="15" x14ac:dyDescent="0.25">
      <c r="A16" s="186"/>
      <c r="B16" s="119">
        <f t="shared" si="1"/>
        <v>12</v>
      </c>
      <c r="C16" s="119" t="s">
        <v>34</v>
      </c>
      <c r="D16" s="119">
        <v>14.5</v>
      </c>
      <c r="E16" s="119"/>
      <c r="G16">
        <v>7.8999996185302734E-3</v>
      </c>
      <c r="H16">
        <v>0.1699000000953674</v>
      </c>
      <c r="I16">
        <v>2.6599999517202381E-2</v>
      </c>
      <c r="J16">
        <v>3.3900000154972083E-2</v>
      </c>
      <c r="K16">
        <v>0.15860000252723691</v>
      </c>
      <c r="L16">
        <v>0.38850000500679022</v>
      </c>
      <c r="M16">
        <v>5.5500000715255737E-2</v>
      </c>
      <c r="N16">
        <v>3.3100001513957977E-2</v>
      </c>
    </row>
    <row r="17" spans="1:14" ht="15" x14ac:dyDescent="0.25">
      <c r="A17" s="186"/>
      <c r="B17" s="119">
        <f t="shared" si="1"/>
        <v>13</v>
      </c>
      <c r="C17" s="119" t="s">
        <v>125</v>
      </c>
      <c r="D17" s="119">
        <v>10</v>
      </c>
      <c r="E17" s="119"/>
      <c r="F17" s="119"/>
      <c r="G17">
        <v>6.3000000081956387E-3</v>
      </c>
      <c r="H17">
        <v>0.15569999814033511</v>
      </c>
      <c r="I17">
        <v>1.9799999892711639E-2</v>
      </c>
      <c r="J17">
        <v>2.8400000184774399E-2</v>
      </c>
      <c r="K17">
        <v>9.0499997138977051E-2</v>
      </c>
      <c r="L17">
        <v>0.31029999256134028</v>
      </c>
      <c r="M17">
        <v>1.30000002682209E-2</v>
      </c>
      <c r="N17">
        <v>5.3800001740455627E-2</v>
      </c>
    </row>
    <row r="18" spans="1:14" ht="15" x14ac:dyDescent="0.25">
      <c r="A18" s="186"/>
      <c r="B18" s="119">
        <f t="shared" si="1"/>
        <v>14</v>
      </c>
      <c r="C18" s="119" t="s">
        <v>45</v>
      </c>
      <c r="D18" s="119">
        <v>8</v>
      </c>
      <c r="E18" s="119"/>
      <c r="F18" s="119"/>
      <c r="G18">
        <v>7.8999996185302734E-3</v>
      </c>
      <c r="H18">
        <v>0.1699000000953674</v>
      </c>
      <c r="I18">
        <v>2.500000037252903E-2</v>
      </c>
      <c r="J18">
        <v>3.48999984562397E-2</v>
      </c>
      <c r="K18">
        <v>0.14129999279975891</v>
      </c>
      <c r="L18">
        <v>0.36399999260902399</v>
      </c>
      <c r="M18">
        <v>5.8699999004602432E-2</v>
      </c>
      <c r="N18">
        <v>2.8000000864267349E-2</v>
      </c>
    </row>
    <row r="19" spans="1:14" ht="15" x14ac:dyDescent="0.25">
      <c r="A19" s="186"/>
      <c r="B19" s="119">
        <f t="shared" si="1"/>
        <v>15</v>
      </c>
      <c r="C19" s="119" t="s">
        <v>38</v>
      </c>
      <c r="D19" s="119">
        <v>5</v>
      </c>
      <c r="E19" s="119"/>
      <c r="F19" s="119"/>
      <c r="G19">
        <v>3.5599999129772193E-2</v>
      </c>
      <c r="H19">
        <v>0.12649999558925629</v>
      </c>
      <c r="I19">
        <v>6.9700002670288086E-2</v>
      </c>
      <c r="J19">
        <v>2.989999949932098E-2</v>
      </c>
      <c r="K19">
        <v>0.17030000686645511</v>
      </c>
      <c r="L19">
        <v>0.3953000009059906</v>
      </c>
      <c r="M19">
        <v>7.0799998939037323E-2</v>
      </c>
      <c r="N19">
        <v>3.6600001156330109E-2</v>
      </c>
    </row>
    <row r="20" spans="1:14" ht="15" x14ac:dyDescent="0.25">
      <c r="A20" s="186"/>
      <c r="B20" s="119">
        <f t="shared" si="1"/>
        <v>16</v>
      </c>
      <c r="C20" s="119" t="s">
        <v>70</v>
      </c>
      <c r="D20" s="119">
        <v>4.5</v>
      </c>
      <c r="E20" s="119"/>
      <c r="F20" s="119"/>
      <c r="G20">
        <v>1.219999976456165E-2</v>
      </c>
      <c r="H20">
        <v>0.14990000426769259</v>
      </c>
      <c r="I20">
        <v>3.060000017285347E-2</v>
      </c>
      <c r="J20">
        <v>1.9500000402331349E-2</v>
      </c>
      <c r="K20">
        <v>0.1624000072479248</v>
      </c>
      <c r="L20">
        <v>0.37520000338554382</v>
      </c>
      <c r="M20">
        <v>1.9200000911951069E-2</v>
      </c>
      <c r="N20">
        <v>4.9800001084804528E-2</v>
      </c>
    </row>
    <row r="21" spans="1:14" ht="15" x14ac:dyDescent="0.25">
      <c r="A21" s="186"/>
      <c r="B21" s="119">
        <f t="shared" si="1"/>
        <v>17</v>
      </c>
      <c r="C21" s="119" t="s">
        <v>54</v>
      </c>
      <c r="D21" s="119">
        <v>7</v>
      </c>
      <c r="E21" s="119"/>
      <c r="F21" s="119"/>
      <c r="G21">
        <v>4.4999998062849036E-3</v>
      </c>
      <c r="H21">
        <v>0.15760000050067899</v>
      </c>
      <c r="I21">
        <v>2.8699999675154689E-2</v>
      </c>
      <c r="J21">
        <v>2.5800000876188282E-2</v>
      </c>
      <c r="K21">
        <v>0.1257999986410141</v>
      </c>
      <c r="L21">
        <v>0.3361000120639801</v>
      </c>
      <c r="M21">
        <v>6.0600001364946372E-2</v>
      </c>
      <c r="N21">
        <v>2.8500000014901161E-2</v>
      </c>
    </row>
    <row r="22" spans="1:14" ht="15" x14ac:dyDescent="0.25">
      <c r="A22" s="186"/>
      <c r="B22" s="119">
        <f t="shared" si="1"/>
        <v>18</v>
      </c>
      <c r="C22" s="119" t="s">
        <v>80</v>
      </c>
      <c r="D22" s="119">
        <v>6.5</v>
      </c>
      <c r="E22" s="119"/>
      <c r="F22" s="119"/>
      <c r="G22">
        <v>1.779999956488609E-2</v>
      </c>
      <c r="H22">
        <v>0.14419999718666079</v>
      </c>
      <c r="I22">
        <v>5.5799998342990882E-2</v>
      </c>
      <c r="J22">
        <v>2.3800000548362728E-2</v>
      </c>
      <c r="K22">
        <v>0.15449999272823331</v>
      </c>
      <c r="L22">
        <v>0.37560001015663153</v>
      </c>
      <c r="M22">
        <v>6.9300003349781036E-2</v>
      </c>
      <c r="N22">
        <v>3.7000000476837158E-2</v>
      </c>
    </row>
    <row r="23" spans="1:14" ht="15" x14ac:dyDescent="0.25">
      <c r="A23" s="187"/>
      <c r="B23" s="187"/>
      <c r="C23" s="187"/>
      <c r="D23" s="187"/>
      <c r="E23" s="121" t="s">
        <v>159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37</v>
      </c>
      <c r="D24" s="119">
        <v>2.5</v>
      </c>
      <c r="E24" s="119"/>
      <c r="F24" s="119"/>
      <c r="G24">
        <v>6.0000000521540642E-3</v>
      </c>
      <c r="H24">
        <v>0.15600000321865079</v>
      </c>
      <c r="I24">
        <v>3.9999999105930328E-2</v>
      </c>
      <c r="J24">
        <v>2.2900000214576721E-2</v>
      </c>
      <c r="K24">
        <v>0.17159999907016751</v>
      </c>
      <c r="L24">
        <v>0.34830000996589661</v>
      </c>
      <c r="M24">
        <v>0.10999999940395359</v>
      </c>
      <c r="N24">
        <v>6.9799996912479401E-2</v>
      </c>
    </row>
    <row r="25" spans="1:14" ht="15" x14ac:dyDescent="0.25">
      <c r="A25" s="186"/>
      <c r="B25" s="119">
        <f t="shared" ref="B25:B32" si="2">B24+1</f>
        <v>20</v>
      </c>
      <c r="C25" s="119" t="s">
        <v>38</v>
      </c>
      <c r="D25" s="119">
        <v>2.5</v>
      </c>
      <c r="E25" s="119"/>
      <c r="F25" s="119"/>
      <c r="G25">
        <v>6.8000000901520252E-3</v>
      </c>
      <c r="H25">
        <v>0.1553000062704086</v>
      </c>
      <c r="I25">
        <v>2.690000087022781E-2</v>
      </c>
      <c r="J25">
        <v>2.370000071823597E-2</v>
      </c>
      <c r="K25">
        <v>0.19429999589920041</v>
      </c>
      <c r="L25">
        <v>0.35899999737739557</v>
      </c>
      <c r="M25">
        <v>0.12460000067949301</v>
      </c>
      <c r="N25">
        <v>8.2800000905990601E-2</v>
      </c>
    </row>
    <row r="26" spans="1:14" ht="15" x14ac:dyDescent="0.25">
      <c r="A26" s="186"/>
      <c r="B26" s="119">
        <f t="shared" si="2"/>
        <v>21</v>
      </c>
      <c r="C26" s="119" t="s">
        <v>45</v>
      </c>
      <c r="D26" s="119">
        <v>5</v>
      </c>
      <c r="E26" s="119"/>
      <c r="F26" s="119"/>
      <c r="G26">
        <v>1.4000000432133669E-2</v>
      </c>
      <c r="H26">
        <v>0.14800000190734861</v>
      </c>
      <c r="I26">
        <v>4.2199999094009399E-2</v>
      </c>
      <c r="J26">
        <v>1.7999999225139621E-2</v>
      </c>
      <c r="K26">
        <v>0.21870000660419461</v>
      </c>
      <c r="L26">
        <v>0.40369999408721918</v>
      </c>
      <c r="M26">
        <v>0.1229000017046928</v>
      </c>
      <c r="N26">
        <v>7.9400002956390381E-2</v>
      </c>
    </row>
    <row r="27" spans="1:14" ht="15" x14ac:dyDescent="0.25">
      <c r="A27" s="186"/>
      <c r="B27" s="119">
        <f t="shared" si="2"/>
        <v>22</v>
      </c>
      <c r="C27" s="119" t="s">
        <v>96</v>
      </c>
      <c r="D27" s="119">
        <v>9.5</v>
      </c>
      <c r="E27" s="119"/>
      <c r="F27" s="119"/>
      <c r="G27">
        <v>2.830000035464764E-2</v>
      </c>
      <c r="H27">
        <v>0.13379999995231631</v>
      </c>
      <c r="I27">
        <v>5.3100001066923141E-2</v>
      </c>
      <c r="J27">
        <v>1.549999974668026E-2</v>
      </c>
      <c r="K27">
        <v>0.18129999935626981</v>
      </c>
      <c r="L27">
        <v>0.37490001320838928</v>
      </c>
      <c r="M27">
        <v>0.1155999973416328</v>
      </c>
      <c r="N27">
        <v>7.3899999260902405E-2</v>
      </c>
    </row>
    <row r="28" spans="1:14" ht="15" x14ac:dyDescent="0.25">
      <c r="A28" s="186"/>
      <c r="B28" s="119">
        <f t="shared" si="2"/>
        <v>23</v>
      </c>
      <c r="C28" s="119" t="s">
        <v>24</v>
      </c>
      <c r="D28" s="119">
        <v>7.5</v>
      </c>
      <c r="E28" s="119"/>
      <c r="F28" s="119"/>
      <c r="G28">
        <v>3.299999982118607E-3</v>
      </c>
      <c r="H28">
        <v>0.15919999778270719</v>
      </c>
      <c r="I28">
        <v>3.9500001817941673E-2</v>
      </c>
      <c r="J28">
        <v>2.4499999359250069E-2</v>
      </c>
      <c r="K28">
        <v>0.17059999704360959</v>
      </c>
      <c r="L28">
        <v>0.3628000020980835</v>
      </c>
      <c r="M28">
        <v>0.1052000001072884</v>
      </c>
      <c r="N28">
        <v>6.2700003385543823E-2</v>
      </c>
    </row>
    <row r="29" spans="1:14" ht="15" x14ac:dyDescent="0.25">
      <c r="A29" s="186"/>
      <c r="B29" s="119">
        <f t="shared" si="2"/>
        <v>24</v>
      </c>
      <c r="C29" s="119" t="s">
        <v>39</v>
      </c>
      <c r="D29" s="119">
        <v>10</v>
      </c>
      <c r="E29" s="119"/>
      <c r="F29" s="119"/>
      <c r="G29">
        <v>1.200000056996942E-3</v>
      </c>
      <c r="H29">
        <v>0.1629000008106232</v>
      </c>
      <c r="I29">
        <v>8.500000461935997E-3</v>
      </c>
      <c r="J29">
        <v>3.9999999105930328E-2</v>
      </c>
      <c r="K29">
        <v>0.1753000020980835</v>
      </c>
      <c r="L29">
        <v>0.3158000111579895</v>
      </c>
      <c r="M29">
        <v>0.1167000010609627</v>
      </c>
      <c r="N29">
        <v>7.2899997234344482E-2</v>
      </c>
    </row>
    <row r="30" spans="1:14" ht="15" x14ac:dyDescent="0.25">
      <c r="A30" s="186"/>
      <c r="B30" s="119">
        <f t="shared" si="2"/>
        <v>25</v>
      </c>
      <c r="C30" s="119" t="s">
        <v>80</v>
      </c>
      <c r="D30" s="119">
        <v>7</v>
      </c>
      <c r="E30" s="119"/>
      <c r="F30" s="119"/>
      <c r="G30">
        <v>8.6000002920627594E-3</v>
      </c>
      <c r="H30">
        <v>0.15350000560283661</v>
      </c>
      <c r="I30">
        <v>2.170000039041042E-2</v>
      </c>
      <c r="J30">
        <v>2.5800000876188282E-2</v>
      </c>
      <c r="K30">
        <v>0.1738999933004379</v>
      </c>
      <c r="L30">
        <v>0.34079998731613159</v>
      </c>
      <c r="M30">
        <v>7.9300001263618469E-2</v>
      </c>
      <c r="N30">
        <v>3.2900001853704453E-2</v>
      </c>
    </row>
    <row r="31" spans="1:14" ht="15" x14ac:dyDescent="0.25">
      <c r="A31" s="186"/>
      <c r="B31" s="119">
        <f t="shared" si="2"/>
        <v>26</v>
      </c>
      <c r="C31" s="119" t="s">
        <v>78</v>
      </c>
      <c r="D31" s="119">
        <v>11</v>
      </c>
      <c r="E31" s="119"/>
      <c r="F31" s="119"/>
      <c r="G31">
        <v>1.219999976456165E-2</v>
      </c>
      <c r="H31">
        <v>0.14980000257492071</v>
      </c>
      <c r="I31">
        <v>3.5799998790025711E-2</v>
      </c>
      <c r="J31">
        <v>1.8300000578165051E-2</v>
      </c>
      <c r="K31">
        <v>0.17249999940395361</v>
      </c>
      <c r="L31">
        <v>0.34220001101493841</v>
      </c>
      <c r="M31">
        <v>9.2799998819828033E-2</v>
      </c>
      <c r="N31">
        <v>4.8099998384714127E-2</v>
      </c>
    </row>
    <row r="32" spans="1:14" ht="15" x14ac:dyDescent="0.25">
      <c r="A32" s="186"/>
      <c r="B32" s="119">
        <f t="shared" si="2"/>
        <v>27</v>
      </c>
      <c r="C32" s="119" t="s">
        <v>64</v>
      </c>
      <c r="D32" s="119">
        <v>2.5</v>
      </c>
      <c r="E32" s="119"/>
      <c r="F32" s="119"/>
      <c r="G32">
        <v>4.3000001460313797E-2</v>
      </c>
      <c r="H32">
        <v>0.1190000027418137</v>
      </c>
      <c r="I32">
        <v>7.8100003302097321E-2</v>
      </c>
      <c r="J32">
        <v>3.7000000476837158E-2</v>
      </c>
      <c r="K32">
        <v>0.20409999787807459</v>
      </c>
      <c r="L32">
        <v>0.31650000810623169</v>
      </c>
      <c r="M32">
        <v>9.9699996411800385E-2</v>
      </c>
      <c r="N32">
        <v>5.4099999368190772E-2</v>
      </c>
    </row>
    <row r="33" spans="1:14" ht="15" x14ac:dyDescent="0.25">
      <c r="A33" s="187"/>
      <c r="B33" s="187"/>
      <c r="C33" s="187"/>
      <c r="D33" s="187"/>
      <c r="E33" s="121" t="s">
        <v>112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30</v>
      </c>
      <c r="D34" s="119">
        <v>6</v>
      </c>
      <c r="E34" s="119"/>
      <c r="F34" s="119"/>
      <c r="G34">
        <v>2.6100000366568569E-2</v>
      </c>
      <c r="H34">
        <v>0.13590000569820401</v>
      </c>
      <c r="I34">
        <v>6.5200001001358032E-2</v>
      </c>
      <c r="J34">
        <v>2.8400000184774399E-2</v>
      </c>
      <c r="K34">
        <v>0.16949999332427981</v>
      </c>
      <c r="L34">
        <v>0.35730001330375671</v>
      </c>
      <c r="M34">
        <v>0.1076000034809113</v>
      </c>
      <c r="N34">
        <v>6.1299998313188553E-2</v>
      </c>
    </row>
    <row r="35" spans="1:14" ht="15" x14ac:dyDescent="0.25">
      <c r="A35" s="186"/>
      <c r="B35" s="119">
        <f t="shared" ref="B35:B42" si="3">B34+1</f>
        <v>29</v>
      </c>
      <c r="C35" s="119" t="s">
        <v>81</v>
      </c>
      <c r="D35" s="119">
        <v>24</v>
      </c>
      <c r="E35" s="119"/>
      <c r="F35" s="119"/>
      <c r="G35">
        <v>6.399999838322401E-3</v>
      </c>
      <c r="H35">
        <v>0.15569999814033511</v>
      </c>
      <c r="I35">
        <v>4.3900001794099808E-2</v>
      </c>
      <c r="J35">
        <v>2.4499999359250069E-2</v>
      </c>
      <c r="K35">
        <v>0.1758999973535538</v>
      </c>
      <c r="L35">
        <v>0.36269998550415039</v>
      </c>
      <c r="M35">
        <v>0.13930000364780429</v>
      </c>
      <c r="N35">
        <v>9.7199998795986176E-2</v>
      </c>
    </row>
    <row r="36" spans="1:14" ht="15" x14ac:dyDescent="0.25">
      <c r="A36" s="186"/>
      <c r="B36" s="119">
        <f t="shared" si="3"/>
        <v>30</v>
      </c>
      <c r="C36" s="119" t="s">
        <v>77</v>
      </c>
      <c r="D36" s="119">
        <v>5.5</v>
      </c>
      <c r="E36" s="119"/>
      <c r="F36" s="119"/>
      <c r="G36">
        <v>1.9999999494757501E-4</v>
      </c>
      <c r="H36">
        <v>0.16179999709129331</v>
      </c>
      <c r="I36">
        <v>3.3100001513957977E-2</v>
      </c>
      <c r="J36">
        <v>2.7499999850988392E-2</v>
      </c>
      <c r="K36">
        <v>0.20600000023841861</v>
      </c>
      <c r="L36">
        <v>0.3822999894618988</v>
      </c>
      <c r="M36">
        <v>0.16310000419616699</v>
      </c>
      <c r="N36">
        <v>0.12039999663829801</v>
      </c>
    </row>
    <row r="37" spans="1:14" ht="15" x14ac:dyDescent="0.25">
      <c r="A37" s="186"/>
      <c r="B37" s="119">
        <f t="shared" si="3"/>
        <v>31</v>
      </c>
      <c r="C37" s="119" t="s">
        <v>66</v>
      </c>
      <c r="D37" s="119">
        <v>5.5</v>
      </c>
      <c r="E37" s="119"/>
      <c r="F37" s="119"/>
      <c r="G37">
        <v>5.2000000141561031E-3</v>
      </c>
      <c r="H37">
        <v>0.15680000185966489</v>
      </c>
      <c r="I37">
        <v>3.8300000131130219E-2</v>
      </c>
      <c r="J37">
        <v>2.3900000378489491E-2</v>
      </c>
      <c r="K37">
        <v>0.18299999833106989</v>
      </c>
      <c r="L37">
        <v>0.36190000176429749</v>
      </c>
      <c r="M37">
        <v>0.14499999582767489</v>
      </c>
      <c r="N37">
        <v>0.1017000004649162</v>
      </c>
    </row>
    <row r="38" spans="1:14" ht="15" x14ac:dyDescent="0.25">
      <c r="A38" s="186"/>
      <c r="B38" s="119">
        <f t="shared" si="3"/>
        <v>32</v>
      </c>
      <c r="C38" s="119" t="s">
        <v>71</v>
      </c>
      <c r="D38" s="119">
        <v>10</v>
      </c>
      <c r="E38" s="119"/>
      <c r="F38" s="119"/>
      <c r="G38">
        <v>1.30000002682209E-2</v>
      </c>
      <c r="H38">
        <v>0.14900000393390661</v>
      </c>
      <c r="I38">
        <v>4.830000177025795E-2</v>
      </c>
      <c r="J38">
        <v>2.170000039041042E-2</v>
      </c>
      <c r="K38">
        <v>0.18340000510215759</v>
      </c>
      <c r="L38">
        <v>0.34650000929832458</v>
      </c>
      <c r="M38">
        <v>0.14120000600814819</v>
      </c>
      <c r="N38">
        <v>9.7999997437000275E-2</v>
      </c>
    </row>
    <row r="39" spans="1:14" ht="15" x14ac:dyDescent="0.25">
      <c r="A39" s="186"/>
      <c r="B39" s="119">
        <f t="shared" si="3"/>
        <v>33</v>
      </c>
      <c r="C39" s="119" t="s">
        <v>27</v>
      </c>
      <c r="D39" s="119">
        <v>10.5</v>
      </c>
      <c r="E39" s="119"/>
      <c r="F39" s="119"/>
      <c r="G39">
        <v>1.900000032037497E-3</v>
      </c>
      <c r="H39">
        <v>0.16380000114440921</v>
      </c>
      <c r="I39">
        <v>1.429999992251396E-2</v>
      </c>
      <c r="J39">
        <v>3.5700000822544098E-2</v>
      </c>
      <c r="K39">
        <v>0.16930000483989721</v>
      </c>
      <c r="L39">
        <v>0.33019998669624329</v>
      </c>
      <c r="M39">
        <v>0.15070000290870669</v>
      </c>
      <c r="N39">
        <v>0.1066000014543533</v>
      </c>
    </row>
    <row r="40" spans="1:14" ht="15" x14ac:dyDescent="0.25">
      <c r="A40" s="186"/>
      <c r="B40" s="119">
        <f t="shared" si="3"/>
        <v>34</v>
      </c>
      <c r="C40" s="119" t="s">
        <v>51</v>
      </c>
      <c r="D40" s="119">
        <v>6</v>
      </c>
      <c r="E40" s="122"/>
      <c r="F40" s="122"/>
      <c r="G40">
        <v>6.0000002849847078E-4</v>
      </c>
      <c r="H40">
        <v>0.16200000047683721</v>
      </c>
      <c r="I40">
        <v>3.2900001853704453E-2</v>
      </c>
      <c r="J40">
        <v>2.7899999171495441E-2</v>
      </c>
      <c r="K40">
        <v>0.1793999969959259</v>
      </c>
      <c r="L40">
        <v>0.33750000596046448</v>
      </c>
      <c r="M40">
        <v>0.1243999972939491</v>
      </c>
      <c r="N40">
        <v>8.2800000905990601E-2</v>
      </c>
    </row>
    <row r="41" spans="1:14" ht="15" x14ac:dyDescent="0.25">
      <c r="A41" s="186"/>
      <c r="B41" s="119">
        <f t="shared" si="3"/>
        <v>35</v>
      </c>
      <c r="C41" s="119" t="s">
        <v>70</v>
      </c>
      <c r="D41" s="119">
        <v>3.5</v>
      </c>
      <c r="E41" s="122"/>
      <c r="F41" s="122"/>
      <c r="G41">
        <v>1.4000000432133669E-2</v>
      </c>
      <c r="H41">
        <v>0.17599999904632571</v>
      </c>
      <c r="I41">
        <v>2.009999938309193E-2</v>
      </c>
      <c r="J41">
        <v>4.1600000113248832E-2</v>
      </c>
      <c r="K41">
        <v>0.197500005364418</v>
      </c>
      <c r="L41">
        <v>0.33570000529289251</v>
      </c>
      <c r="M41">
        <v>0.12909999489784241</v>
      </c>
      <c r="N41">
        <v>8.5400000214576721E-2</v>
      </c>
    </row>
    <row r="42" spans="1:14" ht="15" x14ac:dyDescent="0.25">
      <c r="A42" s="186"/>
      <c r="B42" s="123">
        <f t="shared" si="3"/>
        <v>36</v>
      </c>
      <c r="C42" s="123" t="s">
        <v>48</v>
      </c>
      <c r="D42" s="123">
        <v>1</v>
      </c>
      <c r="E42" s="124"/>
      <c r="F42" s="124"/>
      <c r="G42">
        <v>1.799999969080091E-3</v>
      </c>
      <c r="H42">
        <v>0.16329999268054959</v>
      </c>
      <c r="I42">
        <v>2.7200000360608101E-2</v>
      </c>
      <c r="J42">
        <v>2.8799999505281448E-2</v>
      </c>
      <c r="K42">
        <v>0.2133000046014786</v>
      </c>
      <c r="L42">
        <v>0.32739999890327448</v>
      </c>
      <c r="M42">
        <v>0.15369999408721921</v>
      </c>
      <c r="N42">
        <v>0.10869999974966051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99</v>
      </c>
      <c r="D4" s="119">
        <v>21.5</v>
      </c>
      <c r="E4" s="119" t="s">
        <v>318</v>
      </c>
      <c r="F4" s="119"/>
      <c r="G4">
        <v>0.14810000360012049</v>
      </c>
      <c r="H4">
        <v>1.429999992251396E-2</v>
      </c>
      <c r="I4">
        <v>0.17620000243186951</v>
      </c>
      <c r="J4">
        <v>0.13240000605583191</v>
      </c>
      <c r="K4">
        <v>0.1243000030517578</v>
      </c>
      <c r="L4">
        <v>0.35280001163482672</v>
      </c>
      <c r="M4">
        <v>0.13269999623298651</v>
      </c>
      <c r="N4">
        <v>0.1796000003814697</v>
      </c>
    </row>
    <row r="5" spans="1:14" ht="15" x14ac:dyDescent="0.25">
      <c r="A5" s="186"/>
      <c r="B5" s="119">
        <f t="shared" ref="B5:B12" si="0">B4+1</f>
        <v>2</v>
      </c>
      <c r="C5" s="120" t="s">
        <v>25</v>
      </c>
      <c r="D5" s="119">
        <v>12</v>
      </c>
      <c r="E5" s="119"/>
      <c r="F5" s="119"/>
      <c r="G5">
        <v>0.13789999485015869</v>
      </c>
      <c r="H5">
        <v>2.529999986290932E-2</v>
      </c>
      <c r="I5">
        <v>0.17820000648498541</v>
      </c>
      <c r="J5">
        <v>0.13439999520778659</v>
      </c>
      <c r="K5">
        <v>0.15979999303817749</v>
      </c>
      <c r="L5">
        <v>0.38920000195503229</v>
      </c>
      <c r="M5">
        <v>0.1023000031709671</v>
      </c>
      <c r="N5">
        <v>0.14970000088214869</v>
      </c>
    </row>
    <row r="6" spans="1:14" ht="15" x14ac:dyDescent="0.25">
      <c r="A6" s="186"/>
      <c r="B6" s="119">
        <f t="shared" si="0"/>
        <v>3</v>
      </c>
      <c r="C6" s="119" t="s">
        <v>36</v>
      </c>
      <c r="D6" s="119">
        <v>4</v>
      </c>
      <c r="E6" s="119"/>
      <c r="F6" s="119"/>
      <c r="G6">
        <v>0.2291000038385391</v>
      </c>
      <c r="H6">
        <v>6.759999692440033E-2</v>
      </c>
      <c r="I6">
        <v>0.29850000143051147</v>
      </c>
      <c r="J6">
        <v>0.25470000505447388</v>
      </c>
      <c r="K6">
        <v>0.1695999950170517</v>
      </c>
      <c r="L6">
        <v>0.38920000195503229</v>
      </c>
      <c r="M6">
        <v>0.11969999969005581</v>
      </c>
      <c r="N6">
        <v>0.16670000553131101</v>
      </c>
    </row>
    <row r="7" spans="1:14" ht="15" x14ac:dyDescent="0.25">
      <c r="A7" s="186"/>
      <c r="B7" s="119">
        <f t="shared" si="0"/>
        <v>4</v>
      </c>
      <c r="C7" s="119" t="s">
        <v>69</v>
      </c>
      <c r="D7" s="119">
        <v>15</v>
      </c>
      <c r="E7" s="119"/>
      <c r="F7" s="119"/>
      <c r="G7">
        <v>0.1242000013589859</v>
      </c>
      <c r="H7">
        <v>3.8199998438358307E-2</v>
      </c>
      <c r="I7">
        <v>0.1555999964475632</v>
      </c>
      <c r="J7">
        <v>0.1118000000715256</v>
      </c>
      <c r="K7">
        <v>0.14990000426769259</v>
      </c>
      <c r="L7">
        <v>0.37029999494552612</v>
      </c>
      <c r="M7">
        <v>0.13339999318122861</v>
      </c>
      <c r="N7">
        <v>0.18050000071525571</v>
      </c>
    </row>
    <row r="8" spans="1:14" ht="15" x14ac:dyDescent="0.25">
      <c r="A8" s="186"/>
      <c r="B8" s="119">
        <f t="shared" si="0"/>
        <v>5</v>
      </c>
      <c r="C8" s="119" t="s">
        <v>69</v>
      </c>
      <c r="D8" s="119">
        <v>16</v>
      </c>
      <c r="E8" s="119"/>
      <c r="F8" s="119"/>
      <c r="G8">
        <v>0.1729000061750412</v>
      </c>
      <c r="H8">
        <v>1.1400000192224979E-2</v>
      </c>
      <c r="I8">
        <v>0.20870000123977661</v>
      </c>
      <c r="J8">
        <v>0.16490000486373901</v>
      </c>
      <c r="K8">
        <v>0.1358000040054321</v>
      </c>
      <c r="L8">
        <v>0.3628000020980835</v>
      </c>
      <c r="M8">
        <v>0.121299996972084</v>
      </c>
      <c r="N8">
        <v>0.16850000619888311</v>
      </c>
    </row>
    <row r="9" spans="1:14" ht="15" x14ac:dyDescent="0.25">
      <c r="A9" s="186"/>
      <c r="B9" s="119">
        <f t="shared" si="0"/>
        <v>6</v>
      </c>
      <c r="C9" s="119" t="s">
        <v>77</v>
      </c>
      <c r="D9" s="119">
        <v>8</v>
      </c>
      <c r="E9" s="119"/>
      <c r="F9" s="119"/>
      <c r="G9">
        <v>0.20769999921321869</v>
      </c>
      <c r="H9">
        <v>4.6799998730421073E-2</v>
      </c>
      <c r="I9">
        <v>0.26350000500679022</v>
      </c>
      <c r="J9">
        <v>0.21960000693798071</v>
      </c>
      <c r="K9">
        <v>0.1257999986410141</v>
      </c>
      <c r="L9">
        <v>0.3513999879360199</v>
      </c>
      <c r="M9">
        <v>0.13109999895095831</v>
      </c>
      <c r="N9">
        <v>0.17839999496936801</v>
      </c>
    </row>
    <row r="10" spans="1:14" ht="15" x14ac:dyDescent="0.25">
      <c r="A10" s="186"/>
      <c r="B10" s="119">
        <f t="shared" si="0"/>
        <v>7</v>
      </c>
      <c r="C10" s="119" t="s">
        <v>99</v>
      </c>
      <c r="D10" s="119">
        <v>21</v>
      </c>
      <c r="E10" s="119"/>
      <c r="F10" s="119"/>
      <c r="G10">
        <v>8.919999748468399E-2</v>
      </c>
      <c r="H10">
        <v>7.2899997234344482E-2</v>
      </c>
      <c r="I10">
        <v>0.12460000067949301</v>
      </c>
      <c r="J10">
        <v>8.1100001931190491E-2</v>
      </c>
      <c r="K10">
        <v>0.15410000085830691</v>
      </c>
      <c r="L10">
        <v>0.36950001120567322</v>
      </c>
      <c r="M10">
        <v>0.12780000269412989</v>
      </c>
      <c r="N10">
        <v>0.1750999987125397</v>
      </c>
    </row>
    <row r="11" spans="1:14" ht="15" x14ac:dyDescent="0.25">
      <c r="A11" s="186"/>
      <c r="B11" s="119">
        <f t="shared" si="0"/>
        <v>8</v>
      </c>
      <c r="C11" s="119" t="s">
        <v>76</v>
      </c>
      <c r="D11" s="119">
        <v>11</v>
      </c>
      <c r="E11" s="119"/>
      <c r="F11" s="119"/>
      <c r="G11">
        <v>0.14300000667572019</v>
      </c>
      <c r="H11">
        <v>1.9200000911951069E-2</v>
      </c>
      <c r="I11">
        <v>0.2019000053405762</v>
      </c>
      <c r="J11">
        <v>0.15819999575614929</v>
      </c>
      <c r="K11">
        <v>0.11519999802112579</v>
      </c>
      <c r="L11">
        <v>0.35289999842643738</v>
      </c>
      <c r="M11">
        <v>0.120899997651577</v>
      </c>
      <c r="N11">
        <v>0.16750000417232511</v>
      </c>
    </row>
    <row r="12" spans="1:14" ht="15" x14ac:dyDescent="0.25">
      <c r="A12" s="186"/>
      <c r="B12" s="119">
        <f t="shared" si="0"/>
        <v>9</v>
      </c>
      <c r="C12" s="119" t="s">
        <v>15</v>
      </c>
      <c r="D12" s="119">
        <v>9</v>
      </c>
      <c r="E12" s="119"/>
      <c r="F12" s="119"/>
      <c r="G12">
        <v>0.1103999987244606</v>
      </c>
      <c r="H12">
        <v>5.1600001752376563E-2</v>
      </c>
      <c r="I12">
        <v>0.1331000030040741</v>
      </c>
      <c r="J12">
        <v>8.9299999177455902E-2</v>
      </c>
      <c r="K12">
        <v>0.15270000696182251</v>
      </c>
      <c r="L12">
        <v>0.37160000205039978</v>
      </c>
      <c r="M12">
        <v>0.12610000371932981</v>
      </c>
      <c r="N12">
        <v>0.17329999804496771</v>
      </c>
    </row>
    <row r="13" spans="1:14" ht="15" x14ac:dyDescent="0.25">
      <c r="A13" s="187"/>
      <c r="B13" s="187"/>
      <c r="C13" s="187"/>
      <c r="D13" s="187"/>
      <c r="E13" s="121" t="s">
        <v>163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43</v>
      </c>
      <c r="D14" s="119">
        <v>21</v>
      </c>
      <c r="E14" s="119"/>
      <c r="F14" s="119"/>
      <c r="G14">
        <v>6.6999997943639764E-3</v>
      </c>
      <c r="H14">
        <v>0.1553000062704086</v>
      </c>
      <c r="I14">
        <v>2.4800000712275509E-2</v>
      </c>
      <c r="J14">
        <v>2.5100000202655789E-2</v>
      </c>
      <c r="K14">
        <v>0.20260000228881839</v>
      </c>
      <c r="L14">
        <v>0.45149999856948853</v>
      </c>
      <c r="M14">
        <v>3.6899998784065247E-2</v>
      </c>
      <c r="N14">
        <v>2.4800000712275509E-2</v>
      </c>
    </row>
    <row r="15" spans="1:14" ht="15" x14ac:dyDescent="0.25">
      <c r="A15" s="186"/>
      <c r="B15" s="119">
        <f t="shared" ref="B15:B22" si="1">B14+1</f>
        <v>11</v>
      </c>
      <c r="C15" s="119" t="s">
        <v>14</v>
      </c>
      <c r="D15" s="119">
        <v>18.5</v>
      </c>
      <c r="E15" s="119"/>
      <c r="F15" s="119"/>
      <c r="G15">
        <v>7.4000000022351742E-3</v>
      </c>
      <c r="H15">
        <v>0.1547999978065491</v>
      </c>
      <c r="I15">
        <v>1.9899999722838398E-2</v>
      </c>
      <c r="J15">
        <v>2.8500000014901161E-2</v>
      </c>
      <c r="K15">
        <v>0.16390000283718109</v>
      </c>
      <c r="L15">
        <v>0.41749998927116388</v>
      </c>
      <c r="M15">
        <v>6.8000000901520252E-3</v>
      </c>
      <c r="N15">
        <v>4.8399999737739563E-2</v>
      </c>
    </row>
    <row r="16" spans="1:14" ht="15" x14ac:dyDescent="0.25">
      <c r="A16" s="186"/>
      <c r="B16" s="119">
        <f t="shared" si="1"/>
        <v>12</v>
      </c>
      <c r="C16" s="119" t="s">
        <v>23</v>
      </c>
      <c r="D16" s="119">
        <v>21</v>
      </c>
      <c r="E16" s="119"/>
      <c r="F16" s="129"/>
      <c r="G16">
        <v>5.0999999046325677E-2</v>
      </c>
      <c r="H16">
        <v>0.1110000014305115</v>
      </c>
      <c r="I16">
        <v>8.3499997854232788E-2</v>
      </c>
      <c r="J16">
        <v>4.1299998760223389E-2</v>
      </c>
      <c r="K16">
        <v>0.13699999451637271</v>
      </c>
      <c r="L16">
        <v>0.39140000939369202</v>
      </c>
      <c r="M16">
        <v>6.8999999202787876E-3</v>
      </c>
      <c r="N16">
        <v>5.3300000727176673E-2</v>
      </c>
    </row>
    <row r="17" spans="1:14" ht="15" x14ac:dyDescent="0.25">
      <c r="A17" s="186"/>
      <c r="B17" s="119">
        <f t="shared" si="1"/>
        <v>13</v>
      </c>
      <c r="C17" s="119" t="s">
        <v>23</v>
      </c>
      <c r="D17" s="119">
        <v>18</v>
      </c>
      <c r="E17" s="119"/>
      <c r="F17" s="119"/>
      <c r="G17">
        <v>1.579999923706055E-2</v>
      </c>
      <c r="H17">
        <v>0.14620000123977661</v>
      </c>
      <c r="I17">
        <v>4.1000001132488251E-2</v>
      </c>
      <c r="J17">
        <v>1.679999940097332E-2</v>
      </c>
      <c r="K17">
        <v>0.1076000034809113</v>
      </c>
      <c r="L17">
        <v>0.35319998860359192</v>
      </c>
      <c r="M17">
        <v>7.6399996876716614E-2</v>
      </c>
      <c r="N17">
        <v>0.122299998998642</v>
      </c>
    </row>
    <row r="18" spans="1:14" ht="15" x14ac:dyDescent="0.25">
      <c r="A18" s="186"/>
      <c r="B18" s="119">
        <f t="shared" si="1"/>
        <v>14</v>
      </c>
      <c r="C18" s="119" t="s">
        <v>69</v>
      </c>
      <c r="D18" s="119">
        <v>12</v>
      </c>
      <c r="E18" s="119"/>
      <c r="F18" s="119"/>
      <c r="G18">
        <v>0.15600000321865079</v>
      </c>
      <c r="H18">
        <v>6.0999998822808266E-3</v>
      </c>
      <c r="I18">
        <v>0.19550000131130221</v>
      </c>
      <c r="J18">
        <v>0.15170000493526459</v>
      </c>
      <c r="K18">
        <v>8.8699996471405029E-2</v>
      </c>
      <c r="L18">
        <v>0.32620000839233398</v>
      </c>
      <c r="M18">
        <v>8.5000000894069672E-2</v>
      </c>
      <c r="N18">
        <v>0.13199999928474429</v>
      </c>
    </row>
    <row r="19" spans="1:14" ht="15" x14ac:dyDescent="0.25">
      <c r="A19" s="186"/>
      <c r="B19" s="119">
        <f t="shared" si="1"/>
        <v>15</v>
      </c>
      <c r="C19" s="119" t="s">
        <v>15</v>
      </c>
      <c r="D19" s="119">
        <v>5.5</v>
      </c>
      <c r="E19" s="119"/>
      <c r="F19" s="119"/>
      <c r="G19">
        <v>0.1162000000476837</v>
      </c>
      <c r="H19">
        <v>4.5899998396635062E-2</v>
      </c>
      <c r="I19">
        <v>0.1553000062704086</v>
      </c>
      <c r="J19">
        <v>0.11159999668598181</v>
      </c>
      <c r="K19">
        <v>8.8799998164176941E-2</v>
      </c>
      <c r="L19">
        <v>0.32120001316070562</v>
      </c>
      <c r="M19">
        <v>6.1500001698732383E-2</v>
      </c>
      <c r="N19">
        <v>0.1083000004291534</v>
      </c>
    </row>
    <row r="20" spans="1:14" ht="15" x14ac:dyDescent="0.25">
      <c r="A20" s="186"/>
      <c r="B20" s="119">
        <f t="shared" si="1"/>
        <v>16</v>
      </c>
      <c r="C20" s="119" t="s">
        <v>99</v>
      </c>
      <c r="D20" s="119">
        <v>19</v>
      </c>
      <c r="E20" s="119"/>
      <c r="F20" s="119"/>
      <c r="G20">
        <v>6.1500001698732383E-2</v>
      </c>
      <c r="H20">
        <v>0.1005999967455864</v>
      </c>
      <c r="I20">
        <v>9.2699997127056122E-2</v>
      </c>
      <c r="J20">
        <v>4.960000142455101E-2</v>
      </c>
      <c r="K20">
        <v>9.7800001502037048E-2</v>
      </c>
      <c r="L20">
        <v>0.3174000084400177</v>
      </c>
      <c r="M20">
        <v>0.1199000030755997</v>
      </c>
      <c r="N20">
        <v>0.1671999990940094</v>
      </c>
    </row>
    <row r="21" spans="1:14" ht="15" x14ac:dyDescent="0.25">
      <c r="A21" s="186"/>
      <c r="B21" s="119">
        <f t="shared" si="1"/>
        <v>17</v>
      </c>
      <c r="C21" s="119" t="s">
        <v>39</v>
      </c>
      <c r="D21" s="119">
        <v>10</v>
      </c>
      <c r="E21" s="119"/>
      <c r="F21" s="119"/>
      <c r="G21">
        <v>6.9300003349781036E-2</v>
      </c>
      <c r="H21">
        <v>9.2900000512599945E-2</v>
      </c>
      <c r="I21">
        <v>0.1167000010609627</v>
      </c>
      <c r="J21">
        <v>7.4600003659725189E-2</v>
      </c>
      <c r="K21">
        <v>0.1146000027656555</v>
      </c>
      <c r="L21">
        <v>0.36079999804496771</v>
      </c>
      <c r="M21">
        <v>9.3800000846385956E-2</v>
      </c>
      <c r="N21">
        <v>0.14030000567436221</v>
      </c>
    </row>
    <row r="22" spans="1:14" ht="15" x14ac:dyDescent="0.25">
      <c r="A22" s="186"/>
      <c r="B22" s="119">
        <f t="shared" si="1"/>
        <v>18</v>
      </c>
      <c r="C22" s="119" t="s">
        <v>51</v>
      </c>
      <c r="D22" s="119">
        <v>3</v>
      </c>
      <c r="E22" s="119"/>
      <c r="F22" s="119"/>
      <c r="G22">
        <v>3.1300000846385963E-2</v>
      </c>
      <c r="H22">
        <v>0.13109999895095831</v>
      </c>
      <c r="I22">
        <v>5.6800000369548798E-2</v>
      </c>
      <c r="J22">
        <v>1.6200000420212749E-2</v>
      </c>
      <c r="K22">
        <v>9.1600000858306885E-2</v>
      </c>
      <c r="L22">
        <v>0.33590000867843628</v>
      </c>
      <c r="M22">
        <v>9.0999998152256012E-2</v>
      </c>
      <c r="N22">
        <v>0.13840000331401819</v>
      </c>
    </row>
    <row r="23" spans="1:14" ht="15" x14ac:dyDescent="0.25">
      <c r="A23" s="187"/>
      <c r="B23" s="187"/>
      <c r="C23" s="187"/>
      <c r="D23" s="187"/>
      <c r="E23" s="121" t="s">
        <v>52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62</v>
      </c>
      <c r="D24" s="119">
        <v>9</v>
      </c>
      <c r="E24" s="119"/>
      <c r="F24" s="119"/>
      <c r="G24">
        <v>4.6900000423192978E-2</v>
      </c>
      <c r="H24">
        <v>0.1150999963283539</v>
      </c>
      <c r="I24">
        <v>7.3100000619888306E-2</v>
      </c>
      <c r="J24">
        <v>3.089999966323376E-2</v>
      </c>
      <c r="K24">
        <v>0.1772000044584274</v>
      </c>
      <c r="L24">
        <v>0.40790000557899481</v>
      </c>
      <c r="M24">
        <v>5.7500001043081277E-2</v>
      </c>
      <c r="N24">
        <v>0.10490000247955319</v>
      </c>
    </row>
    <row r="25" spans="1:14" ht="15" x14ac:dyDescent="0.25">
      <c r="A25" s="186"/>
      <c r="B25" s="119">
        <f t="shared" ref="B25:B32" si="2">B24+1</f>
        <v>20</v>
      </c>
      <c r="C25" s="119" t="s">
        <v>17</v>
      </c>
      <c r="D25" s="119">
        <v>8.5</v>
      </c>
      <c r="E25" s="119"/>
      <c r="F25" s="119"/>
      <c r="G25">
        <v>5.3800001740455627E-2</v>
      </c>
      <c r="H25">
        <v>0.1083000004291534</v>
      </c>
      <c r="I25">
        <v>8.0300003290176392E-2</v>
      </c>
      <c r="J25">
        <v>3.7799999117851257E-2</v>
      </c>
      <c r="K25">
        <v>0.19570000469684601</v>
      </c>
      <c r="L25">
        <v>0.42779999971389771</v>
      </c>
      <c r="M25">
        <v>4.3000001460313797E-2</v>
      </c>
      <c r="N25">
        <v>8.9900001883506775E-2</v>
      </c>
    </row>
    <row r="26" spans="1:14" ht="15" x14ac:dyDescent="0.25">
      <c r="A26" s="186"/>
      <c r="B26" s="119">
        <f t="shared" si="2"/>
        <v>21</v>
      </c>
      <c r="C26" s="119" t="s">
        <v>62</v>
      </c>
      <c r="D26" s="119">
        <v>8.5</v>
      </c>
      <c r="E26" s="119"/>
      <c r="F26" s="119"/>
      <c r="G26">
        <v>3.2699998468160629E-2</v>
      </c>
      <c r="H26">
        <v>0.12960000336170199</v>
      </c>
      <c r="I26">
        <v>6.549999862909317E-2</v>
      </c>
      <c r="J26">
        <v>2.8000000864267349E-2</v>
      </c>
      <c r="K26">
        <v>0.1766999959945679</v>
      </c>
      <c r="L26">
        <v>0.4034000039100647</v>
      </c>
      <c r="M26">
        <v>3.8699999451637268E-2</v>
      </c>
      <c r="N26">
        <v>8.5199996829032898E-2</v>
      </c>
    </row>
    <row r="27" spans="1:14" ht="15" x14ac:dyDescent="0.25">
      <c r="A27" s="186"/>
      <c r="B27" s="119">
        <f t="shared" si="2"/>
        <v>22</v>
      </c>
      <c r="C27" s="119" t="s">
        <v>93</v>
      </c>
      <c r="D27" s="119">
        <v>10</v>
      </c>
      <c r="E27" s="119"/>
      <c r="F27" s="119"/>
      <c r="G27">
        <v>4.1600000113248832E-2</v>
      </c>
      <c r="H27">
        <v>0.12039999663829801</v>
      </c>
      <c r="I27">
        <v>8.5799999535083771E-2</v>
      </c>
      <c r="J27">
        <v>4.5400001108646393E-2</v>
      </c>
      <c r="K27">
        <v>0.16599999368190771</v>
      </c>
      <c r="L27">
        <v>0.39739999175071722</v>
      </c>
      <c r="M27">
        <v>3.2800000160932541E-2</v>
      </c>
      <c r="N27">
        <v>7.9899996519088745E-2</v>
      </c>
    </row>
    <row r="28" spans="1:14" ht="15" x14ac:dyDescent="0.25">
      <c r="A28" s="186"/>
      <c r="B28" s="119">
        <f t="shared" si="2"/>
        <v>23</v>
      </c>
      <c r="C28" s="119" t="s">
        <v>62</v>
      </c>
      <c r="D28" s="119">
        <v>5.5</v>
      </c>
      <c r="E28" s="119"/>
      <c r="F28" s="119"/>
      <c r="G28">
        <v>3.6899998784065247E-2</v>
      </c>
      <c r="H28">
        <v>0.12549999356269839</v>
      </c>
      <c r="I28">
        <v>7.680000364780426E-2</v>
      </c>
      <c r="J28">
        <v>3.8199998438358307E-2</v>
      </c>
      <c r="K28">
        <v>0.1824000030755997</v>
      </c>
      <c r="L28">
        <v>0.42059999704360962</v>
      </c>
      <c r="M28">
        <v>2.2600000724196431E-2</v>
      </c>
      <c r="N28">
        <v>6.8700000643730164E-2</v>
      </c>
    </row>
    <row r="29" spans="1:14" ht="15" x14ac:dyDescent="0.25">
      <c r="A29" s="186"/>
      <c r="B29" s="119">
        <f t="shared" si="2"/>
        <v>24</v>
      </c>
      <c r="C29" s="119" t="s">
        <v>38</v>
      </c>
      <c r="D29" s="119">
        <v>5</v>
      </c>
      <c r="E29" s="119"/>
      <c r="F29" s="119"/>
      <c r="G29">
        <v>4.9699999392032623E-2</v>
      </c>
      <c r="H29">
        <v>0.1124000027775764</v>
      </c>
      <c r="I29">
        <v>8.190000057220459E-2</v>
      </c>
      <c r="J29">
        <v>4.0199998766183853E-2</v>
      </c>
      <c r="K29">
        <v>0.18569999933242801</v>
      </c>
      <c r="L29">
        <v>0.42399999499320978</v>
      </c>
      <c r="M29">
        <v>2.0500000566244129E-2</v>
      </c>
      <c r="N29">
        <v>5.9300001710653312E-2</v>
      </c>
    </row>
    <row r="30" spans="1:14" ht="15" x14ac:dyDescent="0.25">
      <c r="A30" s="186"/>
      <c r="B30" s="119">
        <f t="shared" si="2"/>
        <v>25</v>
      </c>
      <c r="C30" s="119" t="s">
        <v>17</v>
      </c>
      <c r="D30" s="119">
        <v>2.5</v>
      </c>
      <c r="E30" s="119"/>
      <c r="F30" s="119"/>
      <c r="G30">
        <v>7.0299997925758362E-2</v>
      </c>
      <c r="H30">
        <v>9.1700002551078796E-2</v>
      </c>
      <c r="I30">
        <v>9.3400001525878906E-2</v>
      </c>
      <c r="J30">
        <v>4.9699999392032623E-2</v>
      </c>
      <c r="K30">
        <v>0.17260000109672549</v>
      </c>
      <c r="L30">
        <v>0.40580001473426819</v>
      </c>
      <c r="M30">
        <v>5.5500000715255737E-2</v>
      </c>
      <c r="N30">
        <v>0.1030000001192093</v>
      </c>
    </row>
    <row r="31" spans="1:14" ht="15" x14ac:dyDescent="0.25">
      <c r="A31" s="186"/>
      <c r="B31" s="119">
        <f t="shared" si="2"/>
        <v>26</v>
      </c>
      <c r="C31" s="119" t="s">
        <v>16</v>
      </c>
      <c r="D31" s="119">
        <v>16</v>
      </c>
      <c r="E31" s="119"/>
      <c r="F31" s="119"/>
      <c r="G31">
        <v>6.0600001364946372E-2</v>
      </c>
      <c r="H31">
        <v>0.10149999707937241</v>
      </c>
      <c r="I31">
        <v>0.1103999987244606</v>
      </c>
      <c r="J31">
        <v>6.8700000643730164E-2</v>
      </c>
      <c r="K31">
        <v>0.1782999932765961</v>
      </c>
      <c r="L31">
        <v>0.40810000896453857</v>
      </c>
      <c r="M31">
        <v>7.9300001263618469E-2</v>
      </c>
      <c r="N31">
        <v>0.1243000030517578</v>
      </c>
    </row>
    <row r="32" spans="1:14" ht="15" x14ac:dyDescent="0.25">
      <c r="A32" s="186"/>
      <c r="B32" s="119">
        <f t="shared" si="2"/>
        <v>27</v>
      </c>
      <c r="C32" s="119" t="s">
        <v>38</v>
      </c>
      <c r="D32" s="119">
        <v>8</v>
      </c>
      <c r="E32" s="119"/>
      <c r="F32" s="119"/>
      <c r="G32">
        <v>8.8100001215934753E-2</v>
      </c>
      <c r="H32">
        <v>7.3899999260902405E-2</v>
      </c>
      <c r="I32">
        <v>0.1055999994277954</v>
      </c>
      <c r="J32">
        <v>6.1799999326467507E-2</v>
      </c>
      <c r="K32">
        <v>0.146699994802475</v>
      </c>
      <c r="L32">
        <v>0.3953000009059906</v>
      </c>
      <c r="M32">
        <v>1.7699999734759331E-2</v>
      </c>
      <c r="N32">
        <v>5.4999999701976783E-2</v>
      </c>
    </row>
    <row r="33" spans="1:14" ht="15" x14ac:dyDescent="0.25">
      <c r="A33" s="187"/>
      <c r="B33" s="187"/>
      <c r="C33" s="187"/>
      <c r="D33" s="187"/>
      <c r="E33" s="121" t="s">
        <v>164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30</v>
      </c>
      <c r="D34" s="119">
        <v>5</v>
      </c>
      <c r="E34" s="119"/>
      <c r="F34" s="119"/>
      <c r="G34">
        <v>3.9400000125169747E-2</v>
      </c>
      <c r="H34">
        <v>0.1229000017046928</v>
      </c>
      <c r="I34">
        <v>7.6600000262260437E-2</v>
      </c>
      <c r="J34">
        <v>3.7300001829862588E-2</v>
      </c>
      <c r="K34">
        <v>0.19230000674724579</v>
      </c>
      <c r="L34">
        <v>0.42879998683929438</v>
      </c>
      <c r="M34">
        <v>2.1800000220537189E-2</v>
      </c>
      <c r="N34">
        <v>5.3899999707937241E-2</v>
      </c>
    </row>
    <row r="35" spans="1:14" ht="15" x14ac:dyDescent="0.25">
      <c r="A35" s="186"/>
      <c r="B35" s="119">
        <f t="shared" ref="B35:B42" si="3">B34+1</f>
        <v>29</v>
      </c>
      <c r="C35" s="119" t="s">
        <v>38</v>
      </c>
      <c r="D35" s="119">
        <v>9</v>
      </c>
      <c r="E35" s="119"/>
      <c r="F35" s="119"/>
      <c r="G35">
        <v>2.099999925121665E-3</v>
      </c>
      <c r="H35">
        <v>0.16120000183582309</v>
      </c>
      <c r="I35">
        <v>2.6200000196695331E-2</v>
      </c>
      <c r="J35">
        <v>2.9799999669194221E-2</v>
      </c>
      <c r="K35">
        <v>0.19550000131130221</v>
      </c>
      <c r="L35">
        <v>0.4302000105381012</v>
      </c>
      <c r="M35">
        <v>1.9999999552965161E-2</v>
      </c>
      <c r="N35">
        <v>5.0200000405311578E-2</v>
      </c>
    </row>
    <row r="36" spans="1:14" ht="15" x14ac:dyDescent="0.25">
      <c r="A36" s="186"/>
      <c r="B36" s="119">
        <f t="shared" si="3"/>
        <v>30</v>
      </c>
      <c r="C36" s="119" t="s">
        <v>19</v>
      </c>
      <c r="D36" s="119">
        <v>12</v>
      </c>
      <c r="E36" s="119"/>
      <c r="F36" s="119" t="s">
        <v>167</v>
      </c>
      <c r="G36">
        <v>1.2900000438094141E-2</v>
      </c>
      <c r="H36">
        <v>0.17489999532699579</v>
      </c>
      <c r="I36">
        <v>1.5399999916553501E-2</v>
      </c>
      <c r="J36">
        <v>5.8800000697374337E-2</v>
      </c>
      <c r="K36">
        <v>0.18379999697208399</v>
      </c>
      <c r="L36">
        <v>0.4205000102519989</v>
      </c>
      <c r="M36">
        <v>5.0299998372793198E-2</v>
      </c>
      <c r="N36">
        <v>3.299999982118607E-3</v>
      </c>
    </row>
    <row r="37" spans="1:14" ht="15" x14ac:dyDescent="0.25">
      <c r="A37" s="186"/>
      <c r="B37" s="119">
        <f t="shared" si="3"/>
        <v>31</v>
      </c>
      <c r="C37" s="119" t="s">
        <v>38</v>
      </c>
      <c r="D37" s="119">
        <v>4.5</v>
      </c>
      <c r="E37" s="119"/>
      <c r="F37" s="119"/>
      <c r="G37">
        <v>3.0999999493360519E-2</v>
      </c>
      <c r="H37">
        <v>0.1315000057220459</v>
      </c>
      <c r="I37">
        <v>5.2299998700618737E-2</v>
      </c>
      <c r="J37">
        <v>1.6599999740719799E-2</v>
      </c>
      <c r="K37">
        <v>0.16550000011920929</v>
      </c>
      <c r="L37">
        <v>0.39430001378059393</v>
      </c>
      <c r="M37">
        <v>3.8699999451637268E-2</v>
      </c>
      <c r="N37">
        <v>8.5900001227855682E-2</v>
      </c>
    </row>
    <row r="38" spans="1:14" ht="15" x14ac:dyDescent="0.25">
      <c r="A38" s="186"/>
      <c r="B38" s="119">
        <f t="shared" si="3"/>
        <v>32</v>
      </c>
      <c r="C38" s="119" t="s">
        <v>70</v>
      </c>
      <c r="D38" s="119">
        <v>6</v>
      </c>
      <c r="E38" s="119"/>
      <c r="F38" s="119"/>
      <c r="G38">
        <v>0.1041999980807304</v>
      </c>
      <c r="H38">
        <v>5.7900000363588333E-2</v>
      </c>
      <c r="I38">
        <v>0.1503999978303909</v>
      </c>
      <c r="J38">
        <v>0.1070000007748604</v>
      </c>
      <c r="K38">
        <v>0.19349999725818631</v>
      </c>
      <c r="L38">
        <v>0.43849998712539667</v>
      </c>
      <c r="M38">
        <v>3.0799999833106991E-2</v>
      </c>
      <c r="N38">
        <v>2.6799999177455899E-2</v>
      </c>
    </row>
    <row r="39" spans="1:14" ht="15" x14ac:dyDescent="0.25">
      <c r="A39" s="186"/>
      <c r="B39" s="119">
        <f t="shared" si="3"/>
        <v>33</v>
      </c>
      <c r="C39" s="119" t="s">
        <v>138</v>
      </c>
      <c r="D39" s="119">
        <v>20.5</v>
      </c>
      <c r="E39" s="119"/>
      <c r="F39" s="119"/>
      <c r="G39">
        <v>5.6499999016523361E-2</v>
      </c>
      <c r="H39">
        <v>0.1055999994277954</v>
      </c>
      <c r="I39">
        <v>7.8199997544288635E-2</v>
      </c>
      <c r="J39">
        <v>3.5199999809265137E-2</v>
      </c>
      <c r="K39">
        <v>0.17970000207424161</v>
      </c>
      <c r="L39">
        <v>0.41209998726844788</v>
      </c>
      <c r="M39">
        <v>2.400000020861626E-2</v>
      </c>
      <c r="N39">
        <v>6.7500002682209015E-2</v>
      </c>
    </row>
    <row r="40" spans="1:14" ht="15" x14ac:dyDescent="0.25">
      <c r="A40" s="186"/>
      <c r="B40" s="119">
        <f t="shared" si="3"/>
        <v>34</v>
      </c>
      <c r="C40" s="119" t="s">
        <v>27</v>
      </c>
      <c r="D40" s="119">
        <v>15</v>
      </c>
      <c r="E40" s="122"/>
      <c r="F40" s="122"/>
      <c r="G40">
        <v>5.8100000023841858E-2</v>
      </c>
      <c r="H40">
        <v>0.1044000014662743</v>
      </c>
      <c r="I40">
        <v>7.1199998259544373E-2</v>
      </c>
      <c r="J40">
        <v>2.7899999171495441E-2</v>
      </c>
      <c r="K40">
        <v>0.1843000054359436</v>
      </c>
      <c r="L40">
        <v>0.42269998788833618</v>
      </c>
      <c r="M40">
        <v>1.9300000742077831E-2</v>
      </c>
      <c r="N40">
        <v>5.9599999338388443E-2</v>
      </c>
    </row>
    <row r="41" spans="1:14" ht="15" x14ac:dyDescent="0.25">
      <c r="A41" s="186"/>
      <c r="B41" s="119">
        <f t="shared" si="3"/>
        <v>35</v>
      </c>
      <c r="C41" s="119" t="s">
        <v>20</v>
      </c>
      <c r="D41" s="119">
        <v>8</v>
      </c>
      <c r="E41" s="122"/>
      <c r="F41" s="122"/>
      <c r="G41">
        <v>0.12700000405311579</v>
      </c>
      <c r="H41">
        <v>3.5000000149011612E-2</v>
      </c>
      <c r="I41">
        <v>0.17139999568462369</v>
      </c>
      <c r="J41">
        <v>0.127700001001358</v>
      </c>
      <c r="K41">
        <v>0.1342000067234039</v>
      </c>
      <c r="L41">
        <v>0.37470000982284551</v>
      </c>
      <c r="M41">
        <v>1.4000000432133669E-2</v>
      </c>
      <c r="N41">
        <v>5.6299999356269843E-2</v>
      </c>
    </row>
    <row r="42" spans="1:14" ht="15" x14ac:dyDescent="0.25">
      <c r="A42" s="186"/>
      <c r="B42" s="123">
        <f t="shared" si="3"/>
        <v>36</v>
      </c>
      <c r="C42" s="123" t="s">
        <v>25</v>
      </c>
      <c r="D42" s="123">
        <v>15</v>
      </c>
      <c r="E42" s="124"/>
      <c r="F42" s="124"/>
      <c r="G42">
        <v>7.6200000941753387E-2</v>
      </c>
      <c r="H42">
        <v>8.5799999535083771E-2</v>
      </c>
      <c r="I42">
        <v>0.12649999558925629</v>
      </c>
      <c r="J42">
        <v>8.3800002932548523E-2</v>
      </c>
      <c r="K42">
        <v>0.12780000269412989</v>
      </c>
      <c r="L42">
        <v>0.35280001163482672</v>
      </c>
      <c r="M42">
        <v>4.1099999099969857E-2</v>
      </c>
      <c r="N42">
        <v>8.8399998843669891E-2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28</v>
      </c>
      <c r="D4" s="119">
        <v>11</v>
      </c>
      <c r="E4" s="119" t="s">
        <v>318</v>
      </c>
      <c r="F4" s="119"/>
      <c r="G4">
        <v>3.6600001156330109E-2</v>
      </c>
      <c r="H4">
        <v>0.12549999356269839</v>
      </c>
      <c r="I4">
        <v>6.8700000643730164E-2</v>
      </c>
      <c r="J4">
        <v>2.8200000524520871E-2</v>
      </c>
      <c r="K4">
        <v>4.5800000429153442E-2</v>
      </c>
      <c r="L4">
        <v>0.28670001029968262</v>
      </c>
      <c r="M4">
        <v>3.6899998784065247E-2</v>
      </c>
      <c r="N4">
        <v>2.300000004470348E-2</v>
      </c>
    </row>
    <row r="5" spans="1:14" ht="15" x14ac:dyDescent="0.25">
      <c r="A5" s="186"/>
      <c r="B5" s="119">
        <f t="shared" ref="B5:B12" si="0">B4+1</f>
        <v>2</v>
      </c>
      <c r="C5" s="120" t="s">
        <v>25</v>
      </c>
      <c r="D5" s="119">
        <v>14</v>
      </c>
      <c r="E5" s="119"/>
      <c r="F5" s="119"/>
      <c r="G5">
        <v>6.9499999284744263E-2</v>
      </c>
      <c r="H5">
        <v>9.2500001192092896E-2</v>
      </c>
      <c r="I5">
        <v>0.12829999625682831</v>
      </c>
      <c r="J5">
        <v>8.6099997162818909E-2</v>
      </c>
      <c r="K5">
        <v>6.7699998617172241E-2</v>
      </c>
      <c r="L5">
        <v>0.30410000681877142</v>
      </c>
      <c r="M5">
        <v>3.6699999123811722E-2</v>
      </c>
      <c r="N5">
        <v>2.8200000524520871E-2</v>
      </c>
    </row>
    <row r="6" spans="1:14" ht="15" x14ac:dyDescent="0.25">
      <c r="A6" s="186"/>
      <c r="B6" s="119">
        <f t="shared" si="0"/>
        <v>3</v>
      </c>
      <c r="C6" s="119" t="s">
        <v>168</v>
      </c>
      <c r="D6" s="119">
        <v>16.5</v>
      </c>
      <c r="E6" s="119"/>
      <c r="F6" s="119"/>
      <c r="G6">
        <v>0.1308999955654144</v>
      </c>
      <c r="H6">
        <v>3.1700000166893012E-2</v>
      </c>
      <c r="I6">
        <v>0.19810000061988831</v>
      </c>
      <c r="J6">
        <v>0.15459999442100519</v>
      </c>
      <c r="K6">
        <v>5.6000001728534698E-2</v>
      </c>
      <c r="L6">
        <v>0.23710000514984131</v>
      </c>
      <c r="M6">
        <v>6.8000003695487976E-2</v>
      </c>
      <c r="N6">
        <v>4.7200001776218407E-2</v>
      </c>
    </row>
    <row r="7" spans="1:14" ht="15" x14ac:dyDescent="0.25">
      <c r="A7" s="186"/>
      <c r="B7" s="119">
        <f t="shared" si="0"/>
        <v>4</v>
      </c>
      <c r="C7" s="119" t="s">
        <v>35</v>
      </c>
      <c r="D7" s="119">
        <v>3.5</v>
      </c>
      <c r="E7" s="119"/>
      <c r="F7" s="119"/>
      <c r="G7">
        <v>9.0199999511241913E-2</v>
      </c>
      <c r="H7">
        <v>7.2200000286102295E-2</v>
      </c>
      <c r="I7">
        <v>0.1569000035524368</v>
      </c>
      <c r="J7">
        <v>0.1141000017523766</v>
      </c>
      <c r="K7">
        <v>4.4900000095367432E-2</v>
      </c>
      <c r="L7">
        <v>0.26840001344680792</v>
      </c>
      <c r="M7">
        <v>4.6100001782178879E-2</v>
      </c>
      <c r="N7">
        <v>4.4599998742342002E-2</v>
      </c>
    </row>
    <row r="8" spans="1:14" ht="15" x14ac:dyDescent="0.25">
      <c r="A8" s="186"/>
      <c r="B8" s="119">
        <f t="shared" si="0"/>
        <v>5</v>
      </c>
      <c r="C8" s="119" t="s">
        <v>17</v>
      </c>
      <c r="D8" s="119">
        <v>2.5</v>
      </c>
      <c r="E8" s="119"/>
      <c r="F8" s="119"/>
      <c r="G8">
        <v>9.9399998784065247E-2</v>
      </c>
      <c r="H8">
        <v>6.2700003385543823E-2</v>
      </c>
      <c r="I8">
        <v>0.1703999936580658</v>
      </c>
      <c r="J8">
        <v>0.12759999930858609</v>
      </c>
      <c r="K8">
        <v>9.1099999845027924E-2</v>
      </c>
      <c r="L8">
        <v>0.23149999976158139</v>
      </c>
      <c r="M8">
        <v>5.2499998360872269E-2</v>
      </c>
      <c r="N8">
        <v>7.2300001978874207E-2</v>
      </c>
    </row>
    <row r="9" spans="1:14" ht="15" x14ac:dyDescent="0.25">
      <c r="A9" s="186"/>
      <c r="B9" s="119">
        <f t="shared" si="0"/>
        <v>6</v>
      </c>
      <c r="C9" s="119" t="s">
        <v>14</v>
      </c>
      <c r="D9" s="119">
        <v>19</v>
      </c>
      <c r="E9" s="119"/>
      <c r="F9" s="119"/>
      <c r="G9">
        <v>7.6999999582767487E-2</v>
      </c>
      <c r="H9">
        <v>8.5100002586841583E-2</v>
      </c>
      <c r="I9">
        <v>0.12099999934434889</v>
      </c>
      <c r="J9">
        <v>7.8000001609325409E-2</v>
      </c>
      <c r="K9">
        <v>3.7799999117851257E-2</v>
      </c>
      <c r="L9">
        <v>0.26910001039504999</v>
      </c>
      <c r="M9">
        <v>6.0600001364946372E-2</v>
      </c>
      <c r="N9">
        <v>2.8899999335408211E-2</v>
      </c>
    </row>
    <row r="10" spans="1:14" ht="15" x14ac:dyDescent="0.25">
      <c r="A10" s="186"/>
      <c r="B10" s="119">
        <f t="shared" si="0"/>
        <v>7</v>
      </c>
      <c r="C10" s="119" t="s">
        <v>17</v>
      </c>
      <c r="D10" s="119">
        <v>2</v>
      </c>
      <c r="E10" s="119"/>
      <c r="F10" s="119"/>
      <c r="G10">
        <v>5.2400000393390662E-2</v>
      </c>
      <c r="H10">
        <v>0.1096000000834465</v>
      </c>
      <c r="I10">
        <v>7.8100003302097321E-2</v>
      </c>
      <c r="J10">
        <v>3.5199999809265137E-2</v>
      </c>
      <c r="K10">
        <v>3.5900000482797623E-2</v>
      </c>
      <c r="L10">
        <v>0.28369998931884771</v>
      </c>
      <c r="M10">
        <v>3.7099998444318771E-2</v>
      </c>
      <c r="N10">
        <v>1.169999968260527E-2</v>
      </c>
    </row>
    <row r="11" spans="1:14" ht="15" x14ac:dyDescent="0.25">
      <c r="A11" s="186"/>
      <c r="B11" s="119">
        <f t="shared" si="0"/>
        <v>8</v>
      </c>
      <c r="C11" s="119" t="s">
        <v>21</v>
      </c>
      <c r="D11" s="119">
        <v>7.5</v>
      </c>
      <c r="E11" s="119"/>
      <c r="F11" s="119"/>
      <c r="G11">
        <v>8.2999996840953827E-2</v>
      </c>
      <c r="H11">
        <v>7.9099997878074646E-2</v>
      </c>
      <c r="I11">
        <v>0.12030000239610671</v>
      </c>
      <c r="J11">
        <v>7.6899997889995575E-2</v>
      </c>
      <c r="K11">
        <v>4.8399999737739563E-2</v>
      </c>
      <c r="L11">
        <v>0.27790001034736628</v>
      </c>
      <c r="M11">
        <v>5.9399999678134918E-2</v>
      </c>
      <c r="N11">
        <v>2.630000002682209E-2</v>
      </c>
    </row>
    <row r="12" spans="1:14" ht="15" x14ac:dyDescent="0.25">
      <c r="A12" s="186"/>
      <c r="B12" s="119">
        <f t="shared" si="0"/>
        <v>9</v>
      </c>
      <c r="C12" s="119" t="s">
        <v>24</v>
      </c>
      <c r="D12" s="119">
        <v>5.5</v>
      </c>
      <c r="E12" s="119"/>
      <c r="F12" s="119"/>
      <c r="G12">
        <v>7.5099997222423553E-2</v>
      </c>
      <c r="H12">
        <v>8.6900003254413605E-2</v>
      </c>
      <c r="I12">
        <v>0.11309999972581861</v>
      </c>
      <c r="J12">
        <v>6.9899998605251312E-2</v>
      </c>
      <c r="K12">
        <v>5.9599999338388443E-2</v>
      </c>
      <c r="L12">
        <v>0.23819999396800989</v>
      </c>
      <c r="M12">
        <v>4.1000001132488251E-2</v>
      </c>
      <c r="N12">
        <v>1.579999923706055E-2</v>
      </c>
    </row>
    <row r="13" spans="1:14" ht="15" x14ac:dyDescent="0.25">
      <c r="A13" s="187"/>
      <c r="B13" s="187"/>
      <c r="C13" s="187"/>
      <c r="D13" s="187"/>
      <c r="E13" s="121" t="s">
        <v>164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27</v>
      </c>
      <c r="D14" s="119">
        <v>14.5</v>
      </c>
      <c r="E14" s="119"/>
      <c r="F14" s="119"/>
      <c r="G14">
        <v>2.239999920129776E-2</v>
      </c>
      <c r="H14">
        <v>0.18440000712871549</v>
      </c>
      <c r="I14">
        <v>2.040000073611736E-2</v>
      </c>
      <c r="J14">
        <v>6.3199996948242188E-2</v>
      </c>
      <c r="K14">
        <v>8.3400003612041473E-2</v>
      </c>
      <c r="L14">
        <v>0.28240001201629639</v>
      </c>
      <c r="M14">
        <v>1.200000010430813E-2</v>
      </c>
      <c r="N14">
        <v>5.3700000047683723E-2</v>
      </c>
    </row>
    <row r="15" spans="1:14" ht="15" x14ac:dyDescent="0.25">
      <c r="A15" s="186"/>
      <c r="B15" s="119">
        <f t="shared" ref="B15:B22" si="1">B14+1</f>
        <v>11</v>
      </c>
      <c r="C15" s="119" t="s">
        <v>23</v>
      </c>
      <c r="D15" s="119">
        <v>32</v>
      </c>
      <c r="E15" s="119"/>
      <c r="F15" s="119"/>
      <c r="G15">
        <v>2.3299999535083771E-2</v>
      </c>
      <c r="H15">
        <v>0.1852999925613403</v>
      </c>
      <c r="I15">
        <v>2.0600000396370891E-2</v>
      </c>
      <c r="J15">
        <v>6.3000001013278961E-2</v>
      </c>
      <c r="K15">
        <v>5.5900000035762787E-2</v>
      </c>
      <c r="L15">
        <v>0.24009999632835391</v>
      </c>
      <c r="M15">
        <v>1.1900000274181369E-2</v>
      </c>
      <c r="N15">
        <v>4.7100000083446503E-2</v>
      </c>
    </row>
    <row r="16" spans="1:14" ht="15" x14ac:dyDescent="0.25">
      <c r="A16" s="186"/>
      <c r="B16" s="119">
        <f t="shared" si="1"/>
        <v>12</v>
      </c>
      <c r="C16" s="119" t="s">
        <v>49</v>
      </c>
      <c r="D16" s="119">
        <v>16.5</v>
      </c>
      <c r="E16" s="119"/>
      <c r="F16" s="129"/>
      <c r="G16">
        <v>1.6300000250339512E-2</v>
      </c>
      <c r="H16">
        <v>0.1782999932765961</v>
      </c>
      <c r="I16">
        <v>1.2900000438094141E-2</v>
      </c>
      <c r="J16">
        <v>5.1100000739097602E-2</v>
      </c>
      <c r="K16">
        <v>7.5999997556209564E-2</v>
      </c>
      <c r="L16">
        <v>0.2143000066280365</v>
      </c>
      <c r="M16">
        <v>1.7999999225139621E-2</v>
      </c>
      <c r="N16">
        <v>6.289999932050705E-2</v>
      </c>
    </row>
    <row r="17" spans="1:14" ht="15" x14ac:dyDescent="0.25">
      <c r="A17" s="186"/>
      <c r="B17" s="119">
        <f t="shared" si="1"/>
        <v>13</v>
      </c>
      <c r="C17" s="119" t="s">
        <v>14</v>
      </c>
      <c r="D17" s="119">
        <v>28.5</v>
      </c>
      <c r="E17" s="119"/>
      <c r="F17" s="119"/>
      <c r="G17">
        <v>8.2000000402331352E-3</v>
      </c>
      <c r="H17">
        <v>0.17020000517368319</v>
      </c>
      <c r="I17">
        <v>1.449999958276749E-2</v>
      </c>
      <c r="J17">
        <v>3.9999999105930328E-2</v>
      </c>
      <c r="K17">
        <v>7.9700000584125519E-2</v>
      </c>
      <c r="L17">
        <v>0.22169999778270719</v>
      </c>
      <c r="M17">
        <v>4.2100001126527793E-2</v>
      </c>
      <c r="N17">
        <v>8.9299999177455902E-2</v>
      </c>
    </row>
    <row r="18" spans="1:14" ht="15" x14ac:dyDescent="0.25">
      <c r="A18" s="186"/>
      <c r="B18" s="119">
        <f t="shared" si="1"/>
        <v>14</v>
      </c>
      <c r="C18" s="119" t="s">
        <v>14</v>
      </c>
      <c r="D18" s="119">
        <v>50</v>
      </c>
      <c r="E18" s="119"/>
      <c r="F18" s="119" t="s">
        <v>169</v>
      </c>
      <c r="G18">
        <v>3.6699999123811722E-2</v>
      </c>
      <c r="H18">
        <v>0.12530000507831571</v>
      </c>
      <c r="I18">
        <v>5.3599998354911797E-2</v>
      </c>
      <c r="J18">
        <v>1.1900000274181369E-2</v>
      </c>
      <c r="K18">
        <v>0.1344999969005585</v>
      </c>
      <c r="L18">
        <v>0.29339998960495001</v>
      </c>
      <c r="M18">
        <v>3.4299999475479133E-2</v>
      </c>
      <c r="N18">
        <v>8.1699997186660767E-2</v>
      </c>
    </row>
    <row r="19" spans="1:14" ht="15" x14ac:dyDescent="0.25">
      <c r="A19" s="186"/>
      <c r="B19" s="119">
        <f t="shared" si="1"/>
        <v>15</v>
      </c>
      <c r="C19" s="119" t="s">
        <v>36</v>
      </c>
      <c r="D19" s="119">
        <v>2.5</v>
      </c>
      <c r="E19" s="119"/>
      <c r="F19" s="119"/>
      <c r="G19">
        <v>4.3000001460313797E-3</v>
      </c>
      <c r="H19">
        <v>0.16629999876022339</v>
      </c>
      <c r="I19">
        <v>1.6000000759959221E-2</v>
      </c>
      <c r="J19">
        <v>3.6299999803304672E-2</v>
      </c>
      <c r="K19">
        <v>9.3699999153614044E-2</v>
      </c>
      <c r="L19">
        <v>0.23139999806880951</v>
      </c>
      <c r="M19">
        <v>4.6500001102685928E-2</v>
      </c>
      <c r="N19">
        <v>9.3900002539157867E-2</v>
      </c>
    </row>
    <row r="20" spans="1:14" ht="15" x14ac:dyDescent="0.25">
      <c r="A20" s="186"/>
      <c r="B20" s="119">
        <f t="shared" si="1"/>
        <v>16</v>
      </c>
      <c r="C20" s="119" t="s">
        <v>81</v>
      </c>
      <c r="D20" s="119">
        <v>19</v>
      </c>
      <c r="E20" s="119"/>
      <c r="F20" s="119"/>
      <c r="G20">
        <v>1.0099999606609339E-2</v>
      </c>
      <c r="H20">
        <v>0.1519999951124191</v>
      </c>
      <c r="I20">
        <v>3.2400000840425491E-2</v>
      </c>
      <c r="J20">
        <v>1.9999999552965161E-2</v>
      </c>
      <c r="K20">
        <v>8.789999783039093E-2</v>
      </c>
      <c r="L20">
        <v>0.2152999937534332</v>
      </c>
      <c r="M20">
        <v>5.7399999350309372E-2</v>
      </c>
      <c r="N20">
        <v>0.1048000007867813</v>
      </c>
    </row>
    <row r="21" spans="1:14" ht="15" x14ac:dyDescent="0.25">
      <c r="A21" s="186"/>
      <c r="B21" s="119">
        <f t="shared" si="1"/>
        <v>17</v>
      </c>
      <c r="C21" s="119" t="s">
        <v>103</v>
      </c>
      <c r="D21" s="119">
        <v>50</v>
      </c>
      <c r="E21" s="119"/>
      <c r="F21" s="119" t="s">
        <v>169</v>
      </c>
      <c r="G21">
        <v>1.329999975860119E-2</v>
      </c>
      <c r="H21">
        <v>0.1750999987125397</v>
      </c>
      <c r="I21">
        <v>1.329999975860119E-2</v>
      </c>
      <c r="J21">
        <v>5.429999902844429E-2</v>
      </c>
      <c r="K21">
        <v>7.0299997925758362E-2</v>
      </c>
      <c r="L21">
        <v>0.2421000003814697</v>
      </c>
      <c r="M21">
        <v>4.0399998426437378E-2</v>
      </c>
      <c r="N21">
        <v>8.7800003588199615E-2</v>
      </c>
    </row>
    <row r="22" spans="1:14" ht="15" x14ac:dyDescent="0.25">
      <c r="A22" s="186"/>
      <c r="B22" s="119">
        <f t="shared" si="1"/>
        <v>18</v>
      </c>
      <c r="C22" s="119" t="s">
        <v>48</v>
      </c>
      <c r="D22" s="119">
        <v>1</v>
      </c>
      <c r="E22" s="119"/>
      <c r="F22" s="119"/>
      <c r="G22">
        <v>3.1000000890344381E-3</v>
      </c>
      <c r="H22">
        <v>0.1590999960899353</v>
      </c>
      <c r="I22">
        <v>1.9500000402331349E-2</v>
      </c>
      <c r="J22">
        <v>2.96000000089407E-2</v>
      </c>
      <c r="K22">
        <v>7.6999999582767487E-2</v>
      </c>
      <c r="L22">
        <v>0.24120000004768369</v>
      </c>
      <c r="M22">
        <v>2.6100000366568569E-2</v>
      </c>
      <c r="N22">
        <v>7.3399998247623444E-2</v>
      </c>
    </row>
    <row r="23" spans="1:14" ht="15" x14ac:dyDescent="0.25">
      <c r="A23" s="187"/>
      <c r="B23" s="187"/>
      <c r="C23" s="187"/>
      <c r="D23" s="187"/>
      <c r="E23" s="121" t="s">
        <v>67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50</v>
      </c>
      <c r="D24" s="119">
        <v>4.5</v>
      </c>
      <c r="E24" s="119"/>
      <c r="F24" s="119"/>
      <c r="G24">
        <v>1.500000013038516E-3</v>
      </c>
      <c r="H24">
        <v>0.16279999911785131</v>
      </c>
      <c r="I24">
        <v>1.200000010430813E-2</v>
      </c>
      <c r="J24">
        <v>3.6100000143051147E-2</v>
      </c>
      <c r="K24">
        <v>9.3400001525878906E-2</v>
      </c>
      <c r="L24">
        <v>0.23530000448226929</v>
      </c>
      <c r="M24">
        <v>3.6699999123811722E-2</v>
      </c>
      <c r="N24">
        <v>8.2999996840953827E-2</v>
      </c>
    </row>
    <row r="25" spans="1:14" ht="15" x14ac:dyDescent="0.25">
      <c r="A25" s="186"/>
      <c r="B25" s="119">
        <f t="shared" ref="B25:B32" si="2">B24+1</f>
        <v>20</v>
      </c>
      <c r="C25" s="119" t="s">
        <v>18</v>
      </c>
      <c r="D25" s="119">
        <v>12</v>
      </c>
      <c r="E25" s="119"/>
      <c r="F25" s="119"/>
      <c r="G25">
        <v>1.6899999231100079E-2</v>
      </c>
      <c r="H25">
        <v>0.14519999921321869</v>
      </c>
      <c r="I25">
        <v>3.8499999791383743E-2</v>
      </c>
      <c r="J25">
        <v>1.410000026226044E-2</v>
      </c>
      <c r="K25">
        <v>0.1128999963402748</v>
      </c>
      <c r="L25">
        <v>0.24580000340938571</v>
      </c>
      <c r="M25">
        <v>3.5999998450279243E-2</v>
      </c>
      <c r="N25">
        <v>8.320000022649765E-2</v>
      </c>
    </row>
    <row r="26" spans="1:14" ht="15" x14ac:dyDescent="0.25">
      <c r="A26" s="186"/>
      <c r="B26" s="119">
        <f t="shared" si="2"/>
        <v>21</v>
      </c>
      <c r="C26" s="119" t="s">
        <v>45</v>
      </c>
      <c r="D26" s="119">
        <v>3.5</v>
      </c>
      <c r="E26" s="119"/>
      <c r="F26" s="119"/>
      <c r="G26">
        <v>7.4000000022351742E-3</v>
      </c>
      <c r="H26">
        <v>0.15469999611377719</v>
      </c>
      <c r="I26">
        <v>3.7300001829862588E-2</v>
      </c>
      <c r="J26">
        <v>2.1299999207258221E-2</v>
      </c>
      <c r="K26">
        <v>0.12319999933242801</v>
      </c>
      <c r="L26">
        <v>0.24099999666213989</v>
      </c>
      <c r="M26">
        <v>4.1299998760223389E-2</v>
      </c>
      <c r="N26">
        <v>8.8799998164176941E-2</v>
      </c>
    </row>
    <row r="27" spans="1:14" ht="15" x14ac:dyDescent="0.25">
      <c r="A27" s="186"/>
      <c r="B27" s="119">
        <f t="shared" si="2"/>
        <v>22</v>
      </c>
      <c r="C27" s="119" t="s">
        <v>105</v>
      </c>
      <c r="D27" s="119">
        <v>27</v>
      </c>
      <c r="E27" s="119"/>
      <c r="F27" s="119"/>
      <c r="G27">
        <v>9.6000004559755325E-3</v>
      </c>
      <c r="H27">
        <v>0.15289999544620511</v>
      </c>
      <c r="I27">
        <v>2.8000000864267349E-2</v>
      </c>
      <c r="J27">
        <v>2.070000022649765E-2</v>
      </c>
      <c r="K27">
        <v>0.1177000030875206</v>
      </c>
      <c r="L27">
        <v>0.25960001349449158</v>
      </c>
      <c r="M27">
        <v>3.4600000828504562E-2</v>
      </c>
      <c r="N27">
        <v>8.2099996507167816E-2</v>
      </c>
    </row>
    <row r="28" spans="1:14" ht="15" x14ac:dyDescent="0.25">
      <c r="A28" s="186"/>
      <c r="B28" s="119">
        <f t="shared" si="2"/>
        <v>23</v>
      </c>
      <c r="C28" s="119" t="s">
        <v>33</v>
      </c>
      <c r="D28" s="119">
        <v>20</v>
      </c>
      <c r="E28" s="119"/>
      <c r="F28" s="119"/>
      <c r="G28">
        <v>9.7000002861022949E-3</v>
      </c>
      <c r="H28">
        <v>0.15299999713897711</v>
      </c>
      <c r="I28">
        <v>3.6499999463558197E-2</v>
      </c>
      <c r="J28">
        <v>1.8600000068545341E-2</v>
      </c>
      <c r="K28">
        <v>0.13470000028610229</v>
      </c>
      <c r="L28">
        <v>0.26190000772476202</v>
      </c>
      <c r="M28">
        <v>4.8099998384714127E-2</v>
      </c>
      <c r="N28">
        <v>9.5499999821186066E-2</v>
      </c>
    </row>
    <row r="29" spans="1:14" ht="15" x14ac:dyDescent="0.25">
      <c r="A29" s="186"/>
      <c r="B29" s="119">
        <f t="shared" si="2"/>
        <v>24</v>
      </c>
      <c r="C29" s="119" t="s">
        <v>15</v>
      </c>
      <c r="D29" s="119">
        <v>4.5</v>
      </c>
      <c r="E29" s="119"/>
      <c r="F29" s="119"/>
      <c r="G29">
        <v>1.940000057220459E-2</v>
      </c>
      <c r="H29">
        <v>0.1425999999046326</v>
      </c>
      <c r="I29">
        <v>3.8600001484155648E-2</v>
      </c>
      <c r="J29">
        <v>1.360000018030405E-2</v>
      </c>
      <c r="K29">
        <v>0.12890000641345981</v>
      </c>
      <c r="L29">
        <v>0.24230000376701349</v>
      </c>
      <c r="M29">
        <v>3.7599999457597733E-2</v>
      </c>
      <c r="N29">
        <v>8.4600001573562622E-2</v>
      </c>
    </row>
    <row r="30" spans="1:14" ht="15" x14ac:dyDescent="0.25">
      <c r="A30" s="186"/>
      <c r="B30" s="119">
        <f t="shared" si="2"/>
        <v>25</v>
      </c>
      <c r="C30" s="119" t="s">
        <v>40</v>
      </c>
      <c r="D30" s="119">
        <v>19.5</v>
      </c>
      <c r="E30" s="119"/>
      <c r="F30" s="119"/>
      <c r="G30">
        <v>3.5199999809265137E-2</v>
      </c>
      <c r="H30">
        <v>0.12700000405311579</v>
      </c>
      <c r="I30">
        <v>7.2099998593330383E-2</v>
      </c>
      <c r="J30">
        <v>3.189999982714653E-2</v>
      </c>
      <c r="K30">
        <v>0.1437000036239624</v>
      </c>
      <c r="L30">
        <v>0.25459998846054083</v>
      </c>
      <c r="M30">
        <v>5.6800000369548798E-2</v>
      </c>
      <c r="N30">
        <v>0.1036999970674515</v>
      </c>
    </row>
    <row r="31" spans="1:14" ht="15" x14ac:dyDescent="0.25">
      <c r="A31" s="186"/>
      <c r="B31" s="119">
        <f t="shared" si="2"/>
        <v>26</v>
      </c>
      <c r="C31" s="119" t="s">
        <v>103</v>
      </c>
      <c r="D31" s="119">
        <v>30</v>
      </c>
      <c r="E31" s="119"/>
      <c r="F31" s="119"/>
      <c r="G31">
        <v>7.3600001633167267E-2</v>
      </c>
      <c r="H31">
        <v>8.8600002229213715E-2</v>
      </c>
      <c r="I31">
        <v>0.1118000000715256</v>
      </c>
      <c r="J31">
        <v>6.849999725818634E-2</v>
      </c>
      <c r="K31">
        <v>0.15819999575614929</v>
      </c>
      <c r="L31">
        <v>0.2383999973535538</v>
      </c>
      <c r="M31">
        <v>5.9300001710653312E-2</v>
      </c>
      <c r="N31">
        <v>0.1031000018119812</v>
      </c>
    </row>
    <row r="32" spans="1:14" ht="15" x14ac:dyDescent="0.25">
      <c r="A32" s="186"/>
      <c r="B32" s="119">
        <f t="shared" si="2"/>
        <v>27</v>
      </c>
      <c r="C32" s="119" t="s">
        <v>33</v>
      </c>
      <c r="D32" s="119">
        <v>17</v>
      </c>
      <c r="E32" s="119"/>
      <c r="F32" s="119"/>
      <c r="G32">
        <v>4.7600001096725457E-2</v>
      </c>
      <c r="H32">
        <v>0.11439999938011169</v>
      </c>
      <c r="I32">
        <v>8.7300002574920654E-2</v>
      </c>
      <c r="J32">
        <v>4.5899998396635062E-2</v>
      </c>
      <c r="K32">
        <v>0.14800000190734861</v>
      </c>
      <c r="L32">
        <v>0.26679998636245728</v>
      </c>
      <c r="M32">
        <v>4.0899999439716339E-2</v>
      </c>
      <c r="N32">
        <v>7.2200000286102295E-2</v>
      </c>
    </row>
    <row r="33" spans="1:14" ht="15" x14ac:dyDescent="0.25">
      <c r="A33" s="187"/>
      <c r="B33" s="187"/>
      <c r="C33" s="187"/>
      <c r="D33" s="187"/>
      <c r="E33" s="121" t="s">
        <v>164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170</v>
      </c>
      <c r="D34" s="119">
        <v>11.5</v>
      </c>
      <c r="E34" s="119"/>
      <c r="F34" s="119"/>
      <c r="G34">
        <v>2.140000090003014E-2</v>
      </c>
      <c r="H34">
        <v>0.1835000067949295</v>
      </c>
      <c r="I34">
        <v>2.009999938309193E-2</v>
      </c>
      <c r="J34">
        <v>6.2600001692771912E-2</v>
      </c>
      <c r="K34">
        <v>5.9799998998641968E-2</v>
      </c>
      <c r="L34">
        <v>0.22609999775886541</v>
      </c>
      <c r="M34">
        <v>2.070000022649765E-2</v>
      </c>
      <c r="N34">
        <v>4.8000000417232513E-2</v>
      </c>
    </row>
    <row r="35" spans="1:14" ht="15" x14ac:dyDescent="0.25">
      <c r="A35" s="186"/>
      <c r="B35" s="119">
        <f t="shared" ref="B35:B42" si="3">B34+1</f>
        <v>29</v>
      </c>
      <c r="C35" s="119" t="s">
        <v>42</v>
      </c>
      <c r="D35" s="119">
        <v>25</v>
      </c>
      <c r="E35" s="119"/>
      <c r="F35" s="119"/>
      <c r="G35">
        <v>1.3399999588727949E-2</v>
      </c>
      <c r="H35">
        <v>0.1488000005483627</v>
      </c>
      <c r="I35">
        <v>4.7400001436471939E-2</v>
      </c>
      <c r="J35">
        <v>2.009999938309193E-2</v>
      </c>
      <c r="K35">
        <v>7.4699997901916504E-2</v>
      </c>
      <c r="L35">
        <v>0.226500004529953</v>
      </c>
      <c r="M35">
        <v>1.6200000420212749E-2</v>
      </c>
      <c r="N35">
        <v>5.1399998366832733E-2</v>
      </c>
    </row>
    <row r="36" spans="1:14" ht="15" x14ac:dyDescent="0.25">
      <c r="A36" s="186"/>
      <c r="B36" s="119">
        <f t="shared" si="3"/>
        <v>30</v>
      </c>
      <c r="C36" s="119" t="s">
        <v>23</v>
      </c>
      <c r="D36" s="119">
        <v>20.5</v>
      </c>
      <c r="E36" s="119"/>
      <c r="F36" s="119"/>
      <c r="G36">
        <v>6.0999998822808266E-3</v>
      </c>
      <c r="H36">
        <v>0.1561000049114227</v>
      </c>
      <c r="I36">
        <v>4.0199998766183853E-2</v>
      </c>
      <c r="J36">
        <v>2.2600000724196431E-2</v>
      </c>
      <c r="K36">
        <v>0.10069999843835831</v>
      </c>
      <c r="L36">
        <v>0.2108000069856644</v>
      </c>
      <c r="M36">
        <v>4.3000001460313797E-3</v>
      </c>
      <c r="N36">
        <v>4.6900000423192978E-2</v>
      </c>
    </row>
    <row r="37" spans="1:14" ht="15" x14ac:dyDescent="0.25">
      <c r="A37" s="186"/>
      <c r="B37" s="119">
        <f t="shared" si="3"/>
        <v>31</v>
      </c>
      <c r="C37" s="119" t="s">
        <v>80</v>
      </c>
      <c r="D37" s="119">
        <v>5.5</v>
      </c>
      <c r="E37" s="119"/>
      <c r="F37" s="119"/>
      <c r="G37">
        <v>3.400000045076013E-3</v>
      </c>
      <c r="H37">
        <v>0.1592999994754791</v>
      </c>
      <c r="I37">
        <v>2.5399999693036079E-2</v>
      </c>
      <c r="J37">
        <v>2.6100000366568569E-2</v>
      </c>
      <c r="K37">
        <v>6.4999997615814209E-2</v>
      </c>
      <c r="L37">
        <v>0.20819999277591711</v>
      </c>
      <c r="M37">
        <v>1.7699999734759331E-2</v>
      </c>
      <c r="N37">
        <v>4.5800000429153442E-2</v>
      </c>
    </row>
    <row r="38" spans="1:14" ht="15" x14ac:dyDescent="0.25">
      <c r="A38" s="186"/>
      <c r="B38" s="119">
        <f t="shared" si="3"/>
        <v>32</v>
      </c>
      <c r="C38" s="119" t="s">
        <v>76</v>
      </c>
      <c r="D38" s="119">
        <v>11</v>
      </c>
      <c r="E38" s="119"/>
      <c r="F38" s="119"/>
      <c r="G38">
        <v>7.4000000953674316E-2</v>
      </c>
      <c r="H38">
        <v>8.8100001215934753E-2</v>
      </c>
      <c r="I38">
        <v>0.100100003182888</v>
      </c>
      <c r="J38">
        <v>5.6600000709295273E-2</v>
      </c>
      <c r="K38">
        <v>0.1149000003933907</v>
      </c>
      <c r="L38">
        <v>0.1869000047445297</v>
      </c>
      <c r="M38">
        <v>1.040000002831221E-2</v>
      </c>
      <c r="N38">
        <v>4.7600001096725457E-2</v>
      </c>
    </row>
    <row r="39" spans="1:14" ht="15" x14ac:dyDescent="0.25">
      <c r="A39" s="186"/>
      <c r="B39" s="119">
        <f t="shared" si="3"/>
        <v>33</v>
      </c>
      <c r="C39" s="119" t="s">
        <v>24</v>
      </c>
      <c r="D39" s="119">
        <v>3.5</v>
      </c>
      <c r="E39" s="119"/>
      <c r="F39" s="119"/>
      <c r="G39">
        <v>3.2900001853704453E-2</v>
      </c>
      <c r="H39">
        <v>0.12919999659061429</v>
      </c>
      <c r="I39">
        <v>5.8600001037120819E-2</v>
      </c>
      <c r="J39">
        <v>1.840000040829182E-2</v>
      </c>
      <c r="K39">
        <v>9.3900002539157867E-2</v>
      </c>
      <c r="L39">
        <v>0.1917999982833862</v>
      </c>
      <c r="M39">
        <v>7.8999996185302734E-3</v>
      </c>
      <c r="N39">
        <v>4.8200000077486038E-2</v>
      </c>
    </row>
    <row r="40" spans="1:14" ht="15" x14ac:dyDescent="0.25">
      <c r="A40" s="186"/>
      <c r="B40" s="119">
        <f t="shared" si="3"/>
        <v>34</v>
      </c>
      <c r="C40" s="119" t="s">
        <v>16</v>
      </c>
      <c r="D40" s="119">
        <v>11.5</v>
      </c>
      <c r="E40" s="122"/>
      <c r="F40" s="122"/>
      <c r="G40">
        <v>8.39999970048666E-3</v>
      </c>
      <c r="H40">
        <v>0.15410000085830691</v>
      </c>
      <c r="I40">
        <v>4.5899998396635062E-2</v>
      </c>
      <c r="J40">
        <v>2.2199999541044239E-2</v>
      </c>
      <c r="K40">
        <v>8.8699996471405029E-2</v>
      </c>
      <c r="L40">
        <v>0.21719999611377719</v>
      </c>
      <c r="M40">
        <v>2.4800000712275509E-2</v>
      </c>
      <c r="N40">
        <v>7.1500003337860107E-2</v>
      </c>
    </row>
    <row r="41" spans="1:14" ht="15" x14ac:dyDescent="0.25">
      <c r="A41" s="186"/>
      <c r="B41" s="119">
        <f t="shared" si="3"/>
        <v>35</v>
      </c>
      <c r="C41" s="119" t="s">
        <v>89</v>
      </c>
      <c r="D41" s="119">
        <v>11</v>
      </c>
      <c r="E41" s="122"/>
      <c r="F41" s="122"/>
      <c r="G41">
        <v>1.310000009834766E-2</v>
      </c>
      <c r="H41">
        <v>0.14900000393390661</v>
      </c>
      <c r="I41">
        <v>5.0599999725818627E-2</v>
      </c>
      <c r="J41">
        <v>2.27000005543232E-2</v>
      </c>
      <c r="K41">
        <v>0.1048000007867813</v>
      </c>
      <c r="L41">
        <v>0.23499999940395361</v>
      </c>
      <c r="M41">
        <v>1.350000035017729E-2</v>
      </c>
      <c r="N41">
        <v>5.9300001710653312E-2</v>
      </c>
    </row>
    <row r="42" spans="1:14" ht="15" x14ac:dyDescent="0.25">
      <c r="A42" s="186"/>
      <c r="B42" s="123">
        <f t="shared" si="3"/>
        <v>36</v>
      </c>
      <c r="C42" s="123" t="s">
        <v>34</v>
      </c>
      <c r="D42" s="123">
        <v>11.5</v>
      </c>
      <c r="E42" s="124"/>
      <c r="F42" s="124"/>
      <c r="G42">
        <v>3.1399998813867569E-2</v>
      </c>
      <c r="H42">
        <v>0.13079999387264249</v>
      </c>
      <c r="I42">
        <v>5.8499999344348907E-2</v>
      </c>
      <c r="J42">
        <v>2.0999999716877941E-2</v>
      </c>
      <c r="K42">
        <v>0.122299998998642</v>
      </c>
      <c r="L42">
        <v>0.22939999401569369</v>
      </c>
      <c r="M42">
        <v>2.2600000724196431E-2</v>
      </c>
      <c r="N42">
        <v>5.8600001037120819E-2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2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81</v>
      </c>
      <c r="D4" s="119">
        <v>19</v>
      </c>
      <c r="E4" s="119" t="s">
        <v>318</v>
      </c>
      <c r="F4" s="119"/>
      <c r="G4">
        <v>2.1600000560283661E-2</v>
      </c>
      <c r="H4">
        <v>0.14090000092983249</v>
      </c>
      <c r="I4">
        <v>6.7800000309944153E-2</v>
      </c>
      <c r="J4">
        <v>3.1500000506639481E-2</v>
      </c>
      <c r="K4">
        <v>0.17569999396800989</v>
      </c>
      <c r="L4">
        <v>0.36329999566078192</v>
      </c>
      <c r="M4">
        <v>7.0900000631809235E-2</v>
      </c>
      <c r="N4">
        <v>0.11810000240802759</v>
      </c>
    </row>
    <row r="5" spans="1:14" ht="15" x14ac:dyDescent="0.25">
      <c r="A5" s="186"/>
      <c r="B5" s="119">
        <f t="shared" ref="B5:B12" si="0">B4+1</f>
        <v>2</v>
      </c>
      <c r="C5" s="120" t="s">
        <v>43</v>
      </c>
      <c r="D5" s="119">
        <v>18</v>
      </c>
      <c r="E5" s="119"/>
      <c r="F5" s="119"/>
      <c r="G5">
        <v>1.5900000929832458E-2</v>
      </c>
      <c r="H5">
        <v>0.1463000029325485</v>
      </c>
      <c r="I5">
        <v>6.4800001680850983E-2</v>
      </c>
      <c r="J5">
        <v>3.1599998474121087E-2</v>
      </c>
      <c r="K5">
        <v>0.26050001382827759</v>
      </c>
      <c r="L5">
        <v>0.44389998912811279</v>
      </c>
      <c r="M5">
        <v>5.2799999713897712E-2</v>
      </c>
      <c r="N5">
        <v>9.4599999487400055E-2</v>
      </c>
    </row>
    <row r="6" spans="1:14" ht="15" x14ac:dyDescent="0.25">
      <c r="A6" s="186"/>
      <c r="B6" s="119">
        <f t="shared" si="0"/>
        <v>3</v>
      </c>
      <c r="C6" s="119" t="s">
        <v>98</v>
      </c>
      <c r="D6" s="119">
        <v>16</v>
      </c>
      <c r="E6" s="119"/>
      <c r="F6" s="119"/>
      <c r="G6">
        <v>6.419999897480011E-2</v>
      </c>
      <c r="H6">
        <v>9.790000319480896E-2</v>
      </c>
      <c r="I6">
        <v>0.1186000034213066</v>
      </c>
      <c r="J6">
        <v>7.6399996876716614E-2</v>
      </c>
      <c r="K6">
        <v>0.30450001358985901</v>
      </c>
      <c r="L6">
        <v>0.48669999837875372</v>
      </c>
      <c r="M6">
        <v>4.1499998420476913E-2</v>
      </c>
      <c r="N6">
        <v>7.7899999916553497E-2</v>
      </c>
    </row>
    <row r="7" spans="1:14" ht="15" x14ac:dyDescent="0.25">
      <c r="A7" s="186"/>
      <c r="B7" s="119">
        <f t="shared" si="0"/>
        <v>4</v>
      </c>
      <c r="C7" s="119" t="s">
        <v>20</v>
      </c>
      <c r="D7" s="119">
        <v>9</v>
      </c>
      <c r="E7" s="119"/>
      <c r="F7" s="119"/>
      <c r="G7">
        <v>4.6399999409914017E-2</v>
      </c>
      <c r="H7">
        <v>0.1155999973416328</v>
      </c>
      <c r="I7">
        <v>8.0099999904632568E-2</v>
      </c>
      <c r="J7">
        <v>3.8499999791383743E-2</v>
      </c>
      <c r="K7">
        <v>0.23229999840259549</v>
      </c>
      <c r="L7">
        <v>0.41269999742507929</v>
      </c>
      <c r="M7">
        <v>5.9300001710653312E-2</v>
      </c>
      <c r="N7">
        <v>0.1062999963760376</v>
      </c>
    </row>
    <row r="8" spans="1:14" ht="15" x14ac:dyDescent="0.25">
      <c r="A8" s="186"/>
      <c r="B8" s="119">
        <f t="shared" si="0"/>
        <v>5</v>
      </c>
      <c r="C8" s="119" t="s">
        <v>38</v>
      </c>
      <c r="D8" s="119">
        <v>8.5</v>
      </c>
      <c r="E8" s="119"/>
      <c r="F8" s="119"/>
      <c r="G8">
        <v>6.7900002002716064E-2</v>
      </c>
      <c r="H8">
        <v>9.4200000166893005E-2</v>
      </c>
      <c r="I8">
        <v>0.1167000010609627</v>
      </c>
      <c r="J8">
        <v>7.4100002646446228E-2</v>
      </c>
      <c r="K8">
        <v>0.25119999051094061</v>
      </c>
      <c r="L8">
        <v>0.43349999189376831</v>
      </c>
      <c r="M8">
        <v>5.5399999022483833E-2</v>
      </c>
      <c r="N8">
        <v>0.1005999967455864</v>
      </c>
    </row>
    <row r="9" spans="1:14" ht="15" x14ac:dyDescent="0.25">
      <c r="A9" s="186"/>
      <c r="B9" s="119">
        <f t="shared" si="0"/>
        <v>6</v>
      </c>
      <c r="C9" s="119" t="s">
        <v>38</v>
      </c>
      <c r="D9" s="119">
        <v>5</v>
      </c>
      <c r="E9" s="119"/>
      <c r="F9" s="119"/>
      <c r="G9">
        <v>6.4099997282028198E-2</v>
      </c>
      <c r="H9">
        <v>9.790000319480896E-2</v>
      </c>
      <c r="I9">
        <v>0.1257999986410141</v>
      </c>
      <c r="J9">
        <v>8.4299996495246887E-2</v>
      </c>
      <c r="K9">
        <v>0.2669999897480011</v>
      </c>
      <c r="L9">
        <v>0.45370000600814819</v>
      </c>
      <c r="M9">
        <v>4.439999908208847E-2</v>
      </c>
      <c r="N9">
        <v>8.6000002920627594E-2</v>
      </c>
    </row>
    <row r="10" spans="1:14" ht="15" x14ac:dyDescent="0.25">
      <c r="A10" s="186"/>
      <c r="B10" s="119">
        <f t="shared" si="0"/>
        <v>7</v>
      </c>
      <c r="C10" s="119" t="s">
        <v>31</v>
      </c>
      <c r="D10" s="119">
        <v>10</v>
      </c>
      <c r="E10" s="119"/>
      <c r="F10" s="119"/>
      <c r="G10">
        <v>6.0400001704692841E-2</v>
      </c>
      <c r="H10">
        <v>0.10199999809265139</v>
      </c>
      <c r="I10">
        <v>0.11599999666213991</v>
      </c>
      <c r="J10">
        <v>7.3899999260902405E-2</v>
      </c>
      <c r="K10">
        <v>0.2441000044345856</v>
      </c>
      <c r="L10">
        <v>0.44279998540878301</v>
      </c>
      <c r="M10">
        <v>4.6100001782178879E-2</v>
      </c>
      <c r="N10">
        <v>9.3299999833106995E-2</v>
      </c>
    </row>
    <row r="11" spans="1:14" ht="15" x14ac:dyDescent="0.25">
      <c r="A11" s="186"/>
      <c r="B11" s="119">
        <f t="shared" si="0"/>
        <v>8</v>
      </c>
      <c r="C11" s="119" t="s">
        <v>21</v>
      </c>
      <c r="D11" s="119">
        <v>5</v>
      </c>
      <c r="E11" s="119"/>
      <c r="F11" s="119"/>
      <c r="G11">
        <v>3.970000147819519E-2</v>
      </c>
      <c r="H11">
        <v>0.1225000023841858</v>
      </c>
      <c r="I11">
        <v>9.4099998474121094E-2</v>
      </c>
      <c r="J11">
        <v>5.4099999368190772E-2</v>
      </c>
      <c r="K11">
        <v>0.27329999208450317</v>
      </c>
      <c r="L11">
        <v>0.45710000395774841</v>
      </c>
      <c r="M11">
        <v>3.8499999791383743E-2</v>
      </c>
      <c r="N11">
        <v>7.7699996531009674E-2</v>
      </c>
    </row>
    <row r="12" spans="1:14" ht="15" x14ac:dyDescent="0.25">
      <c r="A12" s="186"/>
      <c r="B12" s="119">
        <f t="shared" si="0"/>
        <v>9</v>
      </c>
      <c r="C12" s="119" t="s">
        <v>55</v>
      </c>
      <c r="D12" s="119">
        <v>12.5</v>
      </c>
      <c r="E12" s="119"/>
      <c r="F12" s="119"/>
      <c r="G12">
        <v>8.3999998867511749E-2</v>
      </c>
      <c r="H12">
        <v>7.8299999237060547E-2</v>
      </c>
      <c r="I12">
        <v>0.14149999618530271</v>
      </c>
      <c r="J12">
        <v>9.8600000143051147E-2</v>
      </c>
      <c r="K12">
        <v>0.2275000065565109</v>
      </c>
      <c r="L12">
        <v>0.40729999542236328</v>
      </c>
      <c r="M12">
        <v>7.0699997246265411E-2</v>
      </c>
      <c r="N12">
        <v>0.1171000003814697</v>
      </c>
    </row>
    <row r="13" spans="1:14" ht="15" x14ac:dyDescent="0.25">
      <c r="A13" s="187"/>
      <c r="B13" s="187"/>
      <c r="C13" s="187"/>
      <c r="D13" s="187"/>
      <c r="E13" s="121" t="s">
        <v>128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89</v>
      </c>
      <c r="D14" s="119">
        <v>15</v>
      </c>
      <c r="E14" s="119"/>
      <c r="F14" s="119"/>
      <c r="G14">
        <v>1.080000028014183E-2</v>
      </c>
      <c r="H14">
        <v>0.15150000154972079</v>
      </c>
      <c r="I14">
        <v>2.0500000566244129E-2</v>
      </c>
      <c r="J14">
        <v>2.4599999189376831E-2</v>
      </c>
      <c r="K14">
        <v>0.12829999625682831</v>
      </c>
      <c r="L14">
        <v>0.14560000598430631</v>
      </c>
      <c r="M14">
        <v>6.4300000667572021E-2</v>
      </c>
      <c r="N14">
        <v>0.1116999983787537</v>
      </c>
    </row>
    <row r="15" spans="1:14" ht="15" x14ac:dyDescent="0.25">
      <c r="A15" s="186"/>
      <c r="B15" s="119">
        <f t="shared" ref="B15:B22" si="1">B14+1</f>
        <v>11</v>
      </c>
      <c r="C15" s="119" t="s">
        <v>121</v>
      </c>
      <c r="D15" s="119">
        <v>21</v>
      </c>
      <c r="E15" s="119"/>
      <c r="F15" s="119"/>
      <c r="G15">
        <v>1.559999957680702E-2</v>
      </c>
      <c r="H15">
        <v>0.14650000631809229</v>
      </c>
      <c r="I15">
        <v>2.9200000688433651E-2</v>
      </c>
      <c r="J15">
        <v>1.7599999904632568E-2</v>
      </c>
      <c r="K15">
        <v>0.11959999799728389</v>
      </c>
      <c r="L15">
        <v>0.2157000005245209</v>
      </c>
      <c r="M15">
        <v>6.6500000655651093E-2</v>
      </c>
      <c r="N15">
        <v>0.11379999667406079</v>
      </c>
    </row>
    <row r="16" spans="1:14" ht="15" x14ac:dyDescent="0.25">
      <c r="A16" s="186"/>
      <c r="B16" s="119">
        <f t="shared" si="1"/>
        <v>12</v>
      </c>
      <c r="C16" s="119" t="s">
        <v>25</v>
      </c>
      <c r="D16" s="119">
        <v>13</v>
      </c>
      <c r="E16" s="119"/>
      <c r="F16" s="129"/>
      <c r="G16">
        <v>1.6499999910593029E-2</v>
      </c>
      <c r="H16">
        <v>0.14560000598430631</v>
      </c>
      <c r="I16">
        <v>2.7200000360608101E-2</v>
      </c>
      <c r="J16">
        <v>1.8300000578165051E-2</v>
      </c>
      <c r="K16">
        <v>0.1199000030755997</v>
      </c>
      <c r="L16">
        <v>0.20419999957084661</v>
      </c>
      <c r="M16">
        <v>7.1500003337860107E-2</v>
      </c>
      <c r="N16">
        <v>0.11890000104904171</v>
      </c>
    </row>
    <row r="17" spans="1:14" ht="15" x14ac:dyDescent="0.25">
      <c r="A17" s="186"/>
      <c r="B17" s="119">
        <f t="shared" si="1"/>
        <v>13</v>
      </c>
      <c r="C17" s="119" t="s">
        <v>15</v>
      </c>
      <c r="D17" s="119">
        <v>9</v>
      </c>
      <c r="E17" s="119"/>
      <c r="F17" s="119"/>
      <c r="G17">
        <v>1.9300000742077831E-2</v>
      </c>
      <c r="H17">
        <v>0.14280000329017639</v>
      </c>
      <c r="I17">
        <v>3.5100001841783517E-2</v>
      </c>
      <c r="J17">
        <v>1.2600000016391281E-2</v>
      </c>
      <c r="K17">
        <v>0.1102000027894974</v>
      </c>
      <c r="L17">
        <v>0.23909999430179599</v>
      </c>
      <c r="M17">
        <v>3.5300001502037048E-2</v>
      </c>
      <c r="N17">
        <v>8.2599997520446777E-2</v>
      </c>
    </row>
    <row r="18" spans="1:14" ht="15" x14ac:dyDescent="0.25">
      <c r="A18" s="186"/>
      <c r="B18" s="119">
        <f t="shared" si="1"/>
        <v>14</v>
      </c>
      <c r="C18" s="119" t="s">
        <v>49</v>
      </c>
      <c r="D18" s="119">
        <v>16.5</v>
      </c>
      <c r="E18" s="119"/>
      <c r="F18" s="119"/>
      <c r="G18">
        <v>4.0600001811981201E-2</v>
      </c>
      <c r="H18">
        <v>0.1215000003576279</v>
      </c>
      <c r="I18">
        <v>5.3100001066923141E-2</v>
      </c>
      <c r="J18">
        <v>9.7000002861022949E-3</v>
      </c>
      <c r="K18">
        <v>0.11659999936819079</v>
      </c>
      <c r="L18">
        <v>0.22939999401569369</v>
      </c>
      <c r="M18">
        <v>6.0699999332427979E-2</v>
      </c>
      <c r="N18">
        <v>0.10809999704360961</v>
      </c>
    </row>
    <row r="19" spans="1:14" ht="15" x14ac:dyDescent="0.25">
      <c r="A19" s="186"/>
      <c r="B19" s="119">
        <f t="shared" si="1"/>
        <v>15</v>
      </c>
      <c r="C19" s="119" t="s">
        <v>69</v>
      </c>
      <c r="D19" s="119">
        <v>12.5</v>
      </c>
      <c r="E19" s="119"/>
      <c r="F19" s="119"/>
      <c r="G19">
        <v>4.0600001811981201E-2</v>
      </c>
      <c r="H19">
        <v>0.1215000003576279</v>
      </c>
      <c r="I19">
        <v>5.5700000375509262E-2</v>
      </c>
      <c r="J19">
        <v>1.2600000016391281E-2</v>
      </c>
      <c r="K19">
        <v>0.14229999482631681</v>
      </c>
      <c r="L19">
        <v>0.17820000648498541</v>
      </c>
      <c r="M19">
        <v>7.2300001978874207E-2</v>
      </c>
      <c r="N19">
        <v>0.11969999969005581</v>
      </c>
    </row>
    <row r="20" spans="1:14" ht="15" x14ac:dyDescent="0.25">
      <c r="A20" s="186"/>
      <c r="B20" s="119">
        <f t="shared" si="1"/>
        <v>16</v>
      </c>
      <c r="C20" s="119" t="s">
        <v>141</v>
      </c>
      <c r="D20" s="119">
        <v>9.5</v>
      </c>
      <c r="E20" s="119"/>
      <c r="F20" s="119"/>
      <c r="G20">
        <v>3.9599999785423279E-2</v>
      </c>
      <c r="H20">
        <v>0.1225000023841858</v>
      </c>
      <c r="I20">
        <v>5.3500000387430191E-2</v>
      </c>
      <c r="J20">
        <v>1.0599999688565729E-2</v>
      </c>
      <c r="K20">
        <v>0.12530000507831571</v>
      </c>
      <c r="L20">
        <v>0.28349998593330378</v>
      </c>
      <c r="M20">
        <v>4.5200001448392868E-2</v>
      </c>
      <c r="N20">
        <v>9.2699997127056122E-2</v>
      </c>
    </row>
    <row r="21" spans="1:14" ht="15" x14ac:dyDescent="0.25">
      <c r="A21" s="186"/>
      <c r="B21" s="119">
        <f t="shared" si="1"/>
        <v>17</v>
      </c>
      <c r="C21" s="119" t="s">
        <v>55</v>
      </c>
      <c r="D21" s="119">
        <v>11.5</v>
      </c>
      <c r="E21" s="119"/>
      <c r="F21" s="119"/>
      <c r="G21">
        <v>3.6600001156330109E-2</v>
      </c>
      <c r="H21">
        <v>0.12549999356269839</v>
      </c>
      <c r="I21">
        <v>6.2199998646974557E-2</v>
      </c>
      <c r="J21">
        <v>2.0999999716877941E-2</v>
      </c>
      <c r="K21">
        <v>0.1488000005483627</v>
      </c>
      <c r="L21">
        <v>0.3174000084400177</v>
      </c>
      <c r="M21">
        <v>4.6000000089406967E-2</v>
      </c>
      <c r="N21">
        <v>9.3199998140335083E-2</v>
      </c>
    </row>
    <row r="22" spans="1:14" ht="15" x14ac:dyDescent="0.25">
      <c r="A22" s="186"/>
      <c r="B22" s="119">
        <f t="shared" si="1"/>
        <v>18</v>
      </c>
      <c r="C22" s="119" t="s">
        <v>50</v>
      </c>
      <c r="D22" s="119">
        <v>4.5</v>
      </c>
      <c r="E22" s="119"/>
      <c r="F22" s="119"/>
      <c r="G22">
        <v>4.050000011920929E-2</v>
      </c>
      <c r="H22">
        <v>0.12160000205039979</v>
      </c>
      <c r="I22">
        <v>5.3100001066923141E-2</v>
      </c>
      <c r="J22">
        <v>9.6000004559755325E-3</v>
      </c>
      <c r="K22">
        <v>0.13750000298023221</v>
      </c>
      <c r="L22">
        <v>0.3075999915599823</v>
      </c>
      <c r="M22">
        <v>4.6599999070167542E-2</v>
      </c>
      <c r="N22">
        <v>9.3999996781349182E-2</v>
      </c>
    </row>
    <row r="23" spans="1:14" ht="15" x14ac:dyDescent="0.25">
      <c r="A23" s="187"/>
      <c r="B23" s="187"/>
      <c r="C23" s="187"/>
      <c r="D23" s="187"/>
      <c r="E23" s="121" t="s">
        <v>61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111</v>
      </c>
      <c r="D24" s="119">
        <v>10</v>
      </c>
      <c r="E24" s="119"/>
      <c r="F24" s="119"/>
      <c r="G24">
        <v>2.9200000688433651E-2</v>
      </c>
      <c r="H24">
        <v>0.1328999996185303</v>
      </c>
      <c r="I24">
        <v>4.7100000083446503E-2</v>
      </c>
      <c r="J24">
        <v>8.7000001221895218E-3</v>
      </c>
      <c r="K24">
        <v>0.17440000176429751</v>
      </c>
      <c r="L24">
        <v>0.37029999494552612</v>
      </c>
      <c r="M24">
        <v>1.9300000742077831E-2</v>
      </c>
      <c r="N24">
        <v>6.1400000005960458E-2</v>
      </c>
    </row>
    <row r="25" spans="1:14" ht="15" x14ac:dyDescent="0.25">
      <c r="A25" s="186"/>
      <c r="B25" s="119">
        <f t="shared" ref="B25:B32" si="2">B24+1</f>
        <v>20</v>
      </c>
      <c r="C25" s="119" t="s">
        <v>77</v>
      </c>
      <c r="D25" s="119">
        <v>3.5</v>
      </c>
      <c r="E25" s="119"/>
      <c r="F25" s="119"/>
      <c r="G25">
        <v>4.179999977350235E-2</v>
      </c>
      <c r="H25">
        <v>0.12030000239610671</v>
      </c>
      <c r="I25">
        <v>5.8499999344348907E-2</v>
      </c>
      <c r="J25">
        <v>1.549999974668026E-2</v>
      </c>
      <c r="K25">
        <v>0.22110000252723691</v>
      </c>
      <c r="L25">
        <v>0.40659999847412109</v>
      </c>
      <c r="M25">
        <v>3.2400000840425491E-2</v>
      </c>
      <c r="N25">
        <v>7.9700000584125519E-2</v>
      </c>
    </row>
    <row r="26" spans="1:14" ht="15" x14ac:dyDescent="0.25">
      <c r="A26" s="186"/>
      <c r="B26" s="119">
        <f t="shared" si="2"/>
        <v>21</v>
      </c>
      <c r="C26" s="119" t="s">
        <v>18</v>
      </c>
      <c r="D26" s="119">
        <v>14</v>
      </c>
      <c r="E26" s="119"/>
      <c r="F26" s="119"/>
      <c r="G26">
        <v>1.1400000192224979E-2</v>
      </c>
      <c r="H26">
        <v>0.15070000290870669</v>
      </c>
      <c r="I26">
        <v>1.7300000414252281E-2</v>
      </c>
      <c r="J26">
        <v>2.7100000530481339E-2</v>
      </c>
      <c r="K26">
        <v>0.18799999356269839</v>
      </c>
      <c r="L26">
        <v>0.35699999332427979</v>
      </c>
      <c r="M26">
        <v>4.1099999099969857E-2</v>
      </c>
      <c r="N26">
        <v>8.7300002574920654E-2</v>
      </c>
    </row>
    <row r="27" spans="1:14" ht="15" x14ac:dyDescent="0.25">
      <c r="A27" s="186"/>
      <c r="B27" s="119">
        <f t="shared" si="2"/>
        <v>22</v>
      </c>
      <c r="C27" s="119" t="s">
        <v>23</v>
      </c>
      <c r="D27" s="119">
        <v>2.5</v>
      </c>
      <c r="E27" s="119"/>
      <c r="F27" s="119"/>
      <c r="G27">
        <v>2.2600000724196431E-2</v>
      </c>
      <c r="H27">
        <v>0.1395999938249588</v>
      </c>
      <c r="I27">
        <v>4.4300001114606857E-2</v>
      </c>
      <c r="J27">
        <v>1.1400000192224979E-2</v>
      </c>
      <c r="K27">
        <v>0.16439999639987951</v>
      </c>
      <c r="L27">
        <v>0.34259998798370361</v>
      </c>
      <c r="M27">
        <v>3.189999982714653E-2</v>
      </c>
      <c r="N27">
        <v>7.6099999248981476E-2</v>
      </c>
    </row>
    <row r="28" spans="1:14" ht="15" x14ac:dyDescent="0.25">
      <c r="A28" s="186"/>
      <c r="B28" s="119">
        <f t="shared" si="2"/>
        <v>23</v>
      </c>
      <c r="C28" s="119" t="s">
        <v>34</v>
      </c>
      <c r="D28" s="119">
        <v>12</v>
      </c>
      <c r="E28" s="119"/>
      <c r="F28" s="119"/>
      <c r="G28">
        <v>8.9000001549720764E-2</v>
      </c>
      <c r="H28">
        <v>7.2999998927116394E-2</v>
      </c>
      <c r="I28">
        <v>0.1125999987125397</v>
      </c>
      <c r="J28">
        <v>6.8800002336502075E-2</v>
      </c>
      <c r="K28">
        <v>0.197500005364418</v>
      </c>
      <c r="L28">
        <v>0.38780000805854797</v>
      </c>
      <c r="M28">
        <v>2.9500000178813931E-2</v>
      </c>
      <c r="N28">
        <v>7.6700001955032349E-2</v>
      </c>
    </row>
    <row r="29" spans="1:14" ht="15" x14ac:dyDescent="0.25">
      <c r="A29" s="186"/>
      <c r="B29" s="119">
        <f t="shared" si="2"/>
        <v>24</v>
      </c>
      <c r="C29" s="119" t="s">
        <v>23</v>
      </c>
      <c r="D29" s="119">
        <v>43</v>
      </c>
      <c r="E29" s="119"/>
      <c r="F29" s="119"/>
      <c r="G29">
        <v>7.4100002646446228E-2</v>
      </c>
      <c r="H29">
        <v>8.789999783039093E-2</v>
      </c>
      <c r="I29">
        <v>9.4700001180171967E-2</v>
      </c>
      <c r="J29">
        <v>5.0999999046325677E-2</v>
      </c>
      <c r="K29">
        <v>0.19349999725818631</v>
      </c>
      <c r="L29">
        <v>0.37389999628067022</v>
      </c>
      <c r="M29">
        <v>4.479999840259552E-2</v>
      </c>
      <c r="N29">
        <v>9.1499999165534973E-2</v>
      </c>
    </row>
    <row r="30" spans="1:14" ht="15" x14ac:dyDescent="0.25">
      <c r="A30" s="186"/>
      <c r="B30" s="119">
        <f t="shared" si="2"/>
        <v>25</v>
      </c>
      <c r="C30" s="119" t="s">
        <v>168</v>
      </c>
      <c r="D30" s="119">
        <v>16</v>
      </c>
      <c r="E30" s="119"/>
      <c r="F30" s="119"/>
      <c r="G30">
        <v>3.5500001162290573E-2</v>
      </c>
      <c r="H30">
        <v>0.12649999558925629</v>
      </c>
      <c r="I30">
        <v>7.4199996888637543E-2</v>
      </c>
      <c r="J30">
        <v>3.4299999475479133E-2</v>
      </c>
      <c r="K30">
        <v>0.1555999964475632</v>
      </c>
      <c r="L30">
        <v>0.36140000820159912</v>
      </c>
      <c r="M30">
        <v>2.3499999195337299E-2</v>
      </c>
      <c r="N30">
        <v>6.759999692440033E-2</v>
      </c>
    </row>
    <row r="31" spans="1:14" ht="15" x14ac:dyDescent="0.25">
      <c r="A31" s="186"/>
      <c r="B31" s="119">
        <f t="shared" si="2"/>
        <v>26</v>
      </c>
      <c r="C31" s="119" t="s">
        <v>148</v>
      </c>
      <c r="D31" s="119">
        <v>10</v>
      </c>
      <c r="E31" s="119"/>
      <c r="F31" s="119"/>
      <c r="G31">
        <v>6.8099997937679291E-2</v>
      </c>
      <c r="H31">
        <v>9.3900002539157867E-2</v>
      </c>
      <c r="I31">
        <v>8.3300001919269562E-2</v>
      </c>
      <c r="J31">
        <v>3.9500001817941673E-2</v>
      </c>
      <c r="K31">
        <v>0.14440000057220459</v>
      </c>
      <c r="L31">
        <v>0.32879999279975891</v>
      </c>
      <c r="M31">
        <v>4.5099999755620963E-2</v>
      </c>
      <c r="N31">
        <v>9.2000000178813934E-2</v>
      </c>
    </row>
    <row r="32" spans="1:14" ht="15" x14ac:dyDescent="0.25">
      <c r="A32" s="186"/>
      <c r="B32" s="119">
        <f t="shared" si="2"/>
        <v>27</v>
      </c>
      <c r="C32" s="119" t="s">
        <v>81</v>
      </c>
      <c r="D32" s="119">
        <v>19</v>
      </c>
      <c r="E32" s="119"/>
      <c r="F32" s="119"/>
      <c r="G32">
        <v>8.659999817609787E-2</v>
      </c>
      <c r="H32">
        <v>7.5499996542930603E-2</v>
      </c>
      <c r="I32">
        <v>0.1121999993920326</v>
      </c>
      <c r="J32">
        <v>6.8599998950958252E-2</v>
      </c>
      <c r="K32">
        <v>0.17010000348091131</v>
      </c>
      <c r="L32">
        <v>0.34729999303817749</v>
      </c>
      <c r="M32">
        <v>4.4500000774860382E-2</v>
      </c>
      <c r="N32">
        <v>9.1499999165534973E-2</v>
      </c>
    </row>
    <row r="33" spans="1:14" ht="15" x14ac:dyDescent="0.25">
      <c r="A33" s="187"/>
      <c r="B33" s="187"/>
      <c r="C33" s="187"/>
      <c r="D33" s="187"/>
      <c r="E33" s="121" t="s">
        <v>92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69</v>
      </c>
      <c r="D34" s="119">
        <v>13</v>
      </c>
      <c r="E34" s="119"/>
      <c r="F34" s="119"/>
      <c r="G34">
        <v>4.5499999076128013E-2</v>
      </c>
      <c r="H34">
        <v>0.11659999936819079</v>
      </c>
      <c r="I34">
        <v>7.3899999260902405E-2</v>
      </c>
      <c r="J34">
        <v>3.1599998474121087E-2</v>
      </c>
      <c r="K34">
        <v>0.20530000329017639</v>
      </c>
      <c r="L34">
        <v>0.41819998621940607</v>
      </c>
      <c r="M34">
        <v>2.8799999505281448E-2</v>
      </c>
      <c r="N34">
        <v>4.6500001102685928E-2</v>
      </c>
    </row>
    <row r="35" spans="1:14" ht="15" x14ac:dyDescent="0.25">
      <c r="A35" s="186"/>
      <c r="B35" s="119">
        <f t="shared" ref="B35:B42" si="3">B34+1</f>
        <v>29</v>
      </c>
      <c r="C35" s="119" t="s">
        <v>77</v>
      </c>
      <c r="D35" s="119">
        <v>2</v>
      </c>
      <c r="E35" s="119"/>
      <c r="F35" s="119"/>
      <c r="G35">
        <v>5.5100001394748688E-2</v>
      </c>
      <c r="H35">
        <v>0.1070000007748604</v>
      </c>
      <c r="I35">
        <v>8.9400000870227814E-2</v>
      </c>
      <c r="J35">
        <v>4.6900000423192978E-2</v>
      </c>
      <c r="K35">
        <v>0.223800003528595</v>
      </c>
      <c r="L35">
        <v>0.42669999599456793</v>
      </c>
      <c r="M35">
        <v>2.2600000724196431E-2</v>
      </c>
      <c r="N35">
        <v>5.9300001710653312E-2</v>
      </c>
    </row>
    <row r="36" spans="1:14" ht="15" x14ac:dyDescent="0.25">
      <c r="A36" s="186"/>
      <c r="B36" s="119">
        <f t="shared" si="3"/>
        <v>30</v>
      </c>
      <c r="C36" s="119" t="s">
        <v>19</v>
      </c>
      <c r="D36" s="119">
        <v>12.5</v>
      </c>
      <c r="E36" s="119"/>
      <c r="F36" s="119"/>
      <c r="G36">
        <v>3.5100001841783517E-2</v>
      </c>
      <c r="H36">
        <v>0.12700000405311579</v>
      </c>
      <c r="I36">
        <v>7.2700001299381256E-2</v>
      </c>
      <c r="J36">
        <v>3.2699998468160629E-2</v>
      </c>
      <c r="K36">
        <v>0.21070000529289251</v>
      </c>
      <c r="L36">
        <v>0.40380001068115229</v>
      </c>
      <c r="M36">
        <v>2.009999938309193E-2</v>
      </c>
      <c r="N36">
        <v>6.679999828338623E-2</v>
      </c>
    </row>
    <row r="37" spans="1:14" ht="15" x14ac:dyDescent="0.25">
      <c r="A37" s="186"/>
      <c r="B37" s="119">
        <f t="shared" si="3"/>
        <v>31</v>
      </c>
      <c r="C37" s="119" t="s">
        <v>19</v>
      </c>
      <c r="D37" s="119">
        <v>11</v>
      </c>
      <c r="E37" s="119"/>
      <c r="F37" s="119"/>
      <c r="G37">
        <v>2.1600000560283661E-2</v>
      </c>
      <c r="H37">
        <v>0.14049999415874481</v>
      </c>
      <c r="I37">
        <v>5.1399998366832733E-2</v>
      </c>
      <c r="J37">
        <v>1.7300000414252281E-2</v>
      </c>
      <c r="K37">
        <v>0.16179999709129331</v>
      </c>
      <c r="L37">
        <v>0.3677000105381012</v>
      </c>
      <c r="M37">
        <v>1.940000057220459E-2</v>
      </c>
      <c r="N37">
        <v>5.1199998706579208E-2</v>
      </c>
    </row>
    <row r="38" spans="1:14" ht="15" x14ac:dyDescent="0.25">
      <c r="A38" s="186"/>
      <c r="B38" s="119">
        <f t="shared" si="3"/>
        <v>32</v>
      </c>
      <c r="C38" s="119" t="s">
        <v>43</v>
      </c>
      <c r="D38" s="119">
        <v>17.5</v>
      </c>
      <c r="E38" s="119"/>
      <c r="F38" s="119"/>
      <c r="G38">
        <v>7.890000194311142E-2</v>
      </c>
      <c r="H38">
        <v>8.3099998533725739E-2</v>
      </c>
      <c r="I38">
        <v>0.10710000246763229</v>
      </c>
      <c r="J38">
        <v>6.3500002026557922E-2</v>
      </c>
      <c r="K38">
        <v>0.20340000092983249</v>
      </c>
      <c r="L38">
        <v>0.39890000224113459</v>
      </c>
      <c r="M38">
        <v>1.8500000238418579E-2</v>
      </c>
      <c r="N38">
        <v>6.120000034570694E-2</v>
      </c>
    </row>
    <row r="39" spans="1:14" ht="15" x14ac:dyDescent="0.25">
      <c r="A39" s="186"/>
      <c r="B39" s="119">
        <f t="shared" si="3"/>
        <v>33</v>
      </c>
      <c r="C39" s="119">
        <v>3</v>
      </c>
      <c r="D39" s="119">
        <v>8.5</v>
      </c>
      <c r="E39" s="119"/>
      <c r="F39" s="119"/>
      <c r="G39">
        <v>0.101000003516674</v>
      </c>
      <c r="H39">
        <v>6.1000000685453408E-2</v>
      </c>
      <c r="I39">
        <v>0.14730000495910639</v>
      </c>
      <c r="J39">
        <v>0.1039000004529953</v>
      </c>
      <c r="K39">
        <v>0.19850000739097601</v>
      </c>
      <c r="L39">
        <v>0.37709999084472662</v>
      </c>
      <c r="M39">
        <v>3.1500000506639481E-2</v>
      </c>
      <c r="N39">
        <v>7.8400000929832458E-2</v>
      </c>
    </row>
    <row r="40" spans="1:14" ht="15" x14ac:dyDescent="0.25">
      <c r="A40" s="186"/>
      <c r="B40" s="119">
        <f t="shared" si="3"/>
        <v>34</v>
      </c>
      <c r="C40" s="119" t="s">
        <v>86</v>
      </c>
      <c r="D40" s="119">
        <v>17</v>
      </c>
      <c r="E40" s="122"/>
      <c r="F40" s="122"/>
      <c r="G40">
        <v>5.7199999690055847E-2</v>
      </c>
      <c r="H40">
        <v>0.1048000007867813</v>
      </c>
      <c r="I40">
        <v>7.2300001978874207E-2</v>
      </c>
      <c r="J40">
        <v>2.8699999675154689E-2</v>
      </c>
      <c r="K40">
        <v>0.16099999845027921</v>
      </c>
      <c r="L40">
        <v>0.3310999870300293</v>
      </c>
      <c r="M40">
        <v>3.9099998772144318E-2</v>
      </c>
      <c r="N40">
        <v>8.5400000214576721E-2</v>
      </c>
    </row>
    <row r="41" spans="1:14" ht="15" x14ac:dyDescent="0.25">
      <c r="A41" s="186"/>
      <c r="B41" s="119">
        <f t="shared" si="3"/>
        <v>35</v>
      </c>
      <c r="C41" s="119" t="s">
        <v>94</v>
      </c>
      <c r="D41" s="119">
        <v>14.5</v>
      </c>
      <c r="E41" s="122"/>
      <c r="F41" s="122"/>
      <c r="G41">
        <v>4.010000079870224E-2</v>
      </c>
      <c r="H41">
        <v>0.1218999996781349</v>
      </c>
      <c r="I41">
        <v>7.5699999928474426E-2</v>
      </c>
      <c r="J41">
        <v>3.5000000149011612E-2</v>
      </c>
      <c r="K41">
        <v>0.16490000486373901</v>
      </c>
      <c r="L41">
        <v>0.30529999732971191</v>
      </c>
      <c r="M41">
        <v>4.7899998724460602E-2</v>
      </c>
      <c r="N41">
        <v>9.5200002193450928E-2</v>
      </c>
    </row>
    <row r="42" spans="1:14" ht="15" x14ac:dyDescent="0.25">
      <c r="A42" s="186"/>
      <c r="B42" s="123">
        <f t="shared" si="3"/>
        <v>36</v>
      </c>
      <c r="C42" s="123" t="s">
        <v>89</v>
      </c>
      <c r="D42" s="123">
        <v>13</v>
      </c>
      <c r="E42" s="124"/>
      <c r="F42" s="124"/>
      <c r="G42">
        <v>4.7800000756978989E-2</v>
      </c>
      <c r="H42">
        <v>0.1142000034451485</v>
      </c>
      <c r="I42">
        <v>7.8199997544288635E-2</v>
      </c>
      <c r="J42">
        <v>3.6200001835823059E-2</v>
      </c>
      <c r="K42">
        <v>0.16259999573230741</v>
      </c>
      <c r="L42">
        <v>0.34099999070167542</v>
      </c>
      <c r="M42">
        <v>2.8799999505281448E-2</v>
      </c>
      <c r="N42">
        <v>7.4500001966953278E-2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34</v>
      </c>
      <c r="D4" s="119">
        <v>13</v>
      </c>
      <c r="E4" s="119" t="s">
        <v>318</v>
      </c>
      <c r="F4" s="119"/>
      <c r="G4">
        <v>8.7999999523162842E-2</v>
      </c>
      <c r="H4">
        <v>7.4100002646446228E-2</v>
      </c>
      <c r="I4">
        <v>0.1168000027537346</v>
      </c>
      <c r="J4">
        <v>7.3200002312660217E-2</v>
      </c>
      <c r="K4">
        <v>0.1679999977350235</v>
      </c>
      <c r="L4">
        <v>0.31839999556541437</v>
      </c>
      <c r="M4">
        <v>2.2600000724196431E-2</v>
      </c>
      <c r="N4">
        <v>5.8600001037120819E-2</v>
      </c>
    </row>
    <row r="5" spans="1:14" ht="15" x14ac:dyDescent="0.25">
      <c r="A5" s="186"/>
      <c r="B5" s="119">
        <f t="shared" ref="B5:B12" si="0">B4+1</f>
        <v>2</v>
      </c>
      <c r="C5" s="120" t="s">
        <v>15</v>
      </c>
      <c r="D5" s="119">
        <v>4</v>
      </c>
      <c r="E5" s="119"/>
      <c r="F5" s="119"/>
      <c r="G5">
        <v>6.379999965429306E-2</v>
      </c>
      <c r="H5">
        <v>9.830000251531601E-2</v>
      </c>
      <c r="I5">
        <v>9.1300003230571747E-2</v>
      </c>
      <c r="J5">
        <v>4.8000000417232513E-2</v>
      </c>
      <c r="K5">
        <v>0.17010000348091131</v>
      </c>
      <c r="L5">
        <v>0.3375999927520752</v>
      </c>
      <c r="M5">
        <v>2.8500000014901161E-2</v>
      </c>
      <c r="N5">
        <v>6.6899999976158142E-2</v>
      </c>
    </row>
    <row r="6" spans="1:14" ht="15" x14ac:dyDescent="0.25">
      <c r="A6" s="186"/>
      <c r="B6" s="119">
        <f t="shared" si="0"/>
        <v>3</v>
      </c>
      <c r="C6" s="119" t="s">
        <v>48</v>
      </c>
      <c r="D6" s="119">
        <v>0.5</v>
      </c>
      <c r="E6" s="119"/>
      <c r="F6" s="119"/>
      <c r="G6">
        <v>8.9900001883506775E-2</v>
      </c>
      <c r="H6">
        <v>7.2300001978874207E-2</v>
      </c>
      <c r="I6">
        <v>9.7999997437000275E-2</v>
      </c>
      <c r="J6">
        <v>5.4200001060962677E-2</v>
      </c>
      <c r="K6">
        <v>0.25609999895095831</v>
      </c>
      <c r="L6">
        <v>0.44380000233650208</v>
      </c>
      <c r="M6">
        <v>2.0500000566244129E-2</v>
      </c>
      <c r="N6">
        <v>5.4000001400709152E-2</v>
      </c>
    </row>
    <row r="7" spans="1:14" ht="15" x14ac:dyDescent="0.25">
      <c r="A7" s="186"/>
      <c r="B7" s="119">
        <f t="shared" si="0"/>
        <v>4</v>
      </c>
      <c r="C7" s="119" t="s">
        <v>34</v>
      </c>
      <c r="D7" s="119">
        <v>14</v>
      </c>
      <c r="E7" s="119"/>
      <c r="F7" s="119" t="s">
        <v>130</v>
      </c>
      <c r="G7">
        <v>0.1125999987125397</v>
      </c>
      <c r="H7">
        <v>4.9400001764297492E-2</v>
      </c>
      <c r="I7">
        <v>0.14509999752044681</v>
      </c>
      <c r="J7">
        <v>0.10130000114440919</v>
      </c>
      <c r="K7">
        <v>0.15430000424385071</v>
      </c>
      <c r="L7">
        <v>0.32609999179840088</v>
      </c>
      <c r="M7">
        <v>3.8199998438358307E-2</v>
      </c>
      <c r="N7">
        <v>8.5199996829032898E-2</v>
      </c>
    </row>
    <row r="8" spans="1:14" ht="15" x14ac:dyDescent="0.25">
      <c r="A8" s="186"/>
      <c r="B8" s="119">
        <f t="shared" si="0"/>
        <v>5</v>
      </c>
      <c r="C8" s="119" t="s">
        <v>25</v>
      </c>
      <c r="D8" s="119">
        <v>12</v>
      </c>
      <c r="E8" s="119"/>
      <c r="F8" s="119"/>
      <c r="G8">
        <v>6.1500001698732383E-2</v>
      </c>
      <c r="H8">
        <v>0.1018999963998795</v>
      </c>
      <c r="I8">
        <v>0.13429999351501459</v>
      </c>
      <c r="J8">
        <v>9.2399999499320984E-2</v>
      </c>
      <c r="K8">
        <v>0.17540000379085541</v>
      </c>
      <c r="L8">
        <v>0.33199998736381531</v>
      </c>
      <c r="M8">
        <v>6.3000001013278961E-2</v>
      </c>
      <c r="N8">
        <v>0.1102999970316887</v>
      </c>
    </row>
    <row r="9" spans="1:14" ht="15" x14ac:dyDescent="0.25">
      <c r="A9" s="186"/>
      <c r="B9" s="119">
        <f t="shared" si="0"/>
        <v>6</v>
      </c>
      <c r="C9" s="119" t="s">
        <v>19</v>
      </c>
      <c r="D9" s="119">
        <v>11</v>
      </c>
      <c r="E9" s="119"/>
      <c r="F9" s="119"/>
      <c r="G9">
        <v>6.7699998617172241E-2</v>
      </c>
      <c r="H9">
        <v>9.4300001859664917E-2</v>
      </c>
      <c r="I9">
        <v>0.10710000246763229</v>
      </c>
      <c r="J9">
        <v>6.419999897480011E-2</v>
      </c>
      <c r="K9">
        <v>0.2257000058889389</v>
      </c>
      <c r="L9">
        <v>0.39440000057220459</v>
      </c>
      <c r="M9">
        <v>4.2199999094009399E-2</v>
      </c>
      <c r="N9">
        <v>8.959999680519104E-2</v>
      </c>
    </row>
    <row r="10" spans="1:14" ht="15" x14ac:dyDescent="0.25">
      <c r="A10" s="186"/>
      <c r="B10" s="119">
        <f t="shared" si="0"/>
        <v>7</v>
      </c>
      <c r="C10" s="119" t="s">
        <v>40</v>
      </c>
      <c r="D10" s="119">
        <v>27</v>
      </c>
      <c r="E10" s="119"/>
      <c r="F10" s="119"/>
      <c r="G10">
        <v>4.9100000411272049E-2</v>
      </c>
      <c r="H10">
        <v>0.1128999963402748</v>
      </c>
      <c r="I10">
        <v>7.4199996888637543E-2</v>
      </c>
      <c r="J10">
        <v>3.1599998474121087E-2</v>
      </c>
      <c r="K10">
        <v>0.16769999265670779</v>
      </c>
      <c r="L10">
        <v>0.30680000782012939</v>
      </c>
      <c r="M10">
        <v>5.2099999040365219E-2</v>
      </c>
      <c r="N10">
        <v>9.8600000143051147E-2</v>
      </c>
    </row>
    <row r="11" spans="1:14" ht="15" x14ac:dyDescent="0.25">
      <c r="A11" s="186"/>
      <c r="B11" s="119">
        <f t="shared" si="0"/>
        <v>8</v>
      </c>
      <c r="C11" s="119" t="s">
        <v>16</v>
      </c>
      <c r="D11" s="119">
        <v>16</v>
      </c>
      <c r="E11" s="119"/>
      <c r="F11" s="119"/>
      <c r="G11">
        <v>4.7100000083446503E-2</v>
      </c>
      <c r="H11">
        <v>0.11500000208616259</v>
      </c>
      <c r="I11">
        <v>9.5899999141693115E-2</v>
      </c>
      <c r="J11">
        <v>5.5199999362230301E-2</v>
      </c>
      <c r="K11">
        <v>0.21979999542236331</v>
      </c>
      <c r="L11">
        <v>0.4050000011920929</v>
      </c>
      <c r="M11">
        <v>2.3900000378489491E-2</v>
      </c>
      <c r="N11">
        <v>7.0900000631809235E-2</v>
      </c>
    </row>
    <row r="12" spans="1:14" ht="15" x14ac:dyDescent="0.25">
      <c r="A12" s="186"/>
      <c r="B12" s="119">
        <f t="shared" si="0"/>
        <v>9</v>
      </c>
      <c r="C12" s="119" t="s">
        <v>45</v>
      </c>
      <c r="D12" s="119">
        <v>5.5</v>
      </c>
      <c r="E12" s="119"/>
      <c r="F12" s="119" t="s">
        <v>171</v>
      </c>
      <c r="G12">
        <v>8.8799998164176941E-2</v>
      </c>
      <c r="H12">
        <v>7.3200002312660217E-2</v>
      </c>
      <c r="I12">
        <v>0.1257999986410141</v>
      </c>
      <c r="J12">
        <v>8.2400001585483551E-2</v>
      </c>
      <c r="K12">
        <v>0.19900000095367429</v>
      </c>
      <c r="L12">
        <v>0.38119998574256903</v>
      </c>
      <c r="M12">
        <v>2.899999916553497E-2</v>
      </c>
      <c r="N12">
        <v>6.7500002682209015E-2</v>
      </c>
    </row>
    <row r="13" spans="1:14" ht="15" x14ac:dyDescent="0.25">
      <c r="A13" s="187"/>
      <c r="B13" s="187"/>
      <c r="C13" s="187"/>
      <c r="D13" s="187"/>
      <c r="E13" s="121" t="s">
        <v>163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43</v>
      </c>
      <c r="D14" s="119">
        <v>46</v>
      </c>
      <c r="E14" s="119"/>
      <c r="F14" s="119"/>
      <c r="G14">
        <v>1.0099999606609339E-2</v>
      </c>
      <c r="H14">
        <v>0.1519999951124191</v>
      </c>
      <c r="I14">
        <v>3.060000017285347E-2</v>
      </c>
      <c r="J14">
        <v>2.1800000220537189E-2</v>
      </c>
      <c r="K14">
        <v>0.36050000786781311</v>
      </c>
      <c r="L14">
        <v>0.57910001277923584</v>
      </c>
      <c r="M14">
        <v>6.5700002014636993E-2</v>
      </c>
      <c r="N14">
        <v>2.4599999189376831E-2</v>
      </c>
    </row>
    <row r="15" spans="1:14" ht="15" x14ac:dyDescent="0.25">
      <c r="A15" s="186"/>
      <c r="B15" s="119">
        <f t="shared" ref="B15:B22" si="1">B14+1</f>
        <v>11</v>
      </c>
      <c r="C15" s="119" t="s">
        <v>103</v>
      </c>
      <c r="D15" s="119">
        <v>50</v>
      </c>
      <c r="E15" s="119"/>
      <c r="F15" s="119" t="s">
        <v>169</v>
      </c>
      <c r="G15">
        <v>1.640000008046627E-2</v>
      </c>
      <c r="H15">
        <v>0.17839999496936801</v>
      </c>
      <c r="I15">
        <v>1.319999992847443E-2</v>
      </c>
      <c r="J15">
        <v>5.2099999040365219E-2</v>
      </c>
      <c r="K15">
        <v>0.34450000524520868</v>
      </c>
      <c r="L15">
        <v>0.56699997186660767</v>
      </c>
      <c r="M15">
        <v>6.2399998307228088E-2</v>
      </c>
      <c r="N15">
        <v>1.510000042617321E-2</v>
      </c>
    </row>
    <row r="16" spans="1:14" ht="15" x14ac:dyDescent="0.25">
      <c r="A16" s="186"/>
      <c r="B16" s="119">
        <f t="shared" si="1"/>
        <v>12</v>
      </c>
      <c r="C16" s="119" t="s">
        <v>25</v>
      </c>
      <c r="D16" s="119">
        <v>15</v>
      </c>
      <c r="E16" s="119"/>
      <c r="F16" s="129"/>
      <c r="G16">
        <v>3.2099999487400048E-2</v>
      </c>
      <c r="H16">
        <v>0.12989999353885651</v>
      </c>
      <c r="I16">
        <v>6.3199996948242188E-2</v>
      </c>
      <c r="J16">
        <v>2.439999952912331E-2</v>
      </c>
      <c r="K16">
        <v>0.28360000252723688</v>
      </c>
      <c r="L16">
        <v>0.50379997491836548</v>
      </c>
      <c r="M16">
        <v>3.6800000816583633E-2</v>
      </c>
      <c r="N16">
        <v>1.5900000929832458E-2</v>
      </c>
    </row>
    <row r="17" spans="1:14" ht="15" x14ac:dyDescent="0.25">
      <c r="A17" s="186"/>
      <c r="B17" s="119">
        <f t="shared" si="1"/>
        <v>13</v>
      </c>
      <c r="C17" s="119" t="s">
        <v>23</v>
      </c>
      <c r="D17" s="119">
        <v>22</v>
      </c>
      <c r="E17" s="119"/>
      <c r="F17" s="119"/>
      <c r="G17">
        <v>2.1299999207258221E-2</v>
      </c>
      <c r="H17">
        <v>0.14069999754428861</v>
      </c>
      <c r="I17">
        <v>3.2800000160932541E-2</v>
      </c>
      <c r="J17">
        <v>1.360000018030405E-2</v>
      </c>
      <c r="K17">
        <v>0.21089999377727511</v>
      </c>
      <c r="L17">
        <v>0.40209999680519098</v>
      </c>
      <c r="M17">
        <v>2.300000004470348E-2</v>
      </c>
      <c r="N17">
        <v>7.0200003683567047E-2</v>
      </c>
    </row>
    <row r="18" spans="1:14" ht="15" x14ac:dyDescent="0.25">
      <c r="A18" s="186"/>
      <c r="B18" s="119">
        <f t="shared" si="1"/>
        <v>14</v>
      </c>
      <c r="C18" s="119" t="s">
        <v>23</v>
      </c>
      <c r="D18" s="119">
        <v>30</v>
      </c>
      <c r="E18" s="119"/>
      <c r="F18" s="119"/>
      <c r="G18">
        <v>3.229999914765358E-2</v>
      </c>
      <c r="H18">
        <v>0.1297000050544739</v>
      </c>
      <c r="I18">
        <v>4.3400000780820847E-2</v>
      </c>
      <c r="J18">
        <v>4.3999999761581421E-3</v>
      </c>
      <c r="K18">
        <v>0.27149999141693121</v>
      </c>
      <c r="L18">
        <v>0.48519998788833618</v>
      </c>
      <c r="M18">
        <v>3.319999948143959E-2</v>
      </c>
      <c r="N18">
        <v>1.610000059008598E-2</v>
      </c>
    </row>
    <row r="19" spans="1:14" ht="15" x14ac:dyDescent="0.25">
      <c r="A19" s="186"/>
      <c r="B19" s="119">
        <f t="shared" si="1"/>
        <v>15</v>
      </c>
      <c r="C19" s="119" t="s">
        <v>14</v>
      </c>
      <c r="D19" s="119">
        <v>31</v>
      </c>
      <c r="E19" s="119"/>
      <c r="F19" s="119"/>
      <c r="G19">
        <v>1.049999985843897E-2</v>
      </c>
      <c r="H19">
        <v>0.15170000493526459</v>
      </c>
      <c r="I19">
        <v>1.640000008046627E-2</v>
      </c>
      <c r="J19">
        <v>2.9100000858306881E-2</v>
      </c>
      <c r="K19">
        <v>0.27410000562667852</v>
      </c>
      <c r="L19">
        <v>0.49259999394416809</v>
      </c>
      <c r="M19">
        <v>5.5799998342990882E-2</v>
      </c>
      <c r="N19">
        <v>1.319999992847443E-2</v>
      </c>
    </row>
    <row r="20" spans="1:14" ht="15" x14ac:dyDescent="0.25">
      <c r="A20" s="186"/>
      <c r="B20" s="119">
        <f t="shared" si="1"/>
        <v>16</v>
      </c>
      <c r="C20" s="119" t="s">
        <v>43</v>
      </c>
      <c r="D20" s="119">
        <v>25</v>
      </c>
      <c r="E20" s="119"/>
      <c r="F20" s="119"/>
      <c r="G20">
        <v>3.0300000682473179E-2</v>
      </c>
      <c r="H20">
        <v>0.13179999589920041</v>
      </c>
      <c r="I20">
        <v>7.3399998247623444E-2</v>
      </c>
      <c r="J20">
        <v>3.5599999129772193E-2</v>
      </c>
      <c r="K20">
        <v>0.36750000715255737</v>
      </c>
      <c r="L20">
        <v>0.60449999570846558</v>
      </c>
      <c r="M20">
        <v>0.1036000028252602</v>
      </c>
      <c r="N20">
        <v>5.9200000017881393E-2</v>
      </c>
    </row>
    <row r="21" spans="1:14" ht="15" x14ac:dyDescent="0.25">
      <c r="A21" s="186"/>
      <c r="B21" s="119">
        <f t="shared" si="1"/>
        <v>17</v>
      </c>
      <c r="C21" s="119" t="s">
        <v>80</v>
      </c>
      <c r="D21" s="119">
        <v>8</v>
      </c>
      <c r="E21" s="119"/>
      <c r="F21" s="119"/>
      <c r="G21">
        <v>2.040000073611736E-2</v>
      </c>
      <c r="H21">
        <v>0.14169999957084661</v>
      </c>
      <c r="I21">
        <v>7.0200003683567047E-2</v>
      </c>
      <c r="J21">
        <v>3.6100000143051147E-2</v>
      </c>
      <c r="K21">
        <v>0.27720001339912409</v>
      </c>
      <c r="L21">
        <v>0.50010001659393311</v>
      </c>
      <c r="M21">
        <v>7.1500003337860107E-2</v>
      </c>
      <c r="N21">
        <v>2.400000020861626E-2</v>
      </c>
    </row>
    <row r="22" spans="1:14" ht="15" x14ac:dyDescent="0.25">
      <c r="A22" s="186"/>
      <c r="B22" s="119">
        <f t="shared" si="1"/>
        <v>18</v>
      </c>
      <c r="C22" s="119" t="s">
        <v>45</v>
      </c>
      <c r="D22" s="119">
        <v>7</v>
      </c>
      <c r="E22" s="119"/>
      <c r="F22" s="119"/>
      <c r="G22">
        <v>2.400000020861626E-2</v>
      </c>
      <c r="H22">
        <v>0.1379999965429306</v>
      </c>
      <c r="I22">
        <v>5.1500000059604638E-2</v>
      </c>
      <c r="J22">
        <v>1.7300000414252281E-2</v>
      </c>
      <c r="K22">
        <v>0.27939999103546143</v>
      </c>
      <c r="L22">
        <v>0.51260000467300415</v>
      </c>
      <c r="M22">
        <v>8.2800000905990601E-2</v>
      </c>
      <c r="N22">
        <v>3.7700001150369637E-2</v>
      </c>
    </row>
    <row r="23" spans="1:14" ht="15" x14ac:dyDescent="0.25">
      <c r="A23" s="187"/>
      <c r="B23" s="187"/>
      <c r="C23" s="187"/>
      <c r="D23" s="187"/>
      <c r="E23" s="121" t="s">
        <v>128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23</v>
      </c>
      <c r="D24" s="119">
        <v>43</v>
      </c>
      <c r="E24" s="119"/>
      <c r="F24" s="119"/>
      <c r="G24">
        <v>6.8000000901520252E-3</v>
      </c>
      <c r="H24">
        <v>0.15520000457763669</v>
      </c>
      <c r="I24">
        <v>4.3600000441074371E-2</v>
      </c>
      <c r="J24">
        <v>2.339999936521053E-2</v>
      </c>
      <c r="K24">
        <v>0.37310001254081732</v>
      </c>
      <c r="L24">
        <v>0.54830002784729004</v>
      </c>
      <c r="M24">
        <v>7.5599998235702515E-2</v>
      </c>
      <c r="N24">
        <v>0.1180000007152557</v>
      </c>
    </row>
    <row r="25" spans="1:14" ht="15" x14ac:dyDescent="0.25">
      <c r="A25" s="186"/>
      <c r="B25" s="119">
        <f t="shared" ref="B25:B32" si="2">B24+1</f>
        <v>20</v>
      </c>
      <c r="C25" s="119" t="s">
        <v>14</v>
      </c>
      <c r="D25" s="119">
        <v>27</v>
      </c>
      <c r="E25" s="119"/>
      <c r="F25" s="119"/>
      <c r="G25">
        <v>4.4900000095367432E-2</v>
      </c>
      <c r="H25">
        <v>0.1171000003814697</v>
      </c>
      <c r="I25">
        <v>7.1299999952316284E-2</v>
      </c>
      <c r="J25">
        <v>2.9100000858306881E-2</v>
      </c>
      <c r="K25">
        <v>0.33259999752044678</v>
      </c>
      <c r="L25">
        <v>0.52289998531341553</v>
      </c>
      <c r="M25">
        <v>4.4599998742342002E-2</v>
      </c>
      <c r="N25">
        <v>7.8800000250339508E-2</v>
      </c>
    </row>
    <row r="26" spans="1:14" ht="15" x14ac:dyDescent="0.25">
      <c r="A26" s="186"/>
      <c r="B26" s="119">
        <f t="shared" si="2"/>
        <v>21</v>
      </c>
      <c r="C26" s="119" t="s">
        <v>80</v>
      </c>
      <c r="D26" s="119">
        <v>3.5</v>
      </c>
      <c r="E26" s="119"/>
      <c r="F26" s="119"/>
      <c r="G26">
        <v>3.060000017285347E-2</v>
      </c>
      <c r="H26">
        <v>0.1315000057220459</v>
      </c>
      <c r="I26">
        <v>5.299999937415123E-2</v>
      </c>
      <c r="J26">
        <v>1.379999984055758E-2</v>
      </c>
      <c r="K26">
        <v>0.29199999570846558</v>
      </c>
      <c r="L26">
        <v>0.45249998569488531</v>
      </c>
      <c r="M26">
        <v>9.4700001180171967E-2</v>
      </c>
      <c r="N26">
        <v>0.13969999551773071</v>
      </c>
    </row>
    <row r="27" spans="1:14" ht="15" x14ac:dyDescent="0.25">
      <c r="A27" s="186"/>
      <c r="B27" s="119">
        <f t="shared" si="2"/>
        <v>22</v>
      </c>
      <c r="C27" s="119" t="s">
        <v>38</v>
      </c>
      <c r="D27" s="119">
        <v>5</v>
      </c>
      <c r="E27" s="119"/>
      <c r="F27" s="119"/>
      <c r="G27">
        <v>1.6499999910593029E-2</v>
      </c>
      <c r="H27">
        <v>0.1455000042915344</v>
      </c>
      <c r="I27">
        <v>4.0899999439716339E-2</v>
      </c>
      <c r="J27">
        <v>1.6899999231100079E-2</v>
      </c>
      <c r="K27">
        <v>0.2621999979019165</v>
      </c>
      <c r="L27">
        <v>0.44929999113082891</v>
      </c>
      <c r="M27">
        <v>3.5100001841783517E-2</v>
      </c>
      <c r="N27">
        <v>8.2400001585483551E-2</v>
      </c>
    </row>
    <row r="28" spans="1:14" ht="15" x14ac:dyDescent="0.25">
      <c r="A28" s="186"/>
      <c r="B28" s="119">
        <f t="shared" si="2"/>
        <v>23</v>
      </c>
      <c r="C28" s="119" t="s">
        <v>24</v>
      </c>
      <c r="D28" s="119">
        <v>5.5</v>
      </c>
      <c r="E28" s="119"/>
      <c r="F28" s="119"/>
      <c r="G28">
        <v>5.4999999701976776E-3</v>
      </c>
      <c r="H28">
        <v>0.15649999678134921</v>
      </c>
      <c r="I28">
        <v>2.2900000214576721E-2</v>
      </c>
      <c r="J28">
        <v>2.7100000530481339E-2</v>
      </c>
      <c r="K28">
        <v>0.26719999313354492</v>
      </c>
      <c r="L28">
        <v>0.46389999985694891</v>
      </c>
      <c r="M28">
        <v>4.1600000113248832E-2</v>
      </c>
      <c r="N28">
        <v>8.8799998164176941E-2</v>
      </c>
    </row>
    <row r="29" spans="1:14" ht="15" x14ac:dyDescent="0.25">
      <c r="A29" s="186"/>
      <c r="B29" s="119">
        <f t="shared" si="2"/>
        <v>24</v>
      </c>
      <c r="C29" s="119" t="s">
        <v>40</v>
      </c>
      <c r="D29" s="119">
        <v>20.5</v>
      </c>
      <c r="E29" s="119"/>
      <c r="F29" s="119"/>
      <c r="G29">
        <v>2.899999916553497E-2</v>
      </c>
      <c r="H29">
        <v>0.13300000131130221</v>
      </c>
      <c r="I29">
        <v>4.8599999397993088E-2</v>
      </c>
      <c r="J29">
        <v>1.0900000110268589E-2</v>
      </c>
      <c r="K29">
        <v>0.29699999094009399</v>
      </c>
      <c r="L29">
        <v>0.48629999160766602</v>
      </c>
      <c r="M29">
        <v>3.9000000804662698E-2</v>
      </c>
      <c r="N29">
        <v>8.2800000905990601E-2</v>
      </c>
    </row>
    <row r="30" spans="1:14" ht="15" x14ac:dyDescent="0.25">
      <c r="A30" s="186"/>
      <c r="B30" s="119">
        <f t="shared" si="2"/>
        <v>25</v>
      </c>
      <c r="C30" s="119" t="s">
        <v>17</v>
      </c>
      <c r="D30" s="119">
        <v>7.5</v>
      </c>
      <c r="E30" s="119"/>
      <c r="F30" s="119"/>
      <c r="G30">
        <v>9.8099999129772186E-2</v>
      </c>
      <c r="H30">
        <v>6.3900001347064972E-2</v>
      </c>
      <c r="I30">
        <v>0.12110000103712081</v>
      </c>
      <c r="J30">
        <v>7.7299997210502625E-2</v>
      </c>
      <c r="K30">
        <v>0.28700000047683721</v>
      </c>
      <c r="L30">
        <v>0.49360001087188721</v>
      </c>
      <c r="M30">
        <v>6.0999998822808266E-3</v>
      </c>
      <c r="N30">
        <v>4.14000004529953E-2</v>
      </c>
    </row>
    <row r="31" spans="1:14" ht="15" x14ac:dyDescent="0.25">
      <c r="A31" s="186"/>
      <c r="B31" s="119">
        <f t="shared" si="2"/>
        <v>26</v>
      </c>
      <c r="C31" s="119" t="s">
        <v>23</v>
      </c>
      <c r="D31" s="119">
        <v>31.5</v>
      </c>
      <c r="E31" s="119"/>
      <c r="F31" s="119"/>
      <c r="G31">
        <v>2.6100000366568569E-2</v>
      </c>
      <c r="H31">
        <v>0.13600000739097601</v>
      </c>
      <c r="I31">
        <v>3.6800000816583633E-2</v>
      </c>
      <c r="J31">
        <v>1.020000036805868E-2</v>
      </c>
      <c r="K31">
        <v>0.28859999775886541</v>
      </c>
      <c r="L31">
        <v>0.49230000376701349</v>
      </c>
      <c r="M31">
        <v>4.4300001114606857E-2</v>
      </c>
      <c r="N31">
        <v>3.2499998807907098E-2</v>
      </c>
    </row>
    <row r="32" spans="1:14" ht="15" x14ac:dyDescent="0.25">
      <c r="A32" s="186"/>
      <c r="B32" s="119">
        <f t="shared" si="2"/>
        <v>27</v>
      </c>
      <c r="C32" s="119" t="s">
        <v>45</v>
      </c>
      <c r="D32" s="119">
        <v>9.5</v>
      </c>
      <c r="E32" s="119"/>
      <c r="F32" s="119"/>
      <c r="G32">
        <v>2.700000070035458E-2</v>
      </c>
      <c r="H32">
        <v>0.13510000705718991</v>
      </c>
      <c r="I32">
        <v>3.8499999791383743E-2</v>
      </c>
      <c r="J32">
        <v>9.2000002041459084E-3</v>
      </c>
      <c r="K32">
        <v>0.25220000743865972</v>
      </c>
      <c r="L32">
        <v>0.4528999924659729</v>
      </c>
      <c r="M32">
        <v>1.130000036209822E-2</v>
      </c>
      <c r="N32">
        <v>4.7200001776218407E-2</v>
      </c>
    </row>
    <row r="33" spans="1:14" ht="15" x14ac:dyDescent="0.25">
      <c r="A33" s="187"/>
      <c r="B33" s="187"/>
      <c r="C33" s="187"/>
      <c r="D33" s="187"/>
      <c r="E33" s="121" t="s">
        <v>92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27</v>
      </c>
      <c r="D34" s="119">
        <v>12.5</v>
      </c>
      <c r="E34" s="119"/>
      <c r="F34" s="119"/>
      <c r="G34">
        <v>4.8200000077486038E-2</v>
      </c>
      <c r="H34">
        <v>0.11389999836683271</v>
      </c>
      <c r="I34">
        <v>7.3299996554851532E-2</v>
      </c>
      <c r="J34">
        <v>3.0700000002980229E-2</v>
      </c>
      <c r="K34">
        <v>0.32109999656677252</v>
      </c>
      <c r="L34">
        <v>0.54830002784729004</v>
      </c>
      <c r="M34">
        <v>8.5699997842311859E-2</v>
      </c>
      <c r="N34">
        <v>3.8199998438358307E-2</v>
      </c>
    </row>
    <row r="35" spans="1:14" ht="15" x14ac:dyDescent="0.25">
      <c r="A35" s="186"/>
      <c r="B35" s="119">
        <f t="shared" ref="B35:B42" si="3">B34+1</f>
        <v>29</v>
      </c>
      <c r="C35" s="119" t="s">
        <v>23</v>
      </c>
      <c r="D35" s="119">
        <v>32</v>
      </c>
      <c r="E35" s="119"/>
      <c r="F35" s="119"/>
      <c r="G35">
        <v>3.6299999803304672E-2</v>
      </c>
      <c r="H35">
        <v>0.12569999694824219</v>
      </c>
      <c r="I35">
        <v>5.090000107884407E-2</v>
      </c>
      <c r="J35">
        <v>9.6000004559755325E-3</v>
      </c>
      <c r="K35">
        <v>0.30140000581741327</v>
      </c>
      <c r="L35">
        <v>0.53039997816085815</v>
      </c>
      <c r="M35">
        <v>9.5700003206729889E-2</v>
      </c>
      <c r="N35">
        <v>4.9100000411272049E-2</v>
      </c>
    </row>
    <row r="36" spans="1:14" ht="15" x14ac:dyDescent="0.25">
      <c r="A36" s="186"/>
      <c r="B36" s="119">
        <f t="shared" si="3"/>
        <v>30</v>
      </c>
      <c r="C36" s="119" t="s">
        <v>34</v>
      </c>
      <c r="D36" s="119">
        <v>15</v>
      </c>
      <c r="E36" s="119"/>
      <c r="F36" s="119"/>
      <c r="G36">
        <v>8.7600000202655792E-2</v>
      </c>
      <c r="H36">
        <v>7.4500001966953278E-2</v>
      </c>
      <c r="I36">
        <v>0.10209999978542331</v>
      </c>
      <c r="J36">
        <v>5.8299999684095383E-2</v>
      </c>
      <c r="K36">
        <v>0.36660000681877142</v>
      </c>
      <c r="L36">
        <v>0.59780001640319824</v>
      </c>
      <c r="M36">
        <v>0.10279999673366549</v>
      </c>
      <c r="N36">
        <v>5.7700000703334808E-2</v>
      </c>
    </row>
    <row r="37" spans="1:14" ht="15" x14ac:dyDescent="0.25">
      <c r="A37" s="186"/>
      <c r="B37" s="119">
        <f t="shared" si="3"/>
        <v>31</v>
      </c>
      <c r="C37" s="119" t="s">
        <v>25</v>
      </c>
      <c r="D37" s="119">
        <v>13.5</v>
      </c>
      <c r="E37" s="119"/>
      <c r="F37" s="119"/>
      <c r="G37">
        <v>4.8999998718500137E-2</v>
      </c>
      <c r="H37">
        <v>0.11309999972581861</v>
      </c>
      <c r="I37">
        <v>5.3300000727176673E-2</v>
      </c>
      <c r="J37">
        <v>9.6000004559755325E-3</v>
      </c>
      <c r="K37">
        <v>0.28560000658035278</v>
      </c>
      <c r="L37">
        <v>0.50840002298355103</v>
      </c>
      <c r="M37">
        <v>4.5299999415874481E-2</v>
      </c>
      <c r="N37">
        <v>3.0000000260770321E-3</v>
      </c>
    </row>
    <row r="38" spans="1:14" ht="15" x14ac:dyDescent="0.25">
      <c r="A38" s="186"/>
      <c r="B38" s="119">
        <f t="shared" si="3"/>
        <v>32</v>
      </c>
      <c r="C38" s="119" t="s">
        <v>23</v>
      </c>
      <c r="D38" s="119">
        <v>45</v>
      </c>
      <c r="E38" s="119"/>
      <c r="F38" s="119"/>
      <c r="G38">
        <v>4.8700001090764999E-2</v>
      </c>
      <c r="H38">
        <v>0.1133999973535538</v>
      </c>
      <c r="I38">
        <v>5.169999971985817E-2</v>
      </c>
      <c r="J38">
        <v>8.1000002101063728E-3</v>
      </c>
      <c r="K38">
        <v>0.35030001401901251</v>
      </c>
      <c r="L38">
        <v>0.58289998769760132</v>
      </c>
      <c r="M38">
        <v>7.850000262260437E-2</v>
      </c>
      <c r="N38">
        <v>3.3100001513957977E-2</v>
      </c>
    </row>
    <row r="39" spans="1:14" ht="15" x14ac:dyDescent="0.25">
      <c r="A39" s="186"/>
      <c r="B39" s="119">
        <f t="shared" si="3"/>
        <v>33</v>
      </c>
      <c r="C39" s="119" t="s">
        <v>172</v>
      </c>
      <c r="D39" s="119">
        <v>16</v>
      </c>
      <c r="E39" s="119"/>
      <c r="F39" s="119"/>
      <c r="G39">
        <v>4.6799998730421073E-2</v>
      </c>
      <c r="H39">
        <v>0.1154000014066696</v>
      </c>
      <c r="I39">
        <v>5.1800001412630081E-2</v>
      </c>
      <c r="J39">
        <v>8.0000003799796104E-3</v>
      </c>
      <c r="K39">
        <v>0.25069999694824219</v>
      </c>
      <c r="L39">
        <v>0.46020001173019409</v>
      </c>
      <c r="M39">
        <v>4.0399998426437378E-2</v>
      </c>
      <c r="N39">
        <v>1.169999968260527E-2</v>
      </c>
    </row>
    <row r="40" spans="1:14" ht="15" x14ac:dyDescent="0.25">
      <c r="A40" s="186"/>
      <c r="B40" s="119">
        <f t="shared" si="3"/>
        <v>34</v>
      </c>
      <c r="C40" s="119" t="s">
        <v>173</v>
      </c>
      <c r="D40" s="119">
        <v>16.5</v>
      </c>
      <c r="E40" s="122"/>
      <c r="F40" s="122"/>
      <c r="G40">
        <v>6.3299998641014099E-2</v>
      </c>
      <c r="H40">
        <v>9.8899997770786285E-2</v>
      </c>
      <c r="I40">
        <v>8.7399996817111969E-2</v>
      </c>
      <c r="J40">
        <v>4.4300001114606857E-2</v>
      </c>
      <c r="K40">
        <v>0.26800000667572021</v>
      </c>
      <c r="L40">
        <v>0.48449999094009399</v>
      </c>
      <c r="M40">
        <v>5.2099999040365219E-2</v>
      </c>
      <c r="N40">
        <v>1.379999984055758E-2</v>
      </c>
    </row>
    <row r="41" spans="1:14" ht="15" x14ac:dyDescent="0.25">
      <c r="A41" s="186"/>
      <c r="B41" s="119">
        <f t="shared" si="3"/>
        <v>35</v>
      </c>
      <c r="C41" s="119" t="s">
        <v>28</v>
      </c>
      <c r="D41" s="119">
        <v>15</v>
      </c>
      <c r="E41" s="122"/>
      <c r="F41" s="122"/>
      <c r="G41">
        <v>5.5300001055002213E-2</v>
      </c>
      <c r="H41">
        <v>0.1067999973893166</v>
      </c>
      <c r="I41">
        <v>7.890000194311142E-2</v>
      </c>
      <c r="J41">
        <v>3.6100000143051147E-2</v>
      </c>
      <c r="K41">
        <v>0.25870001316070562</v>
      </c>
      <c r="L41">
        <v>0.48769998550415039</v>
      </c>
      <c r="M41">
        <v>8.2800000905990601E-2</v>
      </c>
      <c r="N41">
        <v>3.7900000810623169E-2</v>
      </c>
    </row>
    <row r="42" spans="1:14" ht="15" x14ac:dyDescent="0.25">
      <c r="A42" s="186"/>
      <c r="B42" s="123">
        <f t="shared" si="3"/>
        <v>36</v>
      </c>
      <c r="C42" s="123" t="s">
        <v>69</v>
      </c>
      <c r="D42" s="123">
        <v>14</v>
      </c>
      <c r="E42" s="124"/>
      <c r="F42" s="124"/>
      <c r="G42">
        <v>5.4800000041723251E-2</v>
      </c>
      <c r="H42">
        <v>0.10729999840259551</v>
      </c>
      <c r="I42">
        <v>6.7900002002716064E-2</v>
      </c>
      <c r="J42">
        <v>2.429999969899654E-2</v>
      </c>
      <c r="K42">
        <v>0.25270000100135798</v>
      </c>
      <c r="L42">
        <v>0.48759999871253967</v>
      </c>
      <c r="M42">
        <v>9.2100001871585846E-2</v>
      </c>
      <c r="N42">
        <v>4.6300001442432397E-2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26</v>
      </c>
      <c r="D4" s="119">
        <v>11</v>
      </c>
      <c r="E4" s="119" t="s">
        <v>318</v>
      </c>
      <c r="F4" s="119"/>
      <c r="G4">
        <v>4.5499999076128013E-2</v>
      </c>
      <c r="H4">
        <v>0.11659999936819079</v>
      </c>
      <c r="I4">
        <v>6.4900003373622894E-2</v>
      </c>
      <c r="J4">
        <v>2.2199999541044239E-2</v>
      </c>
      <c r="K4">
        <v>0.13930000364780429</v>
      </c>
      <c r="L4">
        <v>0.32699999213218689</v>
      </c>
      <c r="M4">
        <v>2.370000071823597E-2</v>
      </c>
      <c r="N4">
        <v>6.9700002670288086E-2</v>
      </c>
    </row>
    <row r="5" spans="1:14" ht="15" x14ac:dyDescent="0.25">
      <c r="A5" s="186"/>
      <c r="B5" s="119">
        <f t="shared" ref="B5:B12" si="0">B4+1</f>
        <v>2</v>
      </c>
      <c r="C5" s="120" t="s">
        <v>95</v>
      </c>
      <c r="D5" s="119">
        <v>9.5</v>
      </c>
      <c r="E5" s="119"/>
      <c r="F5" s="119"/>
      <c r="G5">
        <v>6.5099999308586121E-2</v>
      </c>
      <c r="H5">
        <v>9.6900001168251038E-2</v>
      </c>
      <c r="I5">
        <v>0.1015999987721443</v>
      </c>
      <c r="J5">
        <v>5.8899998664855957E-2</v>
      </c>
      <c r="K5">
        <v>0.1169999986886978</v>
      </c>
      <c r="L5">
        <v>0.33180001378059393</v>
      </c>
      <c r="M5">
        <v>2.5399999693036079E-2</v>
      </c>
      <c r="N5">
        <v>6.6100001335144043E-2</v>
      </c>
    </row>
    <row r="6" spans="1:14" ht="15" x14ac:dyDescent="0.25">
      <c r="A6" s="186"/>
      <c r="B6" s="119">
        <f t="shared" si="0"/>
        <v>3</v>
      </c>
      <c r="C6" s="119" t="s">
        <v>77</v>
      </c>
      <c r="D6" s="119">
        <v>3</v>
      </c>
      <c r="E6" s="119"/>
      <c r="F6" s="119"/>
      <c r="G6">
        <v>5.4099999368190772E-2</v>
      </c>
      <c r="H6">
        <v>0.1080000028014183</v>
      </c>
      <c r="I6">
        <v>9.5600001513957977E-2</v>
      </c>
      <c r="J6">
        <v>5.3800001740455627E-2</v>
      </c>
      <c r="K6">
        <v>0.1221000030636787</v>
      </c>
      <c r="L6">
        <v>0.32940000295639038</v>
      </c>
      <c r="M6">
        <v>2.5200000032782551E-2</v>
      </c>
      <c r="N6">
        <v>7.0299997925758362E-2</v>
      </c>
    </row>
    <row r="7" spans="1:14" ht="15" x14ac:dyDescent="0.25">
      <c r="A7" s="186"/>
      <c r="B7" s="119">
        <f t="shared" si="0"/>
        <v>4</v>
      </c>
      <c r="C7" s="119" t="s">
        <v>64</v>
      </c>
      <c r="D7" s="119">
        <v>8</v>
      </c>
      <c r="E7" s="119"/>
      <c r="F7" s="119"/>
      <c r="G7">
        <v>0.14980000257492071</v>
      </c>
      <c r="H7">
        <v>1.250000018626451E-2</v>
      </c>
      <c r="I7">
        <v>0.19490000605583191</v>
      </c>
      <c r="J7">
        <v>0.151199996471405</v>
      </c>
      <c r="K7">
        <v>0.1666000038385391</v>
      </c>
      <c r="L7">
        <v>0.33019998669624329</v>
      </c>
      <c r="M7">
        <v>4.050000011920929E-2</v>
      </c>
      <c r="N7">
        <v>6.9499999284744263E-2</v>
      </c>
    </row>
    <row r="8" spans="1:14" ht="15" x14ac:dyDescent="0.25">
      <c r="A8" s="186"/>
      <c r="B8" s="119">
        <f t="shared" si="0"/>
        <v>5</v>
      </c>
      <c r="C8" s="119" t="s">
        <v>51</v>
      </c>
      <c r="D8" s="119">
        <v>2</v>
      </c>
      <c r="E8" s="119"/>
      <c r="F8" s="119"/>
      <c r="G8">
        <v>0.1077999994158745</v>
      </c>
      <c r="H8">
        <v>5.429999902844429E-2</v>
      </c>
      <c r="I8">
        <v>0.1735000014305115</v>
      </c>
      <c r="J8">
        <v>0.13060000538825989</v>
      </c>
      <c r="K8">
        <v>0.12759999930858609</v>
      </c>
      <c r="L8">
        <v>0.32690000534057623</v>
      </c>
      <c r="M8">
        <v>3.2600000500679023E-2</v>
      </c>
      <c r="N8">
        <v>7.0500001311302185E-2</v>
      </c>
    </row>
    <row r="9" spans="1:14" ht="15" x14ac:dyDescent="0.25">
      <c r="A9" s="186"/>
      <c r="B9" s="119">
        <f t="shared" si="0"/>
        <v>6</v>
      </c>
      <c r="C9" s="119" t="s">
        <v>64</v>
      </c>
      <c r="D9" s="119">
        <v>4</v>
      </c>
      <c r="E9" s="119"/>
      <c r="F9" s="119"/>
      <c r="G9">
        <v>9.920000284910202E-2</v>
      </c>
      <c r="H9">
        <v>6.2799997627735138E-2</v>
      </c>
      <c r="I9">
        <v>0.1563999950885773</v>
      </c>
      <c r="J9">
        <v>0.1133999973535538</v>
      </c>
      <c r="K9">
        <v>0.12919999659061429</v>
      </c>
      <c r="L9">
        <v>0.31169998645782471</v>
      </c>
      <c r="M9">
        <v>3.1300000846385963E-2</v>
      </c>
      <c r="N9">
        <v>7.0500001311302185E-2</v>
      </c>
    </row>
    <row r="10" spans="1:14" ht="15" x14ac:dyDescent="0.25">
      <c r="A10" s="186"/>
      <c r="B10" s="119">
        <f t="shared" si="0"/>
        <v>7</v>
      </c>
      <c r="C10" s="119" t="s">
        <v>66</v>
      </c>
      <c r="D10" s="119">
        <v>8.5</v>
      </c>
      <c r="E10" s="119"/>
      <c r="F10" s="119"/>
      <c r="G10">
        <v>0.14429999887943271</v>
      </c>
      <c r="H10">
        <v>1.7999999225139621E-2</v>
      </c>
      <c r="I10">
        <v>0.19239999353885651</v>
      </c>
      <c r="J10">
        <v>0.14869999885559079</v>
      </c>
      <c r="K10">
        <v>0.13480000197887421</v>
      </c>
      <c r="L10">
        <v>0.29229998588562012</v>
      </c>
      <c r="M10">
        <v>1.779999956488609E-2</v>
      </c>
      <c r="N10">
        <v>6.5200001001358032E-2</v>
      </c>
    </row>
    <row r="11" spans="1:14" ht="15" x14ac:dyDescent="0.25">
      <c r="A11" s="186"/>
      <c r="B11" s="119">
        <f t="shared" si="0"/>
        <v>8</v>
      </c>
      <c r="C11" s="119" t="s">
        <v>64</v>
      </c>
      <c r="D11" s="119">
        <v>4.5</v>
      </c>
      <c r="E11" s="119"/>
      <c r="F11" s="119"/>
      <c r="G11">
        <v>7.4799999594688416E-2</v>
      </c>
      <c r="H11">
        <v>8.7200000882148743E-2</v>
      </c>
      <c r="I11">
        <v>0.11439999938011169</v>
      </c>
      <c r="J11">
        <v>7.1500003337860107E-2</v>
      </c>
      <c r="K11">
        <v>0.12870000302791601</v>
      </c>
      <c r="L11">
        <v>0.32609999179840088</v>
      </c>
      <c r="M11">
        <v>3.4099999815225601E-2</v>
      </c>
      <c r="N11">
        <v>6.6699996590614319E-2</v>
      </c>
    </row>
    <row r="12" spans="1:14" ht="15" x14ac:dyDescent="0.25">
      <c r="A12" s="186"/>
      <c r="B12" s="119">
        <f t="shared" si="0"/>
        <v>9</v>
      </c>
      <c r="C12" s="119" t="s">
        <v>77</v>
      </c>
      <c r="D12" s="119">
        <v>6</v>
      </c>
      <c r="E12" s="119"/>
      <c r="F12" s="119"/>
      <c r="G12">
        <v>9.6000000834465027E-2</v>
      </c>
      <c r="H12">
        <v>6.5999999642372131E-2</v>
      </c>
      <c r="I12">
        <v>0.16329999268054959</v>
      </c>
      <c r="J12">
        <v>0.1207000017166138</v>
      </c>
      <c r="K12">
        <v>0.13910000026226041</v>
      </c>
      <c r="L12">
        <v>0.33799999952316279</v>
      </c>
      <c r="M12">
        <v>3.4099999815225601E-2</v>
      </c>
      <c r="N12">
        <v>7.3600001633167267E-2</v>
      </c>
    </row>
    <row r="13" spans="1:14" ht="15" x14ac:dyDescent="0.25">
      <c r="A13" s="187"/>
      <c r="B13" s="187"/>
      <c r="C13" s="187"/>
      <c r="D13" s="187"/>
      <c r="E13" s="121" t="s">
        <v>163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23</v>
      </c>
      <c r="D14" s="119">
        <v>18</v>
      </c>
      <c r="E14" s="119"/>
      <c r="F14" s="119"/>
      <c r="G14">
        <v>1.7000000923871991E-2</v>
      </c>
      <c r="H14">
        <v>0.14499999582767489</v>
      </c>
      <c r="I14">
        <v>1.449999958276749E-2</v>
      </c>
      <c r="J14">
        <v>2.9799999669194221E-2</v>
      </c>
      <c r="K14">
        <v>6.0199998319149017E-2</v>
      </c>
      <c r="L14">
        <v>0.27419999241828918</v>
      </c>
      <c r="M14">
        <v>4.0399998426437378E-2</v>
      </c>
      <c r="N14">
        <v>8.6999997496604919E-2</v>
      </c>
    </row>
    <row r="15" spans="1:14" ht="15" x14ac:dyDescent="0.25">
      <c r="A15" s="186"/>
      <c r="B15" s="119">
        <f t="shared" ref="B15:B22" si="1">B14+1</f>
        <v>11</v>
      </c>
      <c r="C15" s="119" t="s">
        <v>27</v>
      </c>
      <c r="D15" s="119">
        <v>13.5</v>
      </c>
      <c r="E15" s="119"/>
      <c r="F15" s="119"/>
      <c r="G15">
        <v>6.5000001341104507E-3</v>
      </c>
      <c r="H15">
        <v>0.15569999814033511</v>
      </c>
      <c r="I15">
        <v>4.0000001899898052E-3</v>
      </c>
      <c r="J15">
        <v>4.010000079870224E-2</v>
      </c>
      <c r="K15">
        <v>5.3399998694658279E-2</v>
      </c>
      <c r="L15">
        <v>0.2254000008106232</v>
      </c>
      <c r="M15">
        <v>6.3000001013278961E-2</v>
      </c>
      <c r="N15">
        <v>0.1103999987244606</v>
      </c>
    </row>
    <row r="16" spans="1:14" ht="15" x14ac:dyDescent="0.25">
      <c r="A16" s="186"/>
      <c r="B16" s="119">
        <f t="shared" si="1"/>
        <v>12</v>
      </c>
      <c r="C16" s="119" t="s">
        <v>30</v>
      </c>
      <c r="D16" s="119">
        <v>6.5</v>
      </c>
      <c r="E16" s="119"/>
      <c r="F16" s="129"/>
      <c r="G16">
        <v>1.169999968260527E-2</v>
      </c>
      <c r="H16">
        <v>0.1503999978303909</v>
      </c>
      <c r="I16">
        <v>1.4700000174343589E-2</v>
      </c>
      <c r="J16">
        <v>2.930000051856041E-2</v>
      </c>
      <c r="K16">
        <v>4.1200000792741782E-2</v>
      </c>
      <c r="L16">
        <v>0.23090000450611109</v>
      </c>
      <c r="M16">
        <v>5.950000137090683E-2</v>
      </c>
      <c r="N16">
        <v>0.1068999990820885</v>
      </c>
    </row>
    <row r="17" spans="1:14" ht="15" x14ac:dyDescent="0.25">
      <c r="A17" s="186"/>
      <c r="B17" s="119">
        <f t="shared" si="1"/>
        <v>13</v>
      </c>
      <c r="C17" s="119" t="s">
        <v>38</v>
      </c>
      <c r="D17" s="119">
        <v>7</v>
      </c>
      <c r="E17" s="119"/>
      <c r="F17" s="119"/>
      <c r="G17">
        <v>2.199999988079071E-2</v>
      </c>
      <c r="H17">
        <v>0.14010000228881839</v>
      </c>
      <c r="I17">
        <v>2.3199999704957008E-2</v>
      </c>
      <c r="J17">
        <v>2.0600000396370891E-2</v>
      </c>
      <c r="K17">
        <v>5.9599999338388443E-2</v>
      </c>
      <c r="L17">
        <v>0.2457000017166138</v>
      </c>
      <c r="M17">
        <v>3.0500000342726711E-2</v>
      </c>
      <c r="N17">
        <v>7.5499996542930603E-2</v>
      </c>
    </row>
    <row r="18" spans="1:14" ht="15" x14ac:dyDescent="0.25">
      <c r="A18" s="186"/>
      <c r="B18" s="119">
        <f t="shared" si="1"/>
        <v>14</v>
      </c>
      <c r="C18" s="119" t="s">
        <v>62</v>
      </c>
      <c r="D18" s="119">
        <v>2</v>
      </c>
      <c r="E18" s="119"/>
      <c r="F18" s="119"/>
      <c r="G18">
        <v>2.140000090003014E-2</v>
      </c>
      <c r="H18">
        <v>0.14069999754428861</v>
      </c>
      <c r="I18">
        <v>3.0799999833106991E-2</v>
      </c>
      <c r="J18">
        <v>1.4200000092387199E-2</v>
      </c>
      <c r="K18">
        <v>4.2800001800060272E-2</v>
      </c>
      <c r="L18">
        <v>0.2703000009059906</v>
      </c>
      <c r="M18">
        <v>1.9999999552965161E-2</v>
      </c>
      <c r="N18">
        <v>6.4699999988079071E-2</v>
      </c>
    </row>
    <row r="19" spans="1:14" ht="15" x14ac:dyDescent="0.25">
      <c r="A19" s="186"/>
      <c r="B19" s="119">
        <f t="shared" si="1"/>
        <v>15</v>
      </c>
      <c r="C19" s="119" t="s">
        <v>50</v>
      </c>
      <c r="D19" s="119">
        <v>2</v>
      </c>
      <c r="E19" s="119"/>
      <c r="F19" s="119"/>
      <c r="G19">
        <v>3.1199999153614041E-2</v>
      </c>
      <c r="H19">
        <v>0.13079999387264249</v>
      </c>
      <c r="I19">
        <v>4.4199999421834953E-2</v>
      </c>
      <c r="J19">
        <v>5.4000001400709152E-3</v>
      </c>
      <c r="K19">
        <v>5.3100001066923141E-2</v>
      </c>
      <c r="L19">
        <v>0.28880000114440918</v>
      </c>
      <c r="M19">
        <v>1.1400000192224979E-2</v>
      </c>
      <c r="N19">
        <v>5.2499998360872269E-2</v>
      </c>
    </row>
    <row r="20" spans="1:14" ht="15" x14ac:dyDescent="0.25">
      <c r="A20" s="186"/>
      <c r="B20" s="119">
        <f t="shared" si="1"/>
        <v>16</v>
      </c>
      <c r="C20" s="119" t="s">
        <v>30</v>
      </c>
      <c r="D20" s="119">
        <v>9</v>
      </c>
      <c r="E20" s="119"/>
      <c r="F20" s="119"/>
      <c r="G20">
        <v>5.8800000697374337E-2</v>
      </c>
      <c r="H20">
        <v>0.1032999977469444</v>
      </c>
      <c r="I20">
        <v>7.4699997901916504E-2</v>
      </c>
      <c r="J20">
        <v>3.1099999323487278E-2</v>
      </c>
      <c r="K20">
        <v>9.1300003230571747E-2</v>
      </c>
      <c r="L20">
        <v>0.25400000810623169</v>
      </c>
      <c r="M20">
        <v>2.7200000360608101E-2</v>
      </c>
      <c r="N20">
        <v>7.4400000274181366E-2</v>
      </c>
    </row>
    <row r="21" spans="1:14" ht="15" x14ac:dyDescent="0.25">
      <c r="A21" s="186"/>
      <c r="B21" s="119">
        <f t="shared" si="1"/>
        <v>17</v>
      </c>
      <c r="C21" s="119" t="s">
        <v>80</v>
      </c>
      <c r="D21" s="119">
        <v>9.5</v>
      </c>
      <c r="E21" s="119"/>
      <c r="F21" s="119"/>
      <c r="G21">
        <v>5.0000002374872565E-4</v>
      </c>
      <c r="H21">
        <v>0.16249999403953549</v>
      </c>
      <c r="I21">
        <v>1.6699999570846561E-2</v>
      </c>
      <c r="J21">
        <v>3.3799998462200158E-2</v>
      </c>
      <c r="K21">
        <v>6.1700001358985901E-2</v>
      </c>
      <c r="L21">
        <v>0.25429999828338617</v>
      </c>
      <c r="M21">
        <v>4.0300000458955758E-2</v>
      </c>
      <c r="N21">
        <v>8.659999817609787E-2</v>
      </c>
    </row>
    <row r="22" spans="1:14" ht="15" x14ac:dyDescent="0.25">
      <c r="A22" s="186"/>
      <c r="B22" s="119">
        <f t="shared" si="1"/>
        <v>18</v>
      </c>
      <c r="C22" s="119" t="s">
        <v>36</v>
      </c>
      <c r="D22" s="119">
        <v>7</v>
      </c>
      <c r="E22" s="119"/>
      <c r="F22" s="119"/>
      <c r="G22">
        <v>4.309999942779541E-2</v>
      </c>
      <c r="H22">
        <v>0.11890000104904171</v>
      </c>
      <c r="I22">
        <v>5.3300000727176673E-2</v>
      </c>
      <c r="J22">
        <v>9.7000002861022949E-3</v>
      </c>
      <c r="K22">
        <v>8.919999748468399E-2</v>
      </c>
      <c r="L22">
        <v>0.29469999670982361</v>
      </c>
      <c r="M22">
        <v>3.319999948143959E-2</v>
      </c>
      <c r="N22">
        <v>7.8100003302097321E-2</v>
      </c>
    </row>
    <row r="23" spans="1:14" ht="15" x14ac:dyDescent="0.25">
      <c r="A23" s="187"/>
      <c r="B23" s="187"/>
      <c r="C23" s="187"/>
      <c r="D23" s="187"/>
      <c r="E23" s="121" t="s">
        <v>92</v>
      </c>
      <c r="F23" s="121" t="s">
        <v>174</v>
      </c>
    </row>
    <row r="24" spans="1:14" ht="15" x14ac:dyDescent="0.25">
      <c r="A24" s="186" t="s">
        <v>152</v>
      </c>
      <c r="B24" s="119">
        <f>B22+1</f>
        <v>19</v>
      </c>
      <c r="C24" s="119" t="s">
        <v>111</v>
      </c>
      <c r="D24" s="119">
        <v>10</v>
      </c>
      <c r="E24" s="119"/>
      <c r="F24" s="119"/>
      <c r="G24">
        <v>4.1000001132488251E-2</v>
      </c>
      <c r="H24">
        <v>0.12099999934434889</v>
      </c>
      <c r="I24">
        <v>4.2700000107288361E-2</v>
      </c>
      <c r="J24">
        <v>2.4000001139938831E-3</v>
      </c>
      <c r="K24">
        <v>9.0300001204013824E-2</v>
      </c>
      <c r="L24">
        <v>0.32010000944137568</v>
      </c>
      <c r="M24">
        <v>5.6200001388788223E-2</v>
      </c>
      <c r="N24">
        <v>3.1399998813867569E-2</v>
      </c>
    </row>
    <row r="25" spans="1:14" ht="15" x14ac:dyDescent="0.25">
      <c r="A25" s="186"/>
      <c r="B25" s="119">
        <f t="shared" ref="B25:B32" si="2">B24+1</f>
        <v>20</v>
      </c>
      <c r="C25" s="119" t="s">
        <v>15</v>
      </c>
      <c r="D25" s="119">
        <v>8</v>
      </c>
      <c r="E25" s="119"/>
      <c r="F25" s="119"/>
      <c r="G25">
        <v>8.0000003799796104E-3</v>
      </c>
      <c r="H25">
        <v>0.153999999165535</v>
      </c>
      <c r="I25">
        <v>1.020000036805868E-2</v>
      </c>
      <c r="J25">
        <v>3.3900000154972083E-2</v>
      </c>
      <c r="K25">
        <v>7.7600002288818359E-2</v>
      </c>
      <c r="L25">
        <v>0.31760001182556152</v>
      </c>
      <c r="M25">
        <v>4.7600001096725457E-2</v>
      </c>
      <c r="N25">
        <v>3.6299999803304672E-2</v>
      </c>
    </row>
    <row r="26" spans="1:14" ht="15" x14ac:dyDescent="0.25">
      <c r="A26" s="186"/>
      <c r="B26" s="119">
        <f t="shared" si="2"/>
        <v>21</v>
      </c>
      <c r="C26" s="119" t="s">
        <v>30</v>
      </c>
      <c r="D26" s="119">
        <v>9</v>
      </c>
      <c r="E26" s="119"/>
      <c r="F26" s="119"/>
      <c r="G26">
        <v>1.740000024437904E-2</v>
      </c>
      <c r="H26">
        <v>0.14460000395774841</v>
      </c>
      <c r="I26">
        <v>2.2900000214576721E-2</v>
      </c>
      <c r="J26">
        <v>2.1299999207258221E-2</v>
      </c>
      <c r="K26">
        <v>7.6499998569488525E-2</v>
      </c>
      <c r="L26">
        <v>0.30469998717308039</v>
      </c>
      <c r="M26">
        <v>3.5300001502037048E-2</v>
      </c>
      <c r="N26">
        <v>1.9799999892711639E-2</v>
      </c>
    </row>
    <row r="27" spans="1:14" ht="15" x14ac:dyDescent="0.25">
      <c r="A27" s="186"/>
      <c r="B27" s="119">
        <f t="shared" si="2"/>
        <v>22</v>
      </c>
      <c r="C27" s="119" t="s">
        <v>30</v>
      </c>
      <c r="D27" s="119">
        <v>8</v>
      </c>
      <c r="E27" s="119"/>
      <c r="F27" s="119"/>
      <c r="G27">
        <v>3.020000085234642E-2</v>
      </c>
      <c r="H27">
        <v>0.13179999589920041</v>
      </c>
      <c r="I27">
        <v>3.8300000131130219E-2</v>
      </c>
      <c r="J27">
        <v>6.2000001780688763E-3</v>
      </c>
      <c r="K27">
        <v>8.2999996840953827E-2</v>
      </c>
      <c r="L27">
        <v>0.31369999051094061</v>
      </c>
      <c r="M27">
        <v>6.080000102519989E-2</v>
      </c>
      <c r="N27">
        <v>3.3300001174211502E-2</v>
      </c>
    </row>
    <row r="28" spans="1:14" ht="15" x14ac:dyDescent="0.25">
      <c r="A28" s="186"/>
      <c r="B28" s="119">
        <f t="shared" si="2"/>
        <v>23</v>
      </c>
      <c r="C28" s="119" t="s">
        <v>115</v>
      </c>
      <c r="D28" s="119">
        <v>0</v>
      </c>
      <c r="E28" s="119"/>
      <c r="F28" s="119"/>
      <c r="G28">
        <v>2.3199999704957008E-2</v>
      </c>
      <c r="H28">
        <v>0.1387999951839447</v>
      </c>
      <c r="I28">
        <v>2.730000019073486E-2</v>
      </c>
      <c r="J28">
        <v>1.6599999740719799E-2</v>
      </c>
      <c r="K28">
        <v>9.0000003576278687E-2</v>
      </c>
      <c r="L28">
        <v>0.33880001306533808</v>
      </c>
      <c r="M28">
        <v>5.2200000733137131E-2</v>
      </c>
      <c r="N28">
        <v>3.4200001507997513E-2</v>
      </c>
    </row>
    <row r="29" spans="1:14" ht="15" x14ac:dyDescent="0.25">
      <c r="A29" s="186"/>
      <c r="B29" s="119">
        <f t="shared" si="2"/>
        <v>24</v>
      </c>
      <c r="C29" s="119" t="s">
        <v>38</v>
      </c>
      <c r="D29" s="119">
        <v>9.5</v>
      </c>
      <c r="E29" s="119"/>
      <c r="F29" s="119"/>
      <c r="G29">
        <v>4.6500001102685928E-2</v>
      </c>
      <c r="H29">
        <v>0.1155999973416328</v>
      </c>
      <c r="I29">
        <v>4.8900000751018517E-2</v>
      </c>
      <c r="J29">
        <v>5.7999999262392521E-3</v>
      </c>
      <c r="K29">
        <v>9.9399998784065247E-2</v>
      </c>
      <c r="L29">
        <v>0.3481999933719635</v>
      </c>
      <c r="M29">
        <v>5.4000001400709152E-2</v>
      </c>
      <c r="N29">
        <v>3.2499998807907098E-2</v>
      </c>
    </row>
    <row r="30" spans="1:14" ht="15" x14ac:dyDescent="0.25">
      <c r="A30" s="186"/>
      <c r="B30" s="119">
        <f t="shared" si="2"/>
        <v>25</v>
      </c>
      <c r="C30" s="119" t="s">
        <v>35</v>
      </c>
      <c r="D30" s="119">
        <v>7.5</v>
      </c>
      <c r="E30" s="119"/>
      <c r="F30" s="119"/>
      <c r="G30">
        <v>7.6499998569488525E-2</v>
      </c>
      <c r="H30">
        <v>8.5600003600120544E-2</v>
      </c>
      <c r="I30">
        <v>7.9300001263618469E-2</v>
      </c>
      <c r="J30">
        <v>3.5900000482797623E-2</v>
      </c>
      <c r="K30">
        <v>0.1102999970316887</v>
      </c>
      <c r="L30">
        <v>0.30559998750686651</v>
      </c>
      <c r="M30">
        <v>2.690000087022781E-2</v>
      </c>
      <c r="N30">
        <v>4.5099999755620963E-2</v>
      </c>
    </row>
    <row r="31" spans="1:14" ht="15" x14ac:dyDescent="0.25">
      <c r="A31" s="186"/>
      <c r="B31" s="119">
        <f t="shared" si="2"/>
        <v>26</v>
      </c>
      <c r="C31" s="119" t="s">
        <v>21</v>
      </c>
      <c r="D31" s="119">
        <v>6.5</v>
      </c>
      <c r="E31" s="119"/>
      <c r="F31" s="119"/>
      <c r="G31">
        <v>4.4500000774860382E-2</v>
      </c>
      <c r="H31">
        <v>0.1174999997019768</v>
      </c>
      <c r="I31">
        <v>5.0200000405311578E-2</v>
      </c>
      <c r="J31">
        <v>6.399999838322401E-3</v>
      </c>
      <c r="K31">
        <v>7.3200002312660217E-2</v>
      </c>
      <c r="L31">
        <v>0.30720001459121699</v>
      </c>
      <c r="M31">
        <v>4.4199999421834953E-2</v>
      </c>
      <c r="N31">
        <v>2.0300000905990601E-2</v>
      </c>
    </row>
    <row r="32" spans="1:14" ht="15" x14ac:dyDescent="0.25">
      <c r="A32" s="186"/>
      <c r="B32" s="119">
        <f t="shared" si="2"/>
        <v>27</v>
      </c>
      <c r="C32" s="119" t="s">
        <v>55</v>
      </c>
      <c r="D32" s="119">
        <v>12</v>
      </c>
      <c r="E32" s="119"/>
      <c r="F32" s="119"/>
      <c r="G32">
        <v>4.439999908208847E-2</v>
      </c>
      <c r="H32">
        <v>0.1176000013947487</v>
      </c>
      <c r="I32">
        <v>4.5699998736381531E-2</v>
      </c>
      <c r="J32">
        <v>3.8000000640749931E-3</v>
      </c>
      <c r="K32">
        <v>5.8100000023841858E-2</v>
      </c>
      <c r="L32">
        <v>0.29460000991821289</v>
      </c>
      <c r="M32">
        <v>6.4000003039836884E-2</v>
      </c>
      <c r="N32">
        <v>2.9100000858306881E-2</v>
      </c>
    </row>
    <row r="33" spans="1:14" ht="15" x14ac:dyDescent="0.25">
      <c r="A33" s="187"/>
      <c r="B33" s="187"/>
      <c r="C33" s="187"/>
      <c r="D33" s="187"/>
      <c r="E33" s="121" t="s">
        <v>163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16</v>
      </c>
      <c r="D34" s="119">
        <v>12</v>
      </c>
      <c r="E34" s="119"/>
      <c r="F34" s="119"/>
      <c r="G34">
        <v>6.9300003349781036E-2</v>
      </c>
      <c r="H34">
        <v>9.2799998819828033E-2</v>
      </c>
      <c r="I34">
        <v>7.5000002980232239E-2</v>
      </c>
      <c r="J34">
        <v>3.1300000846385963E-2</v>
      </c>
      <c r="K34">
        <v>0.122299998998642</v>
      </c>
      <c r="L34">
        <v>0.37450000643730158</v>
      </c>
      <c r="M34">
        <v>0.14409999549388891</v>
      </c>
      <c r="N34">
        <v>9.9100001156330109E-2</v>
      </c>
    </row>
    <row r="35" spans="1:14" ht="15" x14ac:dyDescent="0.25">
      <c r="A35" s="186"/>
      <c r="B35" s="119">
        <f t="shared" ref="B35:B42" si="3">B34+1</f>
        <v>29</v>
      </c>
      <c r="C35" s="119" t="s">
        <v>45</v>
      </c>
      <c r="D35" s="119">
        <v>4</v>
      </c>
      <c r="E35" s="119"/>
      <c r="F35" s="119"/>
      <c r="G35">
        <v>5.3599998354911797E-2</v>
      </c>
      <c r="H35">
        <v>0.1084000021219254</v>
      </c>
      <c r="I35">
        <v>6.0499999672174447E-2</v>
      </c>
      <c r="J35">
        <v>1.6699999570846561E-2</v>
      </c>
      <c r="K35">
        <v>0.12380000203847891</v>
      </c>
      <c r="L35">
        <v>0.37900000810623169</v>
      </c>
      <c r="M35">
        <v>0.14350000023841861</v>
      </c>
      <c r="N35">
        <v>9.8999999463558197E-2</v>
      </c>
    </row>
    <row r="36" spans="1:14" ht="15" x14ac:dyDescent="0.25">
      <c r="A36" s="186"/>
      <c r="B36" s="119">
        <f t="shared" si="3"/>
        <v>30</v>
      </c>
      <c r="C36" s="119" t="s">
        <v>80</v>
      </c>
      <c r="D36" s="119">
        <v>5.5</v>
      </c>
      <c r="E36" s="119"/>
      <c r="F36" s="119"/>
      <c r="G36">
        <v>5.3899999707937241E-2</v>
      </c>
      <c r="H36">
        <v>0.1081999987363815</v>
      </c>
      <c r="I36">
        <v>6.589999794960022E-2</v>
      </c>
      <c r="J36">
        <v>2.2099999710917469E-2</v>
      </c>
      <c r="K36">
        <v>0.1140000000596046</v>
      </c>
      <c r="L36">
        <v>0.36669999361038208</v>
      </c>
      <c r="M36">
        <v>0.14419999718666079</v>
      </c>
      <c r="N36">
        <v>9.9699996411800385E-2</v>
      </c>
    </row>
    <row r="37" spans="1:14" ht="15" x14ac:dyDescent="0.25">
      <c r="A37" s="186"/>
      <c r="B37" s="119">
        <f t="shared" si="3"/>
        <v>31</v>
      </c>
      <c r="C37" s="119" t="s">
        <v>36</v>
      </c>
      <c r="D37" s="119">
        <v>6.5</v>
      </c>
      <c r="E37" s="119"/>
      <c r="F37" s="119"/>
      <c r="G37">
        <v>4.7400001436471939E-2</v>
      </c>
      <c r="H37">
        <v>0.1146000027656555</v>
      </c>
      <c r="I37">
        <v>6.210000067949295E-2</v>
      </c>
      <c r="J37">
        <v>1.8600000068545341E-2</v>
      </c>
      <c r="K37">
        <v>0.1066000014543533</v>
      </c>
      <c r="L37">
        <v>0.35670000314712519</v>
      </c>
      <c r="M37">
        <v>0.1010999977588654</v>
      </c>
      <c r="N37">
        <v>6.120000034570694E-2</v>
      </c>
    </row>
    <row r="38" spans="1:14" ht="15" x14ac:dyDescent="0.25">
      <c r="A38" s="186"/>
      <c r="B38" s="119">
        <f t="shared" si="3"/>
        <v>32</v>
      </c>
      <c r="C38" s="119" t="s">
        <v>38</v>
      </c>
      <c r="D38" s="119">
        <v>7.5</v>
      </c>
      <c r="E38" s="119"/>
      <c r="F38" s="119"/>
      <c r="G38">
        <v>5.090000107884407E-2</v>
      </c>
      <c r="H38">
        <v>0.1111000031232834</v>
      </c>
      <c r="I38">
        <v>6.2300000339746482E-2</v>
      </c>
      <c r="J38">
        <v>1.8500000238418579E-2</v>
      </c>
      <c r="K38">
        <v>9.4499997794628143E-2</v>
      </c>
      <c r="L38">
        <v>0.35040000081062322</v>
      </c>
      <c r="M38">
        <v>0.1128999963402748</v>
      </c>
      <c r="N38">
        <v>7.0399999618530273E-2</v>
      </c>
    </row>
    <row r="39" spans="1:14" ht="15" x14ac:dyDescent="0.25">
      <c r="A39" s="186"/>
      <c r="B39" s="119">
        <f t="shared" si="3"/>
        <v>33</v>
      </c>
      <c r="C39" s="119" t="s">
        <v>35</v>
      </c>
      <c r="D39" s="119">
        <v>3</v>
      </c>
      <c r="E39" s="119"/>
      <c r="F39" s="119"/>
      <c r="G39">
        <v>3.8499999791383743E-2</v>
      </c>
      <c r="H39">
        <v>0.123599998652935</v>
      </c>
      <c r="I39">
        <v>5.820000171661377E-2</v>
      </c>
      <c r="J39">
        <v>1.6300000250339512E-2</v>
      </c>
      <c r="K39">
        <v>8.1000000238418579E-2</v>
      </c>
      <c r="L39">
        <v>0.3375999927520752</v>
      </c>
      <c r="M39">
        <v>0.1140000000596046</v>
      </c>
      <c r="N39">
        <v>7.1500003337860107E-2</v>
      </c>
    </row>
    <row r="40" spans="1:14" ht="15" x14ac:dyDescent="0.25">
      <c r="A40" s="186"/>
      <c r="B40" s="119">
        <f t="shared" si="3"/>
        <v>34</v>
      </c>
      <c r="C40" s="119" t="s">
        <v>64</v>
      </c>
      <c r="D40" s="119">
        <v>5.5</v>
      </c>
      <c r="E40" s="122"/>
      <c r="F40" s="122"/>
      <c r="G40">
        <v>5.6000001728534698E-2</v>
      </c>
      <c r="H40">
        <v>0.1059999987483025</v>
      </c>
      <c r="I40">
        <v>6.080000102519989E-2</v>
      </c>
      <c r="J40">
        <v>1.7300000414252281E-2</v>
      </c>
      <c r="K40">
        <v>9.8999999463558197E-2</v>
      </c>
      <c r="L40">
        <v>0.35069999098777771</v>
      </c>
      <c r="M40">
        <v>8.7700001895427704E-2</v>
      </c>
      <c r="N40">
        <v>4.7299999743700027E-2</v>
      </c>
    </row>
    <row r="41" spans="1:14" ht="15" x14ac:dyDescent="0.25">
      <c r="A41" s="186"/>
      <c r="B41" s="119">
        <f t="shared" si="3"/>
        <v>35</v>
      </c>
      <c r="C41" s="119" t="s">
        <v>45</v>
      </c>
      <c r="D41" s="119">
        <v>3.5</v>
      </c>
      <c r="E41" s="122"/>
      <c r="F41" s="122"/>
      <c r="G41">
        <v>5.3700000047683723E-2</v>
      </c>
      <c r="H41">
        <v>0.1083000004291534</v>
      </c>
      <c r="I41">
        <v>6.5600000321865082E-2</v>
      </c>
      <c r="J41">
        <v>2.1800000220537189E-2</v>
      </c>
      <c r="K41">
        <v>8.8899999856948853E-2</v>
      </c>
      <c r="L41">
        <v>0.34000000357627869</v>
      </c>
      <c r="M41">
        <v>0.1147999987006187</v>
      </c>
      <c r="N41">
        <v>7.0200003683567047E-2</v>
      </c>
    </row>
    <row r="42" spans="1:14" ht="15" x14ac:dyDescent="0.25">
      <c r="A42" s="186"/>
      <c r="B42" s="123">
        <f t="shared" si="3"/>
        <v>36</v>
      </c>
      <c r="C42" s="123" t="s">
        <v>80</v>
      </c>
      <c r="D42" s="123">
        <v>4</v>
      </c>
      <c r="E42" s="124"/>
      <c r="F42" s="124"/>
      <c r="G42">
        <v>3.5100001841783517E-2</v>
      </c>
      <c r="H42">
        <v>0.12690000236034391</v>
      </c>
      <c r="I42">
        <v>5.3500000387430191E-2</v>
      </c>
      <c r="J42">
        <v>1.2299999594688421E-2</v>
      </c>
      <c r="K42">
        <v>7.7799998223781586E-2</v>
      </c>
      <c r="L42">
        <v>0.33190000057220459</v>
      </c>
      <c r="M42">
        <v>0.1194000020623207</v>
      </c>
      <c r="N42">
        <v>7.4299998581409454E-2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106</v>
      </c>
      <c r="D4" s="119">
        <v>11.5</v>
      </c>
      <c r="E4" s="119" t="s">
        <v>318</v>
      </c>
      <c r="F4" s="119"/>
      <c r="G4">
        <v>0.1641999930143356</v>
      </c>
      <c r="H4">
        <v>3.5000001080334191E-3</v>
      </c>
      <c r="I4">
        <v>0.27390000224113459</v>
      </c>
      <c r="J4">
        <v>0.23080000281333921</v>
      </c>
      <c r="K4">
        <v>0.17409999668598181</v>
      </c>
      <c r="L4">
        <v>9.2299997806549072E-2</v>
      </c>
      <c r="M4">
        <v>8.3099998533725739E-2</v>
      </c>
      <c r="N4">
        <v>0.12460000067949301</v>
      </c>
    </row>
    <row r="5" spans="1:14" ht="15" x14ac:dyDescent="0.25">
      <c r="A5" s="186"/>
      <c r="B5" s="119">
        <f t="shared" ref="B5:B12" si="0">B4+1</f>
        <v>2</v>
      </c>
      <c r="C5" s="120" t="s">
        <v>18</v>
      </c>
      <c r="D5" s="119">
        <v>14.5</v>
      </c>
      <c r="E5" s="119"/>
      <c r="F5" s="119"/>
      <c r="G5">
        <v>0.1666000038385391</v>
      </c>
      <c r="H5">
        <v>8.500000461935997E-3</v>
      </c>
      <c r="I5">
        <v>0.29300001263618469</v>
      </c>
      <c r="J5">
        <v>0.25</v>
      </c>
      <c r="K5">
        <v>0.1745000034570694</v>
      </c>
      <c r="L5">
        <v>9.3299999833106995E-2</v>
      </c>
      <c r="M5">
        <v>9.3400001525878906E-2</v>
      </c>
      <c r="N5">
        <v>0.1389999985694885</v>
      </c>
    </row>
    <row r="6" spans="1:14" ht="15" x14ac:dyDescent="0.25">
      <c r="A6" s="186"/>
      <c r="B6" s="119">
        <f t="shared" si="0"/>
        <v>3</v>
      </c>
      <c r="C6" s="119" t="s">
        <v>32</v>
      </c>
      <c r="D6" s="119">
        <v>10.5</v>
      </c>
      <c r="E6" s="119"/>
      <c r="F6" s="119"/>
      <c r="G6">
        <v>0.14079999923706049</v>
      </c>
      <c r="H6">
        <v>2.6100000366568569E-2</v>
      </c>
      <c r="I6">
        <v>0.23459999263286591</v>
      </c>
      <c r="J6">
        <v>0.19130000472068789</v>
      </c>
      <c r="K6">
        <v>0.13969999551773071</v>
      </c>
      <c r="L6">
        <v>0.1237000003457069</v>
      </c>
      <c r="M6">
        <v>8.6999997496604919E-2</v>
      </c>
      <c r="N6">
        <v>0.13189999759197241</v>
      </c>
    </row>
    <row r="7" spans="1:14" ht="15" x14ac:dyDescent="0.25">
      <c r="A7" s="186"/>
      <c r="B7" s="119">
        <f t="shared" si="0"/>
        <v>4</v>
      </c>
      <c r="C7" s="119" t="s">
        <v>15</v>
      </c>
      <c r="D7" s="119">
        <v>2</v>
      </c>
      <c r="E7" s="119"/>
      <c r="F7" s="119"/>
      <c r="G7">
        <v>0.1405999958515167</v>
      </c>
      <c r="H7">
        <v>2.5399999693036079E-2</v>
      </c>
      <c r="I7">
        <v>0.25670000910758972</v>
      </c>
      <c r="J7">
        <v>0.21379999816417691</v>
      </c>
      <c r="K7">
        <v>0.16490000486373901</v>
      </c>
      <c r="L7">
        <v>0.1096000000834465</v>
      </c>
      <c r="M7">
        <v>7.8800000250339508E-2</v>
      </c>
      <c r="N7">
        <v>0.122699998319149</v>
      </c>
    </row>
    <row r="8" spans="1:14" ht="15" x14ac:dyDescent="0.25">
      <c r="A8" s="186"/>
      <c r="B8" s="119">
        <f t="shared" si="0"/>
        <v>5</v>
      </c>
      <c r="C8" s="119" t="s">
        <v>54</v>
      </c>
      <c r="D8" s="119">
        <v>9</v>
      </c>
      <c r="E8" s="119"/>
      <c r="F8" s="119"/>
      <c r="G8">
        <v>0.17460000514984131</v>
      </c>
      <c r="H8">
        <v>1.379999984055758E-2</v>
      </c>
      <c r="I8">
        <v>0.27649998664855963</v>
      </c>
      <c r="J8">
        <v>0.2331999987363815</v>
      </c>
      <c r="K8">
        <v>0.1714999973773956</v>
      </c>
      <c r="L8">
        <v>9.1099999845027924E-2</v>
      </c>
      <c r="M8">
        <v>8.0300003290176392E-2</v>
      </c>
      <c r="N8">
        <v>0.1243000030517578</v>
      </c>
    </row>
    <row r="9" spans="1:14" ht="15" x14ac:dyDescent="0.25">
      <c r="A9" s="186"/>
      <c r="B9" s="119">
        <f t="shared" si="0"/>
        <v>6</v>
      </c>
      <c r="C9" s="119" t="s">
        <v>77</v>
      </c>
      <c r="D9" s="119">
        <v>5.5</v>
      </c>
      <c r="E9" s="119"/>
      <c r="F9" s="119"/>
      <c r="G9">
        <v>0.18600000441074371</v>
      </c>
      <c r="H9">
        <v>2.4199999868869781E-2</v>
      </c>
      <c r="I9">
        <v>0.29339998960495001</v>
      </c>
      <c r="J9">
        <v>0.25009998679161072</v>
      </c>
      <c r="K9">
        <v>0.16550000011920929</v>
      </c>
      <c r="L9">
        <v>9.6699997782707214E-2</v>
      </c>
      <c r="M9">
        <v>7.8100003302097321E-2</v>
      </c>
      <c r="N9">
        <v>0.121299996972084</v>
      </c>
    </row>
    <row r="10" spans="1:14" ht="15" x14ac:dyDescent="0.25">
      <c r="A10" s="186"/>
      <c r="B10" s="119">
        <f t="shared" si="0"/>
        <v>7</v>
      </c>
      <c r="C10" s="119" t="s">
        <v>46</v>
      </c>
      <c r="D10" s="119">
        <v>11</v>
      </c>
      <c r="E10" s="119"/>
      <c r="F10" s="119"/>
      <c r="G10">
        <v>0.1766999959945679</v>
      </c>
      <c r="H10">
        <v>1.5699999406933781E-2</v>
      </c>
      <c r="I10">
        <v>0.26620000600814819</v>
      </c>
      <c r="J10">
        <v>0.22269999980926511</v>
      </c>
      <c r="K10">
        <v>0.14710000157356259</v>
      </c>
      <c r="L10">
        <v>0.1243999972939491</v>
      </c>
      <c r="M10">
        <v>8.1100001931190491E-2</v>
      </c>
      <c r="N10">
        <v>0.12669999897480011</v>
      </c>
    </row>
    <row r="11" spans="1:14" ht="15" x14ac:dyDescent="0.25">
      <c r="A11" s="186"/>
      <c r="B11" s="119">
        <f t="shared" si="0"/>
        <v>8</v>
      </c>
      <c r="C11" s="119" t="s">
        <v>66</v>
      </c>
      <c r="D11" s="119">
        <v>5</v>
      </c>
      <c r="E11" s="119"/>
      <c r="F11" s="119"/>
      <c r="G11">
        <v>0.19930000603199011</v>
      </c>
      <c r="H11">
        <v>3.8600001484155648E-2</v>
      </c>
      <c r="I11">
        <v>0.32260000705718989</v>
      </c>
      <c r="J11">
        <v>0.27930000424385071</v>
      </c>
      <c r="K11">
        <v>0.16439999639987951</v>
      </c>
      <c r="L11">
        <v>9.3000002205371857E-2</v>
      </c>
      <c r="M11">
        <v>7.7299997210502625E-2</v>
      </c>
      <c r="N11">
        <v>0.1190000027418137</v>
      </c>
    </row>
    <row r="12" spans="1:14" ht="15" x14ac:dyDescent="0.25">
      <c r="A12" s="186"/>
      <c r="B12" s="119">
        <f t="shared" si="0"/>
        <v>9</v>
      </c>
      <c r="C12" s="119" t="s">
        <v>36</v>
      </c>
      <c r="D12" s="119">
        <v>6</v>
      </c>
      <c r="E12" s="119"/>
      <c r="F12" s="119"/>
      <c r="G12">
        <v>0.25510001182556152</v>
      </c>
      <c r="H12">
        <v>9.3099996447563171E-2</v>
      </c>
      <c r="I12">
        <v>0.3612000048160553</v>
      </c>
      <c r="J12">
        <v>0.31760001182556152</v>
      </c>
      <c r="K12">
        <v>0.19040000438690191</v>
      </c>
      <c r="L12">
        <v>7.0799998939037323E-2</v>
      </c>
      <c r="M12">
        <v>0.1045000031590462</v>
      </c>
      <c r="N12">
        <v>0.1476999968290329</v>
      </c>
    </row>
    <row r="13" spans="1:14" ht="15" x14ac:dyDescent="0.25">
      <c r="A13" s="187"/>
      <c r="B13" s="187"/>
      <c r="C13" s="187"/>
      <c r="D13" s="187"/>
      <c r="E13" s="121" t="s">
        <v>117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40</v>
      </c>
      <c r="D14" s="119">
        <v>19.5</v>
      </c>
      <c r="E14" s="119"/>
      <c r="F14" s="119"/>
      <c r="G14">
        <v>3.1199999153614041E-2</v>
      </c>
      <c r="H14">
        <v>0.1308999955654144</v>
      </c>
      <c r="I14">
        <v>5.6000001728534698E-2</v>
      </c>
      <c r="J14">
        <v>1.7699999734759331E-2</v>
      </c>
      <c r="K14">
        <v>3.5900000482797623E-2</v>
      </c>
      <c r="L14">
        <v>0.25229999423027039</v>
      </c>
      <c r="M14">
        <v>4.8799999058246613E-2</v>
      </c>
      <c r="N14">
        <v>9.5899999141693115E-2</v>
      </c>
    </row>
    <row r="15" spans="1:14" ht="15" x14ac:dyDescent="0.25">
      <c r="A15" s="186"/>
      <c r="B15" s="119">
        <f t="shared" ref="B15:B22" si="1">B14+1</f>
        <v>11</v>
      </c>
      <c r="C15" s="119" t="s">
        <v>45</v>
      </c>
      <c r="D15" s="119">
        <v>7</v>
      </c>
      <c r="E15" s="119"/>
      <c r="F15" s="119"/>
      <c r="G15">
        <v>2.7400000020861629E-2</v>
      </c>
      <c r="H15">
        <v>0.13470000028610229</v>
      </c>
      <c r="I15">
        <v>3.9599999785423279E-2</v>
      </c>
      <c r="J15">
        <v>6.8999999202787876E-3</v>
      </c>
      <c r="K15">
        <v>7.0500001311302185E-2</v>
      </c>
      <c r="L15">
        <v>0.30899998545646667</v>
      </c>
      <c r="M15">
        <v>3.3900000154972083E-2</v>
      </c>
      <c r="N15">
        <v>8.0300003290176392E-2</v>
      </c>
    </row>
    <row r="16" spans="1:14" ht="15" x14ac:dyDescent="0.25">
      <c r="A16" s="186"/>
      <c r="B16" s="119">
        <f t="shared" si="1"/>
        <v>12</v>
      </c>
      <c r="C16" s="119" t="s">
        <v>170</v>
      </c>
      <c r="D16" s="119">
        <v>11</v>
      </c>
      <c r="E16" s="119"/>
      <c r="F16" s="129"/>
      <c r="G16">
        <v>4.8900000751018517E-2</v>
      </c>
      <c r="H16">
        <v>0.1133000031113625</v>
      </c>
      <c r="I16">
        <v>8.7300002574920654E-2</v>
      </c>
      <c r="J16">
        <v>4.5099999755620963E-2</v>
      </c>
      <c r="K16">
        <v>6.2600001692771912E-2</v>
      </c>
      <c r="L16">
        <v>0.19429999589920041</v>
      </c>
      <c r="M16">
        <v>5.4000001400709152E-2</v>
      </c>
      <c r="N16">
        <v>9.9299997091293335E-2</v>
      </c>
    </row>
    <row r="17" spans="1:14" ht="15" x14ac:dyDescent="0.25">
      <c r="A17" s="186"/>
      <c r="B17" s="119">
        <f t="shared" si="1"/>
        <v>13</v>
      </c>
      <c r="C17" s="119" t="s">
        <v>40</v>
      </c>
      <c r="D17" s="119">
        <v>19.5</v>
      </c>
      <c r="E17" s="119"/>
      <c r="F17" s="119"/>
      <c r="G17">
        <v>3.4200001507997513E-2</v>
      </c>
      <c r="H17">
        <v>0.12780000269412989</v>
      </c>
      <c r="I17">
        <v>6.6200003027915955E-2</v>
      </c>
      <c r="J17">
        <v>2.690000087022781E-2</v>
      </c>
      <c r="K17">
        <v>1.6699999570846561E-2</v>
      </c>
      <c r="L17">
        <v>0.25589999556541437</v>
      </c>
      <c r="M17">
        <v>5.3100001066923141E-2</v>
      </c>
      <c r="N17">
        <v>9.960000216960907E-2</v>
      </c>
    </row>
    <row r="18" spans="1:14" ht="15" x14ac:dyDescent="0.25">
      <c r="A18" s="186"/>
      <c r="B18" s="119">
        <f t="shared" si="1"/>
        <v>14</v>
      </c>
      <c r="C18" s="119" t="s">
        <v>94</v>
      </c>
      <c r="D18" s="119">
        <v>14.5</v>
      </c>
      <c r="E18" s="119"/>
      <c r="F18" s="119"/>
      <c r="G18">
        <v>7.4000000953674316E-2</v>
      </c>
      <c r="H18">
        <v>8.7999999523162842E-2</v>
      </c>
      <c r="I18">
        <v>8.7499998509883881E-2</v>
      </c>
      <c r="J18">
        <v>4.3699998408555978E-2</v>
      </c>
      <c r="K18">
        <v>3.4000001847743988E-2</v>
      </c>
      <c r="L18">
        <v>0.26589998602867132</v>
      </c>
      <c r="M18">
        <v>5.8699999004602432E-2</v>
      </c>
      <c r="N18">
        <v>0.1049999967217445</v>
      </c>
    </row>
    <row r="19" spans="1:14" ht="15" x14ac:dyDescent="0.25">
      <c r="A19" s="186"/>
      <c r="B19" s="119">
        <f t="shared" si="1"/>
        <v>15</v>
      </c>
      <c r="C19" s="119" t="s">
        <v>48</v>
      </c>
      <c r="D19" s="119">
        <v>1</v>
      </c>
      <c r="E19" s="119"/>
      <c r="F19" s="119"/>
      <c r="G19">
        <v>6.5200001001358032E-2</v>
      </c>
      <c r="H19">
        <v>9.6799999475479126E-2</v>
      </c>
      <c r="I19">
        <v>6.3400000333786011E-2</v>
      </c>
      <c r="J19">
        <v>2.0999999716877941E-2</v>
      </c>
      <c r="K19">
        <v>3.5999998450279243E-2</v>
      </c>
      <c r="L19">
        <v>0.25769999623298651</v>
      </c>
      <c r="M19">
        <v>4.6700000762939453E-2</v>
      </c>
      <c r="N19">
        <v>9.2100001871585846E-2</v>
      </c>
    </row>
    <row r="20" spans="1:14" ht="15" x14ac:dyDescent="0.25">
      <c r="A20" s="186"/>
      <c r="B20" s="119">
        <f t="shared" si="1"/>
        <v>16</v>
      </c>
      <c r="C20" s="119" t="s">
        <v>30</v>
      </c>
      <c r="D20" s="119">
        <v>7.5</v>
      </c>
      <c r="E20" s="119"/>
      <c r="F20" s="119"/>
      <c r="G20">
        <v>6.120000034570694E-2</v>
      </c>
      <c r="H20">
        <v>0.1009000018239021</v>
      </c>
      <c r="I20">
        <v>8.9699998497962952E-2</v>
      </c>
      <c r="J20">
        <v>4.6900000423192978E-2</v>
      </c>
      <c r="K20">
        <v>5.7199999690055847E-2</v>
      </c>
      <c r="L20">
        <v>0.21580000221729281</v>
      </c>
      <c r="M20">
        <v>8.7499998509883881E-2</v>
      </c>
      <c r="N20">
        <v>0.13470000028610229</v>
      </c>
    </row>
    <row r="21" spans="1:14" ht="15" x14ac:dyDescent="0.25">
      <c r="A21" s="186"/>
      <c r="B21" s="119">
        <f t="shared" si="1"/>
        <v>17</v>
      </c>
      <c r="C21" s="119" t="s">
        <v>76</v>
      </c>
      <c r="D21" s="119">
        <v>13</v>
      </c>
      <c r="E21" s="119"/>
      <c r="F21" s="119"/>
      <c r="G21">
        <v>5.0400000065565109E-2</v>
      </c>
      <c r="H21">
        <v>0.1116999983787537</v>
      </c>
      <c r="I21">
        <v>6.2700003385543823E-2</v>
      </c>
      <c r="J21">
        <v>1.940000057220459E-2</v>
      </c>
      <c r="K21">
        <v>6.1900001019239433E-2</v>
      </c>
      <c r="L21">
        <v>0.29679998755455023</v>
      </c>
      <c r="M21">
        <v>4.6700000762939453E-2</v>
      </c>
      <c r="N21">
        <v>9.3500003218650818E-2</v>
      </c>
    </row>
    <row r="22" spans="1:14" ht="15" x14ac:dyDescent="0.25">
      <c r="A22" s="186"/>
      <c r="B22" s="119">
        <f t="shared" si="1"/>
        <v>18</v>
      </c>
      <c r="C22" s="119" t="s">
        <v>38</v>
      </c>
      <c r="D22" s="119">
        <v>5.5</v>
      </c>
      <c r="E22" s="119"/>
      <c r="F22" s="119"/>
      <c r="G22">
        <v>4.050000011920929E-2</v>
      </c>
      <c r="H22">
        <v>0.12160000205039979</v>
      </c>
      <c r="I22">
        <v>4.6799998730421073E-2</v>
      </c>
      <c r="J22">
        <v>3.0000000260770321E-3</v>
      </c>
      <c r="K22">
        <v>2.8400000184774399E-2</v>
      </c>
      <c r="L22">
        <v>0.24269999563694</v>
      </c>
      <c r="M22">
        <v>4.14000004529953E-2</v>
      </c>
      <c r="N22">
        <v>8.8200002908706665E-2</v>
      </c>
    </row>
    <row r="23" spans="1:14" ht="15" x14ac:dyDescent="0.25">
      <c r="A23" s="187"/>
      <c r="B23" s="187"/>
      <c r="C23" s="187"/>
      <c r="D23" s="187"/>
      <c r="E23" s="121" t="s">
        <v>128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26</v>
      </c>
      <c r="D24" s="119">
        <v>11.5</v>
      </c>
      <c r="E24" s="119"/>
      <c r="F24" s="119"/>
      <c r="G24">
        <v>3.7700001150369637E-2</v>
      </c>
      <c r="H24">
        <v>0.1243000030517578</v>
      </c>
      <c r="I24">
        <v>4.8599999397993088E-2</v>
      </c>
      <c r="J24">
        <v>5.4999999701976776E-3</v>
      </c>
      <c r="K24">
        <v>2.3199999704957008E-2</v>
      </c>
      <c r="L24">
        <v>0.24009999632835391</v>
      </c>
      <c r="M24">
        <v>3.9200000464916229E-2</v>
      </c>
      <c r="N24">
        <v>8.6499996483325958E-2</v>
      </c>
    </row>
    <row r="25" spans="1:14" ht="15" x14ac:dyDescent="0.25">
      <c r="A25" s="186"/>
      <c r="B25" s="119">
        <f t="shared" ref="B25:B32" si="2">B24+1</f>
        <v>20</v>
      </c>
      <c r="C25" s="119" t="s">
        <v>30</v>
      </c>
      <c r="D25" s="119">
        <v>7</v>
      </c>
      <c r="E25" s="119"/>
      <c r="F25" s="119"/>
      <c r="G25">
        <v>1.2600000016391281E-2</v>
      </c>
      <c r="H25">
        <v>0.14939999580383301</v>
      </c>
      <c r="I25">
        <v>2.140000090003014E-2</v>
      </c>
      <c r="J25">
        <v>2.4199999868869781E-2</v>
      </c>
      <c r="K25">
        <v>1.9899999722838398E-2</v>
      </c>
      <c r="L25">
        <v>0.25150001049041748</v>
      </c>
      <c r="M25">
        <v>4.7499999403953552E-2</v>
      </c>
      <c r="N25">
        <v>9.4899997115135193E-2</v>
      </c>
    </row>
    <row r="26" spans="1:14" ht="15" x14ac:dyDescent="0.25">
      <c r="A26" s="186"/>
      <c r="B26" s="119">
        <f t="shared" si="2"/>
        <v>21</v>
      </c>
      <c r="C26" s="119" t="s">
        <v>24</v>
      </c>
      <c r="D26" s="119">
        <v>3</v>
      </c>
      <c r="E26" s="119"/>
      <c r="F26" s="119"/>
      <c r="G26">
        <v>1.9600000232458111E-2</v>
      </c>
      <c r="H26">
        <v>0.1425999999046326</v>
      </c>
      <c r="I26">
        <v>3.9299998432397842E-2</v>
      </c>
      <c r="J26">
        <v>1.200000010430813E-2</v>
      </c>
      <c r="K26">
        <v>5.8600001037120819E-2</v>
      </c>
      <c r="L26">
        <v>0.3140999972820282</v>
      </c>
      <c r="M26">
        <v>2.8799999505281448E-2</v>
      </c>
      <c r="N26">
        <v>7.6200000941753387E-2</v>
      </c>
    </row>
    <row r="27" spans="1:14" ht="15" x14ac:dyDescent="0.25">
      <c r="A27" s="186"/>
      <c r="B27" s="119">
        <f t="shared" si="2"/>
        <v>22</v>
      </c>
      <c r="C27" s="119" t="s">
        <v>32</v>
      </c>
      <c r="D27" s="119">
        <v>10.5</v>
      </c>
      <c r="E27" s="119"/>
      <c r="F27" s="119"/>
      <c r="G27">
        <v>1.679999940097332E-2</v>
      </c>
      <c r="H27">
        <v>0.14519999921321869</v>
      </c>
      <c r="I27">
        <v>5.0299998372793198E-2</v>
      </c>
      <c r="J27">
        <v>2.009999938309193E-2</v>
      </c>
      <c r="K27">
        <v>5.7199999690055847E-2</v>
      </c>
      <c r="L27">
        <v>0.20909999310970309</v>
      </c>
      <c r="M27">
        <v>7.6600000262260437E-2</v>
      </c>
      <c r="N27">
        <v>0.123599998652935</v>
      </c>
    </row>
    <row r="28" spans="1:14" ht="15" x14ac:dyDescent="0.25">
      <c r="A28" s="186"/>
      <c r="B28" s="119">
        <f t="shared" si="2"/>
        <v>23</v>
      </c>
      <c r="C28" s="119" t="s">
        <v>27</v>
      </c>
      <c r="D28" s="119">
        <v>11</v>
      </c>
      <c r="E28" s="119"/>
      <c r="F28" s="119"/>
      <c r="G28">
        <v>2.690000087022781E-2</v>
      </c>
      <c r="H28">
        <v>0.13539999723434451</v>
      </c>
      <c r="I28">
        <v>7.4299998581409454E-2</v>
      </c>
      <c r="J28">
        <v>3.6400001496076577E-2</v>
      </c>
      <c r="K28">
        <v>5.9399999678134918E-2</v>
      </c>
      <c r="L28">
        <v>0.20469999313354489</v>
      </c>
      <c r="M28">
        <v>5.1500000059604638E-2</v>
      </c>
      <c r="N28">
        <v>9.8700001835823059E-2</v>
      </c>
    </row>
    <row r="29" spans="1:14" ht="15" x14ac:dyDescent="0.25">
      <c r="A29" s="186"/>
      <c r="B29" s="119">
        <f t="shared" si="2"/>
        <v>24</v>
      </c>
      <c r="C29" s="119" t="s">
        <v>30</v>
      </c>
      <c r="D29" s="119">
        <v>8.5</v>
      </c>
      <c r="E29" s="119"/>
      <c r="F29" s="119"/>
      <c r="G29">
        <v>4.7100000083446503E-2</v>
      </c>
      <c r="H29">
        <v>0.11500000208616259</v>
      </c>
      <c r="I29">
        <v>8.2500003278255463E-2</v>
      </c>
      <c r="J29">
        <v>4.050000011920929E-2</v>
      </c>
      <c r="K29">
        <v>4.4599998742342002E-2</v>
      </c>
      <c r="L29">
        <v>0.2186000049114227</v>
      </c>
      <c r="M29">
        <v>6.4699999988079071E-2</v>
      </c>
      <c r="N29">
        <v>0.1112999990582466</v>
      </c>
    </row>
    <row r="30" spans="1:14" ht="15" x14ac:dyDescent="0.25">
      <c r="A30" s="186"/>
      <c r="B30" s="119">
        <f t="shared" si="2"/>
        <v>25</v>
      </c>
      <c r="C30" s="119" t="s">
        <v>31</v>
      </c>
      <c r="D30" s="119">
        <v>9.5</v>
      </c>
      <c r="E30" s="119"/>
      <c r="F30" s="119"/>
      <c r="G30">
        <v>1.5699999406933781E-2</v>
      </c>
      <c r="H30">
        <v>0.14659999310970309</v>
      </c>
      <c r="I30">
        <v>3.8300000131130219E-2</v>
      </c>
      <c r="J30">
        <v>1.4700000174343589E-2</v>
      </c>
      <c r="K30">
        <v>7.6399996876716614E-2</v>
      </c>
      <c r="L30">
        <v>0.20710000395774841</v>
      </c>
      <c r="M30">
        <v>4.960000142455101E-2</v>
      </c>
      <c r="N30">
        <v>9.6699997782707214E-2</v>
      </c>
    </row>
    <row r="31" spans="1:14" ht="15" x14ac:dyDescent="0.25">
      <c r="A31" s="186"/>
      <c r="B31" s="119">
        <f t="shared" si="2"/>
        <v>26</v>
      </c>
      <c r="C31" s="119" t="s">
        <v>54</v>
      </c>
      <c r="D31" s="119">
        <v>6.5</v>
      </c>
      <c r="E31" s="119"/>
      <c r="F31" s="119"/>
      <c r="G31">
        <v>4.2199999094009399E-2</v>
      </c>
      <c r="H31">
        <v>0.1198000013828278</v>
      </c>
      <c r="I31">
        <v>7.6499998569488525E-2</v>
      </c>
      <c r="J31">
        <v>3.5199999809265137E-2</v>
      </c>
      <c r="K31">
        <v>9.920000284910202E-2</v>
      </c>
      <c r="L31">
        <v>0.1835000067949295</v>
      </c>
      <c r="M31">
        <v>4.1600000113248832E-2</v>
      </c>
      <c r="N31">
        <v>8.7399996817111969E-2</v>
      </c>
    </row>
    <row r="32" spans="1:14" ht="15" x14ac:dyDescent="0.25">
      <c r="A32" s="186"/>
      <c r="B32" s="119">
        <f t="shared" si="2"/>
        <v>27</v>
      </c>
      <c r="C32" s="119" t="s">
        <v>64</v>
      </c>
      <c r="D32" s="119">
        <v>4</v>
      </c>
      <c r="E32" s="119"/>
      <c r="F32" s="119"/>
      <c r="G32">
        <v>7.2999998927116394E-2</v>
      </c>
      <c r="H32">
        <v>8.9100003242492676E-2</v>
      </c>
      <c r="I32">
        <v>0.1171000003814697</v>
      </c>
      <c r="J32">
        <v>7.4299998581409454E-2</v>
      </c>
      <c r="K32">
        <v>8.829999715089798E-2</v>
      </c>
      <c r="L32">
        <v>0.18389999866485601</v>
      </c>
      <c r="M32">
        <v>5.2799999713897712E-2</v>
      </c>
      <c r="N32">
        <v>9.8899997770786285E-2</v>
      </c>
    </row>
    <row r="33" spans="1:14" ht="15" x14ac:dyDescent="0.25">
      <c r="A33" s="187"/>
      <c r="B33" s="187"/>
      <c r="C33" s="187"/>
      <c r="D33" s="187"/>
      <c r="E33" s="121" t="s">
        <v>67</v>
      </c>
      <c r="F33" s="121" t="s">
        <v>175</v>
      </c>
    </row>
    <row r="34" spans="1:14" ht="15" x14ac:dyDescent="0.25">
      <c r="A34" s="186" t="s">
        <v>152</v>
      </c>
      <c r="B34" s="119">
        <f>B32+1</f>
        <v>28</v>
      </c>
      <c r="C34" s="119" t="s">
        <v>35</v>
      </c>
      <c r="D34" s="119">
        <v>5.5</v>
      </c>
      <c r="E34" s="119"/>
      <c r="F34" s="119"/>
      <c r="G34">
        <v>5.4200001060962677E-2</v>
      </c>
      <c r="H34">
        <v>0.1077999994158745</v>
      </c>
      <c r="I34">
        <v>7.7899999916553497E-2</v>
      </c>
      <c r="J34">
        <v>3.48999984562397E-2</v>
      </c>
      <c r="K34">
        <v>5.9200000017881393E-2</v>
      </c>
      <c r="L34">
        <v>0.20929999649524689</v>
      </c>
      <c r="M34">
        <v>7.5000002980232239E-2</v>
      </c>
      <c r="N34">
        <v>0.121399998664856</v>
      </c>
    </row>
    <row r="35" spans="1:14" ht="15" x14ac:dyDescent="0.25">
      <c r="A35" s="186"/>
      <c r="B35" s="119">
        <f t="shared" ref="B35:B42" si="3">B34+1</f>
        <v>29</v>
      </c>
      <c r="C35" s="119" t="s">
        <v>50</v>
      </c>
      <c r="D35" s="119">
        <v>9</v>
      </c>
      <c r="E35" s="119"/>
      <c r="F35" s="119"/>
      <c r="G35">
        <v>5.8499999344348907E-2</v>
      </c>
      <c r="H35">
        <v>0.1036999970674515</v>
      </c>
      <c r="I35">
        <v>8.449999988079071E-2</v>
      </c>
      <c r="J35">
        <v>4.179999977350235E-2</v>
      </c>
      <c r="K35">
        <v>8.449999988079071E-2</v>
      </c>
      <c r="L35">
        <v>0.19789999723434451</v>
      </c>
      <c r="M35">
        <v>8.2599997520446777E-2</v>
      </c>
      <c r="N35">
        <v>0.1289999932050705</v>
      </c>
    </row>
    <row r="36" spans="1:14" ht="15" x14ac:dyDescent="0.25">
      <c r="A36" s="186"/>
      <c r="B36" s="119">
        <f t="shared" si="3"/>
        <v>30</v>
      </c>
      <c r="C36" s="119" t="s">
        <v>17</v>
      </c>
      <c r="D36" s="119">
        <v>8.5</v>
      </c>
      <c r="E36" s="119"/>
      <c r="F36" s="119"/>
      <c r="G36">
        <v>7.2300001978874207E-2</v>
      </c>
      <c r="H36">
        <v>8.9800000190734863E-2</v>
      </c>
      <c r="I36">
        <v>0.12919999659061429</v>
      </c>
      <c r="J36">
        <v>8.7200000882148743E-2</v>
      </c>
      <c r="K36">
        <v>0.12380000203847891</v>
      </c>
      <c r="L36">
        <v>0.13650000095367429</v>
      </c>
      <c r="M36">
        <v>0.1074000000953674</v>
      </c>
      <c r="N36">
        <v>0.15369999408721921</v>
      </c>
    </row>
    <row r="37" spans="1:14" ht="15" x14ac:dyDescent="0.25">
      <c r="A37" s="186"/>
      <c r="B37" s="119">
        <f t="shared" si="3"/>
        <v>31</v>
      </c>
      <c r="C37" s="119" t="s">
        <v>70</v>
      </c>
      <c r="D37" s="119">
        <v>6.5</v>
      </c>
      <c r="E37" s="119"/>
      <c r="F37" s="119"/>
      <c r="G37">
        <v>3.6499999463558197E-2</v>
      </c>
      <c r="H37">
        <v>0.1255999952554703</v>
      </c>
      <c r="I37">
        <v>4.0899999439716339E-2</v>
      </c>
      <c r="J37">
        <v>3.5000001080334191E-3</v>
      </c>
      <c r="K37">
        <v>2.239999920129776E-2</v>
      </c>
      <c r="L37">
        <v>0.24019999802112579</v>
      </c>
      <c r="M37">
        <v>7.4299998581409454E-2</v>
      </c>
      <c r="N37">
        <v>0.1212000027298927</v>
      </c>
    </row>
    <row r="38" spans="1:14" ht="15" x14ac:dyDescent="0.25">
      <c r="A38" s="186"/>
      <c r="B38" s="119">
        <f t="shared" si="3"/>
        <v>32</v>
      </c>
      <c r="C38" s="119" t="s">
        <v>24</v>
      </c>
      <c r="D38" s="119">
        <v>7</v>
      </c>
      <c r="E38" s="119"/>
      <c r="F38" s="119"/>
      <c r="G38">
        <v>2.8899999335408211E-2</v>
      </c>
      <c r="H38">
        <v>0.1331000030040741</v>
      </c>
      <c r="I38">
        <v>3.4099999815225601E-2</v>
      </c>
      <c r="J38">
        <v>9.8000001162290573E-3</v>
      </c>
      <c r="K38">
        <v>2.1299999207258221E-2</v>
      </c>
      <c r="L38">
        <v>0.2460000067949295</v>
      </c>
      <c r="M38">
        <v>3.7200000137090683E-2</v>
      </c>
      <c r="N38">
        <v>8.3099998533725739E-2</v>
      </c>
    </row>
    <row r="39" spans="1:14" ht="15" x14ac:dyDescent="0.25">
      <c r="A39" s="186"/>
      <c r="B39" s="119">
        <f t="shared" si="3"/>
        <v>33</v>
      </c>
      <c r="C39" s="119" t="s">
        <v>45</v>
      </c>
      <c r="D39" s="119">
        <v>5</v>
      </c>
      <c r="E39" s="119"/>
      <c r="F39" s="119"/>
      <c r="G39">
        <v>5.8800000697374337E-2</v>
      </c>
      <c r="H39">
        <v>0.1032999977469444</v>
      </c>
      <c r="I39">
        <v>7.2999998927116394E-2</v>
      </c>
      <c r="J39">
        <v>2.9200000688433651E-2</v>
      </c>
      <c r="K39">
        <v>1.530000008642673E-2</v>
      </c>
      <c r="L39">
        <v>0.24169999361038211</v>
      </c>
      <c r="M39">
        <v>3.7700001150369637E-2</v>
      </c>
      <c r="N39">
        <v>8.4399998188018799E-2</v>
      </c>
    </row>
    <row r="40" spans="1:14" ht="15" x14ac:dyDescent="0.25">
      <c r="A40" s="186"/>
      <c r="B40" s="119">
        <f t="shared" si="3"/>
        <v>34</v>
      </c>
      <c r="C40" s="119" t="s">
        <v>63</v>
      </c>
      <c r="D40" s="119">
        <v>14.5</v>
      </c>
      <c r="E40" s="122"/>
      <c r="F40" s="122"/>
      <c r="G40">
        <v>5.5799998342990882E-2</v>
      </c>
      <c r="H40">
        <v>0.1062000021338463</v>
      </c>
      <c r="I40">
        <v>8.1699997186660767E-2</v>
      </c>
      <c r="J40">
        <v>3.880000114440918E-2</v>
      </c>
      <c r="K40">
        <v>9.2100001871585846E-2</v>
      </c>
      <c r="L40">
        <v>0.17550000548362729</v>
      </c>
      <c r="M40">
        <v>7.3399998247623444E-2</v>
      </c>
      <c r="N40">
        <v>0.1186000034213066</v>
      </c>
    </row>
    <row r="41" spans="1:14" ht="15" x14ac:dyDescent="0.25">
      <c r="A41" s="186"/>
      <c r="B41" s="119">
        <f t="shared" si="3"/>
        <v>35</v>
      </c>
      <c r="C41" s="119" t="s">
        <v>20</v>
      </c>
      <c r="D41" s="119">
        <v>4.5</v>
      </c>
      <c r="E41" s="122"/>
      <c r="F41" s="122"/>
      <c r="G41">
        <v>4.6500001102685928E-2</v>
      </c>
      <c r="H41">
        <v>0.1155000030994415</v>
      </c>
      <c r="I41">
        <v>5.3199999034404748E-2</v>
      </c>
      <c r="J41">
        <v>9.3999998643994331E-3</v>
      </c>
      <c r="K41">
        <v>1.200000010430813E-2</v>
      </c>
      <c r="L41">
        <v>0.25879999995231628</v>
      </c>
      <c r="M41">
        <v>5.6000001728534698E-2</v>
      </c>
      <c r="N41">
        <v>0.1032000035047531</v>
      </c>
    </row>
    <row r="42" spans="1:14" ht="15" x14ac:dyDescent="0.25">
      <c r="A42" s="186"/>
      <c r="B42" s="123">
        <f t="shared" si="3"/>
        <v>36</v>
      </c>
      <c r="C42" s="123" t="s">
        <v>24</v>
      </c>
      <c r="D42" s="123">
        <v>6.5</v>
      </c>
      <c r="E42" s="124"/>
      <c r="F42" s="124"/>
      <c r="G42">
        <v>1.040000002831221E-2</v>
      </c>
      <c r="H42">
        <v>0.1516000032424927</v>
      </c>
      <c r="I42">
        <v>1.810000091791153E-2</v>
      </c>
      <c r="J42">
        <v>2.730000019073486E-2</v>
      </c>
      <c r="K42">
        <v>4.1099999099969857E-2</v>
      </c>
      <c r="L42">
        <v>0.29440000653266912</v>
      </c>
      <c r="M42">
        <v>3.2000001519918442E-2</v>
      </c>
      <c r="N42">
        <v>7.9400002956390381E-2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148</v>
      </c>
      <c r="D4" s="119">
        <v>10</v>
      </c>
      <c r="E4" s="119" t="s">
        <v>318</v>
      </c>
      <c r="F4" s="119"/>
      <c r="G4">
        <v>4.3900001794099808E-2</v>
      </c>
      <c r="H4">
        <v>0.2058999985456467</v>
      </c>
      <c r="I4">
        <v>5.2400000393390662E-2</v>
      </c>
      <c r="J4">
        <v>9.6199996769428253E-2</v>
      </c>
      <c r="K4">
        <v>0.26769998669624329</v>
      </c>
      <c r="L4">
        <v>0.41990000009536738</v>
      </c>
      <c r="M4">
        <v>0.1037999987602234</v>
      </c>
      <c r="N4">
        <v>0.151199996471405</v>
      </c>
    </row>
    <row r="5" spans="1:14" ht="15" x14ac:dyDescent="0.25">
      <c r="A5" s="186"/>
      <c r="B5" s="119">
        <f t="shared" ref="B5:B12" si="0">B4+1</f>
        <v>2</v>
      </c>
      <c r="C5" s="120" t="s">
        <v>76</v>
      </c>
      <c r="D5" s="119">
        <v>11</v>
      </c>
      <c r="E5" s="119"/>
      <c r="F5" s="119"/>
      <c r="G5">
        <v>0.11379999667406079</v>
      </c>
      <c r="H5">
        <v>4.830000177025795E-2</v>
      </c>
      <c r="I5">
        <v>0.12649999558925629</v>
      </c>
      <c r="J5">
        <v>8.2900002598762512E-2</v>
      </c>
      <c r="K5">
        <v>0.27279999852180481</v>
      </c>
      <c r="L5">
        <v>0.40230000019073492</v>
      </c>
      <c r="M5">
        <v>9.8200000822544098E-2</v>
      </c>
      <c r="N5">
        <v>0.1455000042915344</v>
      </c>
    </row>
    <row r="6" spans="1:14" ht="15" x14ac:dyDescent="0.25">
      <c r="A6" s="186"/>
      <c r="B6" s="119">
        <f t="shared" si="0"/>
        <v>3</v>
      </c>
      <c r="C6" s="119" t="s">
        <v>20</v>
      </c>
      <c r="D6" s="119">
        <v>2.5</v>
      </c>
      <c r="E6" s="119"/>
      <c r="F6" s="119"/>
      <c r="G6">
        <v>0.1076000034809113</v>
      </c>
      <c r="H6">
        <v>5.4499998688697808E-2</v>
      </c>
      <c r="I6">
        <v>0.12829999625682831</v>
      </c>
      <c r="J6">
        <v>8.4399998188018799E-2</v>
      </c>
      <c r="K6">
        <v>0.26640000939369202</v>
      </c>
      <c r="L6">
        <v>0.39059999585151672</v>
      </c>
      <c r="M6">
        <v>0.11370000243186951</v>
      </c>
      <c r="N6">
        <v>0.1606999933719635</v>
      </c>
    </row>
    <row r="7" spans="1:14" ht="15" x14ac:dyDescent="0.25">
      <c r="A7" s="186"/>
      <c r="B7" s="119">
        <f t="shared" si="0"/>
        <v>4</v>
      </c>
      <c r="C7" s="119" t="s">
        <v>34</v>
      </c>
      <c r="D7" s="119">
        <v>12.5</v>
      </c>
      <c r="E7" s="119"/>
      <c r="F7" s="119"/>
      <c r="G7">
        <v>0.1758999973535538</v>
      </c>
      <c r="H7">
        <v>1.510000042617321E-2</v>
      </c>
      <c r="I7">
        <v>0.2088000029325485</v>
      </c>
      <c r="J7">
        <v>0.16509999334812159</v>
      </c>
      <c r="K7">
        <v>0.25920000672340388</v>
      </c>
      <c r="L7">
        <v>0.40279999375343323</v>
      </c>
      <c r="M7">
        <v>8.2500003278255463E-2</v>
      </c>
      <c r="N7">
        <v>0.12839999794960019</v>
      </c>
    </row>
    <row r="8" spans="1:14" ht="15" x14ac:dyDescent="0.25">
      <c r="A8" s="186"/>
      <c r="B8" s="119">
        <f t="shared" si="0"/>
        <v>5</v>
      </c>
      <c r="C8" s="119" t="s">
        <v>62</v>
      </c>
      <c r="D8" s="119">
        <v>6</v>
      </c>
      <c r="E8" s="119"/>
      <c r="F8" s="119"/>
      <c r="G8">
        <v>0.13179999589920041</v>
      </c>
      <c r="H8">
        <v>3.0400000512599949E-2</v>
      </c>
      <c r="I8">
        <v>0.16519999504089361</v>
      </c>
      <c r="J8">
        <v>0.121399998664856</v>
      </c>
      <c r="K8">
        <v>0.26640000939369202</v>
      </c>
      <c r="L8">
        <v>0.39280000329017639</v>
      </c>
      <c r="M8">
        <v>0.1040999963879585</v>
      </c>
      <c r="N8">
        <v>0.15109999477863309</v>
      </c>
    </row>
    <row r="9" spans="1:14" ht="15" x14ac:dyDescent="0.25">
      <c r="A9" s="186"/>
      <c r="B9" s="119">
        <f t="shared" si="0"/>
        <v>6</v>
      </c>
      <c r="C9" s="119" t="s">
        <v>17</v>
      </c>
      <c r="D9" s="119">
        <v>5.5</v>
      </c>
      <c r="E9" s="119"/>
      <c r="F9" s="119"/>
      <c r="G9">
        <v>0.17659999430179599</v>
      </c>
      <c r="H9">
        <v>1.499999966472387E-2</v>
      </c>
      <c r="I9">
        <v>0.21500000357627869</v>
      </c>
      <c r="J9">
        <v>0.17120000720024109</v>
      </c>
      <c r="K9">
        <v>0.26309999823570251</v>
      </c>
      <c r="L9">
        <v>0.40189999341964722</v>
      </c>
      <c r="M9">
        <v>8.9500002562999725E-2</v>
      </c>
      <c r="N9">
        <v>0.13670000433921811</v>
      </c>
    </row>
    <row r="10" spans="1:14" ht="15" x14ac:dyDescent="0.25">
      <c r="A10" s="186"/>
      <c r="B10" s="119">
        <f t="shared" si="0"/>
        <v>7</v>
      </c>
      <c r="C10" s="119" t="s">
        <v>115</v>
      </c>
      <c r="D10" s="119">
        <v>0</v>
      </c>
      <c r="E10" s="119"/>
      <c r="F10" s="119"/>
      <c r="G10">
        <v>0.16099999845027921</v>
      </c>
      <c r="H10">
        <v>2.600000007078052E-3</v>
      </c>
      <c r="I10">
        <v>0.17870000004768369</v>
      </c>
      <c r="J10">
        <v>0.135000005364418</v>
      </c>
      <c r="K10">
        <v>0.26980000734329218</v>
      </c>
      <c r="L10">
        <v>0.39050000905990601</v>
      </c>
      <c r="M10">
        <v>0.1121999993920326</v>
      </c>
      <c r="N10">
        <v>0.1577000021934509</v>
      </c>
    </row>
    <row r="11" spans="1:14" ht="15" x14ac:dyDescent="0.25">
      <c r="A11" s="186"/>
      <c r="B11" s="119">
        <f t="shared" si="0"/>
        <v>8</v>
      </c>
      <c r="C11" s="119" t="s">
        <v>38</v>
      </c>
      <c r="D11" s="119">
        <v>6.5</v>
      </c>
      <c r="E11" s="119"/>
      <c r="F11" s="119"/>
      <c r="G11">
        <v>0.1590999960899353</v>
      </c>
      <c r="H11">
        <v>3.199999919161201E-3</v>
      </c>
      <c r="I11">
        <v>0.17949999868869779</v>
      </c>
      <c r="J11">
        <v>0.1358000040054321</v>
      </c>
      <c r="K11">
        <v>0.26739999651908869</v>
      </c>
      <c r="L11">
        <v>0.38490000367164612</v>
      </c>
      <c r="M11">
        <v>0.1263999938964844</v>
      </c>
      <c r="N11">
        <v>0.17219999432563779</v>
      </c>
    </row>
    <row r="12" spans="1:14" ht="15" x14ac:dyDescent="0.25">
      <c r="A12" s="186"/>
      <c r="B12" s="119">
        <f t="shared" si="0"/>
        <v>9</v>
      </c>
      <c r="C12" s="119" t="s">
        <v>38</v>
      </c>
      <c r="D12" s="119">
        <v>6</v>
      </c>
      <c r="E12" s="119"/>
      <c r="F12" s="119"/>
      <c r="G12">
        <v>0.21760000288486481</v>
      </c>
      <c r="H12">
        <v>5.559999868273735E-2</v>
      </c>
      <c r="I12">
        <v>0.23720000684261319</v>
      </c>
      <c r="J12">
        <v>0.19359999895095831</v>
      </c>
      <c r="K12">
        <v>0.25870001316070562</v>
      </c>
      <c r="L12">
        <v>0.38539999723434448</v>
      </c>
      <c r="M12">
        <v>0.10920000076293949</v>
      </c>
      <c r="N12">
        <v>0.1550000011920929</v>
      </c>
    </row>
    <row r="13" spans="1:14" ht="15" x14ac:dyDescent="0.25">
      <c r="A13" s="187"/>
      <c r="B13" s="187"/>
      <c r="C13" s="187"/>
      <c r="D13" s="187"/>
      <c r="E13" s="121" t="s">
        <v>84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23</v>
      </c>
      <c r="D14" s="119">
        <v>20</v>
      </c>
      <c r="E14" s="119"/>
      <c r="F14" s="119"/>
      <c r="G14">
        <v>4.2500000447034843E-2</v>
      </c>
      <c r="H14">
        <v>0.11959999799728389</v>
      </c>
      <c r="I14">
        <v>5.5199999362230301E-2</v>
      </c>
      <c r="J14">
        <v>1.18000004440546E-2</v>
      </c>
      <c r="K14">
        <v>0.23929999768733981</v>
      </c>
      <c r="L14">
        <v>0.43369999527931208</v>
      </c>
      <c r="M14">
        <v>1.640000008046627E-2</v>
      </c>
      <c r="N14">
        <v>4.3200001120567322E-2</v>
      </c>
    </row>
    <row r="15" spans="1:14" ht="15" x14ac:dyDescent="0.25">
      <c r="A15" s="186"/>
      <c r="B15" s="119">
        <f t="shared" ref="B15:B22" si="1">B14+1</f>
        <v>11</v>
      </c>
      <c r="C15" s="119" t="s">
        <v>14</v>
      </c>
      <c r="D15" s="119">
        <v>20.5</v>
      </c>
      <c r="E15" s="119"/>
      <c r="F15" s="119"/>
      <c r="G15">
        <v>3.9599999785423279E-2</v>
      </c>
      <c r="H15">
        <v>0.12240000069141389</v>
      </c>
      <c r="I15">
        <v>5.3700000047683723E-2</v>
      </c>
      <c r="J15">
        <v>1.099999994039536E-2</v>
      </c>
      <c r="K15">
        <v>0.19879999756813049</v>
      </c>
      <c r="L15">
        <v>0.39559999108314509</v>
      </c>
      <c r="M15">
        <v>8.7000001221895218E-3</v>
      </c>
      <c r="N15">
        <v>5.4800000041723251E-2</v>
      </c>
    </row>
    <row r="16" spans="1:14" ht="15" x14ac:dyDescent="0.25">
      <c r="A16" s="186"/>
      <c r="B16" s="119">
        <f t="shared" si="1"/>
        <v>12</v>
      </c>
      <c r="C16" s="119" t="s">
        <v>25</v>
      </c>
      <c r="D16" s="119">
        <v>11.5</v>
      </c>
      <c r="E16" s="119"/>
      <c r="F16" s="129"/>
      <c r="G16">
        <v>0.10570000112056729</v>
      </c>
      <c r="H16">
        <v>5.6400001049041748E-2</v>
      </c>
      <c r="I16">
        <v>0.1168999969959259</v>
      </c>
      <c r="J16">
        <v>7.3200002312660217E-2</v>
      </c>
      <c r="K16">
        <v>0.19079999625682831</v>
      </c>
      <c r="L16">
        <v>0.37760001420974731</v>
      </c>
      <c r="M16">
        <v>9.4999996945261955E-3</v>
      </c>
      <c r="N16">
        <v>5.6499999016523361E-2</v>
      </c>
    </row>
    <row r="17" spans="1:14" ht="15" x14ac:dyDescent="0.25">
      <c r="A17" s="186"/>
      <c r="B17" s="119">
        <f t="shared" si="1"/>
        <v>13</v>
      </c>
      <c r="C17" s="119" t="s">
        <v>62</v>
      </c>
      <c r="D17" s="119">
        <v>8.5</v>
      </c>
      <c r="E17" s="119"/>
      <c r="F17" s="119"/>
      <c r="G17">
        <v>3.2000001519918442E-2</v>
      </c>
      <c r="H17">
        <v>0.12999999523162839</v>
      </c>
      <c r="I17">
        <v>3.1099999323487278E-2</v>
      </c>
      <c r="J17">
        <v>1.379999984055758E-2</v>
      </c>
      <c r="K17">
        <v>0.18299999833106989</v>
      </c>
      <c r="L17">
        <v>0.38659998774528498</v>
      </c>
      <c r="M17">
        <v>1.4700000174343589E-2</v>
      </c>
      <c r="N17">
        <v>3.2999999821186073E-2</v>
      </c>
    </row>
    <row r="18" spans="1:14" ht="15" x14ac:dyDescent="0.25">
      <c r="A18" s="186"/>
      <c r="B18" s="119">
        <f t="shared" si="1"/>
        <v>14</v>
      </c>
      <c r="C18" s="119" t="s">
        <v>34</v>
      </c>
      <c r="D18" s="119">
        <v>12.5</v>
      </c>
      <c r="E18" s="119"/>
      <c r="F18" s="119"/>
      <c r="G18">
        <v>4.3999999761581421E-2</v>
      </c>
      <c r="H18">
        <v>0.1180000007152557</v>
      </c>
      <c r="I18">
        <v>4.9199998378753662E-2</v>
      </c>
      <c r="J18">
        <v>5.7999999262392521E-3</v>
      </c>
      <c r="K18">
        <v>0.20299999415874481</v>
      </c>
      <c r="L18">
        <v>0.41049998998641968</v>
      </c>
      <c r="M18">
        <v>9.7000002861022949E-3</v>
      </c>
      <c r="N18">
        <v>5.7100001722574227E-2</v>
      </c>
    </row>
    <row r="19" spans="1:14" ht="15" x14ac:dyDescent="0.25">
      <c r="A19" s="186"/>
      <c r="B19" s="119">
        <f t="shared" si="1"/>
        <v>15</v>
      </c>
      <c r="C19" s="119" t="s">
        <v>59</v>
      </c>
      <c r="D19" s="119">
        <v>12</v>
      </c>
      <c r="E19" s="119"/>
      <c r="F19" s="119"/>
      <c r="G19">
        <v>3.8199998438358307E-2</v>
      </c>
      <c r="H19">
        <v>0.12380000203847891</v>
      </c>
      <c r="I19">
        <v>3.5500001162290573E-2</v>
      </c>
      <c r="J19">
        <v>1.070000045001507E-2</v>
      </c>
      <c r="K19">
        <v>0.1397999972105026</v>
      </c>
      <c r="L19">
        <v>0.3296000063419342</v>
      </c>
      <c r="M19">
        <v>1.1099999770522119E-2</v>
      </c>
      <c r="N19">
        <v>5.7399999350309372E-2</v>
      </c>
    </row>
    <row r="20" spans="1:14" ht="15" x14ac:dyDescent="0.25">
      <c r="A20" s="186"/>
      <c r="B20" s="119">
        <f t="shared" si="1"/>
        <v>16</v>
      </c>
      <c r="C20" s="119" t="s">
        <v>25</v>
      </c>
      <c r="D20" s="119">
        <v>15</v>
      </c>
      <c r="E20" s="119"/>
      <c r="F20" s="119"/>
      <c r="G20">
        <v>2.700000070035458E-2</v>
      </c>
      <c r="H20">
        <v>0.135000005364418</v>
      </c>
      <c r="I20">
        <v>2.7799999341368679E-2</v>
      </c>
      <c r="J20">
        <v>1.6300000250339512E-2</v>
      </c>
      <c r="K20">
        <v>0.2117999941110611</v>
      </c>
      <c r="L20">
        <v>0.40900000929832458</v>
      </c>
      <c r="M20">
        <v>1.020000036805868E-2</v>
      </c>
      <c r="N20">
        <v>5.7500001043081277E-2</v>
      </c>
    </row>
    <row r="21" spans="1:14" ht="15" x14ac:dyDescent="0.25">
      <c r="A21" s="186"/>
      <c r="B21" s="119">
        <f t="shared" si="1"/>
        <v>17</v>
      </c>
      <c r="C21" s="119" t="s">
        <v>59</v>
      </c>
      <c r="D21" s="119">
        <v>13</v>
      </c>
      <c r="E21" s="119"/>
      <c r="F21" s="119"/>
      <c r="G21">
        <v>3.9299998432397842E-2</v>
      </c>
      <c r="H21">
        <v>0.122699998319149</v>
      </c>
      <c r="I21">
        <v>3.8699999451637268E-2</v>
      </c>
      <c r="J21">
        <v>7.0000002160668373E-3</v>
      </c>
      <c r="K21">
        <v>0.19769999384880069</v>
      </c>
      <c r="L21">
        <v>0.40149998664855963</v>
      </c>
      <c r="M21">
        <v>6.5000001341104507E-3</v>
      </c>
      <c r="N21">
        <v>4.8000000417232513E-2</v>
      </c>
    </row>
    <row r="22" spans="1:14" ht="15" x14ac:dyDescent="0.25">
      <c r="A22" s="186"/>
      <c r="B22" s="119">
        <f t="shared" si="1"/>
        <v>18</v>
      </c>
      <c r="C22" s="119" t="s">
        <v>176</v>
      </c>
      <c r="D22" s="119">
        <v>16.5</v>
      </c>
      <c r="E22" s="119"/>
      <c r="F22" s="119"/>
      <c r="G22">
        <v>7.0500001311302185E-2</v>
      </c>
      <c r="H22">
        <v>9.1600000858306885E-2</v>
      </c>
      <c r="I22">
        <v>7.1900002658367157E-2</v>
      </c>
      <c r="J22">
        <v>2.899999916553497E-2</v>
      </c>
      <c r="K22">
        <v>0.2035000026226044</v>
      </c>
      <c r="L22">
        <v>0.41589999198913569</v>
      </c>
      <c r="M22">
        <v>3.2099999487400048E-2</v>
      </c>
      <c r="N22">
        <v>1.9799999892711639E-2</v>
      </c>
    </row>
    <row r="23" spans="1:14" ht="15" x14ac:dyDescent="0.25">
      <c r="A23" s="187"/>
      <c r="B23" s="187"/>
      <c r="C23" s="187"/>
      <c r="D23" s="187"/>
      <c r="E23" s="121" t="s">
        <v>150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25</v>
      </c>
      <c r="D24" s="119">
        <v>15.5</v>
      </c>
      <c r="E24" s="119"/>
      <c r="F24" s="119"/>
      <c r="G24">
        <v>3.4299999475479133E-2</v>
      </c>
      <c r="H24">
        <v>0.127700001001358</v>
      </c>
      <c r="I24">
        <v>3.6899998784065247E-2</v>
      </c>
      <c r="J24">
        <v>7.0000002160668373E-3</v>
      </c>
      <c r="K24">
        <v>0.2188999950885773</v>
      </c>
      <c r="L24">
        <v>0.4124000072479248</v>
      </c>
      <c r="M24">
        <v>2.3099999874830249E-2</v>
      </c>
      <c r="N24">
        <v>3.5799998790025711E-2</v>
      </c>
    </row>
    <row r="25" spans="1:14" ht="15" x14ac:dyDescent="0.25">
      <c r="A25" s="186"/>
      <c r="B25" s="119">
        <f t="shared" ref="B25:B32" si="2">B24+1</f>
        <v>20</v>
      </c>
      <c r="C25" s="119" t="s">
        <v>148</v>
      </c>
      <c r="D25" s="119">
        <v>10</v>
      </c>
      <c r="E25" s="119"/>
      <c r="F25" s="119"/>
      <c r="G25">
        <v>5.2499998360872269E-2</v>
      </c>
      <c r="H25">
        <v>0.1094999983906746</v>
      </c>
      <c r="I25">
        <v>6.3699997961521149E-2</v>
      </c>
      <c r="J25">
        <v>1.9799999892711639E-2</v>
      </c>
      <c r="K25">
        <v>0.17499999701976779</v>
      </c>
      <c r="L25">
        <v>0.37200000882148743</v>
      </c>
      <c r="M25">
        <v>5.260000005364418E-2</v>
      </c>
      <c r="N25">
        <v>3.5199999809265137E-2</v>
      </c>
    </row>
    <row r="26" spans="1:14" ht="15" x14ac:dyDescent="0.25">
      <c r="A26" s="186"/>
      <c r="B26" s="119">
        <f t="shared" si="2"/>
        <v>21</v>
      </c>
      <c r="C26" s="119" t="s">
        <v>18</v>
      </c>
      <c r="D26" s="119">
        <v>15</v>
      </c>
      <c r="E26" s="119"/>
      <c r="F26" s="119"/>
      <c r="G26">
        <v>2.1900000050663952E-2</v>
      </c>
      <c r="H26">
        <v>0.14010000228881839</v>
      </c>
      <c r="I26">
        <v>3.5900000482797623E-2</v>
      </c>
      <c r="J26">
        <v>1.200000010430813E-2</v>
      </c>
      <c r="K26">
        <v>0.15739999711513519</v>
      </c>
      <c r="L26">
        <v>0.34850001335144037</v>
      </c>
      <c r="M26">
        <v>5.1899999380111687E-2</v>
      </c>
      <c r="N26">
        <v>3.7799999117851257E-2</v>
      </c>
    </row>
    <row r="27" spans="1:14" ht="15" x14ac:dyDescent="0.25">
      <c r="A27" s="186"/>
      <c r="B27" s="119">
        <f t="shared" si="2"/>
        <v>22</v>
      </c>
      <c r="C27" s="119" t="s">
        <v>14</v>
      </c>
      <c r="D27" s="119">
        <v>27.5</v>
      </c>
      <c r="E27" s="119"/>
      <c r="F27" s="119"/>
      <c r="G27">
        <v>3.2200001180171967E-2</v>
      </c>
      <c r="H27">
        <v>0.12980000674724579</v>
      </c>
      <c r="I27">
        <v>3.2499998807907098E-2</v>
      </c>
      <c r="J27">
        <v>1.18000004440546E-2</v>
      </c>
      <c r="K27">
        <v>0.1840000003576279</v>
      </c>
      <c r="L27">
        <v>0.38159999251365662</v>
      </c>
      <c r="M27">
        <v>1.9500000402331349E-2</v>
      </c>
      <c r="N27">
        <v>2.9500000178813931E-2</v>
      </c>
    </row>
    <row r="28" spans="1:14" ht="15" x14ac:dyDescent="0.25">
      <c r="A28" s="186"/>
      <c r="B28" s="119">
        <f t="shared" si="2"/>
        <v>23</v>
      </c>
      <c r="C28" s="119" t="s">
        <v>87</v>
      </c>
      <c r="D28" s="119">
        <v>16.5</v>
      </c>
      <c r="E28" s="119"/>
      <c r="F28" s="119"/>
      <c r="G28">
        <v>4.2199999094009399E-2</v>
      </c>
      <c r="H28">
        <v>0.1198000013828278</v>
      </c>
      <c r="I28">
        <v>4.4900000095367432E-2</v>
      </c>
      <c r="J28">
        <v>3.299999982118607E-3</v>
      </c>
      <c r="K28">
        <v>0.15000000596046451</v>
      </c>
      <c r="L28">
        <v>0.33259999752044678</v>
      </c>
      <c r="M28">
        <v>6.8000000901520252E-3</v>
      </c>
      <c r="N28">
        <v>4.0699999779462807E-2</v>
      </c>
    </row>
    <row r="29" spans="1:14" ht="15" x14ac:dyDescent="0.25">
      <c r="A29" s="186"/>
      <c r="B29" s="119">
        <f t="shared" si="2"/>
        <v>24</v>
      </c>
      <c r="C29" s="119" t="s">
        <v>69</v>
      </c>
      <c r="D29" s="119">
        <v>14.5</v>
      </c>
      <c r="E29" s="119"/>
      <c r="F29" s="119"/>
      <c r="G29">
        <v>7.0399999618530273E-2</v>
      </c>
      <c r="H29">
        <v>9.1600000858306885E-2</v>
      </c>
      <c r="I29">
        <v>7.9000003635883331E-2</v>
      </c>
      <c r="J29">
        <v>3.5300001502037048E-2</v>
      </c>
      <c r="K29">
        <v>0.15350000560283661</v>
      </c>
      <c r="L29">
        <v>0.36309999227523798</v>
      </c>
      <c r="M29">
        <v>9.6000004559755325E-3</v>
      </c>
      <c r="N29">
        <v>3.7900000810623169E-2</v>
      </c>
    </row>
    <row r="30" spans="1:14" ht="15" x14ac:dyDescent="0.25">
      <c r="A30" s="186"/>
      <c r="B30" s="119">
        <f t="shared" si="2"/>
        <v>25</v>
      </c>
      <c r="C30" s="119" t="s">
        <v>65</v>
      </c>
      <c r="D30" s="119">
        <v>10</v>
      </c>
      <c r="E30" s="119"/>
      <c r="F30" s="119"/>
      <c r="G30">
        <v>4.5299999415874481E-2</v>
      </c>
      <c r="H30">
        <v>0.1168000027537346</v>
      </c>
      <c r="I30">
        <v>4.3999999761581421E-2</v>
      </c>
      <c r="J30">
        <v>3.7000000011175871E-3</v>
      </c>
      <c r="K30">
        <v>0.13650000095367429</v>
      </c>
      <c r="L30">
        <v>0.32539999485015869</v>
      </c>
      <c r="M30">
        <v>1.510000042617321E-2</v>
      </c>
      <c r="N30">
        <v>5.8299999684095383E-2</v>
      </c>
    </row>
    <row r="31" spans="1:14" ht="15" x14ac:dyDescent="0.25">
      <c r="A31" s="186"/>
      <c r="B31" s="119">
        <f t="shared" si="2"/>
        <v>26</v>
      </c>
      <c r="C31" s="119" t="s">
        <v>96</v>
      </c>
      <c r="D31" s="119">
        <v>10</v>
      </c>
      <c r="E31" s="119"/>
      <c r="F31" s="119"/>
      <c r="G31">
        <v>6.7900002002716064E-2</v>
      </c>
      <c r="H31">
        <v>9.4200000166893005E-2</v>
      </c>
      <c r="I31">
        <v>7.2800002992153168E-2</v>
      </c>
      <c r="J31">
        <v>2.96000000089407E-2</v>
      </c>
      <c r="K31">
        <v>0.15469999611377719</v>
      </c>
      <c r="L31">
        <v>0.33469998836517328</v>
      </c>
      <c r="M31">
        <v>1.9799999892711639E-2</v>
      </c>
      <c r="N31">
        <v>6.7100003361701965E-2</v>
      </c>
    </row>
    <row r="32" spans="1:14" ht="15" x14ac:dyDescent="0.25">
      <c r="A32" s="186"/>
      <c r="B32" s="119">
        <f t="shared" si="2"/>
        <v>27</v>
      </c>
      <c r="C32" s="119" t="s">
        <v>24</v>
      </c>
      <c r="D32" s="119">
        <v>9</v>
      </c>
      <c r="E32" s="119"/>
      <c r="F32" s="119"/>
      <c r="G32">
        <v>9.8800003528594971E-2</v>
      </c>
      <c r="H32">
        <v>6.3299998641014099E-2</v>
      </c>
      <c r="I32">
        <v>0.1080000028014183</v>
      </c>
      <c r="J32">
        <v>6.4400002360343933E-2</v>
      </c>
      <c r="K32">
        <v>0.16809999942779541</v>
      </c>
      <c r="L32">
        <v>0.36100000143051147</v>
      </c>
      <c r="M32">
        <v>9.100000374019146E-3</v>
      </c>
      <c r="N32">
        <v>4.7699999064207077E-2</v>
      </c>
    </row>
    <row r="33" spans="1:14" ht="15" x14ac:dyDescent="0.25">
      <c r="A33" s="187"/>
      <c r="B33" s="187"/>
      <c r="C33" s="187"/>
      <c r="D33" s="187"/>
      <c r="E33" s="121" t="s">
        <v>150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100</v>
      </c>
      <c r="D34" s="119">
        <v>17</v>
      </c>
      <c r="E34" s="119"/>
      <c r="F34" s="119"/>
      <c r="G34">
        <v>6.5399996936321259E-2</v>
      </c>
      <c r="H34">
        <v>9.66000035405159E-2</v>
      </c>
      <c r="I34">
        <v>7.4699997901916504E-2</v>
      </c>
      <c r="J34">
        <v>3.089999966323376E-2</v>
      </c>
      <c r="K34">
        <v>0.23170000314712519</v>
      </c>
      <c r="L34">
        <v>0.42789998650550842</v>
      </c>
      <c r="M34">
        <v>2.2199999541044239E-2</v>
      </c>
      <c r="N34">
        <v>3.5000000149011612E-2</v>
      </c>
    </row>
    <row r="35" spans="1:14" ht="15" x14ac:dyDescent="0.25">
      <c r="A35" s="186"/>
      <c r="B35" s="119">
        <f t="shared" ref="B35:B42" si="3">B34+1</f>
        <v>29</v>
      </c>
      <c r="C35" s="119" t="s">
        <v>172</v>
      </c>
      <c r="D35" s="119">
        <v>16.5</v>
      </c>
      <c r="E35" s="119"/>
      <c r="F35" s="119"/>
      <c r="G35">
        <v>2.2199999541044239E-2</v>
      </c>
      <c r="H35">
        <v>0.1397999972105026</v>
      </c>
      <c r="I35">
        <v>2.4800000712275509E-2</v>
      </c>
      <c r="J35">
        <v>1.909999921917915E-2</v>
      </c>
      <c r="K35">
        <v>0.17739999294281009</v>
      </c>
      <c r="L35">
        <v>0.36309999227523798</v>
      </c>
      <c r="M35">
        <v>4.1499998420476913E-2</v>
      </c>
      <c r="N35">
        <v>2.8200000524520871E-2</v>
      </c>
    </row>
    <row r="36" spans="1:14" ht="15" x14ac:dyDescent="0.25">
      <c r="A36" s="186"/>
      <c r="B36" s="119">
        <f t="shared" si="3"/>
        <v>30</v>
      </c>
      <c r="C36" s="119" t="s">
        <v>70</v>
      </c>
      <c r="D36" s="119">
        <v>5.5</v>
      </c>
      <c r="E36" s="119"/>
      <c r="F36" s="119"/>
      <c r="G36">
        <v>1.970000006258488E-2</v>
      </c>
      <c r="H36">
        <v>0.14239999651908869</v>
      </c>
      <c r="I36">
        <v>3.8499999791383743E-2</v>
      </c>
      <c r="J36">
        <v>1.310000009834766E-2</v>
      </c>
      <c r="K36">
        <v>0.153999999165535</v>
      </c>
      <c r="L36">
        <v>0.34909999370574951</v>
      </c>
      <c r="M36">
        <v>2.3299999535083771E-2</v>
      </c>
      <c r="N36">
        <v>3.6400001496076577E-2</v>
      </c>
    </row>
    <row r="37" spans="1:14" ht="15" x14ac:dyDescent="0.25">
      <c r="A37" s="186"/>
      <c r="B37" s="119">
        <f t="shared" si="3"/>
        <v>31</v>
      </c>
      <c r="C37" s="119" t="s">
        <v>45</v>
      </c>
      <c r="D37" s="119">
        <v>9.5</v>
      </c>
      <c r="E37" s="119"/>
      <c r="F37" s="119"/>
      <c r="G37">
        <v>2.6200000196695331E-2</v>
      </c>
      <c r="H37">
        <v>0.13590000569820401</v>
      </c>
      <c r="I37">
        <v>3.4000001847743988E-2</v>
      </c>
      <c r="J37">
        <v>1.0900000110268589E-2</v>
      </c>
      <c r="K37">
        <v>0.15099999308586121</v>
      </c>
      <c r="L37">
        <v>0.34209999442100519</v>
      </c>
      <c r="M37">
        <v>1.900000032037497E-3</v>
      </c>
      <c r="N37">
        <v>4.6799998730421073E-2</v>
      </c>
    </row>
    <row r="38" spans="1:14" ht="15" x14ac:dyDescent="0.25">
      <c r="A38" s="186"/>
      <c r="B38" s="119">
        <f t="shared" si="3"/>
        <v>32</v>
      </c>
      <c r="C38" s="119" t="s">
        <v>15</v>
      </c>
      <c r="D38" s="119">
        <v>9</v>
      </c>
      <c r="E38" s="119"/>
      <c r="F38" s="119"/>
      <c r="G38">
        <v>6.9099999964237213E-2</v>
      </c>
      <c r="H38">
        <v>9.2900000512599945E-2</v>
      </c>
      <c r="I38">
        <v>8.7999999523162842E-2</v>
      </c>
      <c r="J38">
        <v>4.4300001114606857E-2</v>
      </c>
      <c r="K38">
        <v>0.1606999933719635</v>
      </c>
      <c r="L38">
        <v>0.35499998927116388</v>
      </c>
      <c r="M38">
        <v>3.8000000640749931E-3</v>
      </c>
      <c r="N38">
        <v>4.3600000441074371E-2</v>
      </c>
    </row>
    <row r="39" spans="1:14" ht="15" x14ac:dyDescent="0.25">
      <c r="A39" s="186"/>
      <c r="B39" s="119">
        <f t="shared" si="3"/>
        <v>33</v>
      </c>
      <c r="C39" s="119" t="s">
        <v>20</v>
      </c>
      <c r="D39" s="119">
        <v>9.5</v>
      </c>
      <c r="E39" s="119"/>
      <c r="F39" s="119"/>
      <c r="G39">
        <v>7.5099997222423553E-2</v>
      </c>
      <c r="H39">
        <v>8.6900003254413605E-2</v>
      </c>
      <c r="I39">
        <v>8.6699999868869781E-2</v>
      </c>
      <c r="J39">
        <v>4.2800001800060272E-2</v>
      </c>
      <c r="K39">
        <v>0.15760000050067899</v>
      </c>
      <c r="L39">
        <v>0.34909999370574951</v>
      </c>
      <c r="M39">
        <v>8.39999970048666E-3</v>
      </c>
      <c r="N39">
        <v>5.5300001055002213E-2</v>
      </c>
    </row>
    <row r="40" spans="1:14" ht="15" x14ac:dyDescent="0.25">
      <c r="A40" s="186"/>
      <c r="B40" s="119">
        <f t="shared" si="3"/>
        <v>34</v>
      </c>
      <c r="C40" s="119" t="s">
        <v>17</v>
      </c>
      <c r="D40" s="119">
        <v>6</v>
      </c>
      <c r="E40" s="122"/>
      <c r="F40" s="122"/>
      <c r="G40">
        <v>4.2800001800060272E-2</v>
      </c>
      <c r="H40">
        <v>0.1193000003695488</v>
      </c>
      <c r="I40">
        <v>5.3100001066923141E-2</v>
      </c>
      <c r="J40">
        <v>9.8000001162290573E-3</v>
      </c>
      <c r="K40">
        <v>0.1503999978303909</v>
      </c>
      <c r="L40">
        <v>0.34700000286102289</v>
      </c>
      <c r="M40">
        <v>3.3300001174211502E-2</v>
      </c>
      <c r="N40">
        <v>1.610000059008598E-2</v>
      </c>
    </row>
    <row r="41" spans="1:14" ht="15" x14ac:dyDescent="0.25">
      <c r="A41" s="186"/>
      <c r="B41" s="119">
        <f t="shared" si="3"/>
        <v>35</v>
      </c>
      <c r="C41" s="119" t="s">
        <v>69</v>
      </c>
      <c r="D41" s="119">
        <v>11.5</v>
      </c>
      <c r="E41" s="122"/>
      <c r="F41" s="122"/>
      <c r="G41">
        <v>5.4600000381469727E-2</v>
      </c>
      <c r="H41">
        <v>0.1075000017881393</v>
      </c>
      <c r="I41">
        <v>5.7799998670816422E-2</v>
      </c>
      <c r="J41">
        <v>1.4399999752640721E-2</v>
      </c>
      <c r="K41">
        <v>0.14460000395774841</v>
      </c>
      <c r="L41">
        <v>0.33689999580383301</v>
      </c>
      <c r="M41">
        <v>2.4800000712275509E-2</v>
      </c>
      <c r="N41">
        <v>2.5499999523162838E-2</v>
      </c>
    </row>
    <row r="42" spans="1:14" ht="15" x14ac:dyDescent="0.25">
      <c r="A42" s="186"/>
      <c r="B42" s="123">
        <f t="shared" si="3"/>
        <v>36</v>
      </c>
      <c r="C42" s="123" t="s">
        <v>70</v>
      </c>
      <c r="D42" s="123">
        <v>8</v>
      </c>
      <c r="E42" s="124"/>
      <c r="F42" s="124"/>
      <c r="G42">
        <v>6.0199998319149017E-2</v>
      </c>
      <c r="H42">
        <v>0.1018000021576881</v>
      </c>
      <c r="I42">
        <v>6.7400000989437103E-2</v>
      </c>
      <c r="J42">
        <v>2.3600000888109211E-2</v>
      </c>
      <c r="K42">
        <v>0.14010000228881839</v>
      </c>
      <c r="L42">
        <v>0.32049998641014099</v>
      </c>
      <c r="M42">
        <v>1.710000075399876E-2</v>
      </c>
      <c r="N42">
        <v>3.1599998474121087E-2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3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43</v>
      </c>
      <c r="D4" s="119">
        <v>25</v>
      </c>
      <c r="E4" s="119" t="s">
        <v>318</v>
      </c>
      <c r="F4" s="119" t="s">
        <v>177</v>
      </c>
      <c r="G4">
        <v>4.4100001454353333E-2</v>
      </c>
      <c r="H4">
        <v>0.11819999665021901</v>
      </c>
      <c r="I4">
        <v>0.1234999969601631</v>
      </c>
      <c r="J4">
        <v>8.3700001239776611E-2</v>
      </c>
      <c r="K4">
        <v>0.19349999725818631</v>
      </c>
      <c r="L4">
        <v>0.26919999718666082</v>
      </c>
      <c r="M4">
        <v>4.2300000786781311E-2</v>
      </c>
      <c r="N4">
        <v>6.8199999630451202E-2</v>
      </c>
    </row>
    <row r="5" spans="1:14" ht="15" x14ac:dyDescent="0.25">
      <c r="A5" s="186"/>
      <c r="B5" s="119">
        <f t="shared" ref="B5:B12" si="0">B4+1</f>
        <v>2</v>
      </c>
      <c r="C5" s="120" t="s">
        <v>37</v>
      </c>
      <c r="D5" s="119">
        <v>5</v>
      </c>
      <c r="E5" s="119"/>
      <c r="F5" s="119"/>
      <c r="G5">
        <v>4.2700000107288361E-2</v>
      </c>
      <c r="H5">
        <v>0.1194000020623207</v>
      </c>
      <c r="I5">
        <v>8.5799999535083771E-2</v>
      </c>
      <c r="J5">
        <v>4.5000001788139343E-2</v>
      </c>
      <c r="K5">
        <v>0.2294999957084656</v>
      </c>
      <c r="L5">
        <v>0.24310000240802759</v>
      </c>
      <c r="M5">
        <v>5.8299999684095383E-2</v>
      </c>
      <c r="N5">
        <v>9.0700000524520874E-2</v>
      </c>
    </row>
    <row r="6" spans="1:14" ht="15" x14ac:dyDescent="0.25">
      <c r="A6" s="186"/>
      <c r="B6" s="119">
        <f t="shared" si="0"/>
        <v>3</v>
      </c>
      <c r="C6" s="119" t="s">
        <v>17</v>
      </c>
      <c r="D6" s="119">
        <v>8.5</v>
      </c>
      <c r="E6" s="119"/>
      <c r="F6" s="119"/>
      <c r="G6">
        <v>5.1600001752376563E-2</v>
      </c>
      <c r="H6">
        <v>0.1103999987244606</v>
      </c>
      <c r="I6">
        <v>0.1177999973297119</v>
      </c>
      <c r="J6">
        <v>7.720000296831131E-2</v>
      </c>
      <c r="K6">
        <v>0.20389999449253079</v>
      </c>
      <c r="L6">
        <v>0.2167000025510788</v>
      </c>
      <c r="M6">
        <v>7.2999998927116394E-2</v>
      </c>
      <c r="N6">
        <v>0.10209999978542331</v>
      </c>
    </row>
    <row r="7" spans="1:14" ht="15" x14ac:dyDescent="0.25">
      <c r="A7" s="186"/>
      <c r="B7" s="119">
        <f t="shared" si="0"/>
        <v>4</v>
      </c>
      <c r="C7" s="119" t="s">
        <v>35</v>
      </c>
      <c r="D7" s="119">
        <v>3.5</v>
      </c>
      <c r="E7" s="119"/>
      <c r="F7" s="119"/>
      <c r="G7">
        <v>4.6799998730421073E-2</v>
      </c>
      <c r="H7">
        <v>0.1155000030994415</v>
      </c>
      <c r="I7">
        <v>9.5499999821186066E-2</v>
      </c>
      <c r="J7">
        <v>5.4000001400709152E-2</v>
      </c>
      <c r="K7">
        <v>0.2120999991893768</v>
      </c>
      <c r="L7">
        <v>0.2022999972105026</v>
      </c>
      <c r="M7">
        <v>4.6399999409914017E-2</v>
      </c>
      <c r="N7">
        <v>7.1099996566772461E-2</v>
      </c>
    </row>
    <row r="8" spans="1:14" ht="15" x14ac:dyDescent="0.25">
      <c r="A8" s="186"/>
      <c r="B8" s="119">
        <f t="shared" si="0"/>
        <v>5</v>
      </c>
      <c r="C8" s="119" t="s">
        <v>28</v>
      </c>
      <c r="D8" s="119">
        <v>11</v>
      </c>
      <c r="E8" s="119"/>
      <c r="F8" s="119"/>
      <c r="G8">
        <v>2.4800000712275509E-2</v>
      </c>
      <c r="H8">
        <v>0.1374000012874603</v>
      </c>
      <c r="I8">
        <v>7.2400003671646118E-2</v>
      </c>
      <c r="J8">
        <v>3.5300001502037048E-2</v>
      </c>
      <c r="K8">
        <v>0.19509999454021451</v>
      </c>
      <c r="L8">
        <v>0.21989999711513519</v>
      </c>
      <c r="M8">
        <v>4.1499998420476913E-2</v>
      </c>
      <c r="N8">
        <v>5.7500001043081277E-2</v>
      </c>
    </row>
    <row r="9" spans="1:14" ht="15" x14ac:dyDescent="0.25">
      <c r="A9" s="186"/>
      <c r="B9" s="119">
        <f t="shared" si="0"/>
        <v>6</v>
      </c>
      <c r="C9" s="119" t="s">
        <v>59</v>
      </c>
      <c r="D9" s="119">
        <v>12.5</v>
      </c>
      <c r="E9" s="119"/>
      <c r="F9" s="119"/>
      <c r="G9">
        <v>2.1199999377131459E-2</v>
      </c>
      <c r="H9">
        <v>0.1410000026226044</v>
      </c>
      <c r="I9">
        <v>6.9300003349781036E-2</v>
      </c>
      <c r="J9">
        <v>3.359999880194664E-2</v>
      </c>
      <c r="K9">
        <v>0.20710000395774841</v>
      </c>
      <c r="L9">
        <v>0.2386000007390976</v>
      </c>
      <c r="M9">
        <v>4.8700001090764999E-2</v>
      </c>
      <c r="N9">
        <v>6.3100002706050873E-2</v>
      </c>
    </row>
    <row r="10" spans="1:14" ht="15" x14ac:dyDescent="0.25">
      <c r="A10" s="186"/>
      <c r="B10" s="119">
        <f t="shared" si="0"/>
        <v>7</v>
      </c>
      <c r="C10" s="119" t="s">
        <v>20</v>
      </c>
      <c r="D10" s="119">
        <v>8.5</v>
      </c>
      <c r="E10" s="119"/>
      <c r="F10" s="119"/>
      <c r="G10">
        <v>8.3400003612041473E-2</v>
      </c>
      <c r="H10">
        <v>7.8599996864795685E-2</v>
      </c>
      <c r="I10">
        <v>0.12759999930858609</v>
      </c>
      <c r="J10">
        <v>8.449999988079071E-2</v>
      </c>
      <c r="K10">
        <v>0.22310000658035281</v>
      </c>
      <c r="L10">
        <v>0.21220000088214869</v>
      </c>
      <c r="M10">
        <v>5.950000137090683E-2</v>
      </c>
      <c r="N10">
        <v>7.4299998581409454E-2</v>
      </c>
    </row>
    <row r="11" spans="1:14" ht="15" x14ac:dyDescent="0.25">
      <c r="A11" s="186"/>
      <c r="B11" s="119">
        <f t="shared" si="0"/>
        <v>8</v>
      </c>
      <c r="C11" s="119" t="s">
        <v>155</v>
      </c>
      <c r="D11" s="119">
        <v>16</v>
      </c>
      <c r="E11" s="119"/>
      <c r="F11" s="119"/>
      <c r="G11">
        <v>7.7399998903274536E-2</v>
      </c>
      <c r="H11">
        <v>8.4600001573562622E-2</v>
      </c>
      <c r="I11">
        <v>0.13359999656677249</v>
      </c>
      <c r="J11">
        <v>9.1099999845027924E-2</v>
      </c>
      <c r="K11">
        <v>0.2383999973535538</v>
      </c>
      <c r="L11">
        <v>0.22499999403953549</v>
      </c>
      <c r="M11">
        <v>4.7600001096725457E-2</v>
      </c>
      <c r="N11">
        <v>7.680000364780426E-2</v>
      </c>
    </row>
    <row r="12" spans="1:14" ht="15" x14ac:dyDescent="0.25">
      <c r="A12" s="186"/>
      <c r="B12" s="119">
        <f t="shared" si="0"/>
        <v>9</v>
      </c>
      <c r="C12" s="119" t="s">
        <v>38</v>
      </c>
      <c r="D12" s="119">
        <v>9</v>
      </c>
      <c r="E12" s="119"/>
      <c r="F12" s="119"/>
      <c r="G12">
        <v>3.0500000342726711E-2</v>
      </c>
      <c r="H12">
        <v>0.1315000057220459</v>
      </c>
      <c r="I12">
        <v>9.0199999511241913E-2</v>
      </c>
      <c r="J12">
        <v>5.260000005364418E-2</v>
      </c>
      <c r="K12">
        <v>0.20520000159740451</v>
      </c>
      <c r="L12">
        <v>0.23929999768733981</v>
      </c>
      <c r="M12">
        <v>5.2099999040365219E-2</v>
      </c>
      <c r="N12">
        <v>6.5999999642372131E-2</v>
      </c>
    </row>
    <row r="13" spans="1:14" ht="15" x14ac:dyDescent="0.25">
      <c r="A13" s="187"/>
      <c r="B13" s="187"/>
      <c r="C13" s="187"/>
      <c r="D13" s="187"/>
      <c r="E13" s="121" t="s">
        <v>112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66</v>
      </c>
      <c r="D14" s="119">
        <v>9</v>
      </c>
      <c r="E14" s="119"/>
      <c r="F14" s="119"/>
      <c r="G14">
        <v>7.9400002956390381E-2</v>
      </c>
      <c r="H14">
        <v>8.2900002598762512E-2</v>
      </c>
      <c r="I14">
        <v>0.148499995470047</v>
      </c>
      <c r="J14">
        <v>0.1067999973893166</v>
      </c>
      <c r="K14">
        <v>0.23469999432563779</v>
      </c>
      <c r="L14">
        <v>0.2083999961614609</v>
      </c>
      <c r="M14">
        <v>5.8699999004602432E-2</v>
      </c>
      <c r="N14">
        <v>0.1010999977588654</v>
      </c>
    </row>
    <row r="15" spans="1:14" ht="15" x14ac:dyDescent="0.25">
      <c r="A15" s="186"/>
      <c r="B15" s="119">
        <f t="shared" ref="B15:B22" si="1">B14+1</f>
        <v>11</v>
      </c>
      <c r="C15" s="119" t="s">
        <v>62</v>
      </c>
      <c r="D15" s="119">
        <v>8.5</v>
      </c>
      <c r="E15" s="119"/>
      <c r="F15" s="119"/>
      <c r="G15">
        <v>2.830000035464764E-2</v>
      </c>
      <c r="H15">
        <v>0.13400000333786011</v>
      </c>
      <c r="I15">
        <v>9.5499999821186066E-2</v>
      </c>
      <c r="J15">
        <v>5.9300001710653312E-2</v>
      </c>
      <c r="K15">
        <v>0.1999000012874603</v>
      </c>
      <c r="L15">
        <v>0.23119999468326571</v>
      </c>
      <c r="M15">
        <v>4.3000001460313797E-2</v>
      </c>
      <c r="N15">
        <v>8.3899997174739838E-2</v>
      </c>
    </row>
    <row r="16" spans="1:14" ht="15" x14ac:dyDescent="0.25">
      <c r="A16" s="186"/>
      <c r="B16" s="119">
        <f t="shared" si="1"/>
        <v>12</v>
      </c>
      <c r="C16" s="119" t="s">
        <v>30</v>
      </c>
      <c r="D16" s="119">
        <v>4</v>
      </c>
      <c r="E16" s="119"/>
      <c r="F16" s="129"/>
      <c r="G16">
        <v>2.3499999195337299E-2</v>
      </c>
      <c r="H16">
        <v>0.1386000066995621</v>
      </c>
      <c r="I16">
        <v>9.0700000524520874E-2</v>
      </c>
      <c r="J16">
        <v>5.4999999701976783E-2</v>
      </c>
      <c r="K16">
        <v>0.20550000667572019</v>
      </c>
      <c r="L16">
        <v>0.21220000088214869</v>
      </c>
      <c r="M16">
        <v>3.7500001490116119E-2</v>
      </c>
      <c r="N16">
        <v>7.3399998247623444E-2</v>
      </c>
    </row>
    <row r="17" spans="1:14" ht="15" x14ac:dyDescent="0.25">
      <c r="A17" s="186"/>
      <c r="B17" s="119">
        <f t="shared" si="1"/>
        <v>13</v>
      </c>
      <c r="C17" s="119" t="s">
        <v>45</v>
      </c>
      <c r="D17" s="119">
        <v>4</v>
      </c>
      <c r="E17" s="119"/>
      <c r="F17" s="119"/>
      <c r="G17">
        <v>6.8599998950958252E-2</v>
      </c>
      <c r="H17">
        <v>9.3400001525878906E-2</v>
      </c>
      <c r="I17">
        <v>0.12690000236034391</v>
      </c>
      <c r="J17">
        <v>8.5000000894069672E-2</v>
      </c>
      <c r="K17">
        <v>0.21580000221729281</v>
      </c>
      <c r="L17">
        <v>0.24469999969005579</v>
      </c>
      <c r="M17">
        <v>5.2400000393390662E-2</v>
      </c>
      <c r="N17">
        <v>9.1399997472763062E-2</v>
      </c>
    </row>
    <row r="18" spans="1:14" ht="15" x14ac:dyDescent="0.25">
      <c r="A18" s="186"/>
      <c r="B18" s="119">
        <f t="shared" si="1"/>
        <v>14</v>
      </c>
      <c r="C18" s="119" t="s">
        <v>17</v>
      </c>
      <c r="D18" s="119">
        <v>7</v>
      </c>
      <c r="E18" s="119"/>
      <c r="F18" s="119"/>
      <c r="G18">
        <v>4.14000004529953E-2</v>
      </c>
      <c r="H18">
        <v>0.1206000000238419</v>
      </c>
      <c r="I18">
        <v>0.11959999799728389</v>
      </c>
      <c r="J18">
        <v>8.0700002610683441E-2</v>
      </c>
      <c r="K18">
        <v>0.2019000053405762</v>
      </c>
      <c r="L18">
        <v>0.24199999868869779</v>
      </c>
      <c r="M18">
        <v>3.8899999111890793E-2</v>
      </c>
      <c r="N18">
        <v>7.7600002288818359E-2</v>
      </c>
    </row>
    <row r="19" spans="1:14" ht="15" x14ac:dyDescent="0.25">
      <c r="A19" s="186"/>
      <c r="B19" s="119">
        <f t="shared" si="1"/>
        <v>15</v>
      </c>
      <c r="C19" s="119" t="s">
        <v>76</v>
      </c>
      <c r="D19" s="119">
        <v>11.5</v>
      </c>
      <c r="E19" s="119"/>
      <c r="F19" s="119"/>
      <c r="G19">
        <v>5.4400000721216202E-2</v>
      </c>
      <c r="H19">
        <v>0.1077999994158745</v>
      </c>
      <c r="I19">
        <v>0.122299998998642</v>
      </c>
      <c r="J19">
        <v>8.2099996507167816E-2</v>
      </c>
      <c r="K19">
        <v>0.20829999446868899</v>
      </c>
      <c r="L19">
        <v>0.23909999430179599</v>
      </c>
      <c r="M19">
        <v>2.96000000089407E-2</v>
      </c>
      <c r="N19">
        <v>7.0699997246265411E-2</v>
      </c>
    </row>
    <row r="20" spans="1:14" ht="15" x14ac:dyDescent="0.25">
      <c r="A20" s="186"/>
      <c r="B20" s="119">
        <f t="shared" si="1"/>
        <v>16</v>
      </c>
      <c r="C20" s="119" t="s">
        <v>38</v>
      </c>
      <c r="D20" s="119">
        <v>9</v>
      </c>
      <c r="E20" s="119"/>
      <c r="F20" s="119"/>
      <c r="G20">
        <v>3.8600001484155648E-2</v>
      </c>
      <c r="H20">
        <v>0.123599998652935</v>
      </c>
      <c r="I20">
        <v>9.0499997138977051E-2</v>
      </c>
      <c r="J20">
        <v>5.169999971985817E-2</v>
      </c>
      <c r="K20">
        <v>0.1964000016450882</v>
      </c>
      <c r="L20">
        <v>0.22059999406337741</v>
      </c>
      <c r="M20">
        <v>5.8699999004602432E-2</v>
      </c>
      <c r="N20">
        <v>0.1032000035047531</v>
      </c>
    </row>
    <row r="21" spans="1:14" ht="15" x14ac:dyDescent="0.25">
      <c r="A21" s="186"/>
      <c r="B21" s="119">
        <f t="shared" si="1"/>
        <v>17</v>
      </c>
      <c r="C21" s="119" t="s">
        <v>76</v>
      </c>
      <c r="D21" s="119">
        <v>11</v>
      </c>
      <c r="E21" s="119"/>
      <c r="F21" s="119"/>
      <c r="G21">
        <v>1.429999992251396E-2</v>
      </c>
      <c r="H21">
        <v>0.14779999852180481</v>
      </c>
      <c r="I21">
        <v>5.7399999350309372E-2</v>
      </c>
      <c r="J21">
        <v>2.7499999850988392E-2</v>
      </c>
      <c r="K21">
        <v>0.17159999907016751</v>
      </c>
      <c r="L21">
        <v>0.24099999666213989</v>
      </c>
      <c r="M21">
        <v>3.9299998432397842E-2</v>
      </c>
      <c r="N21">
        <v>8.4200002253055573E-2</v>
      </c>
    </row>
    <row r="22" spans="1:14" ht="15" x14ac:dyDescent="0.25">
      <c r="A22" s="186"/>
      <c r="B22" s="119">
        <f t="shared" si="1"/>
        <v>18</v>
      </c>
      <c r="C22" s="119" t="s">
        <v>38</v>
      </c>
      <c r="D22" s="119">
        <v>6</v>
      </c>
      <c r="E22" s="119"/>
      <c r="F22" s="119"/>
      <c r="G22">
        <v>1.150000002235174E-2</v>
      </c>
      <c r="H22">
        <v>0.15070000290870669</v>
      </c>
      <c r="I22">
        <v>5.6699998676776893E-2</v>
      </c>
      <c r="J22">
        <v>2.9100000858306881E-2</v>
      </c>
      <c r="K22">
        <v>0.17249999940395361</v>
      </c>
      <c r="L22">
        <v>0.2460000067949295</v>
      </c>
      <c r="M22">
        <v>2.759999968111515E-2</v>
      </c>
      <c r="N22">
        <v>7.0100001990795135E-2</v>
      </c>
    </row>
    <row r="23" spans="1:14" ht="15" x14ac:dyDescent="0.25">
      <c r="A23" s="187"/>
      <c r="B23" s="187"/>
      <c r="C23" s="187"/>
      <c r="D23" s="187"/>
      <c r="E23" s="121" t="s">
        <v>101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20</v>
      </c>
      <c r="D24" s="119">
        <v>7</v>
      </c>
      <c r="E24" s="119"/>
      <c r="F24" s="119"/>
      <c r="G24">
        <v>1.319999992847443E-2</v>
      </c>
      <c r="H24">
        <v>0.14920000731945041</v>
      </c>
      <c r="I24">
        <v>4.9400001764297492E-2</v>
      </c>
      <c r="J24">
        <v>2.4199999868869781E-2</v>
      </c>
      <c r="K24">
        <v>0.22800000011920929</v>
      </c>
      <c r="L24">
        <v>0.21459999680519101</v>
      </c>
      <c r="M24">
        <v>8.4600001573562622E-2</v>
      </c>
      <c r="N24">
        <v>0.13199999928474429</v>
      </c>
    </row>
    <row r="25" spans="1:14" ht="15" x14ac:dyDescent="0.25">
      <c r="A25" s="186"/>
      <c r="B25" s="119">
        <f t="shared" ref="B25:B32" si="2">B24+1</f>
        <v>20</v>
      </c>
      <c r="C25" s="119" t="s">
        <v>89</v>
      </c>
      <c r="D25" s="119">
        <v>11.5</v>
      </c>
      <c r="E25" s="119"/>
      <c r="F25" s="119"/>
      <c r="G25">
        <v>1.3399999588727949E-2</v>
      </c>
      <c r="H25">
        <v>0.14869999885559079</v>
      </c>
      <c r="I25">
        <v>7.0699997246265411E-2</v>
      </c>
      <c r="J25">
        <v>3.9400000125169747E-2</v>
      </c>
      <c r="K25">
        <v>0.22069999575614929</v>
      </c>
      <c r="L25">
        <v>0.21150000393390661</v>
      </c>
      <c r="M25">
        <v>5.6400001049041748E-2</v>
      </c>
      <c r="N25">
        <v>0.1037999987602234</v>
      </c>
    </row>
    <row r="26" spans="1:14" ht="15" x14ac:dyDescent="0.25">
      <c r="A26" s="186"/>
      <c r="B26" s="119">
        <f t="shared" si="2"/>
        <v>21</v>
      </c>
      <c r="C26" s="119" t="s">
        <v>55</v>
      </c>
      <c r="D26" s="119">
        <v>15.5</v>
      </c>
      <c r="E26" s="119"/>
      <c r="F26" s="119"/>
      <c r="G26">
        <v>8.2999998703598976E-3</v>
      </c>
      <c r="H26">
        <v>0.15379999577999109</v>
      </c>
      <c r="I26">
        <v>5.6400001049041748E-2</v>
      </c>
      <c r="J26">
        <v>3.0400000512599949E-2</v>
      </c>
      <c r="K26">
        <v>0.2120999991893768</v>
      </c>
      <c r="L26">
        <v>0.2157000005245209</v>
      </c>
      <c r="M26">
        <v>4.4700000435113907E-2</v>
      </c>
      <c r="N26">
        <v>9.1300003230571747E-2</v>
      </c>
    </row>
    <row r="27" spans="1:14" ht="15" x14ac:dyDescent="0.25">
      <c r="A27" s="186"/>
      <c r="B27" s="119">
        <f t="shared" si="2"/>
        <v>22</v>
      </c>
      <c r="C27" s="119" t="s">
        <v>24</v>
      </c>
      <c r="D27" s="119">
        <v>4</v>
      </c>
      <c r="E27" s="119"/>
      <c r="F27" s="119"/>
      <c r="G27">
        <v>3.1800001859664917E-2</v>
      </c>
      <c r="H27">
        <v>0.13030000030994421</v>
      </c>
      <c r="I27">
        <v>8.3400003612041473E-2</v>
      </c>
      <c r="J27">
        <v>4.5699998736381531E-2</v>
      </c>
      <c r="K27">
        <v>0.18580000102519989</v>
      </c>
      <c r="L27">
        <v>0.22959999740123749</v>
      </c>
      <c r="M27">
        <v>7.0699997246265411E-2</v>
      </c>
      <c r="N27">
        <v>0.1164000034332275</v>
      </c>
    </row>
    <row r="28" spans="1:14" ht="15" x14ac:dyDescent="0.25">
      <c r="A28" s="186"/>
      <c r="B28" s="119">
        <f t="shared" si="2"/>
        <v>23</v>
      </c>
      <c r="C28" s="119" t="s">
        <v>31</v>
      </c>
      <c r="D28" s="119">
        <v>10</v>
      </c>
      <c r="E28" s="119"/>
      <c r="F28" s="119"/>
      <c r="G28">
        <v>2.830000035464764E-2</v>
      </c>
      <c r="H28">
        <v>0.1336999982595444</v>
      </c>
      <c r="I28">
        <v>8.150000125169754E-2</v>
      </c>
      <c r="J28">
        <v>4.4100001454353333E-2</v>
      </c>
      <c r="K28">
        <v>0.1666000038385391</v>
      </c>
      <c r="L28">
        <v>0.23909999430179599</v>
      </c>
      <c r="M28">
        <v>5.8699999004602432E-2</v>
      </c>
      <c r="N28">
        <v>0.1061000004410744</v>
      </c>
    </row>
    <row r="29" spans="1:14" ht="15" x14ac:dyDescent="0.25">
      <c r="A29" s="186"/>
      <c r="B29" s="119">
        <f t="shared" si="2"/>
        <v>24</v>
      </c>
      <c r="C29" s="119" t="s">
        <v>89</v>
      </c>
      <c r="D29" s="119">
        <v>13.5</v>
      </c>
      <c r="E29" s="119"/>
      <c r="F29" s="119"/>
      <c r="G29">
        <v>1.1400000192224979E-2</v>
      </c>
      <c r="H29">
        <v>0.15099999308586121</v>
      </c>
      <c r="I29">
        <v>7.6499998569488525E-2</v>
      </c>
      <c r="J29">
        <v>4.6000000089406967E-2</v>
      </c>
      <c r="K29">
        <v>0.17659999430179599</v>
      </c>
      <c r="L29">
        <v>0.23059999942779541</v>
      </c>
      <c r="M29">
        <v>5.4200001060962677E-2</v>
      </c>
      <c r="N29">
        <v>0.101000003516674</v>
      </c>
    </row>
    <row r="30" spans="1:14" ht="15" x14ac:dyDescent="0.25">
      <c r="A30" s="186"/>
      <c r="B30" s="119">
        <f t="shared" si="2"/>
        <v>25</v>
      </c>
      <c r="C30" s="119" t="s">
        <v>54</v>
      </c>
      <c r="D30" s="119">
        <v>5.5</v>
      </c>
      <c r="E30" s="119"/>
      <c r="F30" s="119"/>
      <c r="G30">
        <v>4.3200001120567322E-2</v>
      </c>
      <c r="H30">
        <v>0.11890000104904171</v>
      </c>
      <c r="I30">
        <v>7.8699998557567596E-2</v>
      </c>
      <c r="J30">
        <v>3.7700001150369637E-2</v>
      </c>
      <c r="K30">
        <v>0.18440000712871549</v>
      </c>
      <c r="L30">
        <v>0.19709999859333041</v>
      </c>
      <c r="M30">
        <v>5.4200001060962677E-2</v>
      </c>
      <c r="N30">
        <v>9.9399998784065247E-2</v>
      </c>
    </row>
    <row r="31" spans="1:14" ht="15" x14ac:dyDescent="0.25">
      <c r="A31" s="186"/>
      <c r="B31" s="119">
        <f t="shared" si="2"/>
        <v>26</v>
      </c>
      <c r="C31" s="119" t="s">
        <v>55</v>
      </c>
      <c r="D31" s="119">
        <v>10.5</v>
      </c>
      <c r="E31" s="119"/>
      <c r="F31" s="119"/>
      <c r="G31">
        <v>4.6599999070167542E-2</v>
      </c>
      <c r="H31">
        <v>0.1155000030994415</v>
      </c>
      <c r="I31">
        <v>0.1339000016450882</v>
      </c>
      <c r="J31">
        <v>9.4899997115135193E-2</v>
      </c>
      <c r="K31">
        <v>0.2006999999284744</v>
      </c>
      <c r="L31">
        <v>0.22360000014305109</v>
      </c>
      <c r="M31">
        <v>5.469999834895134E-2</v>
      </c>
      <c r="N31">
        <v>9.2500001192092896E-2</v>
      </c>
    </row>
    <row r="32" spans="1:14" ht="15" x14ac:dyDescent="0.25">
      <c r="A32" s="186"/>
      <c r="B32" s="119">
        <f t="shared" si="2"/>
        <v>27</v>
      </c>
      <c r="C32" s="119" t="s">
        <v>166</v>
      </c>
      <c r="D32" s="119">
        <v>10</v>
      </c>
      <c r="E32" s="119"/>
      <c r="F32" s="119"/>
      <c r="G32">
        <v>6.5700002014636993E-2</v>
      </c>
      <c r="H32">
        <v>9.6400000154972076E-2</v>
      </c>
      <c r="I32">
        <v>0.1331000030040741</v>
      </c>
      <c r="J32">
        <v>9.1799996793270111E-2</v>
      </c>
      <c r="K32">
        <v>0.2070000022649765</v>
      </c>
      <c r="L32">
        <v>0.24899999797344211</v>
      </c>
      <c r="M32">
        <v>5.4900001734495163E-2</v>
      </c>
      <c r="N32">
        <v>8.9500002562999725E-2</v>
      </c>
    </row>
    <row r="33" spans="1:14" ht="15" x14ac:dyDescent="0.25">
      <c r="A33" s="187"/>
      <c r="B33" s="187"/>
      <c r="C33" s="187"/>
      <c r="D33" s="187"/>
      <c r="E33" s="121" t="s">
        <v>92</v>
      </c>
      <c r="F33" s="121" t="s">
        <v>175</v>
      </c>
    </row>
    <row r="34" spans="1:14" ht="15" x14ac:dyDescent="0.25">
      <c r="A34" s="186" t="s">
        <v>152</v>
      </c>
      <c r="B34" s="119">
        <f>B32+1</f>
        <v>28</v>
      </c>
      <c r="C34" s="119" t="s">
        <v>48</v>
      </c>
      <c r="D34" s="119">
        <v>1.5</v>
      </c>
      <c r="E34" s="119"/>
      <c r="F34" s="119"/>
      <c r="G34">
        <v>7.9599998891353607E-2</v>
      </c>
      <c r="H34">
        <v>8.2400001585483551E-2</v>
      </c>
      <c r="I34">
        <v>0.13470000028610229</v>
      </c>
      <c r="J34">
        <v>9.2000000178813934E-2</v>
      </c>
      <c r="K34">
        <v>0.22980000078678131</v>
      </c>
      <c r="L34">
        <v>0.24320000410079959</v>
      </c>
      <c r="M34">
        <v>5.7700000703334808E-2</v>
      </c>
      <c r="N34">
        <v>9.7300000488758087E-2</v>
      </c>
    </row>
    <row r="35" spans="1:14" ht="15" x14ac:dyDescent="0.25">
      <c r="A35" s="186"/>
      <c r="B35" s="119">
        <f t="shared" ref="B35:B42" si="3">B34+1</f>
        <v>29</v>
      </c>
      <c r="C35" s="119" t="s">
        <v>62</v>
      </c>
      <c r="D35" s="119">
        <v>5.5</v>
      </c>
      <c r="E35" s="119"/>
      <c r="F35" s="119"/>
      <c r="G35">
        <v>5.3100001066923141E-2</v>
      </c>
      <c r="H35">
        <v>0.1089000031352043</v>
      </c>
      <c r="I35">
        <v>0.1174999997019768</v>
      </c>
      <c r="J35">
        <v>7.680000364780426E-2</v>
      </c>
      <c r="K35">
        <v>0.2249000072479248</v>
      </c>
      <c r="L35">
        <v>0.24459999799728391</v>
      </c>
      <c r="M35">
        <v>6.2700003385543823E-2</v>
      </c>
      <c r="N35">
        <v>0.1030000001192093</v>
      </c>
    </row>
    <row r="36" spans="1:14" ht="15" x14ac:dyDescent="0.25">
      <c r="A36" s="186"/>
      <c r="B36" s="119">
        <f t="shared" si="3"/>
        <v>30</v>
      </c>
      <c r="C36" s="119" t="s">
        <v>21</v>
      </c>
      <c r="D36" s="119">
        <v>6</v>
      </c>
      <c r="E36" s="119"/>
      <c r="F36" s="119"/>
      <c r="G36">
        <v>2.040000073611736E-2</v>
      </c>
      <c r="H36">
        <v>0.14169999957084661</v>
      </c>
      <c r="I36">
        <v>6.4800001680850983E-2</v>
      </c>
      <c r="J36">
        <v>3.0300000682473179E-2</v>
      </c>
      <c r="K36">
        <v>0.21070000529289251</v>
      </c>
      <c r="L36">
        <v>0.24099999666213989</v>
      </c>
      <c r="M36">
        <v>5.9900000691413879E-2</v>
      </c>
      <c r="N36">
        <v>9.8800003528594971E-2</v>
      </c>
    </row>
    <row r="37" spans="1:14" ht="15" x14ac:dyDescent="0.25">
      <c r="A37" s="186"/>
      <c r="B37" s="119">
        <f t="shared" si="3"/>
        <v>31</v>
      </c>
      <c r="C37" s="119" t="s">
        <v>80</v>
      </c>
      <c r="D37" s="119">
        <v>5.5</v>
      </c>
      <c r="E37" s="119"/>
      <c r="F37" s="119"/>
      <c r="G37">
        <v>4.8000000417232513E-2</v>
      </c>
      <c r="H37">
        <v>0.1141000017523766</v>
      </c>
      <c r="I37">
        <v>0.10649999976158139</v>
      </c>
      <c r="J37">
        <v>6.6399998962879181E-2</v>
      </c>
      <c r="K37">
        <v>0.22280000150203699</v>
      </c>
      <c r="L37">
        <v>0.23880000412464139</v>
      </c>
      <c r="M37">
        <v>6.0499999672174447E-2</v>
      </c>
      <c r="N37">
        <v>0.1062000021338463</v>
      </c>
    </row>
    <row r="38" spans="1:14" ht="15" x14ac:dyDescent="0.25">
      <c r="A38" s="186"/>
      <c r="B38" s="119">
        <f t="shared" si="3"/>
        <v>32</v>
      </c>
      <c r="C38" s="119" t="s">
        <v>38</v>
      </c>
      <c r="D38" s="119">
        <v>6</v>
      </c>
      <c r="E38" s="119"/>
      <c r="F38" s="119"/>
      <c r="G38">
        <v>5.1899999380111687E-2</v>
      </c>
      <c r="H38">
        <v>0.1102999970316887</v>
      </c>
      <c r="I38">
        <v>0.1084999963641167</v>
      </c>
      <c r="J38">
        <v>6.8099997937679291E-2</v>
      </c>
      <c r="K38">
        <v>0.20980000495910639</v>
      </c>
      <c r="L38">
        <v>0.23119999468326571</v>
      </c>
      <c r="M38">
        <v>7.1099996566772461E-2</v>
      </c>
      <c r="N38">
        <v>0.11729999631643299</v>
      </c>
    </row>
    <row r="39" spans="1:14" ht="15" x14ac:dyDescent="0.25">
      <c r="A39" s="186"/>
      <c r="B39" s="119">
        <f t="shared" si="3"/>
        <v>33</v>
      </c>
      <c r="C39" s="119" t="s">
        <v>89</v>
      </c>
      <c r="D39" s="119">
        <v>12</v>
      </c>
      <c r="E39" s="119"/>
      <c r="F39" s="119"/>
      <c r="G39">
        <v>3.089999966323376E-2</v>
      </c>
      <c r="H39">
        <v>0.1313000023365021</v>
      </c>
      <c r="I39">
        <v>0.1067000031471252</v>
      </c>
      <c r="J39">
        <v>6.9799996912479401E-2</v>
      </c>
      <c r="K39">
        <v>0.19230000674724579</v>
      </c>
      <c r="L39">
        <v>0.2296999990940094</v>
      </c>
      <c r="M39">
        <v>5.7599999010562897E-2</v>
      </c>
      <c r="N39">
        <v>0.1031000018119812</v>
      </c>
    </row>
    <row r="40" spans="1:14" ht="15" x14ac:dyDescent="0.25">
      <c r="A40" s="186"/>
      <c r="B40" s="119">
        <f t="shared" si="3"/>
        <v>34</v>
      </c>
      <c r="C40" s="119" t="s">
        <v>48</v>
      </c>
      <c r="D40" s="119">
        <v>1</v>
      </c>
      <c r="E40" s="122"/>
      <c r="F40" s="122"/>
      <c r="G40">
        <v>4.2800001800060272E-2</v>
      </c>
      <c r="H40">
        <v>0.1191999986767769</v>
      </c>
      <c r="I40">
        <v>9.3599997460842133E-2</v>
      </c>
      <c r="J40">
        <v>5.3399998694658279E-2</v>
      </c>
      <c r="K40">
        <v>0.19879999756813049</v>
      </c>
      <c r="L40">
        <v>0.24199999868869779</v>
      </c>
      <c r="M40">
        <v>6.1299998313188553E-2</v>
      </c>
      <c r="N40">
        <v>0.1061000004410744</v>
      </c>
    </row>
    <row r="41" spans="1:14" ht="15" x14ac:dyDescent="0.25">
      <c r="A41" s="186"/>
      <c r="B41" s="119">
        <f t="shared" si="3"/>
        <v>35</v>
      </c>
      <c r="C41" s="119" t="s">
        <v>38</v>
      </c>
      <c r="D41" s="119">
        <v>4</v>
      </c>
      <c r="E41" s="122"/>
      <c r="F41" s="122"/>
      <c r="G41">
        <v>3.3399999141693122E-2</v>
      </c>
      <c r="H41">
        <v>0.12870000302791601</v>
      </c>
      <c r="I41">
        <v>8.6400002241134644E-2</v>
      </c>
      <c r="J41">
        <v>4.8099998384714127E-2</v>
      </c>
      <c r="K41">
        <v>0.20690000057220459</v>
      </c>
      <c r="L41">
        <v>0.24660000205039981</v>
      </c>
      <c r="M41">
        <v>7.590000331401825E-2</v>
      </c>
      <c r="N41">
        <v>0.12169999629259109</v>
      </c>
    </row>
    <row r="42" spans="1:14" ht="15" x14ac:dyDescent="0.25">
      <c r="A42" s="186"/>
      <c r="B42" s="123">
        <f t="shared" si="3"/>
        <v>36</v>
      </c>
      <c r="C42" s="123" t="s">
        <v>70</v>
      </c>
      <c r="D42" s="123">
        <v>6.5</v>
      </c>
      <c r="E42" s="124"/>
      <c r="F42" s="124"/>
      <c r="G42">
        <v>7.2400003671646118E-2</v>
      </c>
      <c r="H42">
        <v>8.9699998497962952E-2</v>
      </c>
      <c r="I42">
        <v>0.14229999482631681</v>
      </c>
      <c r="J42">
        <v>0.10069999843835831</v>
      </c>
      <c r="K42">
        <v>0.18840000033378601</v>
      </c>
      <c r="L42">
        <v>0.23180000483989721</v>
      </c>
      <c r="M42">
        <v>4.7200001776218407E-2</v>
      </c>
      <c r="N42">
        <v>9.3800000846385956E-2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89</v>
      </c>
      <c r="D4" s="119">
        <v>15</v>
      </c>
      <c r="E4" s="119" t="s">
        <v>318</v>
      </c>
      <c r="F4" s="119"/>
      <c r="G4">
        <v>1.1599999852478501E-2</v>
      </c>
      <c r="H4">
        <v>0.1503999978303909</v>
      </c>
      <c r="I4">
        <v>3.5000000149011612E-2</v>
      </c>
      <c r="J4">
        <v>1.8899999558925629E-2</v>
      </c>
      <c r="K4">
        <v>0.2296999990940094</v>
      </c>
      <c r="L4">
        <v>0.26489999890327448</v>
      </c>
      <c r="M4">
        <v>0.16830000281333921</v>
      </c>
      <c r="N4">
        <v>0.21469999849796301</v>
      </c>
    </row>
    <row r="5" spans="1:14" ht="15" x14ac:dyDescent="0.25">
      <c r="A5" s="186"/>
      <c r="B5" s="119">
        <f t="shared" ref="B5:B12" si="0">B4+1</f>
        <v>2</v>
      </c>
      <c r="C5" s="120" t="s">
        <v>74</v>
      </c>
      <c r="D5" s="119">
        <v>22</v>
      </c>
      <c r="E5" s="119"/>
      <c r="F5" s="119"/>
      <c r="G5">
        <v>3.3399999141693122E-2</v>
      </c>
      <c r="H5">
        <v>0.12890000641345981</v>
      </c>
      <c r="I5">
        <v>7.0900000631809235E-2</v>
      </c>
      <c r="J5">
        <v>3.089999966323376E-2</v>
      </c>
      <c r="K5">
        <v>0.2257000058889389</v>
      </c>
      <c r="L5">
        <v>0.18780000507831571</v>
      </c>
      <c r="M5">
        <v>0.16079999506473541</v>
      </c>
      <c r="N5">
        <v>0.20630000531673429</v>
      </c>
    </row>
    <row r="6" spans="1:14" ht="15" x14ac:dyDescent="0.25">
      <c r="A6" s="186"/>
      <c r="B6" s="119">
        <f t="shared" si="0"/>
        <v>3</v>
      </c>
      <c r="C6" s="119" t="s">
        <v>70</v>
      </c>
      <c r="D6" s="119">
        <v>8</v>
      </c>
      <c r="E6" s="119"/>
      <c r="F6" s="119"/>
      <c r="G6">
        <v>3.8699999451637268E-2</v>
      </c>
      <c r="H6">
        <v>0.1234000027179718</v>
      </c>
      <c r="I6">
        <v>6.210000067949295E-2</v>
      </c>
      <c r="J6">
        <v>2.009999938309193E-2</v>
      </c>
      <c r="K6">
        <v>0.22560000419616699</v>
      </c>
      <c r="L6">
        <v>0.244499996304512</v>
      </c>
      <c r="M6">
        <v>0.15219999849796301</v>
      </c>
      <c r="N6">
        <v>0.19850000739097601</v>
      </c>
    </row>
    <row r="7" spans="1:14" ht="15" x14ac:dyDescent="0.25">
      <c r="A7" s="186"/>
      <c r="B7" s="119">
        <f t="shared" si="0"/>
        <v>4</v>
      </c>
      <c r="C7" s="119" t="s">
        <v>65</v>
      </c>
      <c r="D7" s="119">
        <v>10</v>
      </c>
      <c r="E7" s="119"/>
      <c r="F7" s="119"/>
      <c r="G7">
        <v>2.3900000378489491E-2</v>
      </c>
      <c r="H7">
        <v>0.13809999823570249</v>
      </c>
      <c r="I7">
        <v>5.260000005364418E-2</v>
      </c>
      <c r="J7">
        <v>1.7200000584125519E-2</v>
      </c>
      <c r="K7">
        <v>0.2058999985456467</v>
      </c>
      <c r="L7">
        <v>0.2294999957084656</v>
      </c>
      <c r="M7">
        <v>0.1569000035524368</v>
      </c>
      <c r="N7">
        <v>0.2030999958515167</v>
      </c>
    </row>
    <row r="8" spans="1:14" ht="15" x14ac:dyDescent="0.25">
      <c r="A8" s="186"/>
      <c r="B8" s="119">
        <f t="shared" si="0"/>
        <v>5</v>
      </c>
      <c r="C8" s="119" t="s">
        <v>31</v>
      </c>
      <c r="D8" s="119">
        <v>10</v>
      </c>
      <c r="E8" s="119"/>
      <c r="F8" s="119"/>
      <c r="G8">
        <v>1.4000000432133669E-2</v>
      </c>
      <c r="H8">
        <v>0.14839999377727511</v>
      </c>
      <c r="I8">
        <v>2.9100000858306881E-2</v>
      </c>
      <c r="J8">
        <v>2.10999995470047E-2</v>
      </c>
      <c r="K8">
        <v>0.18930000066757199</v>
      </c>
      <c r="L8">
        <v>0.28679999709129328</v>
      </c>
      <c r="M8">
        <v>0.1141000017523766</v>
      </c>
      <c r="N8">
        <v>0.16019999980926511</v>
      </c>
    </row>
    <row r="9" spans="1:14" ht="15" x14ac:dyDescent="0.25">
      <c r="A9" s="186"/>
      <c r="B9" s="119">
        <f t="shared" si="0"/>
        <v>6</v>
      </c>
      <c r="C9" s="119" t="s">
        <v>100</v>
      </c>
      <c r="D9" s="119">
        <v>20</v>
      </c>
      <c r="E9" s="119"/>
      <c r="F9" s="119"/>
      <c r="G9">
        <v>8.8999997824430466E-3</v>
      </c>
      <c r="H9">
        <v>0.1532000005245209</v>
      </c>
      <c r="I9">
        <v>2.690000087022781E-2</v>
      </c>
      <c r="J9">
        <v>2.300000004470348E-2</v>
      </c>
      <c r="K9">
        <v>0.16930000483989721</v>
      </c>
      <c r="L9">
        <v>0.25130000710487371</v>
      </c>
      <c r="M9">
        <v>0.10199999809265139</v>
      </c>
      <c r="N9">
        <v>0.1492999941110611</v>
      </c>
    </row>
    <row r="10" spans="1:14" ht="15" x14ac:dyDescent="0.25">
      <c r="A10" s="186"/>
      <c r="B10" s="119">
        <f t="shared" si="0"/>
        <v>7</v>
      </c>
      <c r="C10" s="119" t="s">
        <v>35</v>
      </c>
      <c r="D10" s="119">
        <v>5.5</v>
      </c>
      <c r="E10" s="119"/>
      <c r="F10" s="119"/>
      <c r="G10">
        <v>2.830000035464764E-2</v>
      </c>
      <c r="H10">
        <v>0.1339000016450882</v>
      </c>
      <c r="I10">
        <v>5.6299999356269843E-2</v>
      </c>
      <c r="J10">
        <v>1.7599999904632568E-2</v>
      </c>
      <c r="K10">
        <v>0.20319999754428861</v>
      </c>
      <c r="L10">
        <v>0.2840999960899353</v>
      </c>
      <c r="M10">
        <v>0.10710000246763229</v>
      </c>
      <c r="N10">
        <v>0.15379999577999109</v>
      </c>
    </row>
    <row r="11" spans="1:14" ht="15" x14ac:dyDescent="0.25">
      <c r="A11" s="186"/>
      <c r="B11" s="119">
        <f t="shared" si="0"/>
        <v>8</v>
      </c>
      <c r="C11" s="119" t="s">
        <v>24</v>
      </c>
      <c r="D11" s="119">
        <v>8</v>
      </c>
      <c r="E11" s="119"/>
      <c r="F11" s="119"/>
      <c r="G11">
        <v>1.6000000759959221E-2</v>
      </c>
      <c r="H11">
        <v>0.1460999995470047</v>
      </c>
      <c r="I11">
        <v>3.6699999123811722E-2</v>
      </c>
      <c r="J11">
        <v>1.499999966472387E-2</v>
      </c>
      <c r="K11">
        <v>0.18029999732971189</v>
      </c>
      <c r="L11">
        <v>0.30450001358985901</v>
      </c>
      <c r="M11">
        <v>9.1899998486042023E-2</v>
      </c>
      <c r="N11">
        <v>0.13930000364780429</v>
      </c>
    </row>
    <row r="12" spans="1:14" ht="15" x14ac:dyDescent="0.25">
      <c r="A12" s="186"/>
      <c r="B12" s="119">
        <f t="shared" si="0"/>
        <v>9</v>
      </c>
      <c r="C12" s="119" t="s">
        <v>25</v>
      </c>
      <c r="D12" s="119">
        <v>12</v>
      </c>
      <c r="E12" s="119"/>
      <c r="F12" s="119"/>
      <c r="G12">
        <v>1.410000026226044E-2</v>
      </c>
      <c r="H12">
        <v>0.14790000021457669</v>
      </c>
      <c r="I12">
        <v>2.199999988079071E-2</v>
      </c>
      <c r="J12">
        <v>2.339999936521053E-2</v>
      </c>
      <c r="K12">
        <v>0.16899999976158139</v>
      </c>
      <c r="L12">
        <v>0.29829999804496771</v>
      </c>
      <c r="M12">
        <v>0.10130000114440919</v>
      </c>
      <c r="N12">
        <v>0.14839999377727511</v>
      </c>
    </row>
    <row r="13" spans="1:14" ht="15" x14ac:dyDescent="0.25">
      <c r="A13" s="187"/>
      <c r="B13" s="187"/>
      <c r="C13" s="187"/>
      <c r="D13" s="187"/>
      <c r="E13" s="121" t="s">
        <v>128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105</v>
      </c>
      <c r="D14" s="119">
        <v>50</v>
      </c>
      <c r="E14" s="119"/>
      <c r="F14" s="119"/>
      <c r="G14">
        <v>3.2099999487400048E-2</v>
      </c>
      <c r="H14">
        <v>0.1941999942064285</v>
      </c>
      <c r="I14">
        <v>3.4800000488758087E-2</v>
      </c>
      <c r="J14">
        <v>7.8299999237060547E-2</v>
      </c>
      <c r="K14">
        <v>9.0499997138977051E-2</v>
      </c>
      <c r="L14">
        <v>0.21789999306201929</v>
      </c>
      <c r="M14">
        <v>3.2999999821186073E-2</v>
      </c>
      <c r="N14">
        <v>7.9400002956390381E-2</v>
      </c>
    </row>
    <row r="15" spans="1:14" ht="15" x14ac:dyDescent="0.25">
      <c r="A15" s="186"/>
      <c r="B15" s="119">
        <f t="shared" ref="B15:B22" si="1">B14+1</f>
        <v>11</v>
      </c>
      <c r="C15" s="119" t="s">
        <v>42</v>
      </c>
      <c r="D15" s="119">
        <v>19</v>
      </c>
      <c r="E15" s="119"/>
      <c r="F15" s="119"/>
      <c r="G15">
        <v>2.9799999669194221E-2</v>
      </c>
      <c r="H15">
        <v>0.1917999982833862</v>
      </c>
      <c r="I15">
        <v>3.2000001519918442E-2</v>
      </c>
      <c r="J15">
        <v>7.5599998235702515E-2</v>
      </c>
      <c r="K15">
        <v>0.1024999991059303</v>
      </c>
      <c r="L15">
        <v>0.16889999806880951</v>
      </c>
      <c r="M15">
        <v>5.2999998442828664E-3</v>
      </c>
      <c r="N15">
        <v>5.2700001746416092E-2</v>
      </c>
    </row>
    <row r="16" spans="1:14" ht="15" x14ac:dyDescent="0.25">
      <c r="A16" s="186"/>
      <c r="B16" s="119">
        <f t="shared" si="1"/>
        <v>12</v>
      </c>
      <c r="C16" s="119" t="s">
        <v>64</v>
      </c>
      <c r="D16" s="119">
        <v>5</v>
      </c>
      <c r="E16" s="119"/>
      <c r="F16" s="129"/>
      <c r="G16">
        <v>3.2099999487400048E-2</v>
      </c>
      <c r="H16">
        <v>0.19410000741481781</v>
      </c>
      <c r="I16">
        <v>3.4600000828504562E-2</v>
      </c>
      <c r="J16">
        <v>7.8000001609325409E-2</v>
      </c>
      <c r="K16">
        <v>0.1044000014662743</v>
      </c>
      <c r="L16">
        <v>0.1605000048875809</v>
      </c>
      <c r="M16">
        <v>2.27000005543232E-2</v>
      </c>
      <c r="N16">
        <v>6.849999725818634E-2</v>
      </c>
    </row>
    <row r="17" spans="1:14" ht="15" x14ac:dyDescent="0.25">
      <c r="A17" s="186"/>
      <c r="B17" s="119">
        <f t="shared" si="1"/>
        <v>13</v>
      </c>
      <c r="C17" s="119" t="s">
        <v>43</v>
      </c>
      <c r="D17" s="119">
        <v>24</v>
      </c>
      <c r="E17" s="119"/>
      <c r="F17" s="119"/>
      <c r="G17">
        <v>1.5200000256299971E-2</v>
      </c>
      <c r="H17">
        <v>0.17710000276565549</v>
      </c>
      <c r="I17">
        <v>1.970000006258488E-2</v>
      </c>
      <c r="J17">
        <v>6.3299998641014099E-2</v>
      </c>
      <c r="K17">
        <v>0.1233000010251999</v>
      </c>
      <c r="L17">
        <v>0.1824000030755997</v>
      </c>
      <c r="M17">
        <v>5.820000171661377E-2</v>
      </c>
      <c r="N17">
        <v>0.1054999977350235</v>
      </c>
    </row>
    <row r="18" spans="1:14" ht="15" x14ac:dyDescent="0.25">
      <c r="A18" s="186"/>
      <c r="B18" s="119">
        <f t="shared" si="1"/>
        <v>14</v>
      </c>
      <c r="C18" s="119" t="s">
        <v>34</v>
      </c>
      <c r="D18" s="119">
        <v>11</v>
      </c>
      <c r="E18" s="119"/>
      <c r="F18" s="119"/>
      <c r="G18">
        <v>2.79999990016222E-3</v>
      </c>
      <c r="H18">
        <v>0.15940000116825101</v>
      </c>
      <c r="I18">
        <v>1.30000002682209E-2</v>
      </c>
      <c r="J18">
        <v>3.3700000494718552E-2</v>
      </c>
      <c r="K18">
        <v>8.4100000560283661E-2</v>
      </c>
      <c r="L18">
        <v>0.23960000276565549</v>
      </c>
      <c r="M18">
        <v>3.8699999451637268E-2</v>
      </c>
      <c r="N18">
        <v>8.5799999535083771E-2</v>
      </c>
    </row>
    <row r="19" spans="1:14" ht="15" x14ac:dyDescent="0.25">
      <c r="A19" s="186"/>
      <c r="B19" s="119">
        <f t="shared" si="1"/>
        <v>15</v>
      </c>
      <c r="C19" s="119" t="s">
        <v>27</v>
      </c>
      <c r="D19" s="119">
        <v>15</v>
      </c>
      <c r="E19" s="119"/>
      <c r="F19" s="119"/>
      <c r="G19">
        <v>7.9999997979030013E-4</v>
      </c>
      <c r="H19">
        <v>0.161300003528595</v>
      </c>
      <c r="I19">
        <v>1.030000019818544E-2</v>
      </c>
      <c r="J19">
        <v>3.6899998784065247E-2</v>
      </c>
      <c r="K19">
        <v>9.1700002551078796E-2</v>
      </c>
      <c r="L19">
        <v>0.20360000431537631</v>
      </c>
      <c r="M19">
        <v>2.5399999693036079E-2</v>
      </c>
      <c r="N19">
        <v>7.0100001990795135E-2</v>
      </c>
    </row>
    <row r="20" spans="1:14" ht="15" x14ac:dyDescent="0.25">
      <c r="A20" s="186"/>
      <c r="B20" s="119">
        <f t="shared" si="1"/>
        <v>16</v>
      </c>
      <c r="C20" s="119" t="s">
        <v>105</v>
      </c>
      <c r="D20" s="119">
        <v>19</v>
      </c>
      <c r="E20" s="119"/>
      <c r="F20" s="119"/>
      <c r="G20">
        <v>2.370000071823597E-2</v>
      </c>
      <c r="H20">
        <v>0.18569999933242801</v>
      </c>
      <c r="I20">
        <v>2.4499999359250069E-2</v>
      </c>
      <c r="J20">
        <v>6.7699998617172241E-2</v>
      </c>
      <c r="K20">
        <v>0.1054999977350235</v>
      </c>
      <c r="L20">
        <v>0.1624000072479248</v>
      </c>
      <c r="M20">
        <v>3.5700000822544098E-2</v>
      </c>
      <c r="N20">
        <v>8.2900002598762512E-2</v>
      </c>
    </row>
    <row r="21" spans="1:14" ht="15" x14ac:dyDescent="0.25">
      <c r="A21" s="186"/>
      <c r="B21" s="119">
        <f t="shared" si="1"/>
        <v>17</v>
      </c>
      <c r="C21" s="119" t="s">
        <v>108</v>
      </c>
      <c r="D21" s="119">
        <v>16.5</v>
      </c>
      <c r="E21" s="119"/>
      <c r="F21" s="119"/>
      <c r="G21">
        <v>1.480000000447035E-2</v>
      </c>
      <c r="H21">
        <v>0.17679999768733981</v>
      </c>
      <c r="I21">
        <v>1.350000035017729E-2</v>
      </c>
      <c r="J21">
        <v>5.5199999362230301E-2</v>
      </c>
      <c r="K21">
        <v>8.6999997496604919E-2</v>
      </c>
      <c r="L21">
        <v>0.17299999296665189</v>
      </c>
      <c r="M21">
        <v>3.229999914765358E-2</v>
      </c>
      <c r="N21">
        <v>2.5499999523162838E-2</v>
      </c>
    </row>
    <row r="22" spans="1:14" ht="15" x14ac:dyDescent="0.25">
      <c r="A22" s="186"/>
      <c r="B22" s="119">
        <f t="shared" si="1"/>
        <v>18</v>
      </c>
      <c r="C22" s="119" t="s">
        <v>94</v>
      </c>
      <c r="D22" s="119">
        <v>11</v>
      </c>
      <c r="E22" s="119"/>
      <c r="F22" s="119"/>
      <c r="G22">
        <v>1.549999974668026E-2</v>
      </c>
      <c r="H22">
        <v>0.177499994635582</v>
      </c>
      <c r="I22">
        <v>1.4399999752640721E-2</v>
      </c>
      <c r="J22">
        <v>5.6800000369548798E-2</v>
      </c>
      <c r="K22">
        <v>0.15219999849796301</v>
      </c>
      <c r="L22">
        <v>0.11299999803304669</v>
      </c>
      <c r="M22">
        <v>3.299999982118607E-3</v>
      </c>
      <c r="N22">
        <v>4.4300001114606857E-2</v>
      </c>
    </row>
    <row r="23" spans="1:14" ht="15" x14ac:dyDescent="0.25">
      <c r="A23" s="187"/>
      <c r="B23" s="187"/>
      <c r="C23" s="187"/>
      <c r="D23" s="187"/>
      <c r="E23" s="121" t="s">
        <v>165</v>
      </c>
      <c r="F23" s="121"/>
    </row>
    <row r="24" spans="1:14" ht="15" x14ac:dyDescent="0.25">
      <c r="A24" s="186" t="s">
        <v>152</v>
      </c>
      <c r="B24" s="119">
        <f>B22+1</f>
        <v>19</v>
      </c>
      <c r="C24" s="119" t="s">
        <v>43</v>
      </c>
      <c r="D24" s="119">
        <v>36</v>
      </c>
      <c r="E24" s="119"/>
      <c r="F24" s="119"/>
      <c r="G24">
        <v>2.009999938309193E-2</v>
      </c>
      <c r="H24">
        <v>0.18209999799728391</v>
      </c>
      <c r="I24">
        <v>2.2199999541044239E-2</v>
      </c>
      <c r="J24">
        <v>6.5600000321865082E-2</v>
      </c>
      <c r="K24">
        <v>7.0000000298023224E-2</v>
      </c>
      <c r="L24">
        <v>0.28080001473426819</v>
      </c>
      <c r="M24">
        <v>4.5099999755620963E-2</v>
      </c>
      <c r="N24">
        <v>2.5200000032782551E-2</v>
      </c>
    </row>
    <row r="25" spans="1:14" ht="15" x14ac:dyDescent="0.25">
      <c r="A25" s="186"/>
      <c r="B25" s="119">
        <f t="shared" ref="B25:B32" si="2">B24+1</f>
        <v>20</v>
      </c>
      <c r="C25" s="119" t="s">
        <v>93</v>
      </c>
      <c r="D25" s="119">
        <v>10.5</v>
      </c>
      <c r="E25" s="119"/>
      <c r="F25" s="119"/>
      <c r="G25">
        <v>2.999999932944775E-2</v>
      </c>
      <c r="H25">
        <v>0.19200000166893011</v>
      </c>
      <c r="I25">
        <v>3.0300000682473179E-2</v>
      </c>
      <c r="J25">
        <v>7.3600001633167267E-2</v>
      </c>
      <c r="K25">
        <v>6.9700002670288086E-2</v>
      </c>
      <c r="L25">
        <v>0.24179999530315399</v>
      </c>
      <c r="M25">
        <v>5.2000001072883613E-2</v>
      </c>
      <c r="N25">
        <v>1.30000002682209E-2</v>
      </c>
    </row>
    <row r="26" spans="1:14" ht="15" x14ac:dyDescent="0.25">
      <c r="A26" s="186"/>
      <c r="B26" s="119">
        <f t="shared" si="2"/>
        <v>21</v>
      </c>
      <c r="C26" s="119" t="s">
        <v>34</v>
      </c>
      <c r="D26" s="119">
        <v>15.5</v>
      </c>
      <c r="E26" s="119"/>
      <c r="F26" s="119"/>
      <c r="G26">
        <v>1.319999992847443E-2</v>
      </c>
      <c r="H26">
        <v>0.17520000040531161</v>
      </c>
      <c r="I26">
        <v>1.2400000356137751E-2</v>
      </c>
      <c r="J26">
        <v>5.0599999725818627E-2</v>
      </c>
      <c r="K26">
        <v>6.3199996948242188E-2</v>
      </c>
      <c r="L26">
        <v>0.25350001454353333</v>
      </c>
      <c r="M26">
        <v>6.5300002694129944E-2</v>
      </c>
      <c r="N26">
        <v>2.140000090003014E-2</v>
      </c>
    </row>
    <row r="27" spans="1:14" ht="15" x14ac:dyDescent="0.25">
      <c r="A27" s="186"/>
      <c r="B27" s="119">
        <f t="shared" si="2"/>
        <v>22</v>
      </c>
      <c r="C27" s="119" t="s">
        <v>30</v>
      </c>
      <c r="D27" s="119">
        <v>7.5</v>
      </c>
      <c r="E27" s="119"/>
      <c r="F27" s="119"/>
      <c r="G27">
        <v>1.2299999594688421E-2</v>
      </c>
      <c r="H27">
        <v>0.1743000000715256</v>
      </c>
      <c r="I27">
        <v>1.1599999852478501E-2</v>
      </c>
      <c r="J27">
        <v>4.7800000756978989E-2</v>
      </c>
      <c r="K27">
        <v>7.1800000965595245E-2</v>
      </c>
      <c r="L27">
        <v>0.30989998579025269</v>
      </c>
      <c r="M27">
        <v>0.13920000195503229</v>
      </c>
      <c r="N27">
        <v>9.2600002884864807E-2</v>
      </c>
    </row>
    <row r="28" spans="1:14" ht="15" x14ac:dyDescent="0.25">
      <c r="A28" s="186"/>
      <c r="B28" s="119">
        <f t="shared" si="2"/>
        <v>23</v>
      </c>
      <c r="C28" s="119" t="s">
        <v>16</v>
      </c>
      <c r="D28" s="119">
        <v>11</v>
      </c>
      <c r="E28" s="119"/>
      <c r="F28" s="119"/>
      <c r="G28">
        <v>2.1199999377131459E-2</v>
      </c>
      <c r="H28">
        <v>0.1832000017166138</v>
      </c>
      <c r="I28">
        <v>1.909999921917915E-2</v>
      </c>
      <c r="J28">
        <v>6.1000000685453408E-2</v>
      </c>
      <c r="K28">
        <v>4.0899999439716339E-2</v>
      </c>
      <c r="L28">
        <v>0.27709999680519098</v>
      </c>
      <c r="M28">
        <v>0.12039999663829801</v>
      </c>
      <c r="N28">
        <v>7.5000002980232239E-2</v>
      </c>
    </row>
    <row r="29" spans="1:14" ht="15" x14ac:dyDescent="0.25">
      <c r="A29" s="186"/>
      <c r="B29" s="119">
        <f t="shared" si="2"/>
        <v>24</v>
      </c>
      <c r="C29" s="119" t="s">
        <v>19</v>
      </c>
      <c r="D29" s="119">
        <v>13.5</v>
      </c>
      <c r="E29" s="119"/>
      <c r="F29" s="119" t="s">
        <v>178</v>
      </c>
      <c r="G29">
        <v>2.239999920129776E-2</v>
      </c>
      <c r="H29">
        <v>0.18440000712871549</v>
      </c>
      <c r="I29">
        <v>2.2099999710917469E-2</v>
      </c>
      <c r="J29">
        <v>6.5099999308586121E-2</v>
      </c>
      <c r="K29">
        <v>3.3700000494718552E-2</v>
      </c>
      <c r="L29">
        <v>0.26039999723434448</v>
      </c>
      <c r="M29">
        <v>9.960000216960907E-2</v>
      </c>
      <c r="N29">
        <v>5.5199999362230301E-2</v>
      </c>
    </row>
    <row r="30" spans="1:14" ht="15" x14ac:dyDescent="0.25">
      <c r="A30" s="186"/>
      <c r="B30" s="119">
        <f t="shared" si="2"/>
        <v>25</v>
      </c>
      <c r="C30" s="119" t="s">
        <v>80</v>
      </c>
      <c r="D30" s="119">
        <v>8</v>
      </c>
      <c r="E30" s="119"/>
      <c r="F30" s="119"/>
      <c r="G30">
        <v>6.5000001341104507E-3</v>
      </c>
      <c r="H30">
        <v>0.16840000450611109</v>
      </c>
      <c r="I30">
        <v>7.6000001281499863E-3</v>
      </c>
      <c r="J30">
        <v>4.7400001436471939E-2</v>
      </c>
      <c r="K30">
        <v>4.7699999064207077E-2</v>
      </c>
      <c r="L30">
        <v>0.2316000014543533</v>
      </c>
      <c r="M30">
        <v>3.5100001841783517E-2</v>
      </c>
      <c r="N30">
        <v>2.27000005543232E-2</v>
      </c>
    </row>
    <row r="31" spans="1:14" ht="15" x14ac:dyDescent="0.25">
      <c r="A31" s="186"/>
      <c r="B31" s="119">
        <f t="shared" si="2"/>
        <v>26</v>
      </c>
      <c r="C31" s="119" t="s">
        <v>37</v>
      </c>
      <c r="D31" s="119">
        <v>4.5</v>
      </c>
      <c r="E31" s="119"/>
      <c r="F31" s="119"/>
      <c r="G31">
        <v>1.579999923706055E-2</v>
      </c>
      <c r="H31">
        <v>0.17779999971389771</v>
      </c>
      <c r="I31">
        <v>1.319999992847443E-2</v>
      </c>
      <c r="J31">
        <v>5.1100000739097602E-2</v>
      </c>
      <c r="K31">
        <v>4.6999998390674591E-2</v>
      </c>
      <c r="L31">
        <v>0.2449000030755997</v>
      </c>
      <c r="M31">
        <v>8.619999885559082E-2</v>
      </c>
      <c r="N31">
        <v>4.5000001788139343E-2</v>
      </c>
    </row>
    <row r="32" spans="1:14" ht="15" x14ac:dyDescent="0.25">
      <c r="A32" s="186"/>
      <c r="B32" s="119">
        <f t="shared" si="2"/>
        <v>27</v>
      </c>
      <c r="C32" s="119" t="s">
        <v>36</v>
      </c>
      <c r="D32" s="119">
        <v>5.5</v>
      </c>
      <c r="E32" s="119"/>
      <c r="F32" s="119"/>
      <c r="G32">
        <v>1.549999974668026E-2</v>
      </c>
      <c r="H32">
        <v>0.177499994635582</v>
      </c>
      <c r="I32">
        <v>1.5900000929832458E-2</v>
      </c>
      <c r="J32">
        <v>4.7200001776218407E-2</v>
      </c>
      <c r="K32">
        <v>4.4199999421834953E-2</v>
      </c>
      <c r="L32">
        <v>0.26910001039504999</v>
      </c>
      <c r="M32">
        <v>0.1182999983429909</v>
      </c>
      <c r="N32">
        <v>7.1999996900558472E-2</v>
      </c>
    </row>
    <row r="33" spans="1:14" ht="15" x14ac:dyDescent="0.25">
      <c r="A33" s="187"/>
      <c r="B33" s="187"/>
      <c r="C33" s="187"/>
      <c r="D33" s="187"/>
      <c r="E33" s="121" t="s">
        <v>92</v>
      </c>
      <c r="F33" s="121"/>
    </row>
    <row r="34" spans="1:14" ht="15" x14ac:dyDescent="0.25">
      <c r="A34" s="186" t="s">
        <v>152</v>
      </c>
      <c r="B34" s="119">
        <f>B32+1</f>
        <v>28</v>
      </c>
      <c r="C34" s="119" t="s">
        <v>36</v>
      </c>
      <c r="D34" s="119">
        <v>5</v>
      </c>
      <c r="E34" s="119"/>
      <c r="F34" s="119"/>
      <c r="G34">
        <v>2.499999944120646E-3</v>
      </c>
      <c r="H34">
        <v>0.16120000183582309</v>
      </c>
      <c r="I34">
        <v>1.940000057220459E-2</v>
      </c>
      <c r="J34">
        <v>3.2900001853704453E-2</v>
      </c>
      <c r="K34">
        <v>3.3700000494718552E-2</v>
      </c>
      <c r="L34">
        <v>0.2581000030040741</v>
      </c>
      <c r="M34">
        <v>7.4600003659725189E-2</v>
      </c>
      <c r="N34">
        <v>3.4099999815225601E-2</v>
      </c>
    </row>
    <row r="35" spans="1:14" ht="15" x14ac:dyDescent="0.25">
      <c r="A35" s="186"/>
      <c r="B35" s="119">
        <f t="shared" ref="B35:B42" si="3">B34+1</f>
        <v>29</v>
      </c>
      <c r="C35" s="119" t="s">
        <v>30</v>
      </c>
      <c r="D35" s="119">
        <v>6</v>
      </c>
      <c r="E35" s="119"/>
      <c r="F35" s="119"/>
      <c r="G35">
        <v>1.8999999389052391E-2</v>
      </c>
      <c r="H35">
        <v>0.1809999942779541</v>
      </c>
      <c r="I35">
        <v>1.6699999570846561E-2</v>
      </c>
      <c r="J35">
        <v>5.1399998366832733E-2</v>
      </c>
      <c r="K35">
        <v>1.9999999552965161E-2</v>
      </c>
      <c r="L35">
        <v>0.26089999079704279</v>
      </c>
      <c r="M35">
        <v>8.1100001931190491E-2</v>
      </c>
      <c r="N35">
        <v>4.050000011920929E-2</v>
      </c>
    </row>
    <row r="36" spans="1:14" ht="15" x14ac:dyDescent="0.25">
      <c r="A36" s="186"/>
      <c r="B36" s="119">
        <f t="shared" si="3"/>
        <v>30</v>
      </c>
      <c r="C36" s="119" t="s">
        <v>21</v>
      </c>
      <c r="D36" s="119">
        <v>5.5</v>
      </c>
      <c r="E36" s="119"/>
      <c r="F36" s="119"/>
      <c r="G36">
        <v>2.3499999195337299E-2</v>
      </c>
      <c r="H36">
        <v>0.18549999594688421</v>
      </c>
      <c r="I36">
        <v>1.9799999892711639E-2</v>
      </c>
      <c r="J36">
        <v>6.1099998652935028E-2</v>
      </c>
      <c r="K36">
        <v>3.3500000834465027E-2</v>
      </c>
      <c r="L36">
        <v>0.23819999396800989</v>
      </c>
      <c r="M36">
        <v>8.7300002574920654E-2</v>
      </c>
      <c r="N36">
        <v>4.2300000786781311E-2</v>
      </c>
    </row>
    <row r="37" spans="1:14" ht="15" x14ac:dyDescent="0.25">
      <c r="A37" s="186"/>
      <c r="B37" s="119">
        <f t="shared" si="3"/>
        <v>31</v>
      </c>
      <c r="C37" s="119" t="s">
        <v>23</v>
      </c>
      <c r="D37" s="119">
        <v>32</v>
      </c>
      <c r="E37" s="119"/>
      <c r="F37" s="119"/>
      <c r="G37">
        <v>8.7999999523162842E-3</v>
      </c>
      <c r="H37">
        <v>0.17080000042915339</v>
      </c>
      <c r="I37">
        <v>9.3999998643994331E-3</v>
      </c>
      <c r="J37">
        <v>4.7600001096725457E-2</v>
      </c>
      <c r="K37">
        <v>2.8400000184774399E-2</v>
      </c>
      <c r="L37">
        <v>0.23139999806880951</v>
      </c>
      <c r="M37">
        <v>6.3600003719329834E-2</v>
      </c>
      <c r="N37">
        <v>2.2900000214576721E-2</v>
      </c>
    </row>
    <row r="38" spans="1:14" ht="15" x14ac:dyDescent="0.25">
      <c r="A38" s="186"/>
      <c r="B38" s="119">
        <f t="shared" si="3"/>
        <v>32</v>
      </c>
      <c r="C38" s="119" t="s">
        <v>21</v>
      </c>
      <c r="D38" s="119">
        <v>3.5</v>
      </c>
      <c r="E38" s="119"/>
      <c r="F38" s="119"/>
      <c r="G38">
        <v>4.6999999321997166E-3</v>
      </c>
      <c r="H38">
        <v>0.1666000038385391</v>
      </c>
      <c r="I38">
        <v>1.3899999670684339E-2</v>
      </c>
      <c r="J38">
        <v>3.9200000464916229E-2</v>
      </c>
      <c r="K38">
        <v>2.569999918341637E-2</v>
      </c>
      <c r="L38">
        <v>0.27559998631477362</v>
      </c>
      <c r="M38">
        <v>0.1008000001311302</v>
      </c>
      <c r="N38">
        <v>5.6000001728534698E-2</v>
      </c>
    </row>
    <row r="39" spans="1:14" ht="15" x14ac:dyDescent="0.25">
      <c r="A39" s="186"/>
      <c r="B39" s="119">
        <f t="shared" si="3"/>
        <v>33</v>
      </c>
      <c r="C39" s="119" t="s">
        <v>66</v>
      </c>
      <c r="D39" s="119">
        <v>3.5</v>
      </c>
      <c r="E39" s="119"/>
      <c r="F39" s="119"/>
      <c r="G39">
        <v>9.6000004559755325E-3</v>
      </c>
      <c r="H39">
        <v>0.1714999973773956</v>
      </c>
      <c r="I39">
        <v>1.200000010430813E-2</v>
      </c>
      <c r="J39">
        <v>4.5600000768899918E-2</v>
      </c>
      <c r="K39">
        <v>4.6599999070167542E-2</v>
      </c>
      <c r="L39">
        <v>0.29370000958442688</v>
      </c>
      <c r="M39">
        <v>9.9399998784065247E-2</v>
      </c>
      <c r="N39">
        <v>5.2700001746416092E-2</v>
      </c>
    </row>
    <row r="40" spans="1:14" ht="15" x14ac:dyDescent="0.25">
      <c r="A40" s="186"/>
      <c r="B40" s="119">
        <f t="shared" si="3"/>
        <v>34</v>
      </c>
      <c r="C40" s="119" t="s">
        <v>17</v>
      </c>
      <c r="D40" s="119">
        <v>6.5</v>
      </c>
      <c r="E40" s="122"/>
      <c r="F40" s="122" t="s">
        <v>179</v>
      </c>
      <c r="G40">
        <v>1.530000008642673E-2</v>
      </c>
      <c r="H40">
        <v>0.1772000044584274</v>
      </c>
      <c r="I40">
        <v>1.429999992251396E-2</v>
      </c>
      <c r="J40">
        <v>5.4200001060962677E-2</v>
      </c>
      <c r="K40">
        <v>4.9199998378753662E-2</v>
      </c>
      <c r="L40">
        <v>0.30149999260902399</v>
      </c>
      <c r="M40">
        <v>9.830000251531601E-2</v>
      </c>
      <c r="N40">
        <v>5.2700001746416092E-2</v>
      </c>
    </row>
    <row r="41" spans="1:14" ht="15" x14ac:dyDescent="0.25">
      <c r="A41" s="186"/>
      <c r="B41" s="119">
        <f t="shared" si="3"/>
        <v>35</v>
      </c>
      <c r="C41" s="119" t="s">
        <v>48</v>
      </c>
      <c r="D41" s="119">
        <v>1</v>
      </c>
      <c r="E41" s="122"/>
      <c r="F41" s="122"/>
      <c r="G41">
        <v>2.3800000548362728E-2</v>
      </c>
      <c r="H41">
        <v>0.18580000102519989</v>
      </c>
      <c r="I41">
        <v>1.9500000402331349E-2</v>
      </c>
      <c r="J41">
        <v>6.0199998319149017E-2</v>
      </c>
      <c r="K41">
        <v>8.1799998879432678E-2</v>
      </c>
      <c r="L41">
        <v>0.33809998631477362</v>
      </c>
      <c r="M41">
        <v>0.13259999454021451</v>
      </c>
      <c r="N41">
        <v>8.7099999189376831E-2</v>
      </c>
    </row>
    <row r="42" spans="1:14" ht="15" x14ac:dyDescent="0.25">
      <c r="A42" s="186"/>
      <c r="B42" s="123">
        <f t="shared" si="3"/>
        <v>36</v>
      </c>
      <c r="C42" s="123" t="s">
        <v>24</v>
      </c>
      <c r="D42" s="123">
        <v>5</v>
      </c>
      <c r="E42" s="124"/>
      <c r="F42" s="124"/>
      <c r="G42">
        <v>1.4200000092387199E-2</v>
      </c>
      <c r="H42">
        <v>0.17620000243186951</v>
      </c>
      <c r="I42">
        <v>1.6699999570846561E-2</v>
      </c>
      <c r="J42">
        <v>4.5000001788139343E-2</v>
      </c>
      <c r="K42">
        <v>7.0500001311302185E-2</v>
      </c>
      <c r="L42">
        <v>0.32539999485015869</v>
      </c>
      <c r="M42">
        <v>0.15579999983310699</v>
      </c>
      <c r="N42">
        <v>0.10939999669790269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1" sqref="G1:N44"/>
    </sheetView>
  </sheetViews>
  <sheetFormatPr baseColWidth="10" defaultColWidth="8.88671875" defaultRowHeight="13.2" x14ac:dyDescent="0.25"/>
  <sheetData>
    <row r="1" spans="1:14" ht="17.399999999999999" x14ac:dyDescent="0.25">
      <c r="G1" s="183" t="s">
        <v>0</v>
      </c>
      <c r="H1" s="183"/>
      <c r="I1" s="183"/>
      <c r="J1" s="183"/>
      <c r="K1" s="183"/>
      <c r="L1" s="183"/>
      <c r="M1" s="183"/>
      <c r="N1" s="183"/>
    </row>
    <row r="2" spans="1:14" ht="17.399999999999999" x14ac:dyDescent="0.25">
      <c r="G2" s="184" t="s">
        <v>1</v>
      </c>
      <c r="H2" s="184"/>
      <c r="I2" s="185" t="s">
        <v>2</v>
      </c>
      <c r="J2" s="185"/>
      <c r="K2" s="185" t="s">
        <v>3</v>
      </c>
      <c r="L2" s="185"/>
      <c r="M2" s="185" t="s">
        <v>4</v>
      </c>
      <c r="N2" s="185"/>
    </row>
    <row r="3" spans="1:14" ht="17.399999999999999" x14ac:dyDescent="0.3">
      <c r="A3" s="117" t="s">
        <v>5</v>
      </c>
      <c r="B3" s="117" t="s">
        <v>6</v>
      </c>
      <c r="C3" s="117" t="s">
        <v>7</v>
      </c>
      <c r="D3" s="117" t="s">
        <v>8</v>
      </c>
      <c r="E3" s="117" t="s">
        <v>317</v>
      </c>
      <c r="F3" s="117" t="s">
        <v>10</v>
      </c>
      <c r="G3" s="118" t="s">
        <v>11</v>
      </c>
      <c r="H3" s="117" t="s">
        <v>12</v>
      </c>
      <c r="I3" s="117" t="s">
        <v>11</v>
      </c>
      <c r="J3" s="117" t="s">
        <v>12</v>
      </c>
      <c r="K3" s="117" t="s">
        <v>11</v>
      </c>
      <c r="L3" s="117" t="s">
        <v>12</v>
      </c>
      <c r="M3" s="117" t="s">
        <v>11</v>
      </c>
      <c r="N3" s="117" t="s">
        <v>12</v>
      </c>
    </row>
    <row r="4" spans="1:14" ht="15" x14ac:dyDescent="0.25">
      <c r="A4" s="186" t="s">
        <v>152</v>
      </c>
      <c r="B4" s="119">
        <v>1</v>
      </c>
      <c r="C4" s="119" t="s">
        <v>26</v>
      </c>
      <c r="D4" s="119">
        <v>12</v>
      </c>
      <c r="E4" s="119" t="s">
        <v>318</v>
      </c>
      <c r="F4" s="119"/>
      <c r="G4">
        <v>8.39999970048666E-3</v>
      </c>
      <c r="H4">
        <v>0.15369999408721921</v>
      </c>
      <c r="I4">
        <v>7.0000002160668373E-3</v>
      </c>
      <c r="J4">
        <v>3.6800000816583633E-2</v>
      </c>
      <c r="K4">
        <v>7.6999999582767487E-2</v>
      </c>
      <c r="L4">
        <v>0.19529999792575839</v>
      </c>
      <c r="M4">
        <v>0.1026000007987022</v>
      </c>
      <c r="N4">
        <v>0.14810000360012049</v>
      </c>
    </row>
    <row r="5" spans="1:14" ht="15" x14ac:dyDescent="0.25">
      <c r="A5" s="186"/>
      <c r="B5" s="119">
        <f t="shared" ref="B5:B12" si="0">B4+1</f>
        <v>2</v>
      </c>
      <c r="C5" s="120" t="s">
        <v>43</v>
      </c>
      <c r="D5" s="119">
        <v>17.5</v>
      </c>
      <c r="E5" s="119"/>
      <c r="F5" s="119"/>
      <c r="G5">
        <v>1.0599999688565729E-2</v>
      </c>
      <c r="H5">
        <v>0.15139999985694891</v>
      </c>
      <c r="I5">
        <v>9.3999998643994331E-3</v>
      </c>
      <c r="J5">
        <v>3.4400001168251038E-2</v>
      </c>
      <c r="K5">
        <v>0.124099999666214</v>
      </c>
      <c r="L5">
        <v>0.3003000020980835</v>
      </c>
      <c r="M5">
        <v>8.7499998509883881E-2</v>
      </c>
      <c r="N5">
        <v>0.13400000333786011</v>
      </c>
    </row>
    <row r="6" spans="1:14" ht="15" x14ac:dyDescent="0.25">
      <c r="A6" s="186"/>
      <c r="B6" s="119">
        <f t="shared" si="0"/>
        <v>3</v>
      </c>
      <c r="C6" s="119" t="s">
        <v>34</v>
      </c>
      <c r="D6" s="119">
        <v>15</v>
      </c>
      <c r="E6" s="119"/>
      <c r="F6" s="119"/>
      <c r="G6">
        <v>1.8500000238418579E-2</v>
      </c>
      <c r="H6">
        <v>0.14360000193119049</v>
      </c>
      <c r="I6">
        <v>1.7899999395012859E-2</v>
      </c>
      <c r="J6">
        <v>2.60000005364418E-2</v>
      </c>
      <c r="K6">
        <v>0.11370000243186951</v>
      </c>
      <c r="L6">
        <v>0.29089999198913569</v>
      </c>
      <c r="M6">
        <v>7.6499998569488525E-2</v>
      </c>
      <c r="N6">
        <v>0.1229000017046928</v>
      </c>
    </row>
    <row r="7" spans="1:14" ht="15" x14ac:dyDescent="0.25">
      <c r="A7" s="186"/>
      <c r="B7" s="119">
        <f t="shared" si="0"/>
        <v>4</v>
      </c>
      <c r="C7" s="119" t="s">
        <v>33</v>
      </c>
      <c r="D7" s="119">
        <v>29</v>
      </c>
      <c r="E7" s="119"/>
      <c r="F7" s="119"/>
      <c r="G7">
        <v>3.0300000682473179E-2</v>
      </c>
      <c r="H7">
        <v>0.13179999589920041</v>
      </c>
      <c r="I7">
        <v>2.9500000178813931E-2</v>
      </c>
      <c r="J7">
        <v>1.4399999752640721E-2</v>
      </c>
      <c r="K7">
        <v>4.5699998736381531E-2</v>
      </c>
      <c r="L7">
        <v>0.25510001182556152</v>
      </c>
      <c r="M7">
        <v>5.5199999362230301E-2</v>
      </c>
      <c r="N7">
        <v>0.10199999809265139</v>
      </c>
    </row>
    <row r="8" spans="1:14" ht="15" x14ac:dyDescent="0.25">
      <c r="A8" s="186"/>
      <c r="B8" s="119">
        <f t="shared" si="0"/>
        <v>5</v>
      </c>
      <c r="C8" s="119" t="s">
        <v>16</v>
      </c>
      <c r="D8" s="119">
        <v>10.5</v>
      </c>
      <c r="E8" s="119"/>
      <c r="F8" s="119"/>
      <c r="G8">
        <v>2.899999963119626E-3</v>
      </c>
      <c r="H8">
        <v>0.1590999960899353</v>
      </c>
      <c r="I8">
        <v>7.9999997979030013E-4</v>
      </c>
      <c r="J8">
        <v>4.4500000774860382E-2</v>
      </c>
      <c r="K8">
        <v>4.1299998760223389E-2</v>
      </c>
      <c r="L8">
        <v>0.23989999294281009</v>
      </c>
      <c r="M8">
        <v>3.4600000828504562E-2</v>
      </c>
      <c r="N8">
        <v>7.980000227689743E-2</v>
      </c>
    </row>
    <row r="9" spans="1:14" ht="15" x14ac:dyDescent="0.25">
      <c r="A9" s="186"/>
      <c r="B9" s="119">
        <f t="shared" si="0"/>
        <v>6</v>
      </c>
      <c r="C9" s="119" t="s">
        <v>70</v>
      </c>
      <c r="D9" s="119">
        <v>7.5</v>
      </c>
      <c r="E9" s="119"/>
      <c r="F9" s="119"/>
      <c r="G9">
        <v>1.5900000929832458E-2</v>
      </c>
      <c r="H9">
        <v>0.17790000140666959</v>
      </c>
      <c r="I9">
        <v>1.6899999231100079E-2</v>
      </c>
      <c r="J9">
        <v>6.0300000011920929E-2</v>
      </c>
      <c r="K9">
        <v>1.3700000010430809E-2</v>
      </c>
      <c r="L9">
        <v>0.2449000030755997</v>
      </c>
      <c r="M9">
        <v>1.4399999752640721E-2</v>
      </c>
      <c r="N9">
        <v>6.1700001358985901E-2</v>
      </c>
    </row>
    <row r="10" spans="1:14" ht="15" x14ac:dyDescent="0.25">
      <c r="A10" s="186"/>
      <c r="B10" s="119">
        <f t="shared" si="0"/>
        <v>7</v>
      </c>
      <c r="C10" s="119" t="s">
        <v>103</v>
      </c>
      <c r="D10" s="119">
        <v>50</v>
      </c>
      <c r="E10" s="119"/>
      <c r="F10" s="119" t="s">
        <v>180</v>
      </c>
      <c r="G10">
        <v>2.099999925121665E-3</v>
      </c>
      <c r="H10">
        <v>0.1641999930143356</v>
      </c>
      <c r="I10">
        <v>1.1599999852478501E-2</v>
      </c>
      <c r="J10">
        <v>3.7999998778104782E-2</v>
      </c>
      <c r="K10">
        <v>0.1032999977469444</v>
      </c>
      <c r="L10">
        <v>0.32929998636245728</v>
      </c>
      <c r="M10">
        <v>1.9999999552965161E-2</v>
      </c>
      <c r="N10">
        <v>6.5600000321865082E-2</v>
      </c>
    </row>
    <row r="11" spans="1:14" ht="15" x14ac:dyDescent="0.25">
      <c r="A11" s="186"/>
      <c r="B11" s="119">
        <f t="shared" si="0"/>
        <v>8</v>
      </c>
      <c r="C11" s="119" t="s">
        <v>14</v>
      </c>
      <c r="D11" s="119">
        <v>49</v>
      </c>
      <c r="E11" s="119"/>
      <c r="F11" s="119"/>
      <c r="G11">
        <v>1.6599999740719799E-2</v>
      </c>
      <c r="H11">
        <v>0.1455000042915344</v>
      </c>
      <c r="I11">
        <v>2.3900000378489491E-2</v>
      </c>
      <c r="J11">
        <v>2.10999995470047E-2</v>
      </c>
      <c r="K11">
        <v>8.5100002586841583E-2</v>
      </c>
      <c r="L11">
        <v>0.32179999351501459</v>
      </c>
      <c r="M11">
        <v>1.740000024437904E-2</v>
      </c>
      <c r="N11">
        <v>6.4800001680850983E-2</v>
      </c>
    </row>
    <row r="12" spans="1:14" ht="15" x14ac:dyDescent="0.25">
      <c r="A12" s="186"/>
      <c r="B12" s="119">
        <f t="shared" si="0"/>
        <v>9</v>
      </c>
      <c r="C12" s="119" t="s">
        <v>96</v>
      </c>
      <c r="D12" s="119">
        <v>10.5</v>
      </c>
      <c r="E12" s="119"/>
      <c r="F12" s="119"/>
      <c r="G12">
        <v>2.730000019073486E-2</v>
      </c>
      <c r="H12">
        <v>0.13470000028610229</v>
      </c>
      <c r="I12">
        <v>3.6200001835823059E-2</v>
      </c>
      <c r="J12">
        <v>8.500000461935997E-3</v>
      </c>
      <c r="K12">
        <v>1.810000091791153E-2</v>
      </c>
      <c r="L12">
        <v>0.24120000004768369</v>
      </c>
      <c r="M12">
        <v>2.2099999710917469E-2</v>
      </c>
      <c r="N12">
        <v>6.8400003015995026E-2</v>
      </c>
    </row>
    <row r="13" spans="1:14" ht="15" x14ac:dyDescent="0.25">
      <c r="A13" s="187"/>
      <c r="B13" s="187"/>
      <c r="C13" s="187"/>
      <c r="D13" s="187"/>
      <c r="E13" s="121" t="s">
        <v>92</v>
      </c>
      <c r="F13" s="121"/>
    </row>
    <row r="14" spans="1:14" ht="15" x14ac:dyDescent="0.25">
      <c r="A14" s="186" t="s">
        <v>152</v>
      </c>
      <c r="B14" s="119">
        <f>B12+1</f>
        <v>10</v>
      </c>
      <c r="C14" s="119" t="s">
        <v>23</v>
      </c>
      <c r="D14" s="119">
        <v>17.5</v>
      </c>
      <c r="E14" s="119"/>
      <c r="F14" s="119"/>
      <c r="G14">
        <v>5.7999999262392521E-3</v>
      </c>
      <c r="H14">
        <v>0.1677999943494797</v>
      </c>
      <c r="I14">
        <v>1.0099999606609339E-2</v>
      </c>
      <c r="J14">
        <v>5.3899999707937241E-2</v>
      </c>
      <c r="K14">
        <v>0.14519999921321869</v>
      </c>
      <c r="L14">
        <v>0.35249999165534968</v>
      </c>
      <c r="M14">
        <v>4.479999840259552E-2</v>
      </c>
      <c r="N14">
        <v>9.0000003576278687E-2</v>
      </c>
    </row>
    <row r="15" spans="1:14" ht="15" x14ac:dyDescent="0.25">
      <c r="A15" s="186"/>
      <c r="B15" s="119">
        <f t="shared" ref="B15:B22" si="1">B14+1</f>
        <v>11</v>
      </c>
      <c r="C15" s="119" t="s">
        <v>40</v>
      </c>
      <c r="D15" s="119">
        <v>27</v>
      </c>
      <c r="E15" s="119"/>
      <c r="F15" s="119"/>
      <c r="G15">
        <v>9.6000004559755325E-3</v>
      </c>
      <c r="H15">
        <v>0.17159999907016751</v>
      </c>
      <c r="I15">
        <v>1.429999992251396E-2</v>
      </c>
      <c r="J15">
        <v>5.8100000023841858E-2</v>
      </c>
      <c r="K15">
        <v>0.1032000035047531</v>
      </c>
      <c r="L15">
        <v>0.31150001287460333</v>
      </c>
      <c r="M15">
        <v>3.5700000822544098E-2</v>
      </c>
      <c r="N15">
        <v>7.2400003671646118E-2</v>
      </c>
    </row>
    <row r="16" spans="1:14" ht="15" x14ac:dyDescent="0.25">
      <c r="A16" s="186"/>
      <c r="B16" s="119">
        <f t="shared" si="1"/>
        <v>12</v>
      </c>
      <c r="C16" s="119" t="s">
        <v>14</v>
      </c>
      <c r="D16" s="119">
        <v>27</v>
      </c>
      <c r="E16" s="119"/>
      <c r="F16" s="129"/>
      <c r="G16">
        <v>1.8500000238418579E-2</v>
      </c>
      <c r="H16">
        <v>0.18050000071525571</v>
      </c>
      <c r="I16">
        <v>1.610000059008598E-2</v>
      </c>
      <c r="J16">
        <v>5.8800000697374337E-2</v>
      </c>
      <c r="K16">
        <v>5.6600000709295273E-2</v>
      </c>
      <c r="L16">
        <v>0.2581000030040741</v>
      </c>
      <c r="M16">
        <v>3.9500001817941673E-2</v>
      </c>
      <c r="N16">
        <v>8.4799997508525848E-2</v>
      </c>
    </row>
    <row r="17" spans="1:14" ht="15" x14ac:dyDescent="0.25">
      <c r="A17" s="186"/>
      <c r="B17" s="119">
        <f t="shared" si="1"/>
        <v>13</v>
      </c>
      <c r="C17" s="119" t="s">
        <v>14</v>
      </c>
      <c r="D17" s="119">
        <v>30</v>
      </c>
      <c r="E17" s="119"/>
      <c r="F17" s="119"/>
      <c r="G17">
        <v>1.269999984651804E-2</v>
      </c>
      <c r="H17">
        <v>0.14939999580383301</v>
      </c>
      <c r="I17">
        <v>1.4200000092387199E-2</v>
      </c>
      <c r="J17">
        <v>2.9799999669194221E-2</v>
      </c>
      <c r="K17">
        <v>7.8800000250339508E-2</v>
      </c>
      <c r="L17">
        <v>0.31369999051094061</v>
      </c>
      <c r="M17">
        <v>1.449999958276749E-2</v>
      </c>
      <c r="N17">
        <v>3.3300001174211502E-2</v>
      </c>
    </row>
    <row r="18" spans="1:14" ht="15" x14ac:dyDescent="0.25">
      <c r="A18" s="186"/>
      <c r="B18" s="119">
        <f t="shared" si="1"/>
        <v>14</v>
      </c>
      <c r="C18" s="119" t="s">
        <v>17</v>
      </c>
      <c r="D18" s="119">
        <v>9</v>
      </c>
      <c r="E18" s="119"/>
      <c r="F18" s="119"/>
      <c r="G18">
        <v>1.049999985843897E-2</v>
      </c>
      <c r="H18">
        <v>0.15150000154972079</v>
      </c>
      <c r="I18">
        <v>1.2099999934434891E-2</v>
      </c>
      <c r="J18">
        <v>3.2000001519918442E-2</v>
      </c>
      <c r="K18">
        <v>6.4400002360343933E-2</v>
      </c>
      <c r="L18">
        <v>0.1953999996185303</v>
      </c>
      <c r="M18">
        <v>2.5100000202655789E-2</v>
      </c>
      <c r="N18">
        <v>6.1900001019239433E-2</v>
      </c>
    </row>
    <row r="19" spans="1:14" ht="15" x14ac:dyDescent="0.25">
      <c r="A19" s="186"/>
      <c r="B19" s="119">
        <f t="shared" si="1"/>
        <v>15</v>
      </c>
      <c r="C19" s="119" t="s">
        <v>37</v>
      </c>
      <c r="D19" s="119">
        <v>5</v>
      </c>
      <c r="E19" s="119"/>
      <c r="F19" s="119"/>
      <c r="G19">
        <v>7.3000001721084118E-3</v>
      </c>
      <c r="H19">
        <v>0.15469999611377719</v>
      </c>
      <c r="I19">
        <v>7.8999996185302734E-3</v>
      </c>
      <c r="J19">
        <v>3.6200001835823059E-2</v>
      </c>
      <c r="K19">
        <v>5.2499998360872269E-2</v>
      </c>
      <c r="L19">
        <v>0.2186000049114227</v>
      </c>
      <c r="M19">
        <v>1.9799999892711639E-2</v>
      </c>
      <c r="N19">
        <v>3.5399999469518661E-2</v>
      </c>
    </row>
    <row r="20" spans="1:14" ht="15" x14ac:dyDescent="0.25">
      <c r="A20" s="186"/>
      <c r="B20" s="119">
        <f t="shared" si="1"/>
        <v>16</v>
      </c>
      <c r="C20" s="119" t="s">
        <v>45</v>
      </c>
      <c r="D20" s="119">
        <v>5</v>
      </c>
      <c r="E20" s="119"/>
      <c r="F20" s="119"/>
      <c r="G20">
        <v>6.0000000521540642E-3</v>
      </c>
      <c r="H20">
        <v>0.15600000321865079</v>
      </c>
      <c r="I20">
        <v>1.30000002682209E-2</v>
      </c>
      <c r="J20">
        <v>3.2900001853704453E-2</v>
      </c>
      <c r="K20">
        <v>3.6899998784065247E-2</v>
      </c>
      <c r="L20">
        <v>0.27709999680519098</v>
      </c>
      <c r="M20">
        <v>3.4000001847743988E-2</v>
      </c>
      <c r="N20">
        <v>1.6000000759959221E-2</v>
      </c>
    </row>
    <row r="21" spans="1:14" ht="15" x14ac:dyDescent="0.25">
      <c r="A21" s="186"/>
      <c r="B21" s="119">
        <f t="shared" si="1"/>
        <v>17</v>
      </c>
      <c r="C21" s="119" t="s">
        <v>141</v>
      </c>
      <c r="D21" s="119">
        <v>10</v>
      </c>
      <c r="E21" s="119"/>
      <c r="F21" s="119"/>
      <c r="G21">
        <v>4.3999999761581421E-3</v>
      </c>
      <c r="H21">
        <v>0.1577000021934509</v>
      </c>
      <c r="I21">
        <v>1.710000075399876E-2</v>
      </c>
      <c r="J21">
        <v>3.1099999323487278E-2</v>
      </c>
      <c r="K21">
        <v>3.1500000506639481E-2</v>
      </c>
      <c r="L21">
        <v>0.25749999284744263</v>
      </c>
      <c r="M21">
        <v>3.4099999815225601E-2</v>
      </c>
      <c r="N21">
        <v>3.2499998807907098E-2</v>
      </c>
    </row>
    <row r="22" spans="1:14" ht="15" x14ac:dyDescent="0.25">
      <c r="A22" s="186"/>
      <c r="B22" s="119">
        <f t="shared" si="1"/>
        <v>18</v>
      </c>
      <c r="C22" s="119" t="s">
        <v>103</v>
      </c>
      <c r="D22" s="119">
        <v>50</v>
      </c>
      <c r="E22" s="119"/>
      <c r="F22" s="119" t="s">
        <v>180</v>
      </c>
      <c r="G22">
        <v>2.6100000366568569E-2</v>
      </c>
      <c r="H22">
        <v>0.13590000569820401</v>
      </c>
      <c r="I22">
        <v>2.690000087022781E-2</v>
      </c>
      <c r="J22">
        <v>1.710000075399876E-2</v>
      </c>
      <c r="K22">
        <v>3.359999880194664E-2</v>
      </c>
      <c r="L22">
        <v>0.25450000166893011</v>
      </c>
      <c r="M22">
        <v>2.2900000214576721E-2</v>
      </c>
      <c r="N22">
        <v>4.1499998420476913E-2</v>
      </c>
    </row>
    <row r="23" spans="1:14" ht="15" x14ac:dyDescent="0.25">
      <c r="A23" s="187"/>
      <c r="B23" s="187"/>
      <c r="C23" s="187"/>
      <c r="D23" s="187"/>
      <c r="E23" s="121" t="s">
        <v>165</v>
      </c>
      <c r="F23" s="121" t="s">
        <v>175</v>
      </c>
    </row>
    <row r="24" spans="1:14" ht="15" x14ac:dyDescent="0.25">
      <c r="A24" s="186" t="s">
        <v>152</v>
      </c>
      <c r="B24" s="119">
        <f>B22+1</f>
        <v>19</v>
      </c>
      <c r="C24" s="119" t="s">
        <v>103</v>
      </c>
      <c r="D24" s="119">
        <v>50</v>
      </c>
      <c r="E24" s="119"/>
      <c r="F24" s="119" t="s">
        <v>169</v>
      </c>
      <c r="G24">
        <v>8.7999999523162842E-3</v>
      </c>
      <c r="H24">
        <v>0.17080000042915339</v>
      </c>
      <c r="I24">
        <v>8.7999999523162842E-3</v>
      </c>
      <c r="J24">
        <v>5.1199998706579208E-2</v>
      </c>
      <c r="K24">
        <v>2.239999920129776E-2</v>
      </c>
      <c r="L24">
        <v>0.26210001111030579</v>
      </c>
      <c r="M24">
        <v>4.3299999088048928E-2</v>
      </c>
      <c r="N24">
        <v>4.999999888241291E-3</v>
      </c>
    </row>
    <row r="25" spans="1:14" ht="15" x14ac:dyDescent="0.25">
      <c r="A25" s="186"/>
      <c r="B25" s="119">
        <f t="shared" ref="B25:B32" si="2">B24+1</f>
        <v>20</v>
      </c>
      <c r="C25" s="119" t="s">
        <v>62</v>
      </c>
      <c r="D25" s="119">
        <v>4.5</v>
      </c>
      <c r="E25" s="119"/>
      <c r="F25" s="119"/>
      <c r="G25">
        <v>4.0000001899898052E-3</v>
      </c>
      <c r="H25">
        <v>0.16599999368190771</v>
      </c>
      <c r="I25">
        <v>5.7999999262392521E-3</v>
      </c>
      <c r="J25">
        <v>4.4900000095367432E-2</v>
      </c>
      <c r="K25">
        <v>3.8699999451637268E-2</v>
      </c>
      <c r="L25">
        <v>0.26530000567436218</v>
      </c>
      <c r="M25">
        <v>6.7000001668930054E-2</v>
      </c>
      <c r="N25">
        <v>2.070000022649765E-2</v>
      </c>
    </row>
    <row r="26" spans="1:14" ht="15" x14ac:dyDescent="0.25">
      <c r="A26" s="186"/>
      <c r="B26" s="119">
        <f t="shared" si="2"/>
        <v>21</v>
      </c>
      <c r="C26" s="119" t="s">
        <v>34</v>
      </c>
      <c r="D26" s="119">
        <v>11.5</v>
      </c>
      <c r="E26" s="119"/>
      <c r="F26" s="119"/>
      <c r="G26">
        <v>1.099999994039536E-2</v>
      </c>
      <c r="H26">
        <v>0.1730999946594238</v>
      </c>
      <c r="I26">
        <v>1.030000019818544E-2</v>
      </c>
      <c r="J26">
        <v>5.1899999380111687E-2</v>
      </c>
      <c r="K26">
        <v>7.0600003004074097E-2</v>
      </c>
      <c r="L26">
        <v>0.31670001149177551</v>
      </c>
      <c r="M26">
        <v>7.4199996888637543E-2</v>
      </c>
      <c r="N26">
        <v>2.9699999839067459E-2</v>
      </c>
    </row>
    <row r="27" spans="1:14" ht="15" x14ac:dyDescent="0.25">
      <c r="A27" s="186"/>
      <c r="B27" s="119">
        <f t="shared" si="2"/>
        <v>22</v>
      </c>
      <c r="C27" s="119" t="s">
        <v>37</v>
      </c>
      <c r="D27" s="119">
        <v>5.5</v>
      </c>
      <c r="E27" s="119"/>
      <c r="F27" s="119"/>
      <c r="G27">
        <v>2.199999988079071E-3</v>
      </c>
      <c r="H27">
        <v>0.16019999980926511</v>
      </c>
      <c r="I27">
        <v>4.8000002279877663E-3</v>
      </c>
      <c r="J27">
        <v>4.1299998760223389E-2</v>
      </c>
      <c r="K27">
        <v>5.9799998998641968E-2</v>
      </c>
      <c r="L27">
        <v>0.26679998636245728</v>
      </c>
      <c r="M27">
        <v>9.2799998819828033E-2</v>
      </c>
      <c r="N27">
        <v>4.6500001102685928E-2</v>
      </c>
    </row>
    <row r="28" spans="1:14" ht="15" x14ac:dyDescent="0.25">
      <c r="A28" s="186"/>
      <c r="B28" s="119">
        <f t="shared" si="2"/>
        <v>23</v>
      </c>
      <c r="C28" s="119" t="s">
        <v>76</v>
      </c>
      <c r="D28" s="119">
        <v>15</v>
      </c>
      <c r="E28" s="119"/>
      <c r="F28" s="119"/>
      <c r="G28">
        <v>3.3100001513957977E-2</v>
      </c>
      <c r="H28">
        <v>0.12890000641345981</v>
      </c>
      <c r="I28">
        <v>4.1700001806020737E-2</v>
      </c>
      <c r="J28">
        <v>4.1000000201165676E-3</v>
      </c>
      <c r="K28">
        <v>6.0600001364946372E-2</v>
      </c>
      <c r="L28">
        <v>0.2840999960899353</v>
      </c>
      <c r="M28">
        <v>7.5800001621246338E-2</v>
      </c>
      <c r="N28">
        <v>2.96000000089407E-2</v>
      </c>
    </row>
    <row r="29" spans="1:14" ht="15" x14ac:dyDescent="0.25">
      <c r="A29" s="186"/>
      <c r="B29" s="119">
        <f t="shared" si="2"/>
        <v>24</v>
      </c>
      <c r="C29" s="119" t="s">
        <v>59</v>
      </c>
      <c r="D29" s="119">
        <v>13</v>
      </c>
      <c r="E29" s="119"/>
      <c r="F29" s="119"/>
      <c r="G29">
        <v>1.119999960064888E-2</v>
      </c>
      <c r="H29">
        <v>0.1508000046014786</v>
      </c>
      <c r="I29">
        <v>9.3999998643994331E-3</v>
      </c>
      <c r="J29">
        <v>3.4400001168251038E-2</v>
      </c>
      <c r="K29">
        <v>0.11299999803304669</v>
      </c>
      <c r="L29">
        <v>0.33460000157356262</v>
      </c>
      <c r="M29">
        <v>7.6099999248981476E-2</v>
      </c>
      <c r="N29">
        <v>3.2900001853704453E-2</v>
      </c>
    </row>
    <row r="30" spans="1:14" ht="15" x14ac:dyDescent="0.25">
      <c r="A30" s="186"/>
      <c r="B30" s="119">
        <f t="shared" si="2"/>
        <v>25</v>
      </c>
      <c r="C30" s="119" t="s">
        <v>51</v>
      </c>
      <c r="D30" s="119">
        <v>9</v>
      </c>
      <c r="E30" s="119"/>
      <c r="F30" s="119"/>
      <c r="G30">
        <v>1.169999968260527E-2</v>
      </c>
      <c r="H30">
        <v>0.1737000048160553</v>
      </c>
      <c r="I30">
        <v>1.18000004440546E-2</v>
      </c>
      <c r="J30">
        <v>5.469999834895134E-2</v>
      </c>
      <c r="K30">
        <v>5.1899999380111687E-2</v>
      </c>
      <c r="L30">
        <v>0.23929999768733981</v>
      </c>
      <c r="M30">
        <v>9.0000003576278687E-2</v>
      </c>
      <c r="N30">
        <v>4.8399999737739563E-2</v>
      </c>
    </row>
    <row r="31" spans="1:14" ht="15" x14ac:dyDescent="0.25">
      <c r="A31" s="186"/>
      <c r="B31" s="119">
        <f t="shared" si="2"/>
        <v>26</v>
      </c>
      <c r="C31" s="119" t="s">
        <v>69</v>
      </c>
      <c r="D31" s="119">
        <v>11</v>
      </c>
      <c r="E31" s="119"/>
      <c r="F31" s="119"/>
      <c r="G31">
        <v>1.250000018626451E-2</v>
      </c>
      <c r="H31">
        <v>0.14949999749660489</v>
      </c>
      <c r="I31">
        <v>1.2400000356137751E-2</v>
      </c>
      <c r="J31">
        <v>3.1500000506639481E-2</v>
      </c>
      <c r="K31">
        <v>6.3000001013278961E-2</v>
      </c>
      <c r="L31">
        <v>0.258899986743927</v>
      </c>
      <c r="M31">
        <v>8.9900001883506775E-2</v>
      </c>
      <c r="N31">
        <v>4.6000000089406967E-2</v>
      </c>
    </row>
    <row r="32" spans="1:14" ht="15" x14ac:dyDescent="0.25">
      <c r="A32" s="186"/>
      <c r="B32" s="119">
        <f t="shared" si="2"/>
        <v>27</v>
      </c>
      <c r="C32" s="119" t="s">
        <v>25</v>
      </c>
      <c r="D32" s="119">
        <v>13.5</v>
      </c>
      <c r="E32" s="119"/>
      <c r="F32" s="119"/>
      <c r="G32">
        <v>2.9799999669194221E-2</v>
      </c>
      <c r="H32">
        <v>0.13220000267028811</v>
      </c>
      <c r="I32">
        <v>2.7899999171495441E-2</v>
      </c>
      <c r="J32">
        <v>1.6499999910593029E-2</v>
      </c>
      <c r="K32">
        <v>9.3299999833106995E-2</v>
      </c>
      <c r="L32">
        <v>0.33320000767707819</v>
      </c>
      <c r="M32">
        <v>8.8600002229213715E-2</v>
      </c>
      <c r="N32">
        <v>4.349999874830246E-2</v>
      </c>
    </row>
    <row r="33" spans="1:14" ht="15" x14ac:dyDescent="0.25">
      <c r="A33" s="187"/>
      <c r="B33" s="187"/>
      <c r="C33" s="187"/>
      <c r="D33" s="187"/>
      <c r="E33" s="121" t="s">
        <v>165</v>
      </c>
      <c r="F33" s="121" t="s">
        <v>181</v>
      </c>
    </row>
    <row r="34" spans="1:14" ht="15" x14ac:dyDescent="0.25">
      <c r="A34" s="186" t="s">
        <v>152</v>
      </c>
      <c r="B34" s="119">
        <f>B32+1</f>
        <v>28</v>
      </c>
      <c r="C34" s="119" t="s">
        <v>18</v>
      </c>
      <c r="D34" s="119">
        <v>15.5</v>
      </c>
      <c r="E34" s="119"/>
      <c r="F34" s="119"/>
      <c r="G34">
        <v>2.79999990016222E-3</v>
      </c>
      <c r="H34">
        <v>0.16470000147819519</v>
      </c>
      <c r="I34">
        <v>1.070000045001507E-2</v>
      </c>
      <c r="J34">
        <v>3.970000147819519E-2</v>
      </c>
      <c r="K34">
        <v>4.9899999052286148E-2</v>
      </c>
      <c r="L34">
        <v>0.29280000925064092</v>
      </c>
      <c r="M34">
        <v>5.4600000381469727E-2</v>
      </c>
      <c r="N34">
        <v>1.6699999570846561E-2</v>
      </c>
    </row>
    <row r="35" spans="1:14" ht="15" x14ac:dyDescent="0.25">
      <c r="A35" s="186"/>
      <c r="B35" s="119">
        <f t="shared" ref="B35:B42" si="3">B34+1</f>
        <v>29</v>
      </c>
      <c r="C35" s="119" t="s">
        <v>25</v>
      </c>
      <c r="D35" s="119">
        <v>15.5</v>
      </c>
      <c r="E35" s="119"/>
      <c r="F35" s="119"/>
      <c r="G35">
        <v>5.7000000961124897E-3</v>
      </c>
      <c r="H35">
        <v>0.16769999265670779</v>
      </c>
      <c r="I35">
        <v>6.3000000081956387E-3</v>
      </c>
      <c r="J35">
        <v>4.5400001108646393E-2</v>
      </c>
      <c r="K35">
        <v>3.4699998795986182E-2</v>
      </c>
      <c r="L35">
        <v>0.25350001454353333</v>
      </c>
      <c r="M35">
        <v>7.4500001966953278E-2</v>
      </c>
      <c r="N35">
        <v>3.6400001496076577E-2</v>
      </c>
    </row>
    <row r="36" spans="1:14" ht="15" x14ac:dyDescent="0.25">
      <c r="A36" s="186"/>
      <c r="B36" s="119">
        <f t="shared" si="3"/>
        <v>30</v>
      </c>
      <c r="C36" s="119" t="s">
        <v>62</v>
      </c>
      <c r="D36" s="119">
        <v>7</v>
      </c>
      <c r="E36" s="119"/>
      <c r="F36" s="119"/>
      <c r="G36">
        <v>1.0099999606609339E-2</v>
      </c>
      <c r="H36">
        <v>0.1519999951124191</v>
      </c>
      <c r="I36">
        <v>2.4700000882148739E-2</v>
      </c>
      <c r="J36">
        <v>2.339999936521053E-2</v>
      </c>
      <c r="K36">
        <v>5.2299998700618737E-2</v>
      </c>
      <c r="L36">
        <v>0.29480001330375671</v>
      </c>
      <c r="M36">
        <v>5.7300001382827759E-2</v>
      </c>
      <c r="N36">
        <v>1.6200000420212749E-2</v>
      </c>
    </row>
    <row r="37" spans="1:14" ht="15" x14ac:dyDescent="0.25">
      <c r="A37" s="186"/>
      <c r="B37" s="119">
        <f t="shared" si="3"/>
        <v>31</v>
      </c>
      <c r="C37" s="13" t="s">
        <v>14</v>
      </c>
      <c r="D37" s="119">
        <v>38</v>
      </c>
      <c r="E37" s="119"/>
      <c r="F37" s="119"/>
      <c r="G37">
        <v>1.8600000068545341E-2</v>
      </c>
      <c r="H37">
        <v>0.18060000240802759</v>
      </c>
      <c r="I37">
        <v>2.370000071823597E-2</v>
      </c>
      <c r="J37">
        <v>6.7400000989437103E-2</v>
      </c>
      <c r="K37">
        <v>5.000000074505806E-2</v>
      </c>
      <c r="L37">
        <v>0.24120000004768369</v>
      </c>
      <c r="M37">
        <v>7.1800000965595245E-2</v>
      </c>
      <c r="N37">
        <v>3.5000000149011612E-2</v>
      </c>
    </row>
    <row r="38" spans="1:14" ht="15" x14ac:dyDescent="0.25">
      <c r="A38" s="186"/>
      <c r="B38" s="119">
        <f t="shared" si="3"/>
        <v>32</v>
      </c>
      <c r="C38" s="119" t="s">
        <v>43</v>
      </c>
      <c r="D38" s="119">
        <v>19.5</v>
      </c>
      <c r="E38" s="119"/>
      <c r="F38" s="119"/>
      <c r="G38">
        <v>7.1999998763203621E-3</v>
      </c>
      <c r="H38">
        <v>0.16920000314712519</v>
      </c>
      <c r="I38">
        <v>1.080000028014183E-2</v>
      </c>
      <c r="J38">
        <v>4.3000001460313797E-2</v>
      </c>
      <c r="K38">
        <v>6.549999862909317E-2</v>
      </c>
      <c r="L38">
        <v>0.31520000100135798</v>
      </c>
      <c r="M38">
        <v>6.719999760389328E-2</v>
      </c>
      <c r="N38">
        <v>3.2900001853704453E-2</v>
      </c>
    </row>
    <row r="39" spans="1:14" ht="15" x14ac:dyDescent="0.25">
      <c r="A39" s="186"/>
      <c r="B39" s="119">
        <f t="shared" si="3"/>
        <v>33</v>
      </c>
      <c r="C39" s="119" t="s">
        <v>15</v>
      </c>
      <c r="D39" s="119">
        <v>6</v>
      </c>
      <c r="E39" s="119"/>
      <c r="F39" s="119"/>
      <c r="G39">
        <v>3.2499998807907098E-2</v>
      </c>
      <c r="H39">
        <v>0.12950000166893011</v>
      </c>
      <c r="I39">
        <v>4.1099999099969857E-2</v>
      </c>
      <c r="J39">
        <v>4.1000000201165676E-3</v>
      </c>
      <c r="K39">
        <v>3.9500001817941673E-2</v>
      </c>
      <c r="L39">
        <v>0.29229998588562012</v>
      </c>
      <c r="M39">
        <v>4.8200000077486038E-2</v>
      </c>
      <c r="N39">
        <v>1.8300000578165051E-2</v>
      </c>
    </row>
    <row r="40" spans="1:14" ht="15" x14ac:dyDescent="0.25">
      <c r="A40" s="186"/>
      <c r="B40" s="119">
        <f t="shared" si="3"/>
        <v>34</v>
      </c>
      <c r="C40" s="119" t="s">
        <v>16</v>
      </c>
      <c r="D40" s="119">
        <v>11</v>
      </c>
      <c r="E40" s="122"/>
      <c r="F40" s="122"/>
      <c r="G40">
        <v>7.1000000461935997E-3</v>
      </c>
      <c r="H40">
        <v>0.15489999949932101</v>
      </c>
      <c r="I40">
        <v>2.0899999886751171E-2</v>
      </c>
      <c r="J40">
        <v>2.6799999177455899E-2</v>
      </c>
      <c r="K40">
        <v>5.5700000375509262E-2</v>
      </c>
      <c r="L40">
        <v>0.26550000905990601</v>
      </c>
      <c r="M40">
        <v>9.3999996781349182E-2</v>
      </c>
      <c r="N40">
        <v>4.9199998378753662E-2</v>
      </c>
    </row>
    <row r="41" spans="1:14" ht="15" x14ac:dyDescent="0.25">
      <c r="A41" s="186"/>
      <c r="B41" s="119">
        <f t="shared" si="3"/>
        <v>35</v>
      </c>
      <c r="C41" s="119" t="s">
        <v>63</v>
      </c>
      <c r="D41" s="119">
        <v>12.5</v>
      </c>
      <c r="E41" s="122"/>
      <c r="F41" s="122"/>
      <c r="G41">
        <v>1.0099999606609339E-2</v>
      </c>
      <c r="H41">
        <v>0.1519999951124191</v>
      </c>
      <c r="I41">
        <v>2.3600000888109211E-2</v>
      </c>
      <c r="J41">
        <v>2.400000020861626E-2</v>
      </c>
      <c r="K41">
        <v>7.7500000596046448E-2</v>
      </c>
      <c r="L41">
        <v>0.27020001411437988</v>
      </c>
      <c r="M41">
        <v>6.849999725818634E-2</v>
      </c>
      <c r="N41">
        <v>2.3499999195337299E-2</v>
      </c>
    </row>
    <row r="42" spans="1:14" ht="15" x14ac:dyDescent="0.25">
      <c r="A42" s="186"/>
      <c r="B42" s="123">
        <f t="shared" si="3"/>
        <v>36</v>
      </c>
      <c r="C42" s="123" t="s">
        <v>38</v>
      </c>
      <c r="D42" s="123">
        <v>9</v>
      </c>
      <c r="E42" s="124"/>
      <c r="F42" s="124"/>
      <c r="G42">
        <v>1.9200000911951069E-2</v>
      </c>
      <c r="H42">
        <v>0.1429000049829483</v>
      </c>
      <c r="I42">
        <v>3.8199998438358307E-2</v>
      </c>
      <c r="J42">
        <v>1.510000042617321E-2</v>
      </c>
      <c r="K42">
        <v>5.2000001072883613E-2</v>
      </c>
      <c r="L42">
        <v>0.27770000696182251</v>
      </c>
      <c r="M42">
        <v>5.9300001710653312E-2</v>
      </c>
      <c r="N42">
        <v>1.7200000584125519E-2</v>
      </c>
    </row>
    <row r="43" spans="1:14" ht="15" x14ac:dyDescent="0.25">
      <c r="A43" s="187"/>
      <c r="B43" s="187"/>
      <c r="C43" s="187"/>
      <c r="D43" s="187"/>
      <c r="E43" s="121"/>
      <c r="F43" s="125"/>
      <c r="G43" s="126"/>
      <c r="H43" s="127"/>
      <c r="I43" s="127"/>
      <c r="J43" s="127"/>
      <c r="K43" s="127"/>
      <c r="L43" s="127"/>
      <c r="M43" s="127"/>
      <c r="N43" s="128"/>
    </row>
  </sheetData>
  <mergeCells count="13">
    <mergeCell ref="A43:D43"/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52</vt:i4>
      </vt:variant>
    </vt:vector>
  </HeadingPairs>
  <TitlesOfParts>
    <vt:vector size="52" baseType="lpstr">
      <vt:lpstr>Performances</vt:lpstr>
      <vt:lpstr>Minimum</vt:lpstr>
      <vt:lpstr>Maximum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quentin</cp:lastModifiedBy>
  <dcterms:created xsi:type="dcterms:W3CDTF">2019-11-07T13:34:18Z</dcterms:created>
  <dcterms:modified xsi:type="dcterms:W3CDTF">2019-12-18T16:00:25Z</dcterms:modified>
</cp:coreProperties>
</file>