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08" yWindow="-108" windowWidth="19416" windowHeight="10416" tabRatio="956" activeTab="4"/>
  </bookViews>
  <sheets>
    <sheet name="Performances" sheetId="46" r:id="rId1"/>
    <sheet name="Normal intergroupe " sheetId="47" r:id="rId2"/>
    <sheet name="Intergroupe" sheetId="48" r:id="rId3"/>
    <sheet name="Normal intragroupe" sheetId="49" r:id="rId4"/>
    <sheet name="Intragroupe" sheetId="50" r:id="rId5"/>
    <sheet name="1" sheetId="1" r:id="rId6"/>
    <sheet name="4" sheetId="2" r:id="rId7"/>
    <sheet name="7" sheetId="3" r:id="rId8"/>
    <sheet name="10" sheetId="4" r:id="rId9"/>
    <sheet name="13" sheetId="5" r:id="rId10"/>
    <sheet name="16" sheetId="6" r:id="rId11"/>
    <sheet name="19" sheetId="7" r:id="rId12"/>
    <sheet name="22" sheetId="8" r:id="rId13"/>
    <sheet name="25" sheetId="9" r:id="rId14"/>
    <sheet name="28" sheetId="10" r:id="rId15"/>
    <sheet name="31" sheetId="11" r:id="rId16"/>
    <sheet name="34" sheetId="12" r:id="rId17"/>
    <sheet name="37" sheetId="13" r:id="rId18"/>
    <sheet name="40" sheetId="14" r:id="rId19"/>
    <sheet name="43" sheetId="15" r:id="rId20"/>
    <sheet name="2" sheetId="16" r:id="rId21"/>
    <sheet name="5" sheetId="17" r:id="rId22"/>
    <sheet name="8" sheetId="18" r:id="rId23"/>
    <sheet name="11" sheetId="19" r:id="rId24"/>
    <sheet name="14" sheetId="20" r:id="rId25"/>
    <sheet name="17" sheetId="21" r:id="rId26"/>
    <sheet name="20" sheetId="22" r:id="rId27"/>
    <sheet name="23" sheetId="23" r:id="rId28"/>
    <sheet name="26" sheetId="24" r:id="rId29"/>
    <sheet name="29" sheetId="25" r:id="rId30"/>
    <sheet name="32" sheetId="26" r:id="rId31"/>
    <sheet name="35" sheetId="27" r:id="rId32"/>
    <sheet name="38" sheetId="28" r:id="rId33"/>
    <sheet name="41" sheetId="29" r:id="rId34"/>
    <sheet name="44" sheetId="30" r:id="rId35"/>
    <sheet name="3" sheetId="31" r:id="rId36"/>
    <sheet name="6" sheetId="32" r:id="rId37"/>
    <sheet name="9" sheetId="33" r:id="rId38"/>
    <sheet name="12" sheetId="34" r:id="rId39"/>
    <sheet name="15" sheetId="35" r:id="rId40"/>
    <sheet name="18" sheetId="36" r:id="rId41"/>
    <sheet name="21" sheetId="37" r:id="rId42"/>
    <sheet name="24" sheetId="38" r:id="rId43"/>
    <sheet name="27" sheetId="39" r:id="rId44"/>
    <sheet name="30" sheetId="40" r:id="rId45"/>
    <sheet name="33" sheetId="41" r:id="rId46"/>
    <sheet name="36" sheetId="42" r:id="rId47"/>
    <sheet name="39" sheetId="43" r:id="rId48"/>
    <sheet name="42" sheetId="44" r:id="rId49"/>
    <sheet name="45" sheetId="45" r:id="rId50"/>
  </sheets>
  <externalReferences>
    <externalReference r:id="rId51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H53" i="50" l="1" a="1"/>
  <c r="H31" i="50" a="1"/>
  <c r="H9" i="50" a="1"/>
  <c r="AL97" i="50" a="1"/>
  <c r="AL75" i="50" a="1"/>
  <c r="W119" i="50" a="1"/>
  <c r="AL53" i="50" a="1"/>
  <c r="AL31" i="50" a="1"/>
  <c r="AL9" i="50" a="1"/>
  <c r="W53" i="50" a="1"/>
  <c r="W31" i="50" a="1"/>
  <c r="W9" i="50" a="1"/>
  <c r="H119" i="50" a="1"/>
  <c r="AL119" i="50" a="1"/>
  <c r="W75" i="50" a="1"/>
  <c r="W97" i="50" a="1"/>
  <c r="H97" i="50" a="1"/>
  <c r="H75" i="50" a="1"/>
  <c r="E62" i="48" l="1"/>
  <c r="AD61" i="48"/>
  <c r="AC61" i="48"/>
  <c r="Y61" i="48"/>
  <c r="X61" i="48"/>
  <c r="E61" i="48"/>
  <c r="AD60" i="48"/>
  <c r="AC60" i="48"/>
  <c r="Y60" i="48"/>
  <c r="X60" i="48"/>
  <c r="E60" i="48"/>
  <c r="G66" i="48" s="1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G30" i="48" s="1"/>
  <c r="AD23" i="48"/>
  <c r="AC23" i="48"/>
  <c r="Y23" i="48"/>
  <c r="X23" i="48"/>
  <c r="R22" i="48"/>
  <c r="Q22" i="48"/>
  <c r="P22" i="48"/>
  <c r="S29" i="48" s="1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S11" i="48" s="1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G12" i="48" l="1"/>
  <c r="G48" i="48"/>
  <c r="S47" i="48"/>
  <c r="B6" i="30" l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1" l="1"/>
  <c r="B5" i="1"/>
  <c r="I63" i="46"/>
  <c r="H15" i="46"/>
  <c r="F53" i="46"/>
  <c r="E42" i="46"/>
  <c r="C34" i="46"/>
  <c r="B58" i="46"/>
  <c r="I31" i="46"/>
  <c r="G9" i="46"/>
  <c r="B28" i="46"/>
  <c r="D62" i="46"/>
  <c r="G54" i="46"/>
  <c r="H55" i="46"/>
  <c r="G32" i="46"/>
  <c r="D11" i="46"/>
  <c r="D34" i="46"/>
  <c r="I6" i="46"/>
  <c r="I62" i="46"/>
  <c r="C66" i="46"/>
  <c r="F42" i="46"/>
  <c r="E41" i="46"/>
  <c r="C32" i="46"/>
  <c r="B56" i="46"/>
  <c r="I17" i="46"/>
  <c r="G4" i="46"/>
  <c r="B12" i="46"/>
  <c r="D57" i="46"/>
  <c r="G35" i="46"/>
  <c r="F15" i="46"/>
  <c r="H37" i="46"/>
  <c r="E10" i="46"/>
  <c r="E64" i="46"/>
  <c r="D16" i="46"/>
  <c r="F54" i="46"/>
  <c r="I57" i="46"/>
  <c r="C56" i="46"/>
  <c r="F32" i="46"/>
  <c r="E28" i="46"/>
  <c r="C6" i="46"/>
  <c r="H18" i="46"/>
  <c r="F41" i="46"/>
  <c r="F34" i="46"/>
  <c r="G58" i="46"/>
  <c r="C33" i="46"/>
  <c r="B64" i="46"/>
  <c r="E8" i="46"/>
  <c r="I55" i="46"/>
  <c r="C52" i="46"/>
  <c r="F28" i="46"/>
  <c r="E34" i="46"/>
  <c r="C12" i="46"/>
  <c r="B33" i="46"/>
  <c r="H66" i="46"/>
  <c r="G63" i="46"/>
  <c r="B9" i="46"/>
  <c r="D54" i="46"/>
  <c r="G29" i="46"/>
  <c r="H38" i="46"/>
  <c r="E11" i="46"/>
  <c r="E65" i="46"/>
  <c r="D17" i="46"/>
  <c r="F56" i="46"/>
  <c r="I54" i="46"/>
  <c r="C41" i="46"/>
  <c r="B65" i="46"/>
  <c r="E33" i="46"/>
  <c r="C11" i="46"/>
  <c r="B31" i="46"/>
  <c r="H61" i="46"/>
  <c r="G53" i="46"/>
  <c r="B18" i="46"/>
  <c r="D40" i="46"/>
  <c r="I12" i="46"/>
  <c r="D8" i="46"/>
  <c r="H29" i="46"/>
  <c r="F63" i="46"/>
  <c r="E56" i="46"/>
  <c r="C53" i="46"/>
  <c r="F29" i="46"/>
  <c r="I40" i="46"/>
  <c r="C31" i="46"/>
  <c r="B55" i="46"/>
  <c r="D63" i="46"/>
  <c r="G56" i="46"/>
  <c r="F4" i="46"/>
  <c r="B39" i="46"/>
  <c r="H11" i="46"/>
  <c r="F12" i="46"/>
  <c r="C17" i="46"/>
  <c r="F14" i="46"/>
  <c r="B32" i="46"/>
  <c r="I38" i="46"/>
  <c r="G18" i="46"/>
  <c r="B42" i="46"/>
  <c r="E17" i="46"/>
  <c r="C4" i="46"/>
  <c r="F11" i="46"/>
  <c r="H58" i="46"/>
  <c r="G38" i="46"/>
  <c r="H5" i="46"/>
  <c r="D37" i="46"/>
  <c r="I9" i="46"/>
  <c r="H30" i="46"/>
  <c r="F65" i="46"/>
  <c r="E57" i="46"/>
  <c r="C55" i="46"/>
  <c r="F31" i="46"/>
  <c r="I37" i="46"/>
  <c r="G16" i="46"/>
  <c r="B40" i="46"/>
  <c r="E16" i="46"/>
  <c r="G66" i="46"/>
  <c r="F10" i="46"/>
  <c r="H53" i="46"/>
  <c r="G28" i="46"/>
  <c r="D5" i="46"/>
  <c r="D32" i="46"/>
  <c r="I4" i="46"/>
  <c r="I60" i="46"/>
  <c r="C62" i="46"/>
  <c r="F38" i="46"/>
  <c r="E39" i="46"/>
  <c r="C28" i="46"/>
  <c r="B52" i="46"/>
  <c r="I32" i="46"/>
  <c r="G10" i="46"/>
  <c r="B30" i="46"/>
  <c r="D55" i="46"/>
  <c r="I30" i="46"/>
  <c r="G8" i="46"/>
  <c r="F17" i="46"/>
  <c r="D61" i="46"/>
  <c r="G52" i="46"/>
  <c r="H13" i="46"/>
  <c r="H41" i="46"/>
  <c r="E14" i="46"/>
  <c r="H8" i="46"/>
  <c r="D29" i="46"/>
  <c r="I61" i="46"/>
  <c r="C64" i="46"/>
  <c r="F40" i="46"/>
  <c r="E40" i="46"/>
  <c r="C30" i="46"/>
  <c r="B54" i="46"/>
  <c r="I29" i="46"/>
  <c r="G7" i="46"/>
  <c r="B15" i="46"/>
  <c r="D60" i="46"/>
  <c r="G41" i="46"/>
  <c r="H9" i="46"/>
  <c r="H36" i="46"/>
  <c r="E9" i="46"/>
  <c r="E63" i="46"/>
  <c r="D15" i="46"/>
  <c r="F52" i="46"/>
  <c r="I52" i="46"/>
  <c r="C37" i="46"/>
  <c r="B61" i="46"/>
  <c r="E31" i="46"/>
  <c r="C9" i="46"/>
  <c r="F18" i="46"/>
  <c r="I15" i="46"/>
  <c r="G65" i="46"/>
  <c r="B10" i="46"/>
  <c r="D38" i="46"/>
  <c r="I10" i="46"/>
  <c r="B11" i="46"/>
  <c r="F13" i="46"/>
  <c r="D39" i="46"/>
  <c r="F37" i="46"/>
  <c r="B16" i="46"/>
  <c r="B62" i="46"/>
  <c r="D64" i="46"/>
  <c r="H65" i="46"/>
  <c r="G61" i="46"/>
  <c r="B8" i="46"/>
  <c r="D53" i="46"/>
  <c r="C18" i="46"/>
  <c r="D4" i="46"/>
  <c r="H33" i="46"/>
  <c r="E6" i="46"/>
  <c r="E60" i="46"/>
  <c r="C61" i="46"/>
  <c r="I53" i="46"/>
  <c r="C39" i="46"/>
  <c r="B63" i="46"/>
  <c r="E32" i="46"/>
  <c r="C10" i="46"/>
  <c r="B29" i="46"/>
  <c r="H64" i="46"/>
  <c r="G59" i="46"/>
  <c r="B7" i="46"/>
  <c r="D52" i="46"/>
  <c r="C16" i="46"/>
  <c r="D14" i="46"/>
  <c r="H28" i="46"/>
  <c r="F61" i="46"/>
  <c r="E55" i="46"/>
  <c r="C42" i="46"/>
  <c r="B66" i="46"/>
  <c r="I35" i="46"/>
  <c r="G13" i="46"/>
  <c r="B36" i="46"/>
  <c r="D66" i="46"/>
  <c r="G62" i="46"/>
  <c r="F8" i="46"/>
  <c r="H59" i="46"/>
  <c r="G40" i="46"/>
  <c r="H7" i="46"/>
  <c r="D30" i="46"/>
  <c r="E53" i="46"/>
  <c r="E54" i="46"/>
  <c r="I58" i="46"/>
  <c r="C15" i="46"/>
  <c r="F39" i="46"/>
  <c r="E29" i="46"/>
  <c r="D9" i="46"/>
  <c r="C65" i="46"/>
  <c r="H35" i="46"/>
  <c r="H32" i="46"/>
  <c r="E59" i="46"/>
  <c r="C59" i="46"/>
  <c r="I39" i="46"/>
  <c r="B53" i="46"/>
  <c r="C5" i="46"/>
  <c r="G57" i="46"/>
  <c r="D42" i="46"/>
  <c r="H10" i="46"/>
  <c r="E4" i="46"/>
  <c r="C57" i="46"/>
  <c r="I34" i="46"/>
  <c r="B34" i="46"/>
  <c r="D65" i="46"/>
  <c r="F7" i="46"/>
  <c r="G30" i="46"/>
  <c r="D33" i="46"/>
  <c r="I65" i="46"/>
  <c r="H17" i="46"/>
  <c r="E36" i="46"/>
  <c r="I16" i="46"/>
  <c r="G42" i="46"/>
  <c r="H52" i="46"/>
  <c r="G11" i="46"/>
  <c r="H57" i="46"/>
  <c r="G36" i="46"/>
  <c r="B17" i="46"/>
  <c r="D36" i="46"/>
  <c r="I8" i="46"/>
  <c r="I64" i="46"/>
  <c r="H16" i="46"/>
  <c r="F55" i="46"/>
  <c r="E52" i="46"/>
  <c r="C36" i="46"/>
  <c r="I36" i="46"/>
  <c r="G14" i="46"/>
  <c r="B38" i="46"/>
  <c r="E15" i="46"/>
  <c r="G64" i="46"/>
  <c r="F9" i="46"/>
  <c r="H56" i="46"/>
  <c r="G34" i="46"/>
  <c r="H14" i="46"/>
  <c r="D35" i="46"/>
  <c r="I7" i="46"/>
  <c r="I59" i="46"/>
  <c r="C60" i="46"/>
  <c r="F36" i="46"/>
  <c r="E38" i="46"/>
  <c r="G17" i="46"/>
  <c r="B41" i="46"/>
  <c r="I18" i="46"/>
  <c r="G5" i="46"/>
  <c r="B13" i="46"/>
  <c r="D58" i="46"/>
  <c r="G37" i="46"/>
  <c r="H4" i="46"/>
  <c r="H42" i="46"/>
  <c r="G15" i="46"/>
  <c r="H12" i="46"/>
  <c r="C63" i="46"/>
  <c r="B37" i="46"/>
  <c r="D56" i="46"/>
  <c r="H60" i="46"/>
  <c r="I11" i="46"/>
  <c r="F5" i="46"/>
  <c r="D31" i="46"/>
  <c r="I33" i="46"/>
  <c r="F62" i="46"/>
  <c r="H40" i="46"/>
  <c r="E13" i="46"/>
  <c r="D12" i="46"/>
  <c r="D28" i="46"/>
  <c r="F60" i="46"/>
  <c r="I56" i="46"/>
  <c r="C54" i="46"/>
  <c r="F30" i="46"/>
  <c r="E35" i="46"/>
  <c r="C13" i="46"/>
  <c r="I28" i="46"/>
  <c r="G6" i="46"/>
  <c r="B14" i="46"/>
  <c r="D59" i="46"/>
  <c r="G39" i="46"/>
  <c r="H6" i="46"/>
  <c r="H39" i="46"/>
  <c r="E12" i="46"/>
  <c r="E66" i="46"/>
  <c r="D18" i="46"/>
  <c r="F58" i="46"/>
  <c r="I42" i="46"/>
  <c r="C35" i="46"/>
  <c r="B59" i="46"/>
  <c r="E30" i="46"/>
  <c r="C8" i="46"/>
  <c r="F16" i="46"/>
  <c r="H62" i="46"/>
  <c r="G55" i="46"/>
  <c r="B5" i="46"/>
  <c r="D41" i="46"/>
  <c r="I13" i="46"/>
  <c r="D10" i="46"/>
  <c r="H34" i="46"/>
  <c r="E7" i="46"/>
  <c r="E61" i="46"/>
  <c r="C38" i="46"/>
  <c r="I66" i="46"/>
  <c r="C40" i="46"/>
  <c r="C58" i="46"/>
  <c r="B35" i="46"/>
  <c r="I41" i="46"/>
  <c r="C7" i="46"/>
  <c r="B60" i="46"/>
  <c r="E5" i="46"/>
  <c r="F35" i="46"/>
  <c r="C29" i="46"/>
  <c r="E18" i="46"/>
  <c r="H63" i="46"/>
  <c r="B6" i="46"/>
  <c r="I14" i="46"/>
  <c r="H31" i="46"/>
  <c r="E58" i="46"/>
  <c r="F33" i="46"/>
  <c r="G12" i="46"/>
  <c r="G60" i="46"/>
  <c r="H54" i="46"/>
  <c r="D7" i="46"/>
  <c r="I5" i="46"/>
  <c r="F57" i="46"/>
  <c r="C14" i="46"/>
  <c r="G33" i="46"/>
  <c r="B4" i="46"/>
  <c r="F66" i="46"/>
  <c r="D6" i="46"/>
  <c r="G31" i="46"/>
  <c r="F59" i="46"/>
  <c r="E37" i="46"/>
  <c r="F64" i="46"/>
  <c r="F6" i="46"/>
  <c r="E62" i="46"/>
  <c r="B57" i="46"/>
  <c r="D13" i="46"/>
  <c r="L28" i="49" l="1"/>
  <c r="L47" i="49"/>
  <c r="D13" i="47"/>
  <c r="A30" i="48"/>
  <c r="B81" i="49"/>
  <c r="A34" i="50"/>
  <c r="C39" i="47"/>
  <c r="N9" i="49"/>
  <c r="D43" i="49"/>
  <c r="C8" i="48"/>
  <c r="D9" i="49"/>
  <c r="C8" i="50"/>
  <c r="A49" i="50"/>
  <c r="E6" i="47"/>
  <c r="L74" i="49"/>
  <c r="B55" i="49"/>
  <c r="A41" i="48"/>
  <c r="L55" i="49"/>
  <c r="N84" i="49"/>
  <c r="D65" i="49"/>
  <c r="C59" i="50"/>
  <c r="N65" i="49"/>
  <c r="E46" i="47"/>
  <c r="C51" i="48"/>
  <c r="C46" i="48"/>
  <c r="N60" i="49"/>
  <c r="C54" i="50"/>
  <c r="N79" i="49"/>
  <c r="E41" i="47"/>
  <c r="D60" i="49"/>
  <c r="L40" i="49"/>
  <c r="B74" i="49"/>
  <c r="D6" i="47"/>
  <c r="A27" i="50"/>
  <c r="A23" i="48"/>
  <c r="L21" i="49"/>
  <c r="D67" i="49"/>
  <c r="C53" i="48"/>
  <c r="C61" i="50"/>
  <c r="E48" i="47"/>
  <c r="N86" i="49"/>
  <c r="N67" i="49"/>
  <c r="B4" i="49"/>
  <c r="N4" i="46"/>
  <c r="N13" i="46"/>
  <c r="N20" i="46" s="1"/>
  <c r="N69" i="46" s="1"/>
  <c r="L4" i="49"/>
  <c r="O13" i="46"/>
  <c r="O20" i="46" s="1"/>
  <c r="O69" i="46" s="1"/>
  <c r="P13" i="46"/>
  <c r="M4" i="46"/>
  <c r="A3" i="50"/>
  <c r="B38" i="49"/>
  <c r="M13" i="46"/>
  <c r="M20" i="46" s="1"/>
  <c r="M69" i="46" s="1"/>
  <c r="C4" i="47"/>
  <c r="A3" i="48"/>
  <c r="Q13" i="46"/>
  <c r="N77" i="49"/>
  <c r="C44" i="48"/>
  <c r="E39" i="47"/>
  <c r="D58" i="49"/>
  <c r="N58" i="49"/>
  <c r="C52" i="50"/>
  <c r="D7" i="47"/>
  <c r="B75" i="49"/>
  <c r="A24" i="48"/>
  <c r="A28" i="50"/>
  <c r="L41" i="49"/>
  <c r="L22" i="49"/>
  <c r="N89" i="49"/>
  <c r="D21" i="49"/>
  <c r="D89" i="49"/>
  <c r="F36" i="47"/>
  <c r="C59" i="48"/>
  <c r="C67" i="50"/>
  <c r="E24" i="47"/>
  <c r="B52" i="50"/>
  <c r="M58" i="49"/>
  <c r="M77" i="49"/>
  <c r="B44" i="48"/>
  <c r="C58" i="49"/>
  <c r="B68" i="50"/>
  <c r="C22" i="49"/>
  <c r="C90" i="49"/>
  <c r="M90" i="49"/>
  <c r="F22" i="47"/>
  <c r="B60" i="48"/>
  <c r="B6" i="49"/>
  <c r="L6" i="49"/>
  <c r="C6" i="47"/>
  <c r="A5" i="50"/>
  <c r="B40" i="49"/>
  <c r="A5" i="48"/>
  <c r="C76" i="50"/>
  <c r="D30" i="49"/>
  <c r="C68" i="48"/>
  <c r="F45" i="47"/>
  <c r="N98" i="49"/>
  <c r="D98" i="49"/>
  <c r="M79" i="49"/>
  <c r="C60" i="49"/>
  <c r="B46" i="48"/>
  <c r="B54" i="50"/>
  <c r="E26" i="47"/>
  <c r="M60" i="49"/>
  <c r="D12" i="49"/>
  <c r="C42" i="47"/>
  <c r="C11" i="50"/>
  <c r="N12" i="49"/>
  <c r="D46" i="49"/>
  <c r="C11" i="48"/>
  <c r="C11" i="49"/>
  <c r="C45" i="49"/>
  <c r="B10" i="50"/>
  <c r="B10" i="48"/>
  <c r="C26" i="47"/>
  <c r="M11" i="49"/>
  <c r="F25" i="47"/>
  <c r="B71" i="50"/>
  <c r="M93" i="49"/>
  <c r="C93" i="49"/>
  <c r="C25" i="49"/>
  <c r="B63" i="48"/>
  <c r="B78" i="49"/>
  <c r="A31" i="50"/>
  <c r="L44" i="49"/>
  <c r="A27" i="48"/>
  <c r="D10" i="47"/>
  <c r="L25" i="49"/>
  <c r="C85" i="49"/>
  <c r="B34" i="48"/>
  <c r="B38" i="50"/>
  <c r="M51" i="49"/>
  <c r="D32" i="47"/>
  <c r="M32" i="49"/>
  <c r="A4" i="50"/>
  <c r="C5" i="47"/>
  <c r="B39" i="49"/>
  <c r="B5" i="49"/>
  <c r="A4" i="48"/>
  <c r="L5" i="49"/>
  <c r="C75" i="50"/>
  <c r="D29" i="49"/>
  <c r="D97" i="49"/>
  <c r="N97" i="49"/>
  <c r="C67" i="48"/>
  <c r="F44" i="47"/>
  <c r="B65" i="49"/>
  <c r="E16" i="47"/>
  <c r="L84" i="49"/>
  <c r="A59" i="50"/>
  <c r="L65" i="49"/>
  <c r="A51" i="48"/>
  <c r="C10" i="48"/>
  <c r="D45" i="49"/>
  <c r="D11" i="49"/>
  <c r="C41" i="47"/>
  <c r="C10" i="50"/>
  <c r="N11" i="49"/>
  <c r="D59" i="49"/>
  <c r="C45" i="48"/>
  <c r="N59" i="49"/>
  <c r="C53" i="50"/>
  <c r="N78" i="49"/>
  <c r="E40" i="47"/>
  <c r="L33" i="49"/>
  <c r="A39" i="50"/>
  <c r="L52" i="49"/>
  <c r="A35" i="48"/>
  <c r="B86" i="49"/>
  <c r="D18" i="47"/>
  <c r="B76" i="50"/>
  <c r="C98" i="49"/>
  <c r="M98" i="49"/>
  <c r="C30" i="49"/>
  <c r="B68" i="48"/>
  <c r="F30" i="47"/>
  <c r="B89" i="49"/>
  <c r="B21" i="49"/>
  <c r="F6" i="47"/>
  <c r="A59" i="48"/>
  <c r="A67" i="50"/>
  <c r="L89" i="49"/>
  <c r="N45" i="49"/>
  <c r="C28" i="48"/>
  <c r="D41" i="47"/>
  <c r="N26" i="49"/>
  <c r="D79" i="49"/>
  <c r="C32" i="50"/>
  <c r="B48" i="49"/>
  <c r="A13" i="50"/>
  <c r="B14" i="49"/>
  <c r="L14" i="49"/>
  <c r="C14" i="47"/>
  <c r="A13" i="48"/>
  <c r="B49" i="50"/>
  <c r="C55" i="49"/>
  <c r="M55" i="49"/>
  <c r="B41" i="48"/>
  <c r="M74" i="49"/>
  <c r="E21" i="47"/>
  <c r="D61" i="49"/>
  <c r="E42" i="47"/>
  <c r="C47" i="48"/>
  <c r="N80" i="49"/>
  <c r="C55" i="50"/>
  <c r="N61" i="49"/>
  <c r="V14" i="46"/>
  <c r="O5" i="46"/>
  <c r="S14" i="46"/>
  <c r="B25" i="50"/>
  <c r="P5" i="46"/>
  <c r="T14" i="46"/>
  <c r="M38" i="49"/>
  <c r="B21" i="48"/>
  <c r="C72" i="49"/>
  <c r="U14" i="46"/>
  <c r="U21" i="46" s="1"/>
  <c r="U70" i="46" s="1"/>
  <c r="D19" i="47"/>
  <c r="R14" i="46"/>
  <c r="R21" i="46" s="1"/>
  <c r="R70" i="46" s="1"/>
  <c r="M19" i="49"/>
  <c r="A29" i="48"/>
  <c r="L46" i="49"/>
  <c r="L27" i="49"/>
  <c r="A33" i="50"/>
  <c r="B80" i="49"/>
  <c r="D12" i="47"/>
  <c r="B77" i="50"/>
  <c r="C31" i="49"/>
  <c r="F31" i="47"/>
  <c r="M99" i="49"/>
  <c r="C99" i="49"/>
  <c r="B69" i="48"/>
  <c r="C49" i="48"/>
  <c r="N82" i="49"/>
  <c r="D63" i="49"/>
  <c r="E44" i="47"/>
  <c r="C57" i="50"/>
  <c r="N63" i="49"/>
  <c r="M41" i="49"/>
  <c r="B24" i="48"/>
  <c r="C75" i="49"/>
  <c r="M22" i="49"/>
  <c r="D22" i="47"/>
  <c r="B28" i="50"/>
  <c r="A48" i="50"/>
  <c r="A40" i="48"/>
  <c r="L54" i="49"/>
  <c r="B54" i="49"/>
  <c r="E5" i="47"/>
  <c r="L73" i="49"/>
  <c r="D27" i="49"/>
  <c r="D95" i="49"/>
  <c r="C73" i="50"/>
  <c r="N95" i="49"/>
  <c r="F42" i="47"/>
  <c r="C65" i="48"/>
  <c r="N42" i="49"/>
  <c r="D38" i="47"/>
  <c r="D76" i="49"/>
  <c r="N23" i="49"/>
  <c r="C29" i="50"/>
  <c r="C25" i="48"/>
  <c r="B12" i="48"/>
  <c r="B12" i="50"/>
  <c r="C47" i="49"/>
  <c r="C28" i="47"/>
  <c r="M13" i="49"/>
  <c r="C13" i="49"/>
  <c r="F12" i="47"/>
  <c r="A73" i="50"/>
  <c r="B27" i="49"/>
  <c r="B95" i="49"/>
  <c r="A65" i="48"/>
  <c r="L95" i="49"/>
  <c r="C33" i="49"/>
  <c r="F33" i="47"/>
  <c r="B79" i="50"/>
  <c r="B71" i="48"/>
  <c r="M101" i="49"/>
  <c r="C101" i="49"/>
  <c r="AB13" i="46"/>
  <c r="AB20" i="46" s="1"/>
  <c r="M72" i="46" s="1"/>
  <c r="A65" i="50"/>
  <c r="S4" i="46"/>
  <c r="B87" i="49"/>
  <c r="F4" i="47"/>
  <c r="T4" i="46"/>
  <c r="AD13" i="46"/>
  <c r="AF13" i="46"/>
  <c r="B19" i="49"/>
  <c r="AC13" i="46"/>
  <c r="L87" i="49"/>
  <c r="A57" i="48"/>
  <c r="AE13" i="46"/>
  <c r="N44" i="49"/>
  <c r="C27" i="48"/>
  <c r="N25" i="49"/>
  <c r="D40" i="47"/>
  <c r="C31" i="50"/>
  <c r="D78" i="49"/>
  <c r="L13" i="49"/>
  <c r="A12" i="48"/>
  <c r="C13" i="47"/>
  <c r="B13" i="49"/>
  <c r="A12" i="50"/>
  <c r="B47" i="49"/>
  <c r="M17" i="49"/>
  <c r="B16" i="50"/>
  <c r="C32" i="47"/>
  <c r="C17" i="49"/>
  <c r="C51" i="49"/>
  <c r="B16" i="48"/>
  <c r="C61" i="49"/>
  <c r="M80" i="49"/>
  <c r="B55" i="50"/>
  <c r="E27" i="47"/>
  <c r="B47" i="48"/>
  <c r="M61" i="49"/>
  <c r="C79" i="49"/>
  <c r="D26" i="47"/>
  <c r="B32" i="50"/>
  <c r="M26" i="49"/>
  <c r="B28" i="48"/>
  <c r="M45" i="49"/>
  <c r="L97" i="49"/>
  <c r="A67" i="48"/>
  <c r="F14" i="47"/>
  <c r="A75" i="50"/>
  <c r="B29" i="49"/>
  <c r="B97" i="49"/>
  <c r="N91" i="49"/>
  <c r="C61" i="48"/>
  <c r="F38" i="47"/>
  <c r="C69" i="50"/>
  <c r="D91" i="49"/>
  <c r="D23" i="49"/>
  <c r="B58" i="49"/>
  <c r="A44" i="48"/>
  <c r="E9" i="47"/>
  <c r="L77" i="49"/>
  <c r="A52" i="50"/>
  <c r="L58" i="49"/>
  <c r="C14" i="49"/>
  <c r="B13" i="48"/>
  <c r="C29" i="47"/>
  <c r="M14" i="49"/>
  <c r="C48" i="49"/>
  <c r="B13" i="50"/>
  <c r="N75" i="49"/>
  <c r="E37" i="47"/>
  <c r="C42" i="48"/>
  <c r="D56" i="49"/>
  <c r="C50" i="50"/>
  <c r="N56" i="49"/>
  <c r="A69" i="48"/>
  <c r="A77" i="50"/>
  <c r="L99" i="49"/>
  <c r="B99" i="49"/>
  <c r="F16" i="47"/>
  <c r="B31" i="49"/>
  <c r="B33" i="50"/>
  <c r="C80" i="49"/>
  <c r="M46" i="49"/>
  <c r="M27" i="49"/>
  <c r="D27" i="47"/>
  <c r="B29" i="48"/>
  <c r="L17" i="49"/>
  <c r="B17" i="49"/>
  <c r="C17" i="47"/>
  <c r="A16" i="48"/>
  <c r="B51" i="49"/>
  <c r="A16" i="50"/>
  <c r="F39" i="47"/>
  <c r="C70" i="50"/>
  <c r="D24" i="49"/>
  <c r="D92" i="49"/>
  <c r="C62" i="48"/>
  <c r="N92" i="49"/>
  <c r="AB15" i="46"/>
  <c r="AB22" i="46" s="1"/>
  <c r="W72" i="46" s="1"/>
  <c r="D19" i="49"/>
  <c r="F34" i="47"/>
  <c r="D87" i="49"/>
  <c r="AE15" i="46"/>
  <c r="C65" i="50"/>
  <c r="AF15" i="46"/>
  <c r="T6" i="46"/>
  <c r="N87" i="49"/>
  <c r="AC15" i="46"/>
  <c r="AD15" i="46"/>
  <c r="C57" i="48"/>
  <c r="S6" i="46"/>
  <c r="B100" i="49"/>
  <c r="A78" i="50"/>
  <c r="B32" i="49"/>
  <c r="A70" i="48"/>
  <c r="F17" i="47"/>
  <c r="L100" i="49"/>
  <c r="C77" i="49"/>
  <c r="B30" i="50"/>
  <c r="M24" i="49"/>
  <c r="B26" i="48"/>
  <c r="M43" i="49"/>
  <c r="D24" i="47"/>
  <c r="A50" i="50"/>
  <c r="E7" i="47"/>
  <c r="B56" i="49"/>
  <c r="L56" i="49"/>
  <c r="L75" i="49"/>
  <c r="A42" i="48"/>
  <c r="N51" i="49"/>
  <c r="C34" i="48"/>
  <c r="D85" i="49"/>
  <c r="D47" i="47"/>
  <c r="N32" i="49"/>
  <c r="C38" i="50"/>
  <c r="C10" i="49"/>
  <c r="C25" i="47"/>
  <c r="B9" i="50"/>
  <c r="C44" i="49"/>
  <c r="M10" i="49"/>
  <c r="B9" i="48"/>
  <c r="B93" i="49"/>
  <c r="L93" i="49"/>
  <c r="B25" i="49"/>
  <c r="A71" i="50"/>
  <c r="F10" i="47"/>
  <c r="A63" i="48"/>
  <c r="M52" i="49"/>
  <c r="C86" i="49"/>
  <c r="B35" i="48"/>
  <c r="M33" i="49"/>
  <c r="B39" i="50"/>
  <c r="D33" i="47"/>
  <c r="C4" i="50"/>
  <c r="C35" i="47"/>
  <c r="C4" i="48"/>
  <c r="D39" i="49"/>
  <c r="D5" i="49"/>
  <c r="N5" i="49"/>
  <c r="C91" i="49"/>
  <c r="M91" i="49"/>
  <c r="B69" i="50"/>
  <c r="C23" i="49"/>
  <c r="B61" i="48"/>
  <c r="F23" i="47"/>
  <c r="C94" i="49"/>
  <c r="C26" i="49"/>
  <c r="B72" i="50"/>
  <c r="M94" i="49"/>
  <c r="F26" i="47"/>
  <c r="B64" i="48"/>
  <c r="D9" i="47"/>
  <c r="A30" i="50"/>
  <c r="L24" i="49"/>
  <c r="B77" i="49"/>
  <c r="L43" i="49"/>
  <c r="A26" i="48"/>
  <c r="B50" i="48"/>
  <c r="B58" i="50"/>
  <c r="M83" i="49"/>
  <c r="C64" i="49"/>
  <c r="M64" i="49"/>
  <c r="E30" i="47"/>
  <c r="M21" i="49"/>
  <c r="B27" i="50"/>
  <c r="M40" i="49"/>
  <c r="C74" i="49"/>
  <c r="D21" i="47"/>
  <c r="B23" i="48"/>
  <c r="B22" i="49"/>
  <c r="A60" i="48"/>
  <c r="A68" i="50"/>
  <c r="B90" i="49"/>
  <c r="L90" i="49"/>
  <c r="F7" i="47"/>
  <c r="D94" i="49"/>
  <c r="F41" i="47"/>
  <c r="N94" i="49"/>
  <c r="C64" i="48"/>
  <c r="C72" i="50"/>
  <c r="D26" i="49"/>
  <c r="A51" i="50"/>
  <c r="B57" i="49"/>
  <c r="E8" i="47"/>
  <c r="L76" i="49"/>
  <c r="A43" i="48"/>
  <c r="L57" i="49"/>
  <c r="N33" i="49"/>
  <c r="C39" i="50"/>
  <c r="N52" i="49"/>
  <c r="D86" i="49"/>
  <c r="C35" i="48"/>
  <c r="D48" i="47"/>
  <c r="C12" i="49"/>
  <c r="M12" i="49"/>
  <c r="C46" i="49"/>
  <c r="B11" i="48"/>
  <c r="B11" i="50"/>
  <c r="C27" i="47"/>
  <c r="C17" i="48"/>
  <c r="C17" i="50"/>
  <c r="N18" i="49"/>
  <c r="D52" i="49"/>
  <c r="D18" i="49"/>
  <c r="C48" i="47"/>
  <c r="C56" i="50"/>
  <c r="N62" i="49"/>
  <c r="E43" i="47"/>
  <c r="D62" i="49"/>
  <c r="N81" i="49"/>
  <c r="C48" i="48"/>
  <c r="M87" i="49"/>
  <c r="AB14" i="46"/>
  <c r="AB21" i="46" s="1"/>
  <c r="R72" i="46" s="1"/>
  <c r="F19" i="47"/>
  <c r="S5" i="46"/>
  <c r="AC14" i="46"/>
  <c r="B65" i="50"/>
  <c r="T5" i="46"/>
  <c r="C87" i="49"/>
  <c r="AE14" i="46"/>
  <c r="C19" i="49"/>
  <c r="AD14" i="46"/>
  <c r="AD21" i="46" s="1"/>
  <c r="T72" i="46" s="1"/>
  <c r="B57" i="48"/>
  <c r="AF14" i="46"/>
  <c r="L29" i="49"/>
  <c r="B82" i="49"/>
  <c r="D14" i="47"/>
  <c r="L48" i="49"/>
  <c r="A31" i="48"/>
  <c r="A35" i="50"/>
  <c r="T15" i="46"/>
  <c r="O6" i="46"/>
  <c r="C25" i="50"/>
  <c r="N19" i="49"/>
  <c r="C21" i="48"/>
  <c r="D34" i="47"/>
  <c r="P6" i="46"/>
  <c r="D72" i="49"/>
  <c r="N38" i="49"/>
  <c r="R15" i="46"/>
  <c r="R22" i="46" s="1"/>
  <c r="W70" i="46" s="1"/>
  <c r="U15" i="46"/>
  <c r="S15" i="46"/>
  <c r="V15" i="46"/>
  <c r="A6" i="48"/>
  <c r="B7" i="49"/>
  <c r="C7" i="47"/>
  <c r="B41" i="49"/>
  <c r="A6" i="50"/>
  <c r="L7" i="49"/>
  <c r="F46" i="47"/>
  <c r="C77" i="50"/>
  <c r="C69" i="48"/>
  <c r="D99" i="49"/>
  <c r="N99" i="49"/>
  <c r="D31" i="49"/>
  <c r="B4" i="48"/>
  <c r="C39" i="49"/>
  <c r="C20" i="47"/>
  <c r="M5" i="49"/>
  <c r="B4" i="50"/>
  <c r="C5" i="49"/>
  <c r="C14" i="48"/>
  <c r="D49" i="49"/>
  <c r="D15" i="49"/>
  <c r="C14" i="50"/>
  <c r="N15" i="49"/>
  <c r="C45" i="47"/>
  <c r="C92" i="49"/>
  <c r="C24" i="49"/>
  <c r="B62" i="48"/>
  <c r="B70" i="50"/>
  <c r="M92" i="49"/>
  <c r="F24" i="47"/>
  <c r="S13" i="46"/>
  <c r="R13" i="46"/>
  <c r="R20" i="46" s="1"/>
  <c r="M70" i="46" s="1"/>
  <c r="T13" i="46"/>
  <c r="T20" i="46" s="1"/>
  <c r="O70" i="46" s="1"/>
  <c r="V13" i="46"/>
  <c r="D4" i="47"/>
  <c r="L38" i="49"/>
  <c r="U13" i="46"/>
  <c r="L19" i="49"/>
  <c r="O4" i="46"/>
  <c r="A21" i="48"/>
  <c r="P4" i="46"/>
  <c r="A25" i="50"/>
  <c r="B72" i="49"/>
  <c r="N20" i="49"/>
  <c r="D35" i="47"/>
  <c r="D73" i="49"/>
  <c r="C26" i="50"/>
  <c r="C22" i="48"/>
  <c r="N39" i="49"/>
  <c r="B8" i="49"/>
  <c r="A7" i="50"/>
  <c r="A7" i="48"/>
  <c r="B42" i="49"/>
  <c r="L8" i="49"/>
  <c r="C8" i="47"/>
  <c r="N100" i="49"/>
  <c r="D32" i="49"/>
  <c r="F47" i="47"/>
  <c r="C78" i="50"/>
  <c r="D100" i="49"/>
  <c r="C70" i="48"/>
  <c r="C37" i="50"/>
  <c r="D46" i="47"/>
  <c r="N50" i="49"/>
  <c r="D84" i="49"/>
  <c r="N31" i="49"/>
  <c r="C33" i="48"/>
  <c r="D48" i="49"/>
  <c r="C13" i="48"/>
  <c r="C13" i="50"/>
  <c r="N14" i="49"/>
  <c r="D14" i="49"/>
  <c r="C44" i="47"/>
  <c r="B50" i="49"/>
  <c r="C16" i="47"/>
  <c r="B16" i="49"/>
  <c r="A15" i="48"/>
  <c r="L16" i="49"/>
  <c r="A15" i="50"/>
  <c r="E28" i="47"/>
  <c r="B56" i="50"/>
  <c r="M62" i="49"/>
  <c r="C62" i="49"/>
  <c r="B48" i="48"/>
  <c r="M81" i="49"/>
  <c r="B36" i="50"/>
  <c r="D30" i="47"/>
  <c r="C83" i="49"/>
  <c r="B32" i="48"/>
  <c r="M49" i="49"/>
  <c r="M30" i="49"/>
  <c r="L62" i="49"/>
  <c r="B62" i="49"/>
  <c r="E13" i="47"/>
  <c r="A48" i="48"/>
  <c r="A56" i="50"/>
  <c r="L81" i="49"/>
  <c r="L11" i="49"/>
  <c r="A10" i="48"/>
  <c r="B45" i="49"/>
  <c r="B11" i="49"/>
  <c r="C11" i="47"/>
  <c r="A10" i="50"/>
  <c r="M48" i="49"/>
  <c r="C82" i="49"/>
  <c r="B35" i="50"/>
  <c r="B31" i="48"/>
  <c r="D29" i="47"/>
  <c r="M29" i="49"/>
  <c r="B10" i="49"/>
  <c r="A9" i="48"/>
  <c r="B44" i="49"/>
  <c r="C10" i="47"/>
  <c r="A9" i="50"/>
  <c r="L10" i="49"/>
  <c r="L86" i="49"/>
  <c r="E18" i="47"/>
  <c r="L67" i="49"/>
  <c r="A53" i="48"/>
  <c r="A61" i="50"/>
  <c r="B67" i="49"/>
  <c r="C12" i="48"/>
  <c r="D47" i="49"/>
  <c r="N13" i="49"/>
  <c r="C43" i="47"/>
  <c r="D13" i="49"/>
  <c r="C12" i="50"/>
  <c r="E34" i="47"/>
  <c r="N72" i="49"/>
  <c r="AA15" i="46"/>
  <c r="D53" i="49"/>
  <c r="C39" i="48"/>
  <c r="X15" i="46"/>
  <c r="X22" i="46" s="1"/>
  <c r="X71" i="46" s="1"/>
  <c r="W15" i="46"/>
  <c r="W22" i="46" s="1"/>
  <c r="W71" i="46" s="1"/>
  <c r="Y15" i="46"/>
  <c r="C47" i="50"/>
  <c r="N53" i="49"/>
  <c r="R6" i="46"/>
  <c r="Z15" i="46"/>
  <c r="Q6" i="46"/>
  <c r="L49" i="49"/>
  <c r="A32" i="48"/>
  <c r="D15" i="47"/>
  <c r="L30" i="49"/>
  <c r="A36" i="50"/>
  <c r="B83" i="49"/>
  <c r="F27" i="47"/>
  <c r="B73" i="50"/>
  <c r="M95" i="49"/>
  <c r="C95" i="49"/>
  <c r="C27" i="49"/>
  <c r="B65" i="48"/>
  <c r="A62" i="48"/>
  <c r="B92" i="49"/>
  <c r="L92" i="49"/>
  <c r="A70" i="50"/>
  <c r="B24" i="49"/>
  <c r="F9" i="47"/>
  <c r="C33" i="50"/>
  <c r="C29" i="48"/>
  <c r="D42" i="47"/>
  <c r="N27" i="49"/>
  <c r="D80" i="49"/>
  <c r="N46" i="49"/>
  <c r="A14" i="50"/>
  <c r="B49" i="49"/>
  <c r="L15" i="49"/>
  <c r="C15" i="47"/>
  <c r="A14" i="48"/>
  <c r="B15" i="49"/>
  <c r="N6" i="49"/>
  <c r="C5" i="50"/>
  <c r="D6" i="49"/>
  <c r="C5" i="48"/>
  <c r="C36" i="47"/>
  <c r="D40" i="49"/>
  <c r="B59" i="50"/>
  <c r="C65" i="49"/>
  <c r="M84" i="49"/>
  <c r="E31" i="47"/>
  <c r="M65" i="49"/>
  <c r="B51" i="48"/>
  <c r="M39" i="49"/>
  <c r="B22" i="48"/>
  <c r="D20" i="47"/>
  <c r="M20" i="49"/>
  <c r="B26" i="50"/>
  <c r="C73" i="49"/>
  <c r="L91" i="49"/>
  <c r="B23" i="49"/>
  <c r="F8" i="47"/>
  <c r="A69" i="50"/>
  <c r="B91" i="49"/>
  <c r="A61" i="48"/>
  <c r="B78" i="50"/>
  <c r="B70" i="48"/>
  <c r="F32" i="47"/>
  <c r="C100" i="49"/>
  <c r="C32" i="49"/>
  <c r="M100" i="49"/>
  <c r="L96" i="49"/>
  <c r="B96" i="49"/>
  <c r="F13" i="47"/>
  <c r="B28" i="49"/>
  <c r="A74" i="50"/>
  <c r="A66" i="48"/>
  <c r="C30" i="48"/>
  <c r="D81" i="49"/>
  <c r="C34" i="50"/>
  <c r="N47" i="49"/>
  <c r="N28" i="49"/>
  <c r="D43" i="47"/>
  <c r="A52" i="48"/>
  <c r="E17" i="47"/>
  <c r="L66" i="49"/>
  <c r="A60" i="50"/>
  <c r="L85" i="49"/>
  <c r="B66" i="49"/>
  <c r="N41" i="49"/>
  <c r="N22" i="49"/>
  <c r="D75" i="49"/>
  <c r="D37" i="47"/>
  <c r="C28" i="50"/>
  <c r="C24" i="48"/>
  <c r="B5" i="48"/>
  <c r="B5" i="50"/>
  <c r="M6" i="49"/>
  <c r="C40" i="49"/>
  <c r="C21" i="47"/>
  <c r="C6" i="49"/>
  <c r="M6" i="46"/>
  <c r="N6" i="46"/>
  <c r="N15" i="46"/>
  <c r="N22" i="46" s="1"/>
  <c r="X69" i="46" s="1"/>
  <c r="D38" i="49"/>
  <c r="P15" i="46"/>
  <c r="P22" i="46" s="1"/>
  <c r="Z69" i="46" s="1"/>
  <c r="Q15" i="46"/>
  <c r="N4" i="49"/>
  <c r="C3" i="50"/>
  <c r="M15" i="46"/>
  <c r="M22" i="46" s="1"/>
  <c r="W69" i="46" s="1"/>
  <c r="C3" i="48"/>
  <c r="C34" i="47"/>
  <c r="D4" i="49"/>
  <c r="O15" i="46"/>
  <c r="O22" i="46" s="1"/>
  <c r="Y69" i="46" s="1"/>
  <c r="C63" i="49"/>
  <c r="E29" i="47"/>
  <c r="B57" i="50"/>
  <c r="M63" i="49"/>
  <c r="B49" i="48"/>
  <c r="M82" i="49"/>
  <c r="D23" i="47"/>
  <c r="C76" i="49"/>
  <c r="M42" i="49"/>
  <c r="M23" i="49"/>
  <c r="B29" i="50"/>
  <c r="B25" i="48"/>
  <c r="B73" i="49"/>
  <c r="A26" i="50"/>
  <c r="L39" i="49"/>
  <c r="A22" i="48"/>
  <c r="D5" i="47"/>
  <c r="L20" i="49"/>
  <c r="D20" i="49"/>
  <c r="F35" i="47"/>
  <c r="C58" i="48"/>
  <c r="C66" i="50"/>
  <c r="D88" i="49"/>
  <c r="N88" i="49"/>
  <c r="L78" i="49"/>
  <c r="A45" i="48"/>
  <c r="E10" i="47"/>
  <c r="L59" i="49"/>
  <c r="B59" i="49"/>
  <c r="A53" i="50"/>
  <c r="B15" i="50"/>
  <c r="C50" i="49"/>
  <c r="C16" i="49"/>
  <c r="C31" i="47"/>
  <c r="B15" i="48"/>
  <c r="M16" i="49"/>
  <c r="M75" i="49"/>
  <c r="M56" i="49"/>
  <c r="B42" i="48"/>
  <c r="E22" i="47"/>
  <c r="B50" i="50"/>
  <c r="C56" i="49"/>
  <c r="C60" i="50"/>
  <c r="D66" i="49"/>
  <c r="N66" i="49"/>
  <c r="N85" i="49"/>
  <c r="C52" i="48"/>
  <c r="E47" i="47"/>
  <c r="M89" i="49"/>
  <c r="B59" i="48"/>
  <c r="F21" i="47"/>
  <c r="C89" i="49"/>
  <c r="C21" i="49"/>
  <c r="B67" i="50"/>
  <c r="B30" i="48"/>
  <c r="M28" i="49"/>
  <c r="D28" i="47"/>
  <c r="M47" i="49"/>
  <c r="B34" i="50"/>
  <c r="C81" i="49"/>
  <c r="F5" i="47"/>
  <c r="B20" i="49"/>
  <c r="A58" i="48"/>
  <c r="A66" i="50"/>
  <c r="L88" i="49"/>
  <c r="B88" i="49"/>
  <c r="N93" i="49"/>
  <c r="C71" i="50"/>
  <c r="C63" i="48"/>
  <c r="D25" i="49"/>
  <c r="D93" i="49"/>
  <c r="F40" i="47"/>
  <c r="B60" i="49"/>
  <c r="E11" i="47"/>
  <c r="L60" i="49"/>
  <c r="A54" i="50"/>
  <c r="L79" i="49"/>
  <c r="A46" i="48"/>
  <c r="C18" i="49"/>
  <c r="B17" i="50"/>
  <c r="B17" i="48"/>
  <c r="M18" i="49"/>
  <c r="C33" i="47"/>
  <c r="C52" i="49"/>
  <c r="B7" i="50"/>
  <c r="C42" i="49"/>
  <c r="C23" i="47"/>
  <c r="M8" i="49"/>
  <c r="C8" i="49"/>
  <c r="B7" i="48"/>
  <c r="A57" i="50"/>
  <c r="B63" i="49"/>
  <c r="L82" i="49"/>
  <c r="A49" i="48"/>
  <c r="L63" i="49"/>
  <c r="E14" i="47"/>
  <c r="A55" i="50"/>
  <c r="A47" i="48"/>
  <c r="L80" i="49"/>
  <c r="E12" i="47"/>
  <c r="L61" i="49"/>
  <c r="B61" i="49"/>
  <c r="B94" i="49"/>
  <c r="F11" i="47"/>
  <c r="L94" i="49"/>
  <c r="A72" i="50"/>
  <c r="A64" i="48"/>
  <c r="B26" i="49"/>
  <c r="C30" i="47"/>
  <c r="M15" i="49"/>
  <c r="C49" i="49"/>
  <c r="B14" i="50"/>
  <c r="B14" i="48"/>
  <c r="C15" i="49"/>
  <c r="R4" i="46"/>
  <c r="L53" i="49"/>
  <c r="A39" i="48"/>
  <c r="B53" i="49"/>
  <c r="E4" i="47"/>
  <c r="A47" i="50"/>
  <c r="Z13" i="46"/>
  <c r="Y13" i="46"/>
  <c r="Q4" i="46"/>
  <c r="L72" i="49"/>
  <c r="W13" i="46"/>
  <c r="W20" i="46" s="1"/>
  <c r="M71" i="46" s="1"/>
  <c r="X13" i="46"/>
  <c r="X20" i="46" s="1"/>
  <c r="N71" i="46" s="1"/>
  <c r="AA13" i="46"/>
  <c r="C32" i="48"/>
  <c r="C36" i="50"/>
  <c r="N30" i="49"/>
  <c r="D83" i="49"/>
  <c r="N49" i="49"/>
  <c r="D45" i="47"/>
  <c r="C37" i="47"/>
  <c r="C6" i="50"/>
  <c r="D7" i="49"/>
  <c r="C6" i="48"/>
  <c r="D41" i="49"/>
  <c r="N7" i="49"/>
  <c r="M54" i="49"/>
  <c r="E20" i="47"/>
  <c r="B48" i="50"/>
  <c r="C54" i="49"/>
  <c r="B40" i="48"/>
  <c r="M73" i="49"/>
  <c r="C58" i="50"/>
  <c r="E45" i="47"/>
  <c r="N83" i="49"/>
  <c r="D64" i="49"/>
  <c r="C50" i="48"/>
  <c r="N64" i="49"/>
  <c r="C20" i="49"/>
  <c r="M88" i="49"/>
  <c r="B66" i="50"/>
  <c r="B58" i="48"/>
  <c r="F20" i="47"/>
  <c r="C88" i="49"/>
  <c r="B76" i="49"/>
  <c r="L23" i="49"/>
  <c r="A29" i="50"/>
  <c r="A25" i="48"/>
  <c r="L42" i="49"/>
  <c r="D8" i="47"/>
  <c r="M31" i="49"/>
  <c r="D31" i="47"/>
  <c r="B33" i="48"/>
  <c r="C84" i="49"/>
  <c r="M50" i="49"/>
  <c r="B37" i="50"/>
  <c r="A17" i="50"/>
  <c r="A17" i="48"/>
  <c r="B52" i="49"/>
  <c r="B18" i="49"/>
  <c r="L18" i="49"/>
  <c r="C18" i="47"/>
  <c r="D96" i="49"/>
  <c r="F43" i="47"/>
  <c r="C74" i="50"/>
  <c r="D28" i="49"/>
  <c r="C66" i="48"/>
  <c r="N96" i="49"/>
  <c r="C41" i="49"/>
  <c r="B6" i="48"/>
  <c r="C7" i="49"/>
  <c r="M7" i="49"/>
  <c r="B6" i="50"/>
  <c r="C22" i="47"/>
  <c r="D51" i="49"/>
  <c r="C16" i="48"/>
  <c r="C47" i="47"/>
  <c r="C16" i="50"/>
  <c r="N17" i="49"/>
  <c r="D17" i="49"/>
  <c r="N76" i="49"/>
  <c r="C43" i="48"/>
  <c r="E38" i="47"/>
  <c r="D57" i="49"/>
  <c r="C51" i="50"/>
  <c r="N57" i="49"/>
  <c r="A34" i="48"/>
  <c r="A38" i="50"/>
  <c r="B85" i="49"/>
  <c r="L32" i="49"/>
  <c r="L51" i="49"/>
  <c r="D17" i="47"/>
  <c r="F29" i="47"/>
  <c r="C29" i="49"/>
  <c r="B67" i="48"/>
  <c r="C97" i="49"/>
  <c r="B75" i="50"/>
  <c r="M97" i="49"/>
  <c r="C27" i="50"/>
  <c r="N40" i="49"/>
  <c r="D36" i="47"/>
  <c r="C23" i="48"/>
  <c r="D74" i="49"/>
  <c r="N21" i="49"/>
  <c r="B43" i="49"/>
  <c r="A8" i="50"/>
  <c r="C9" i="47"/>
  <c r="B9" i="49"/>
  <c r="A8" i="48"/>
  <c r="L9" i="49"/>
  <c r="F48" i="47"/>
  <c r="N101" i="49"/>
  <c r="D101" i="49"/>
  <c r="C71" i="48"/>
  <c r="C79" i="50"/>
  <c r="D33" i="49"/>
  <c r="B8" i="48"/>
  <c r="C9" i="49"/>
  <c r="M9" i="49"/>
  <c r="B8" i="50"/>
  <c r="C43" i="49"/>
  <c r="C24" i="47"/>
  <c r="C53" i="49"/>
  <c r="Z14" i="46"/>
  <c r="Z21" i="46" s="1"/>
  <c r="U71" i="46" s="1"/>
  <c r="M53" i="49"/>
  <c r="AA14" i="46"/>
  <c r="AA21" i="46" s="1"/>
  <c r="V71" i="46" s="1"/>
  <c r="W14" i="46"/>
  <c r="W21" i="46" s="1"/>
  <c r="R71" i="46" s="1"/>
  <c r="M72" i="49"/>
  <c r="R5" i="46"/>
  <c r="Q5" i="46"/>
  <c r="Y14" i="46"/>
  <c r="X14" i="46"/>
  <c r="B47" i="50"/>
  <c r="B39" i="48"/>
  <c r="E19" i="47"/>
  <c r="C46" i="47"/>
  <c r="N16" i="49"/>
  <c r="D50" i="49"/>
  <c r="C15" i="48"/>
  <c r="D16" i="49"/>
  <c r="C15" i="50"/>
  <c r="M59" i="49"/>
  <c r="M78" i="49"/>
  <c r="E25" i="47"/>
  <c r="B45" i="48"/>
  <c r="B53" i="50"/>
  <c r="C59" i="49"/>
  <c r="B60" i="50"/>
  <c r="B52" i="48"/>
  <c r="M66" i="49"/>
  <c r="E32" i="47"/>
  <c r="C66" i="49"/>
  <c r="M85" i="49"/>
  <c r="B33" i="49"/>
  <c r="L101" i="49"/>
  <c r="A79" i="50"/>
  <c r="F18" i="47"/>
  <c r="A71" i="48"/>
  <c r="B101" i="49"/>
  <c r="M57" i="49"/>
  <c r="B43" i="48"/>
  <c r="C57" i="49"/>
  <c r="M76" i="49"/>
  <c r="B51" i="50"/>
  <c r="E23" i="47"/>
  <c r="N74" i="49"/>
  <c r="E36" i="47"/>
  <c r="D55" i="49"/>
  <c r="N55" i="49"/>
  <c r="C49" i="50"/>
  <c r="C41" i="48"/>
  <c r="A33" i="48"/>
  <c r="A37" i="50"/>
  <c r="L31" i="49"/>
  <c r="L50" i="49"/>
  <c r="B84" i="49"/>
  <c r="D16" i="47"/>
  <c r="F28" i="47"/>
  <c r="M96" i="49"/>
  <c r="B74" i="50"/>
  <c r="B66" i="48"/>
  <c r="C28" i="49"/>
  <c r="C96" i="49"/>
  <c r="A50" i="48"/>
  <c r="L64" i="49"/>
  <c r="A58" i="50"/>
  <c r="L83" i="49"/>
  <c r="B64" i="49"/>
  <c r="E15" i="47"/>
  <c r="C30" i="50"/>
  <c r="D39" i="47"/>
  <c r="C26" i="48"/>
  <c r="D77" i="49"/>
  <c r="N43" i="49"/>
  <c r="N24" i="49"/>
  <c r="B46" i="49"/>
  <c r="A11" i="48"/>
  <c r="B12" i="49"/>
  <c r="A11" i="50"/>
  <c r="C12" i="47"/>
  <c r="L12" i="49"/>
  <c r="D42" i="49"/>
  <c r="C7" i="50"/>
  <c r="C38" i="47"/>
  <c r="N8" i="49"/>
  <c r="D8" i="49"/>
  <c r="C7" i="48"/>
  <c r="B53" i="48"/>
  <c r="E33" i="47"/>
  <c r="M86" i="49"/>
  <c r="M67" i="49"/>
  <c r="B61" i="50"/>
  <c r="C67" i="49"/>
  <c r="C78" i="49"/>
  <c r="B31" i="50"/>
  <c r="B27" i="48"/>
  <c r="D25" i="47"/>
  <c r="M25" i="49"/>
  <c r="M44" i="49"/>
  <c r="A28" i="48"/>
  <c r="L45" i="49"/>
  <c r="L26" i="49"/>
  <c r="D11" i="47"/>
  <c r="B79" i="49"/>
  <c r="A32" i="50"/>
  <c r="C68" i="50"/>
  <c r="D90" i="49"/>
  <c r="C60" i="48"/>
  <c r="D22" i="49"/>
  <c r="F37" i="47"/>
  <c r="N90" i="49"/>
  <c r="C35" i="50"/>
  <c r="D82" i="49"/>
  <c r="N29" i="49"/>
  <c r="D44" i="47"/>
  <c r="C31" i="48"/>
  <c r="N48" i="49"/>
  <c r="C38" i="49"/>
  <c r="Q14" i="46"/>
  <c r="Q21" i="46" s="1"/>
  <c r="V69" i="46" s="1"/>
  <c r="M4" i="49"/>
  <c r="B3" i="48"/>
  <c r="P14" i="46"/>
  <c r="C19" i="47"/>
  <c r="N14" i="46"/>
  <c r="B3" i="50"/>
  <c r="C4" i="49"/>
  <c r="M14" i="46"/>
  <c r="M21" i="46" s="1"/>
  <c r="R69" i="46" s="1"/>
  <c r="M5" i="46"/>
  <c r="O14" i="46"/>
  <c r="N5" i="46"/>
  <c r="C9" i="50"/>
  <c r="D44" i="49"/>
  <c r="D10" i="49"/>
  <c r="C40" i="47"/>
  <c r="C9" i="48"/>
  <c r="N10" i="49"/>
  <c r="C40" i="48"/>
  <c r="E35" i="47"/>
  <c r="C48" i="50"/>
  <c r="N73" i="49"/>
  <c r="D54" i="49"/>
  <c r="N54" i="49"/>
  <c r="F15" i="47"/>
  <c r="A68" i="48"/>
  <c r="B30" i="49"/>
  <c r="L98" i="49"/>
  <c r="B98" i="49"/>
  <c r="A76" i="50"/>
  <c r="Y21" i="46"/>
  <c r="T71" i="46" s="1"/>
  <c r="AE22" i="46"/>
  <c r="Z72" i="46" s="1"/>
  <c r="T22" i="46"/>
  <c r="Y70" i="46" s="1"/>
  <c r="B7" i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B5" i="45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2"/>
  <c r="B6" i="42" s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6" i="4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38"/>
  <c r="B6" i="38" s="1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5" i="36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6" i="32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2"/>
  <c r="B5" i="3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H15" i="49"/>
  <c r="H14" i="49"/>
  <c r="R24" i="48"/>
  <c r="AE24" i="48"/>
  <c r="AE25" i="48"/>
  <c r="AE6" i="48"/>
  <c r="AE7" i="48"/>
  <c r="R6" i="48"/>
  <c r="S7" i="49"/>
  <c r="S8" i="49"/>
  <c r="I83" i="49"/>
  <c r="I82" i="49"/>
  <c r="I16" i="47"/>
  <c r="I15" i="47"/>
  <c r="H7" i="49"/>
  <c r="H8" i="49"/>
  <c r="I75" i="49"/>
  <c r="I76" i="49"/>
  <c r="G83" i="49"/>
  <c r="G82" i="49"/>
  <c r="S49" i="49"/>
  <c r="S48" i="49"/>
  <c r="V60" i="48"/>
  <c r="V61" i="48"/>
  <c r="V59" i="48"/>
  <c r="J16" i="47"/>
  <c r="J15" i="47"/>
  <c r="Q48" i="49"/>
  <c r="Q49" i="49"/>
  <c r="P6" i="48"/>
  <c r="AE60" i="48"/>
  <c r="AE61" i="48"/>
  <c r="R60" i="48"/>
  <c r="G15" i="49"/>
  <c r="G14" i="49"/>
  <c r="I9" i="47"/>
  <c r="I8" i="47"/>
  <c r="P34" i="50"/>
  <c r="S75" i="49"/>
  <c r="S76" i="49"/>
  <c r="Q7" i="49"/>
  <c r="Q8" i="49"/>
  <c r="I7" i="49"/>
  <c r="I8" i="49"/>
  <c r="H41" i="49"/>
  <c r="H42" i="49"/>
  <c r="P24" i="48"/>
  <c r="G7" i="49"/>
  <c r="G8" i="49"/>
  <c r="G41" i="49"/>
  <c r="G42" i="49"/>
  <c r="AE122" i="50"/>
  <c r="AE12" i="50"/>
  <c r="AE100" i="50"/>
  <c r="L8" i="47"/>
  <c r="L9" i="47"/>
  <c r="V64" i="48"/>
  <c r="AE23" i="48"/>
  <c r="Q24" i="48"/>
  <c r="P42" i="48"/>
  <c r="Q75" i="49"/>
  <c r="Q76" i="49"/>
  <c r="AT100" i="50"/>
  <c r="AT122" i="50"/>
  <c r="AT12" i="50"/>
  <c r="Q82" i="49"/>
  <c r="Q83" i="49"/>
  <c r="R49" i="49"/>
  <c r="R48" i="49"/>
  <c r="P12" i="50"/>
  <c r="P100" i="50"/>
  <c r="P122" i="50"/>
  <c r="AE56" i="50"/>
  <c r="AE78" i="50"/>
  <c r="R83" i="49"/>
  <c r="R82" i="49"/>
  <c r="AE34" i="50"/>
  <c r="R42" i="48"/>
  <c r="AE42" i="48"/>
  <c r="AE43" i="48"/>
  <c r="H83" i="49"/>
  <c r="H82" i="49"/>
  <c r="I41" i="49"/>
  <c r="I42" i="49"/>
  <c r="P60" i="48"/>
  <c r="Q14" i="49"/>
  <c r="Q15" i="49"/>
  <c r="R42" i="49"/>
  <c r="R41" i="49"/>
  <c r="AE59" i="48"/>
  <c r="Q60" i="48"/>
  <c r="R15" i="49"/>
  <c r="R14" i="49"/>
  <c r="V28" i="48"/>
  <c r="V25" i="48"/>
  <c r="V23" i="48"/>
  <c r="V24" i="48"/>
  <c r="P56" i="50"/>
  <c r="P78" i="50"/>
  <c r="V10" i="48"/>
  <c r="V41" i="48"/>
  <c r="V42" i="48"/>
  <c r="V43" i="48"/>
  <c r="I15" i="49"/>
  <c r="I14" i="49"/>
  <c r="I48" i="49"/>
  <c r="I49" i="49"/>
  <c r="S15" i="49"/>
  <c r="S14" i="49"/>
  <c r="G49" i="49"/>
  <c r="G48" i="49"/>
  <c r="H49" i="49"/>
  <c r="H48" i="49"/>
  <c r="V7" i="48"/>
  <c r="V5" i="48"/>
  <c r="V6" i="48"/>
  <c r="AT34" i="50"/>
  <c r="K8" i="47"/>
  <c r="K9" i="47"/>
  <c r="AT56" i="50"/>
  <c r="AT78" i="50"/>
  <c r="J9" i="47"/>
  <c r="J8" i="47"/>
  <c r="L15" i="47"/>
  <c r="L16" i="47"/>
  <c r="K16" i="47"/>
  <c r="K15" i="47"/>
  <c r="S41" i="49"/>
  <c r="S42" i="49"/>
  <c r="Q41" i="49"/>
  <c r="Q42" i="49"/>
  <c r="V46" i="48"/>
  <c r="AE5" i="48"/>
  <c r="Q6" i="48"/>
  <c r="S83" i="49"/>
  <c r="S82" i="49"/>
  <c r="R75" i="49"/>
  <c r="R76" i="49"/>
  <c r="Q42" i="48"/>
  <c r="AE41" i="48"/>
  <c r="R7" i="49"/>
  <c r="R8" i="49"/>
  <c r="H75" i="49"/>
  <c r="H76" i="49"/>
  <c r="G75" i="49"/>
  <c r="G76" i="49"/>
  <c r="AA24" i="48" l="1"/>
  <c r="AT30" i="50"/>
  <c r="P41" i="48"/>
  <c r="AE21" i="46"/>
  <c r="U72" i="46" s="1"/>
  <c r="H8" i="48"/>
  <c r="G51" i="50"/>
  <c r="U74" i="50"/>
  <c r="U75" i="50" s="1"/>
  <c r="Z75" i="50" s="1"/>
  <c r="V79" i="50" s="1"/>
  <c r="P118" i="50"/>
  <c r="AE51" i="50"/>
  <c r="AA60" i="48"/>
  <c r="AK30" i="50"/>
  <c r="AA20" i="46"/>
  <c r="Q71" i="46" s="1"/>
  <c r="AE52" i="50"/>
  <c r="O21" i="46"/>
  <c r="T69" i="46" s="1"/>
  <c r="G78" i="49"/>
  <c r="H78" i="49"/>
  <c r="R10" i="49"/>
  <c r="R78" i="49"/>
  <c r="S85" i="49"/>
  <c r="Q44" i="49"/>
  <c r="S44" i="49"/>
  <c r="K18" i="47"/>
  <c r="L18" i="47"/>
  <c r="J11" i="47"/>
  <c r="K11" i="47"/>
  <c r="H51" i="49"/>
  <c r="G51" i="49"/>
  <c r="S17" i="49"/>
  <c r="I51" i="49"/>
  <c r="I17" i="49"/>
  <c r="R17" i="49"/>
  <c r="R44" i="49"/>
  <c r="Q17" i="49"/>
  <c r="I44" i="49"/>
  <c r="H85" i="49"/>
  <c r="R85" i="49"/>
  <c r="R51" i="49"/>
  <c r="Q85" i="49"/>
  <c r="Q78" i="49"/>
  <c r="L11" i="47"/>
  <c r="G44" i="49"/>
  <c r="G10" i="49"/>
  <c r="H44" i="49"/>
  <c r="I10" i="49"/>
  <c r="Q10" i="49"/>
  <c r="S78" i="49"/>
  <c r="I11" i="47"/>
  <c r="G17" i="49"/>
  <c r="Q51" i="49"/>
  <c r="J18" i="47"/>
  <c r="S51" i="49"/>
  <c r="G85" i="49"/>
  <c r="I78" i="49"/>
  <c r="H10" i="49"/>
  <c r="I18" i="47"/>
  <c r="I85" i="49"/>
  <c r="S10" i="49"/>
  <c r="H17" i="49"/>
  <c r="AE8" i="50"/>
  <c r="AU72" i="50"/>
  <c r="U117" i="50"/>
  <c r="G14" i="48"/>
  <c r="G13" i="48" s="1"/>
  <c r="K12" i="48" s="1"/>
  <c r="AE29" i="50"/>
  <c r="AF116" i="50"/>
  <c r="H24" i="48"/>
  <c r="AE118" i="50"/>
  <c r="Q22" i="46"/>
  <c r="AA69" i="46" s="1"/>
  <c r="I6" i="48"/>
  <c r="J61" i="48"/>
  <c r="I60" i="48"/>
  <c r="AC20" i="46"/>
  <c r="N72" i="46" s="1"/>
  <c r="AF24" i="48"/>
  <c r="P20" i="46"/>
  <c r="P69" i="46" s="1"/>
  <c r="J24" i="48"/>
  <c r="AF43" i="48"/>
  <c r="H97" i="50"/>
  <c r="I24" i="48"/>
  <c r="H26" i="48"/>
  <c r="P61" i="48"/>
  <c r="P62" i="48" s="1"/>
  <c r="AT96" i="50"/>
  <c r="H53" i="50"/>
  <c r="AT6" i="50"/>
  <c r="AJ117" i="50"/>
  <c r="AA22" i="46"/>
  <c r="AA71" i="46" s="1"/>
  <c r="F73" i="50"/>
  <c r="P119" i="50"/>
  <c r="P125" i="50" s="1"/>
  <c r="H51" i="50"/>
  <c r="AA59" i="48"/>
  <c r="Z42" i="48"/>
  <c r="U20" i="46"/>
  <c r="P70" i="46" s="1"/>
  <c r="AF21" i="46"/>
  <c r="V72" i="46" s="1"/>
  <c r="AC21" i="46"/>
  <c r="S72" i="46" s="1"/>
  <c r="G8" i="48"/>
  <c r="P116" i="50"/>
  <c r="AE74" i="50"/>
  <c r="G6" i="48"/>
  <c r="AT74" i="50"/>
  <c r="F29" i="50"/>
  <c r="AJ8" i="50"/>
  <c r="AJ9" i="50" s="1"/>
  <c r="AO9" i="50" s="1"/>
  <c r="AK13" i="50" s="1"/>
  <c r="H75" i="50"/>
  <c r="AT8" i="50"/>
  <c r="AE6" i="50"/>
  <c r="I8" i="48"/>
  <c r="AK117" i="50"/>
  <c r="V30" i="50"/>
  <c r="J8" i="48"/>
  <c r="I44" i="48"/>
  <c r="AT72" i="50"/>
  <c r="Q6" i="50"/>
  <c r="AE28" i="50"/>
  <c r="G44" i="48"/>
  <c r="AF94" i="50"/>
  <c r="AF59" i="48"/>
  <c r="G7" i="50"/>
  <c r="H8" i="50"/>
  <c r="AL31" i="50"/>
  <c r="G24" i="48"/>
  <c r="V74" i="50"/>
  <c r="P50" i="50"/>
  <c r="F8" i="50"/>
  <c r="F9" i="50" s="1"/>
  <c r="K9" i="50" s="1"/>
  <c r="G14" i="50" s="1"/>
  <c r="H7" i="48"/>
  <c r="F7" i="50"/>
  <c r="G61" i="48"/>
  <c r="Z5" i="48"/>
  <c r="AL52" i="50"/>
  <c r="W97" i="50"/>
  <c r="H31" i="50"/>
  <c r="Q5" i="48"/>
  <c r="AF60" i="48"/>
  <c r="H9" i="50"/>
  <c r="AL118" i="50"/>
  <c r="AD20" i="46"/>
  <c r="O72" i="46" s="1"/>
  <c r="F25" i="48"/>
  <c r="Q43" i="48"/>
  <c r="Q44" i="48" s="1"/>
  <c r="Q50" i="50"/>
  <c r="AE97" i="50"/>
  <c r="AE103" i="50" s="1"/>
  <c r="AK118" i="50"/>
  <c r="P6" i="50"/>
  <c r="G26" i="48"/>
  <c r="Q25" i="48"/>
  <c r="Q26" i="48" s="1"/>
  <c r="N21" i="46"/>
  <c r="S69" i="46" s="1"/>
  <c r="X21" i="46"/>
  <c r="S71" i="46" s="1"/>
  <c r="G50" i="48"/>
  <c r="G49" i="48" s="1"/>
  <c r="K48" i="48" s="1"/>
  <c r="F8" i="48"/>
  <c r="AL75" i="50"/>
  <c r="AF23" i="48"/>
  <c r="V22" i="46"/>
  <c r="AA70" i="46" s="1"/>
  <c r="F26" i="48"/>
  <c r="G60" i="48"/>
  <c r="U95" i="50"/>
  <c r="AF22" i="46"/>
  <c r="AA72" i="46" s="1"/>
  <c r="F51" i="50"/>
  <c r="W30" i="50"/>
  <c r="AL53" i="50"/>
  <c r="S21" i="46"/>
  <c r="S70" i="46" s="1"/>
  <c r="Z23" i="48"/>
  <c r="AT52" i="50"/>
  <c r="P21" i="46"/>
  <c r="U69" i="46" s="1"/>
  <c r="F95" i="50"/>
  <c r="U30" i="50"/>
  <c r="U31" i="50" s="1"/>
  <c r="Z31" i="50" s="1"/>
  <c r="V35" i="50" s="1"/>
  <c r="F14" i="48"/>
  <c r="H119" i="50"/>
  <c r="W95" i="50"/>
  <c r="AK51" i="50"/>
  <c r="R41" i="48"/>
  <c r="AL95" i="50"/>
  <c r="AT118" i="50"/>
  <c r="G73" i="50"/>
  <c r="V96" i="50"/>
  <c r="W9" i="50"/>
  <c r="I61" i="48"/>
  <c r="W53" i="50"/>
  <c r="AA7" i="48"/>
  <c r="AJ52" i="50"/>
  <c r="AJ53" i="50" s="1"/>
  <c r="AO53" i="50" s="1"/>
  <c r="AK58" i="50" s="1"/>
  <c r="P94" i="50"/>
  <c r="W73" i="50"/>
  <c r="AT94" i="50"/>
  <c r="AK8" i="50"/>
  <c r="P30" i="50"/>
  <c r="H74" i="50"/>
  <c r="AA43" i="48"/>
  <c r="AU28" i="50"/>
  <c r="S22" i="46"/>
  <c r="X70" i="46" s="1"/>
  <c r="F62" i="48"/>
  <c r="P59" i="48"/>
  <c r="AF6" i="48"/>
  <c r="U8" i="50"/>
  <c r="U9" i="50" s="1"/>
  <c r="Z9" i="50" s="1"/>
  <c r="Y22" i="46"/>
  <c r="Y71" i="46" s="1"/>
  <c r="Z20" i="46"/>
  <c r="P71" i="46" s="1"/>
  <c r="Q59" i="48"/>
  <c r="I62" i="48"/>
  <c r="AT97" i="50"/>
  <c r="AT103" i="50" s="1"/>
  <c r="F61" i="48"/>
  <c r="I43" i="48"/>
  <c r="AE95" i="50"/>
  <c r="W96" i="50"/>
  <c r="U73" i="50"/>
  <c r="Q72" i="50"/>
  <c r="J43" i="48"/>
  <c r="AJ51" i="50"/>
  <c r="W52" i="50"/>
  <c r="G42" i="48"/>
  <c r="AJ30" i="50"/>
  <c r="AJ31" i="50" s="1"/>
  <c r="AO31" i="50" s="1"/>
  <c r="AK36" i="50" s="1"/>
  <c r="AF25" i="48"/>
  <c r="H62" i="48"/>
  <c r="F6" i="48"/>
  <c r="P53" i="50"/>
  <c r="P59" i="50" s="1"/>
  <c r="R59" i="48"/>
  <c r="AT50" i="50"/>
  <c r="U29" i="50"/>
  <c r="I7" i="48"/>
  <c r="AJ74" i="50"/>
  <c r="AJ75" i="50" s="1"/>
  <c r="AO75" i="50" s="1"/>
  <c r="AK80" i="50" s="1"/>
  <c r="P72" i="50"/>
  <c r="V117" i="50"/>
  <c r="W118" i="50"/>
  <c r="G62" i="48"/>
  <c r="AK7" i="50"/>
  <c r="R61" i="48"/>
  <c r="R62" i="48" s="1"/>
  <c r="AJ7" i="50"/>
  <c r="AE50" i="50"/>
  <c r="AE116" i="50"/>
  <c r="AU6" i="50"/>
  <c r="H52" i="50"/>
  <c r="P7" i="48"/>
  <c r="P8" i="48" s="1"/>
  <c r="AA42" i="48"/>
  <c r="AF42" i="48"/>
  <c r="AT9" i="50"/>
  <c r="AL7" i="50"/>
  <c r="AL29" i="50"/>
  <c r="U7" i="50"/>
  <c r="AE30" i="50"/>
  <c r="V51" i="50"/>
  <c r="Q7" i="48"/>
  <c r="Q8" i="48" s="1"/>
  <c r="Z24" i="48"/>
  <c r="AA23" i="48"/>
  <c r="Q20" i="46"/>
  <c r="Q69" i="46" s="1"/>
  <c r="R7" i="48"/>
  <c r="R8" i="48" s="1"/>
  <c r="AU50" i="50"/>
  <c r="AL117" i="50"/>
  <c r="R43" i="48"/>
  <c r="R44" i="48" s="1"/>
  <c r="G95" i="50"/>
  <c r="P75" i="50"/>
  <c r="AE73" i="50"/>
  <c r="W117" i="50"/>
  <c r="U96" i="50"/>
  <c r="U97" i="50" s="1"/>
  <c r="Z97" i="50" s="1"/>
  <c r="V102" i="50" s="1"/>
  <c r="U118" i="50"/>
  <c r="U119" i="50" s="1"/>
  <c r="Z119" i="50" s="1"/>
  <c r="V124" i="50" s="1"/>
  <c r="AE72" i="50"/>
  <c r="J60" i="48"/>
  <c r="AL97" i="50"/>
  <c r="AJ73" i="50"/>
  <c r="AL30" i="50"/>
  <c r="AJ118" i="50"/>
  <c r="AJ119" i="50" s="1"/>
  <c r="AO119" i="50" s="1"/>
  <c r="AK124" i="50" s="1"/>
  <c r="G29" i="50"/>
  <c r="P28" i="50"/>
  <c r="H29" i="50"/>
  <c r="Z6" i="48"/>
  <c r="P5" i="48"/>
  <c r="G52" i="50"/>
  <c r="F52" i="50"/>
  <c r="F53" i="50" s="1"/>
  <c r="K53" i="50" s="1"/>
  <c r="G58" i="50" s="1"/>
  <c r="H61" i="48"/>
  <c r="I26" i="48"/>
  <c r="Z41" i="48"/>
  <c r="F50" i="48"/>
  <c r="H50" i="48" s="1"/>
  <c r="Q94" i="50"/>
  <c r="I25" i="48"/>
  <c r="Z25" i="48"/>
  <c r="F43" i="48"/>
  <c r="Z22" i="46"/>
  <c r="Z71" i="46" s="1"/>
  <c r="J62" i="48"/>
  <c r="AT53" i="50"/>
  <c r="AT59" i="50" s="1"/>
  <c r="AT28" i="50"/>
  <c r="W31" i="50"/>
  <c r="X31" i="50" s="1"/>
  <c r="V7" i="50"/>
  <c r="W29" i="50"/>
  <c r="G7" i="48"/>
  <c r="F32" i="48"/>
  <c r="F24" i="48"/>
  <c r="R5" i="48"/>
  <c r="AK52" i="50"/>
  <c r="AT116" i="50"/>
  <c r="H44" i="48"/>
  <c r="G30" i="50"/>
  <c r="P74" i="50"/>
  <c r="W74" i="50"/>
  <c r="W119" i="50"/>
  <c r="AF6" i="50"/>
  <c r="W8" i="50"/>
  <c r="W75" i="50"/>
  <c r="V73" i="50"/>
  <c r="F68" i="48"/>
  <c r="Z59" i="48"/>
  <c r="AL73" i="50"/>
  <c r="AK73" i="50"/>
  <c r="AP75" i="50" s="1"/>
  <c r="AT75" i="50"/>
  <c r="AT81" i="50" s="1"/>
  <c r="AU94" i="50"/>
  <c r="P31" i="50"/>
  <c r="H7" i="50"/>
  <c r="P9" i="50"/>
  <c r="H6" i="48"/>
  <c r="AA6" i="48"/>
  <c r="G117" i="50"/>
  <c r="G119" i="50" s="1"/>
  <c r="AA61" i="48"/>
  <c r="J26" i="48"/>
  <c r="H42" i="48"/>
  <c r="J42" i="48"/>
  <c r="G96" i="50"/>
  <c r="Q23" i="48"/>
  <c r="G25" i="48"/>
  <c r="H43" i="48"/>
  <c r="V20" i="46"/>
  <c r="Q70" i="46" s="1"/>
  <c r="AF20" i="46"/>
  <c r="Q72" i="46" s="1"/>
  <c r="V21" i="46"/>
  <c r="V70" i="46" s="1"/>
  <c r="AE53" i="50"/>
  <c r="J7" i="48"/>
  <c r="P25" i="48"/>
  <c r="AE20" i="46"/>
  <c r="P72" i="46" s="1"/>
  <c r="AL74" i="50"/>
  <c r="F44" i="48"/>
  <c r="H73" i="50"/>
  <c r="H95" i="50"/>
  <c r="AF50" i="50"/>
  <c r="AF28" i="50"/>
  <c r="G68" i="48"/>
  <c r="G67" i="48" s="1"/>
  <c r="K66" i="48" s="1"/>
  <c r="P8" i="50"/>
  <c r="AF5" i="48"/>
  <c r="J6" i="48"/>
  <c r="H117" i="50"/>
  <c r="F74" i="50"/>
  <c r="F75" i="50" s="1"/>
  <c r="K75" i="50" s="1"/>
  <c r="G79" i="50" s="1"/>
  <c r="AF61" i="48"/>
  <c r="Q61" i="48"/>
  <c r="Q62" i="48" s="1"/>
  <c r="H118" i="50"/>
  <c r="F96" i="50"/>
  <c r="F97" i="50" s="1"/>
  <c r="K97" i="50" s="1"/>
  <c r="G101" i="50" s="1"/>
  <c r="J25" i="48"/>
  <c r="G43" i="48"/>
  <c r="Z43" i="48"/>
  <c r="AL51" i="50"/>
  <c r="AE9" i="50"/>
  <c r="P97" i="50"/>
  <c r="V52" i="50"/>
  <c r="V8" i="50"/>
  <c r="AE94" i="50"/>
  <c r="Z60" i="48"/>
  <c r="AK95" i="50"/>
  <c r="AU116" i="50"/>
  <c r="AK96" i="50"/>
  <c r="AL9" i="50"/>
  <c r="AT31" i="50"/>
  <c r="V29" i="50"/>
  <c r="W51" i="50"/>
  <c r="U51" i="50"/>
  <c r="F7" i="48"/>
  <c r="P23" i="48"/>
  <c r="AL119" i="50"/>
  <c r="J44" i="48"/>
  <c r="P96" i="50"/>
  <c r="F30" i="50"/>
  <c r="F31" i="50" s="1"/>
  <c r="K31" i="50" s="1"/>
  <c r="G35" i="50" s="1"/>
  <c r="U52" i="50"/>
  <c r="U53" i="50" s="1"/>
  <c r="Z53" i="50" s="1"/>
  <c r="V57" i="50" s="1"/>
  <c r="AF72" i="50"/>
  <c r="V118" i="50"/>
  <c r="AE75" i="50"/>
  <c r="H60" i="48"/>
  <c r="AJ95" i="50"/>
  <c r="AL96" i="50"/>
  <c r="AJ96" i="50"/>
  <c r="AJ97" i="50" s="1"/>
  <c r="AO97" i="50" s="1"/>
  <c r="AK102" i="50" s="1"/>
  <c r="P52" i="50"/>
  <c r="AA5" i="48"/>
  <c r="G74" i="50"/>
  <c r="Z61" i="48"/>
  <c r="R25" i="48"/>
  <c r="R26" i="48" s="1"/>
  <c r="F42" i="48"/>
  <c r="AF41" i="48"/>
  <c r="G118" i="50"/>
  <c r="G8" i="50"/>
  <c r="AA25" i="48"/>
  <c r="S20" i="46"/>
  <c r="N70" i="46" s="1"/>
  <c r="T21" i="46"/>
  <c r="T70" i="46" s="1"/>
  <c r="AK29" i="50"/>
  <c r="AK31" i="50" s="1"/>
  <c r="AJ29" i="50"/>
  <c r="W7" i="50"/>
  <c r="AE31" i="50"/>
  <c r="AF7" i="48"/>
  <c r="Z7" i="48"/>
  <c r="G32" i="48"/>
  <c r="G31" i="48" s="1"/>
  <c r="K30" i="48" s="1"/>
  <c r="AT119" i="50"/>
  <c r="AT125" i="50" s="1"/>
  <c r="AK74" i="50"/>
  <c r="Q28" i="50"/>
  <c r="H30" i="50"/>
  <c r="AE119" i="50"/>
  <c r="AE96" i="50"/>
  <c r="V95" i="50"/>
  <c r="V97" i="50" s="1"/>
  <c r="F60" i="48"/>
  <c r="AL8" i="50"/>
  <c r="F117" i="50"/>
  <c r="R23" i="48"/>
  <c r="P43" i="48"/>
  <c r="P44" i="48" s="1"/>
  <c r="I42" i="48"/>
  <c r="H96" i="50"/>
  <c r="F118" i="50"/>
  <c r="F119" i="50" s="1"/>
  <c r="K119" i="50" s="1"/>
  <c r="G123" i="50" s="1"/>
  <c r="H25" i="48"/>
  <c r="Q41" i="48"/>
  <c r="U22" i="46"/>
  <c r="Z70" i="46" s="1"/>
  <c r="AD22" i="46"/>
  <c r="Y72" i="46" s="1"/>
  <c r="AA41" i="48"/>
  <c r="Q116" i="50"/>
  <c r="Y20" i="46"/>
  <c r="O71" i="46" s="1"/>
  <c r="AC22" i="46"/>
  <c r="X72" i="46" s="1"/>
  <c r="AK9" i="50"/>
  <c r="AK35" i="50"/>
  <c r="V80" i="50"/>
  <c r="V13" i="50"/>
  <c r="V14" i="50"/>
  <c r="P64" i="50"/>
  <c r="AT104" i="50"/>
  <c r="AT126" i="50"/>
  <c r="AE108" i="50"/>
  <c r="AT108" i="50"/>
  <c r="P42" i="50"/>
  <c r="AE86" i="50"/>
  <c r="AT130" i="50"/>
  <c r="AT60" i="50"/>
  <c r="AT82" i="50"/>
  <c r="AE64" i="50"/>
  <c r="AE20" i="50"/>
  <c r="P86" i="50"/>
  <c r="P20" i="50"/>
  <c r="P108" i="50"/>
  <c r="P126" i="50"/>
  <c r="AE42" i="50"/>
  <c r="AE130" i="50"/>
  <c r="P60" i="50"/>
  <c r="P130" i="50"/>
  <c r="AT64" i="50"/>
  <c r="AT86" i="50"/>
  <c r="AE104" i="50"/>
  <c r="AT20" i="50"/>
  <c r="AT42" i="50"/>
  <c r="G13" i="50" l="1"/>
  <c r="S62" i="48"/>
  <c r="AK123" i="50"/>
  <c r="AA31" i="50"/>
  <c r="V36" i="50"/>
  <c r="W36" i="50" s="1"/>
  <c r="F67" i="48"/>
  <c r="F66" i="48" s="1"/>
  <c r="H66" i="48" s="1"/>
  <c r="X75" i="50"/>
  <c r="Y75" i="50" s="1"/>
  <c r="AK119" i="50"/>
  <c r="AM31" i="50"/>
  <c r="AM36" i="50" s="1"/>
  <c r="V119" i="50"/>
  <c r="G124" i="50"/>
  <c r="L75" i="50"/>
  <c r="I9" i="50"/>
  <c r="H14" i="50" s="1"/>
  <c r="AM53" i="50"/>
  <c r="AL58" i="50" s="1"/>
  <c r="V75" i="50"/>
  <c r="AK57" i="50"/>
  <c r="H14" i="48"/>
  <c r="AP53" i="50"/>
  <c r="V123" i="50"/>
  <c r="S44" i="48"/>
  <c r="F31" i="48"/>
  <c r="H31" i="48" s="1"/>
  <c r="M30" i="48" s="1"/>
  <c r="X119" i="50"/>
  <c r="X124" i="50" s="1"/>
  <c r="AP9" i="50"/>
  <c r="F13" i="48"/>
  <c r="H13" i="48" s="1"/>
  <c r="L12" i="48" s="1"/>
  <c r="G97" i="50"/>
  <c r="L53" i="50"/>
  <c r="AU42" i="50"/>
  <c r="AU20" i="50"/>
  <c r="AU86" i="50"/>
  <c r="AU64" i="50"/>
  <c r="Q130" i="50"/>
  <c r="AF130" i="50"/>
  <c r="AF42" i="50"/>
  <c r="Q108" i="50"/>
  <c r="Q20" i="50"/>
  <c r="Q86" i="50"/>
  <c r="AF20" i="50"/>
  <c r="AF64" i="50"/>
  <c r="AU130" i="50"/>
  <c r="AF86" i="50"/>
  <c r="Q42" i="50"/>
  <c r="AU108" i="50"/>
  <c r="AF108" i="50"/>
  <c r="Q64" i="50"/>
  <c r="AT37" i="50"/>
  <c r="AT32" i="50" s="1"/>
  <c r="AT33" i="50" s="1"/>
  <c r="AT15" i="50"/>
  <c r="AT10" i="50" s="1"/>
  <c r="AT11" i="50" s="1"/>
  <c r="AK53" i="50"/>
  <c r="AM75" i="50"/>
  <c r="AM80" i="50" s="1"/>
  <c r="AE125" i="50"/>
  <c r="AE120" i="50" s="1"/>
  <c r="AE121" i="50" s="1"/>
  <c r="AE37" i="50"/>
  <c r="AE32" i="50" s="1"/>
  <c r="AE33" i="50" s="1"/>
  <c r="P103" i="50"/>
  <c r="P98" i="50" s="1"/>
  <c r="P99" i="50" s="1"/>
  <c r="P15" i="50"/>
  <c r="P10" i="50" s="1"/>
  <c r="P11" i="50" s="1"/>
  <c r="P81" i="50"/>
  <c r="G9" i="50"/>
  <c r="AK14" i="50"/>
  <c r="AL14" i="50" s="1"/>
  <c r="AE15" i="50"/>
  <c r="AE10" i="50" s="1"/>
  <c r="AE11" i="50" s="1"/>
  <c r="AE59" i="50"/>
  <c r="AE54" i="50" s="1"/>
  <c r="AE55" i="50" s="1"/>
  <c r="AA97" i="50"/>
  <c r="V58" i="50"/>
  <c r="AE81" i="50"/>
  <c r="AE76" i="50" s="1"/>
  <c r="AE77" i="50" s="1"/>
  <c r="P37" i="50"/>
  <c r="S8" i="48"/>
  <c r="AM9" i="50"/>
  <c r="AN9" i="50" s="1"/>
  <c r="AJ14" i="50" s="1"/>
  <c r="AN14" i="50" s="1"/>
  <c r="S25" i="48"/>
  <c r="X97" i="50"/>
  <c r="X102" i="50" s="1"/>
  <c r="I97" i="50"/>
  <c r="L119" i="50"/>
  <c r="H32" i="48"/>
  <c r="L9" i="50"/>
  <c r="V53" i="50"/>
  <c r="AK79" i="50"/>
  <c r="G36" i="50"/>
  <c r="G31" i="50"/>
  <c r="X9" i="50"/>
  <c r="X14" i="50" s="1"/>
  <c r="AM119" i="50"/>
  <c r="AM124" i="50" s="1"/>
  <c r="AM97" i="50"/>
  <c r="AN97" i="50" s="1"/>
  <c r="Y119" i="50"/>
  <c r="U123" i="50" s="1"/>
  <c r="Y123" i="50" s="1"/>
  <c r="AK97" i="50"/>
  <c r="AK75" i="50"/>
  <c r="G102" i="50"/>
  <c r="F49" i="48"/>
  <c r="H49" i="48" s="1"/>
  <c r="L48" i="48" s="1"/>
  <c r="L97" i="50"/>
  <c r="AK101" i="50"/>
  <c r="V101" i="50"/>
  <c r="V31" i="50"/>
  <c r="S7" i="48"/>
  <c r="I31" i="50"/>
  <c r="J31" i="50" s="1"/>
  <c r="AA119" i="50"/>
  <c r="AA53" i="50"/>
  <c r="P26" i="48"/>
  <c r="S26" i="48" s="1"/>
  <c r="AP119" i="50"/>
  <c r="H68" i="48"/>
  <c r="AA9" i="50"/>
  <c r="AP31" i="50"/>
  <c r="L31" i="50"/>
  <c r="Y31" i="50"/>
  <c r="U36" i="50" s="1"/>
  <c r="Y36" i="50" s="1"/>
  <c r="G80" i="50"/>
  <c r="AP97" i="50"/>
  <c r="X53" i="50"/>
  <c r="Y53" i="50" s="1"/>
  <c r="AB53" i="50" s="1"/>
  <c r="V9" i="50"/>
  <c r="G57" i="50"/>
  <c r="AL36" i="50"/>
  <c r="G53" i="50"/>
  <c r="G75" i="50"/>
  <c r="I53" i="50"/>
  <c r="J53" i="50" s="1"/>
  <c r="S61" i="48"/>
  <c r="S63" i="48" s="1"/>
  <c r="I75" i="50"/>
  <c r="J75" i="50" s="1"/>
  <c r="AA75" i="50"/>
  <c r="S43" i="48"/>
  <c r="I119" i="50"/>
  <c r="J119" i="50" s="1"/>
  <c r="F124" i="50" s="1"/>
  <c r="J124" i="50" s="1"/>
  <c r="X80" i="50"/>
  <c r="AT76" i="50"/>
  <c r="AT77" i="50" s="1"/>
  <c r="P76" i="50"/>
  <c r="P77" i="50" s="1"/>
  <c r="W80" i="50"/>
  <c r="P120" i="50"/>
  <c r="P121" i="50" s="1"/>
  <c r="AT98" i="50"/>
  <c r="AT99" i="50" s="1"/>
  <c r="AT120" i="50"/>
  <c r="AT121" i="50" s="1"/>
  <c r="P54" i="50"/>
  <c r="P55" i="50" s="1"/>
  <c r="K7" i="48"/>
  <c r="AE98" i="50"/>
  <c r="AE99" i="50" s="1"/>
  <c r="AT54" i="50"/>
  <c r="AT55" i="50" s="1"/>
  <c r="P104" i="50"/>
  <c r="AE126" i="50"/>
  <c r="AE16" i="50"/>
  <c r="P16" i="50"/>
  <c r="AT38" i="50"/>
  <c r="P82" i="50"/>
  <c r="AT16" i="50"/>
  <c r="AE82" i="50"/>
  <c r="S64" i="48"/>
  <c r="AE38" i="50"/>
  <c r="AE60" i="50"/>
  <c r="P38" i="50"/>
  <c r="H67" i="48" l="1"/>
  <c r="M66" i="48" s="1"/>
  <c r="AM102" i="50"/>
  <c r="W124" i="50"/>
  <c r="X36" i="50"/>
  <c r="AQ9" i="50"/>
  <c r="AB75" i="50"/>
  <c r="U79" i="50"/>
  <c r="Y79" i="50" s="1"/>
  <c r="I80" i="50"/>
  <c r="S27" i="48"/>
  <c r="AN31" i="50"/>
  <c r="AQ31" i="50" s="1"/>
  <c r="AJ13" i="50"/>
  <c r="AN13" i="50" s="1"/>
  <c r="J9" i="50"/>
  <c r="I14" i="50"/>
  <c r="K25" i="48"/>
  <c r="M25" i="48" s="1"/>
  <c r="F12" i="48"/>
  <c r="H12" i="48" s="1"/>
  <c r="I12" i="48" s="1"/>
  <c r="J12" i="48" s="1"/>
  <c r="K8" i="48"/>
  <c r="L8" i="48" s="1"/>
  <c r="AB119" i="50"/>
  <c r="AN53" i="50"/>
  <c r="AJ57" i="50" s="1"/>
  <c r="AN57" i="50" s="1"/>
  <c r="M12" i="48"/>
  <c r="AL80" i="50"/>
  <c r="AM58" i="50"/>
  <c r="H36" i="50"/>
  <c r="I58" i="50"/>
  <c r="K26" i="48"/>
  <c r="S45" i="48"/>
  <c r="AJ35" i="50"/>
  <c r="AN35" i="50" s="1"/>
  <c r="F30" i="48"/>
  <c r="H30" i="48" s="1"/>
  <c r="I30" i="48" s="1"/>
  <c r="J30" i="48" s="1"/>
  <c r="K62" i="48"/>
  <c r="M62" i="48" s="1"/>
  <c r="K6" i="48"/>
  <c r="L6" i="48" s="1"/>
  <c r="U124" i="50"/>
  <c r="Y124" i="50" s="1"/>
  <c r="L30" i="48"/>
  <c r="L66" i="48"/>
  <c r="K24" i="48"/>
  <c r="M24" i="48" s="1"/>
  <c r="I66" i="48"/>
  <c r="J66" i="48" s="1"/>
  <c r="P32" i="50"/>
  <c r="P33" i="50" s="1"/>
  <c r="I36" i="50"/>
  <c r="AN75" i="50"/>
  <c r="AJ80" i="50" s="1"/>
  <c r="AN80" i="50" s="1"/>
  <c r="AM14" i="50"/>
  <c r="K61" i="48"/>
  <c r="L61" i="48" s="1"/>
  <c r="W58" i="50"/>
  <c r="H58" i="50"/>
  <c r="W14" i="50"/>
  <c r="S9" i="48"/>
  <c r="H102" i="50"/>
  <c r="Y9" i="50"/>
  <c r="U14" i="50" s="1"/>
  <c r="Y14" i="50" s="1"/>
  <c r="U80" i="50"/>
  <c r="Y80" i="50" s="1"/>
  <c r="AJ101" i="50"/>
  <c r="AN101" i="50" s="1"/>
  <c r="AQ97" i="50"/>
  <c r="AJ102" i="50"/>
  <c r="AN102" i="50" s="1"/>
  <c r="F36" i="50"/>
  <c r="J36" i="50" s="1"/>
  <c r="F35" i="50"/>
  <c r="J35" i="50" s="1"/>
  <c r="M31" i="50"/>
  <c r="M119" i="50"/>
  <c r="K43" i="48"/>
  <c r="L43" i="48" s="1"/>
  <c r="U57" i="50"/>
  <c r="Y57" i="50" s="1"/>
  <c r="F48" i="48"/>
  <c r="H48" i="48" s="1"/>
  <c r="I48" i="48" s="1"/>
  <c r="J48" i="48" s="1"/>
  <c r="AL124" i="50"/>
  <c r="K60" i="48"/>
  <c r="M60" i="48" s="1"/>
  <c r="X58" i="50"/>
  <c r="W102" i="50"/>
  <c r="K44" i="48"/>
  <c r="L44" i="48" s="1"/>
  <c r="Y97" i="50"/>
  <c r="AN119" i="50"/>
  <c r="AL102" i="50"/>
  <c r="U35" i="50"/>
  <c r="Y35" i="50" s="1"/>
  <c r="M48" i="48"/>
  <c r="K42" i="48"/>
  <c r="L42" i="48" s="1"/>
  <c r="F123" i="50"/>
  <c r="J123" i="50" s="1"/>
  <c r="H124" i="50"/>
  <c r="J97" i="50"/>
  <c r="F101" i="50" s="1"/>
  <c r="J101" i="50" s="1"/>
  <c r="I102" i="50"/>
  <c r="S66" i="48"/>
  <c r="S68" i="48" s="1"/>
  <c r="F58" i="50"/>
  <c r="J58" i="50" s="1"/>
  <c r="M53" i="50"/>
  <c r="F57" i="50"/>
  <c r="J57" i="50" s="1"/>
  <c r="M75" i="50"/>
  <c r="F80" i="50"/>
  <c r="J80" i="50" s="1"/>
  <c r="F79" i="50"/>
  <c r="J79" i="50" s="1"/>
  <c r="H80" i="50"/>
  <c r="AB31" i="50"/>
  <c r="U58" i="50"/>
  <c r="Y58" i="50" s="1"/>
  <c r="I124" i="50"/>
  <c r="AE17" i="50"/>
  <c r="AE127" i="50"/>
  <c r="AE61" i="50"/>
  <c r="P83" i="50"/>
  <c r="AT61" i="50"/>
  <c r="AE105" i="50"/>
  <c r="AT17" i="50"/>
  <c r="P61" i="50"/>
  <c r="AT127" i="50"/>
  <c r="P127" i="50"/>
  <c r="P105" i="50"/>
  <c r="P17" i="50"/>
  <c r="P39" i="50"/>
  <c r="AE39" i="50"/>
  <c r="AT39" i="50"/>
  <c r="AT105" i="50"/>
  <c r="AE83" i="50"/>
  <c r="AT83" i="50"/>
  <c r="M7" i="48"/>
  <c r="L7" i="48"/>
  <c r="L62" i="48"/>
  <c r="S28" i="48"/>
  <c r="S46" i="48"/>
  <c r="S10" i="48"/>
  <c r="L25" i="48" l="1"/>
  <c r="M43" i="48"/>
  <c r="S30" i="48"/>
  <c r="S32" i="48" s="1"/>
  <c r="L24" i="48"/>
  <c r="AJ36" i="50"/>
  <c r="AN36" i="50" s="1"/>
  <c r="F102" i="50"/>
  <c r="J102" i="50" s="1"/>
  <c r="M8" i="48"/>
  <c r="F14" i="50"/>
  <c r="J14" i="50" s="1"/>
  <c r="F13" i="50"/>
  <c r="J13" i="50" s="1"/>
  <c r="M9" i="50"/>
  <c r="AQ53" i="50"/>
  <c r="AJ58" i="50"/>
  <c r="AN58" i="50" s="1"/>
  <c r="S48" i="48"/>
  <c r="S50" i="48" s="1"/>
  <c r="AJ79" i="50"/>
  <c r="AN79" i="50" s="1"/>
  <c r="U13" i="50"/>
  <c r="Y13" i="50" s="1"/>
  <c r="AB9" i="50"/>
  <c r="M6" i="48"/>
  <c r="M97" i="50"/>
  <c r="M26" i="48"/>
  <c r="L26" i="48"/>
  <c r="AQ75" i="50"/>
  <c r="S12" i="48"/>
  <c r="S14" i="48" s="1"/>
  <c r="M61" i="48"/>
  <c r="L60" i="48"/>
  <c r="M44" i="48"/>
  <c r="M42" i="48"/>
  <c r="AQ119" i="50"/>
  <c r="AJ123" i="50"/>
  <c r="AN123" i="50" s="1"/>
  <c r="AJ124" i="50"/>
  <c r="AN124" i="50" s="1"/>
  <c r="AB97" i="50"/>
  <c r="U101" i="50"/>
  <c r="Y101" i="50" s="1"/>
  <c r="U102" i="50"/>
  <c r="Y102" i="50" s="1"/>
  <c r="AT41" i="50"/>
  <c r="AU41" i="50" s="1"/>
  <c r="AT40" i="50"/>
  <c r="P107" i="50"/>
  <c r="Q107" i="50" s="1"/>
  <c r="P106" i="50"/>
  <c r="P84" i="50"/>
  <c r="P85" i="50"/>
  <c r="Q85" i="50" s="1"/>
  <c r="AT85" i="50"/>
  <c r="AU85" i="50" s="1"/>
  <c r="AT84" i="50"/>
  <c r="AE40" i="50"/>
  <c r="AF40" i="50" s="1"/>
  <c r="AE41" i="50"/>
  <c r="AF41" i="50" s="1"/>
  <c r="AT18" i="50"/>
  <c r="AT19" i="50"/>
  <c r="AU19" i="50" s="1"/>
  <c r="AE62" i="50"/>
  <c r="AF62" i="50" s="1"/>
  <c r="AE63" i="50"/>
  <c r="AF63" i="50" s="1"/>
  <c r="P62" i="50"/>
  <c r="P63" i="50"/>
  <c r="Q63" i="50" s="1"/>
  <c r="AE84" i="50"/>
  <c r="AF84" i="50" s="1"/>
  <c r="AE85" i="50"/>
  <c r="AF85" i="50" s="1"/>
  <c r="P40" i="50"/>
  <c r="P41" i="50"/>
  <c r="Q41" i="50" s="1"/>
  <c r="P129" i="50"/>
  <c r="Q129" i="50" s="1"/>
  <c r="P128" i="50"/>
  <c r="AE106" i="50"/>
  <c r="AF106" i="50" s="1"/>
  <c r="AE107" i="50"/>
  <c r="AF107" i="50" s="1"/>
  <c r="AE128" i="50"/>
  <c r="AF128" i="50" s="1"/>
  <c r="AE129" i="50"/>
  <c r="AF129" i="50" s="1"/>
  <c r="AT106" i="50"/>
  <c r="AT107" i="50"/>
  <c r="AU107" i="50" s="1"/>
  <c r="P18" i="50"/>
  <c r="P19" i="50"/>
  <c r="Q19" i="50" s="1"/>
  <c r="AT128" i="50"/>
  <c r="AT129" i="50"/>
  <c r="AU129" i="50" s="1"/>
  <c r="AT63" i="50"/>
  <c r="AU63" i="50" s="1"/>
  <c r="AT62" i="50"/>
  <c r="AE19" i="50"/>
  <c r="AF19" i="50" s="1"/>
  <c r="AE18" i="50"/>
</calcChain>
</file>

<file path=xl/sharedStrings.xml><?xml version="1.0" encoding="utf-8"?>
<sst xmlns="http://schemas.openxmlformats.org/spreadsheetml/2006/main" count="4191" uniqueCount="304">
  <si>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</si>
  <si>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</si>
  <si>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</si>
  <si>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</si>
  <si>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</si>
  <si>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</si>
  <si>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</si>
  <si>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</si>
  <si>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</si>
  <si>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</si>
  <si>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</si>
  <si>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</si>
  <si>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</si>
  <si>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</si>
  <si>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</si>
  <si>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</si>
  <si>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</si>
  <si>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</si>
  <si>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</si>
  <si>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</si>
  <si>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</si>
  <si>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</si>
  <si>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</si>
  <si>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</si>
  <si>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</si>
  <si>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</si>
  <si>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</si>
  <si>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</si>
  <si>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</si>
  <si>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</si>
  <si>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</si>
  <si>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</si>
  <si>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</si>
  <si>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</si>
  <si>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</si>
  <si>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</si>
  <si>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</si>
  <si>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</si>
  <si>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</si>
  <si>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</si>
  <si>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</si>
  <si>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</si>
  <si>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</si>
  <si>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</si>
  <si>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</si>
  <si>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</si>
  <si>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</si>
  <si>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</si>
  <si>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</si>
  <si>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</si>
  <si>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</si>
  <si>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</si>
  <si>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</si>
  <si>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</si>
  <si>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</si>
  <si>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</si>
  <si>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</si>
  <si>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</si>
  <si>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</si>
  <si>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</si>
  <si>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</si>
  <si>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</si>
  <si>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</si>
  <si>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</si>
  <si>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</si>
  <si>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</si>
  <si>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</si>
  <si>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</si>
  <si>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</si>
  <si>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</si>
  <si>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</si>
  <si>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</si>
  <si>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</si>
  <si>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</si>
  <si>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</si>
  <si>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</si>
  <si>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</si>
  <si>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</si>
  <si>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</si>
  <si>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</si>
  <si>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</si>
  <si>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</si>
  <si>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</si>
  <si>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</si>
  <si>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</si>
  <si>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</si>
  <si>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</si>
  <si>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</si>
  <si>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</si>
  <si>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</si>
  <si>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</si>
  <si>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</si>
  <si>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</si>
  <si>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</si>
  <si>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</si>
  <si>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</si>
  <si>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</si>
  <si>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</si>
  <si>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</si>
  <si>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</si>
  <si>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</si>
  <si>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</si>
  <si>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</si>
  <si>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</si>
  <si>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</si>
  <si>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</si>
  <si>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</si>
  <si>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</si>
  <si>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</si>
  <si>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</si>
  <si>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</si>
  <si>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</si>
  <si>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</si>
  <si>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</si>
  <si>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</si>
  <si>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</si>
  <si>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</si>
  <si>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</si>
  <si>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</si>
  <si>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</si>
  <si>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</si>
  <si>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</si>
  <si>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</si>
  <si>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</si>
  <si>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</si>
  <si>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</si>
  <si>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</si>
  <si>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</si>
  <si>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</si>
  <si>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</si>
  <si>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</si>
  <si>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</si>
  <si>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</si>
  <si>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</si>
  <si>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</si>
  <si>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</si>
  <si>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</si>
  <si>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</si>
  <si>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</si>
  <si>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</si>
  <si>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</si>
  <si>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</si>
  <si>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</si>
  <si>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</si>
  <si>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</si>
  <si>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</si>
  <si>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</si>
  <si>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</si>
  <si>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</si>
  <si>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</si>
  <si>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</si>
  <si>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</si>
  <si>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</si>
  <si>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</si>
  <si>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</si>
  <si>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</si>
  <si>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</si>
  <si>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</si>
  <si>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</si>
  <si>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</si>
  <si>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</si>
  <si>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</si>
  <si>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</si>
  <si>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</si>
  <si>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</si>
  <si>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</si>
  <si>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</si>
  <si>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</si>
  <si>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</si>
  <si>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</si>
  <si>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</si>
  <si>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</si>
  <si>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</si>
  <si>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</si>
  <si>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</si>
  <si>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</si>
  <si>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</si>
  <si>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</si>
  <si>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 xml:space="preserve">Leaning / Align arm </t>
  </si>
  <si>
    <t xml:space="preserve">Elbow move / Leaning 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</si>
  <si>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</si>
  <si>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</si>
  <si>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</si>
  <si>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</si>
  <si>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</si>
  <si>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</si>
  <si>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</si>
  <si>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</si>
  <si>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</si>
  <si>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</si>
  <si>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</si>
  <si>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</si>
  <si>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</si>
  <si>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</si>
  <si>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</si>
  <si>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</si>
  <si>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</si>
  <si>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</si>
  <si>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Maximum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</si>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</sst>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3" xfId="0" applyBorder="1"/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/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9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0" borderId="34" xfId="0" applyFont="1" applyFill="1" applyBorder="1"/>
    <xf numFmtId="0" fontId="4" fillId="8" borderId="0" xfId="0" applyFont="1" applyFill="1" applyBorder="1"/>
    <xf numFmtId="0" fontId="4" fillId="8" borderId="0" xfId="0" applyFont="1" applyFill="1" applyBorder="1" applyAlignment="1">
      <alignment horizontal="center"/>
    </xf>
    <xf numFmtId="0" fontId="4" fillId="8" borderId="0" xfId="0" applyFont="1" applyFill="1"/>
    <xf numFmtId="0" fontId="4" fillId="8" borderId="26" xfId="0" applyFont="1" applyFill="1" applyBorder="1"/>
    <xf numFmtId="0" fontId="4" fillId="8" borderId="25" xfId="0" applyFont="1" applyFill="1" applyBorder="1"/>
    <xf numFmtId="0" fontId="4" fillId="8" borderId="29" xfId="0" applyFont="1" applyFill="1" applyBorder="1"/>
    <xf numFmtId="0" fontId="4" fillId="8" borderId="28" xfId="0" applyFont="1" applyFill="1" applyBorder="1"/>
    <xf numFmtId="0" fontId="4" fillId="0" borderId="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8" borderId="30" xfId="0" applyFont="1" applyFill="1" applyBorder="1"/>
    <xf numFmtId="0" fontId="4" fillId="7" borderId="0" xfId="0" applyFont="1" applyFill="1" applyBorder="1" applyAlignment="1">
      <alignment horizontal="center"/>
    </xf>
    <xf numFmtId="0" fontId="4" fillId="0" borderId="30" xfId="0" applyFont="1" applyFill="1" applyBorder="1"/>
    <xf numFmtId="0" fontId="4" fillId="7" borderId="25" xfId="0" applyFont="1" applyFill="1" applyBorder="1"/>
    <xf numFmtId="0" fontId="4" fillId="7" borderId="34" xfId="0" applyFont="1" applyFill="1" applyBorder="1"/>
    <xf numFmtId="0" fontId="4" fillId="6" borderId="25" xfId="0" applyFont="1" applyFill="1" applyBorder="1"/>
    <xf numFmtId="0" fontId="4" fillId="6" borderId="28" xfId="0" applyFont="1" applyFill="1" applyBorder="1"/>
    <xf numFmtId="0" fontId="4" fillId="6" borderId="34" xfId="0" applyFont="1" applyFill="1" applyBorder="1"/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0.59538888888888897</c:v>
                </c:pt>
                <c:pt idx="1">
                  <c:v>1.5388888888888888E-2</c:v>
                </c:pt>
                <c:pt idx="2">
                  <c:v>3.0133333333333331E-2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8-4347-88D7-45FC13A5341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0.13601666666666667</c:v>
                </c:pt>
                <c:pt idx="1">
                  <c:v>2.5316666666666661E-2</c:v>
                </c:pt>
                <c:pt idx="2">
                  <c:v>1.0494444444444445E-2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28-4347-88D7-45FC13A5341E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5.04388888888887E-2</c:v>
                </c:pt>
                <c:pt idx="1">
                  <c:v>3.1005555555555564E-2</c:v>
                </c:pt>
                <c:pt idx="2">
                  <c:v>1.4661111111111118E-2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28-4347-88D7-45FC13A5341E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0.17322222222222239</c:v>
                </c:pt>
                <c:pt idx="1">
                  <c:v>4.600555555555555E-2</c:v>
                </c:pt>
                <c:pt idx="2">
                  <c:v>2.3916666666666662E-2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28-4347-88D7-45FC13A5341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0.34264444444444453</c:v>
                </c:pt>
                <c:pt idx="1">
                  <c:v>0.10226111111111108</c:v>
                </c:pt>
                <c:pt idx="2">
                  <c:v>6.1094444444444451E-2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28-4347-88D7-45FC13A53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0.57128888888888885</c:v>
                </c:pt>
                <c:pt idx="1">
                  <c:v>1.2322222222222222E-2</c:v>
                </c:pt>
                <c:pt idx="2">
                  <c:v>2.3866666666666668E-2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5-4C5C-A280-2F2A458460D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0.27820000000000011</c:v>
                </c:pt>
                <c:pt idx="1">
                  <c:v>1.7749999999999995E-2</c:v>
                </c:pt>
                <c:pt idx="2">
                  <c:v>1.1250000000000003E-2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5-4C5C-A280-2F2A458460D5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7.0644444444444399E-2</c:v>
                </c:pt>
                <c:pt idx="1">
                  <c:v>1.486111111111112E-2</c:v>
                </c:pt>
                <c:pt idx="2">
                  <c:v>2.7194444444444438E-2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E5-4C5C-A280-2F2A458460D5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6.4122222222222303E-2</c:v>
                </c:pt>
                <c:pt idx="1">
                  <c:v>2.2388888888888889E-2</c:v>
                </c:pt>
                <c:pt idx="2">
                  <c:v>7.9722222222222278E-3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E5-4C5C-A280-2F2A458460D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0.42730000000000001</c:v>
                </c:pt>
                <c:pt idx="1">
                  <c:v>9.3088888888888915E-2</c:v>
                </c:pt>
                <c:pt idx="2">
                  <c:v>6.3716666666666671E-2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E5-4C5C-A280-2F2A45846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0.51054444444444458</c:v>
                </c:pt>
                <c:pt idx="1">
                  <c:v>1.5311111111111112E-2</c:v>
                </c:pt>
                <c:pt idx="2">
                  <c:v>7.5444444444444448E-3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A-4F79-BAD8-4ABDAEFD331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0.1721055555555554</c:v>
                </c:pt>
                <c:pt idx="1">
                  <c:v>1.0888888888888889E-2</c:v>
                </c:pt>
                <c:pt idx="2">
                  <c:v>2.9344444444444444E-2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A-4F79-BAD8-4ABDAEFD331F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0.20673888888888892</c:v>
                </c:pt>
                <c:pt idx="1">
                  <c:v>7.833333333333331E-3</c:v>
                </c:pt>
                <c:pt idx="2">
                  <c:v>1.4766666666666678E-2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3A-4F79-BAD8-4ABDAEFD331F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6.8799999999999972E-2</c:v>
                </c:pt>
                <c:pt idx="1">
                  <c:v>1.4533333333333336E-2</c:v>
                </c:pt>
                <c:pt idx="2">
                  <c:v>2.5949999999999973E-2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3A-4F79-BAD8-4ABDAEFD331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0.22802222222222224</c:v>
                </c:pt>
                <c:pt idx="1">
                  <c:v>0.15586666666666668</c:v>
                </c:pt>
                <c:pt idx="2">
                  <c:v>5.5383333333333368E-2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3A-4F79-BAD8-4ABDAEFD3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0.52353333333333341</c:v>
                </c:pt>
                <c:pt idx="1">
                  <c:v>1.4311111111111111E-2</c:v>
                </c:pt>
                <c:pt idx="2">
                  <c:v>1.5566666666666666E-2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0-45C9-816E-87F89AA1BAB8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0.2613277777777776</c:v>
                </c:pt>
                <c:pt idx="1">
                  <c:v>7.4611111111111093E-3</c:v>
                </c:pt>
                <c:pt idx="2">
                  <c:v>1.6844444444444447E-2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0-45C9-816E-87F89AA1BAB8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0.10023888888888899</c:v>
                </c:pt>
                <c:pt idx="1">
                  <c:v>2.0049999999999998E-2</c:v>
                </c:pt>
                <c:pt idx="2">
                  <c:v>1.5344444444444438E-2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0-45C9-816E-87F89AA1BAB8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0.19720555555555541</c:v>
                </c:pt>
                <c:pt idx="1">
                  <c:v>1.7944444444444443E-2</c:v>
                </c:pt>
                <c:pt idx="2">
                  <c:v>1.8172222222222228E-2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90-45C9-816E-87F89AA1BAB8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0.41145000000000032</c:v>
                </c:pt>
                <c:pt idx="1">
                  <c:v>0.11324444444444445</c:v>
                </c:pt>
                <c:pt idx="2">
                  <c:v>7.8861111111111132E-2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0-45C9-816E-87F89AA1B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0.59538888888888897</c:v>
                </c:pt>
                <c:pt idx="1">
                  <c:v>0.57128888888888885</c:v>
                </c:pt>
                <c:pt idx="2">
                  <c:v>0.51054444444444458</c:v>
                </c:pt>
                <c:pt idx="3">
                  <c:v>0.52353333333333341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7B1-BC1B-40ABDC76B7B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0.13601666666666667</c:v>
                </c:pt>
                <c:pt idx="1">
                  <c:v>0.27820000000000011</c:v>
                </c:pt>
                <c:pt idx="2">
                  <c:v>0.1721055555555554</c:v>
                </c:pt>
                <c:pt idx="3">
                  <c:v>0.2613277777777776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D-47B1-BC1B-40ABDC76B7B2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5.04388888888887E-2</c:v>
                </c:pt>
                <c:pt idx="1">
                  <c:v>7.0644444444444399E-2</c:v>
                </c:pt>
                <c:pt idx="2">
                  <c:v>0.20673888888888892</c:v>
                </c:pt>
                <c:pt idx="3">
                  <c:v>0.10023888888888899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ED-47B1-BC1B-40ABDC76B7B2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0.17322222222222239</c:v>
                </c:pt>
                <c:pt idx="1">
                  <c:v>6.4122222222222303E-2</c:v>
                </c:pt>
                <c:pt idx="2">
                  <c:v>6.8799999999999972E-2</c:v>
                </c:pt>
                <c:pt idx="3">
                  <c:v>0.19720555555555541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ED-47B1-BC1B-40ABDC76B7B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0.34264444444444453</c:v>
                </c:pt>
                <c:pt idx="1">
                  <c:v>0.42730000000000001</c:v>
                </c:pt>
                <c:pt idx="2">
                  <c:v>0.22802222222222224</c:v>
                </c:pt>
                <c:pt idx="3">
                  <c:v>0.41145000000000032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ED-47B1-BC1B-40ABDC76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1.5388888888888888E-2</c:v>
                </c:pt>
                <c:pt idx="1">
                  <c:v>1.2322222222222222E-2</c:v>
                </c:pt>
                <c:pt idx="2">
                  <c:v>1.5311111111111112E-2</c:v>
                </c:pt>
                <c:pt idx="3">
                  <c:v>1.4311111111111111E-2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A-4D70-9AAE-792A45481F9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2.5316666666666661E-2</c:v>
                </c:pt>
                <c:pt idx="1">
                  <c:v>1.7749999999999995E-2</c:v>
                </c:pt>
                <c:pt idx="2">
                  <c:v>1.0888888888888889E-2</c:v>
                </c:pt>
                <c:pt idx="3">
                  <c:v>7.4611111111111093E-3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A-4D70-9AAE-792A45481F96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3.1005555555555564E-2</c:v>
                </c:pt>
                <c:pt idx="1">
                  <c:v>1.486111111111112E-2</c:v>
                </c:pt>
                <c:pt idx="2">
                  <c:v>7.833333333333331E-3</c:v>
                </c:pt>
                <c:pt idx="3">
                  <c:v>2.0049999999999998E-2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A-4D70-9AAE-792A45481F96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4.600555555555555E-2</c:v>
                </c:pt>
                <c:pt idx="1">
                  <c:v>2.2388888888888889E-2</c:v>
                </c:pt>
                <c:pt idx="2">
                  <c:v>1.4533333333333336E-2</c:v>
                </c:pt>
                <c:pt idx="3">
                  <c:v>1.7944444444444443E-2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7A-4D70-9AAE-792A45481F9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0.10226111111111108</c:v>
                </c:pt>
                <c:pt idx="1">
                  <c:v>9.3088888888888915E-2</c:v>
                </c:pt>
                <c:pt idx="2">
                  <c:v>0.15586666666666668</c:v>
                </c:pt>
                <c:pt idx="3">
                  <c:v>0.11324444444444445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7A-4D70-9AAE-792A45481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3.0133333333333331E-2</c:v>
                </c:pt>
                <c:pt idx="1">
                  <c:v>2.3866666666666668E-2</c:v>
                </c:pt>
                <c:pt idx="2">
                  <c:v>7.5444444444444448E-3</c:v>
                </c:pt>
                <c:pt idx="3">
                  <c:v>1.5566666666666666E-2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E-42DD-8748-B13DE8B32B4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1.0494444444444445E-2</c:v>
                </c:pt>
                <c:pt idx="1">
                  <c:v>1.1250000000000003E-2</c:v>
                </c:pt>
                <c:pt idx="2">
                  <c:v>2.9344444444444444E-2</c:v>
                </c:pt>
                <c:pt idx="3">
                  <c:v>1.6844444444444447E-2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E-42DD-8748-B13DE8B32B45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1.4661111111111118E-2</c:v>
                </c:pt>
                <c:pt idx="1">
                  <c:v>2.7194444444444438E-2</c:v>
                </c:pt>
                <c:pt idx="2">
                  <c:v>1.4766666666666678E-2</c:v>
                </c:pt>
                <c:pt idx="3">
                  <c:v>1.5344444444444438E-2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E-42DD-8748-B13DE8B32B45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2.3916666666666662E-2</c:v>
                </c:pt>
                <c:pt idx="1">
                  <c:v>7.9722222222222278E-3</c:v>
                </c:pt>
                <c:pt idx="2">
                  <c:v>2.5949999999999973E-2</c:v>
                </c:pt>
                <c:pt idx="3">
                  <c:v>1.8172222222222228E-2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EE-42DD-8748-B13DE8B32B4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6.1094444444444451E-2</c:v>
                </c:pt>
                <c:pt idx="1">
                  <c:v>6.3716666666666671E-2</c:v>
                </c:pt>
                <c:pt idx="2">
                  <c:v>5.5383333333333368E-2</c:v>
                </c:pt>
                <c:pt idx="3">
                  <c:v>7.8861111111111132E-2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EE-42DD-8748-B13DE8B32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8648027C-089E-48C4-BF4E-9902EA0ED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BA9DF64D-9166-47FC-9AE1-672FC9018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43ED9E89-DCEC-4C51-B1CE-1987B79CB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609A93AF-5F9A-4A67-A2CD-BC75D78BE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E81BD709-CF38-4B01-AA90-7B8E4746F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8AF4BBF3-6D7F-4012-B796-661304278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259B4D89-BA21-4DF9-8F24-A0643C8C4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opLeftCell="L1" workbookViewId="0">
      <selection activeCell="O8" sqref="O8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21875" customWidth="1"/>
    <col min="15" max="15" width="15.77734375" customWidth="1"/>
    <col min="16" max="16" width="16.21875" customWidth="1"/>
    <col min="17" max="17" width="18" customWidth="1"/>
    <col min="18" max="22" width="11.44140625" customWidth="1"/>
  </cols>
  <sheetData>
    <row r="1" spans="1:32" x14ac:dyDescent="0.25">
      <c r="A1" s="121" t="s">
        <v>184</v>
      </c>
      <c r="B1" s="121"/>
      <c r="C1" s="121"/>
      <c r="D1" s="121"/>
      <c r="E1" s="121"/>
      <c r="F1" s="121"/>
      <c r="G1" s="121"/>
      <c r="H1" s="121"/>
      <c r="I1" s="121"/>
      <c r="L1" s="126" t="s">
        <v>185</v>
      </c>
      <c r="M1" s="127"/>
      <c r="N1" s="127"/>
      <c r="O1" s="127"/>
      <c r="P1" s="127"/>
      <c r="Q1" s="127"/>
      <c r="R1" s="127"/>
      <c r="S1" s="127"/>
      <c r="T1" s="127"/>
    </row>
    <row r="2" spans="1:32" x14ac:dyDescent="0.25">
      <c r="A2" s="16"/>
      <c r="B2" s="122" t="s">
        <v>186</v>
      </c>
      <c r="C2" s="123"/>
      <c r="D2" s="122" t="s">
        <v>187</v>
      </c>
      <c r="E2" s="123"/>
      <c r="F2" s="122" t="s">
        <v>188</v>
      </c>
      <c r="G2" s="123"/>
      <c r="H2" s="122" t="s">
        <v>189</v>
      </c>
      <c r="I2" s="123"/>
      <c r="L2" s="107"/>
      <c r="M2" s="131" t="s">
        <v>186</v>
      </c>
      <c r="N2" s="131"/>
      <c r="O2" s="131" t="s">
        <v>187</v>
      </c>
      <c r="P2" s="131"/>
      <c r="Q2" s="131" t="s">
        <v>188</v>
      </c>
      <c r="R2" s="131"/>
      <c r="S2" s="131" t="s">
        <v>189</v>
      </c>
      <c r="T2" s="131"/>
    </row>
    <row r="3" spans="1:32" x14ac:dyDescent="0.25">
      <c r="A3" s="17" t="s">
        <v>190</v>
      </c>
      <c r="B3" s="107" t="s">
        <v>191</v>
      </c>
      <c r="C3" s="107" t="s">
        <v>192</v>
      </c>
      <c r="D3" s="107" t="s">
        <v>191</v>
      </c>
      <c r="E3" s="107" t="s">
        <v>192</v>
      </c>
      <c r="F3" s="107" t="s">
        <v>191</v>
      </c>
      <c r="G3" s="107" t="s">
        <v>192</v>
      </c>
      <c r="H3" s="107" t="s">
        <v>191</v>
      </c>
      <c r="I3" s="107" t="s">
        <v>192</v>
      </c>
      <c r="L3" s="107" t="s">
        <v>5</v>
      </c>
      <c r="M3" s="107" t="s">
        <v>191</v>
      </c>
      <c r="N3" s="107" t="s">
        <v>192</v>
      </c>
      <c r="O3" s="107" t="s">
        <v>191</v>
      </c>
      <c r="P3" s="107" t="s">
        <v>192</v>
      </c>
      <c r="Q3" s="107" t="s">
        <v>191</v>
      </c>
      <c r="R3" s="107" t="s">
        <v>192</v>
      </c>
      <c r="S3" s="107" t="s">
        <v>191</v>
      </c>
      <c r="T3" s="107" t="s">
        <v>192</v>
      </c>
    </row>
    <row r="4" spans="1:32" x14ac:dyDescent="0.25">
      <c r="A4" s="16">
        <v>3</v>
      </c>
      <c r="B4" s="18">
        <f t="shared" ref="B4:B18" ca="1" si="0">AVERAGE(INDIRECT(A4&amp;"!M4:M12"))</f>
        <v>0.59538888888888897</v>
      </c>
      <c r="C4" s="19">
        <f t="shared" ref="C4:C18" ca="1" si="1">_xlfn.STDEV.P(INDIRECT(A4&amp;"!M4:M12"))</f>
        <v>2.9317815760858686E-2</v>
      </c>
      <c r="D4" s="18">
        <f t="shared" ref="D4:D18" ca="1" si="2">AVERAGE(INDIRECT(A4&amp;"!M14:M22"))</f>
        <v>0.87620000000000009</v>
      </c>
      <c r="E4" s="19">
        <f t="shared" ref="E4:E18" ca="1" si="3">_xlfn.STDEV.P(INDIRECT(A4&amp;"!M14:M22"))</f>
        <v>4.8859071715382493E-2</v>
      </c>
      <c r="F4" s="18">
        <f t="shared" ref="F4:F18" ca="1" si="4">AVERAGE(INDIRECT(A4&amp;"!M24:M32"))</f>
        <v>0.8207888888888889</v>
      </c>
      <c r="G4" s="19">
        <f t="shared" ref="G4:G18" ca="1" si="5">_xlfn.STDEV.P(INDIRECT(A4&amp;"!M24:M32"))</f>
        <v>6.8453900861893027E-2</v>
      </c>
      <c r="H4" s="18">
        <f t="shared" ref="H4:H18" ca="1" si="6">AVERAGE(INDIRECT(A4&amp;"!M34:M42"))</f>
        <v>0.737611111111111</v>
      </c>
      <c r="I4" s="19">
        <f t="shared" ref="I4:I18" ca="1" si="7">_xlfn.STDEV.P(INDIRECT(A4&amp;"!M34:M42"))</f>
        <v>0.12021118864957393</v>
      </c>
      <c r="L4" s="20">
        <v>1</v>
      </c>
      <c r="M4" s="21">
        <f ca="1">AVERAGE(OFFSET(B4,0,0,15,1))</f>
        <v>0.8503814814814814</v>
      </c>
      <c r="N4" s="21">
        <f ca="1">_xlfn.STDEV.P(OFFSET(B4,0,0,15,1))</f>
        <v>0.18527211195364499</v>
      </c>
      <c r="O4" s="21">
        <f ca="1">AVERAGE(OFFSET(D4,0,0,15,1))</f>
        <v>0.92535111111111112</v>
      </c>
      <c r="P4" s="21">
        <f ca="1">_xlfn.STDEV.P(OFFSET(D4,0,0,15,1))</f>
        <v>0.18339465972272656</v>
      </c>
      <c r="Q4" s="21">
        <f ca="1">AVERAGE(OFFSET(F4,0,0,15,1))</f>
        <v>0.83378444444444455</v>
      </c>
      <c r="R4" s="21">
        <f ca="1">_xlfn.STDEV.P(OFFSET(F4,0,0,15,1))</f>
        <v>0.18794716610722431</v>
      </c>
      <c r="S4" s="21">
        <f ca="1">AVERAGE(OFFSET(H4,0,0,15,1))</f>
        <v>0.94264444444444451</v>
      </c>
      <c r="T4" s="21">
        <f ca="1">_xlfn.STDEV.P(OFFSET(H4,0,0,15,1))</f>
        <v>0.24701398914084927</v>
      </c>
    </row>
    <row r="5" spans="1:32" x14ac:dyDescent="0.25">
      <c r="A5" s="16">
        <v>6</v>
      </c>
      <c r="B5" s="18">
        <f t="shared" ca="1" si="0"/>
        <v>0.69297777777777769</v>
      </c>
      <c r="C5" s="19">
        <f t="shared" ca="1" si="1"/>
        <v>4.1009803103858988E-2</v>
      </c>
      <c r="D5" s="18">
        <f t="shared" ca="1" si="2"/>
        <v>0.92013333333333336</v>
      </c>
      <c r="E5" s="19">
        <f t="shared" ca="1" si="3"/>
        <v>3.2043061304715834E-2</v>
      </c>
      <c r="F5" s="18">
        <f t="shared" ca="1" si="4"/>
        <v>0.91754444444444438</v>
      </c>
      <c r="G5" s="19">
        <f t="shared" ca="1" si="5"/>
        <v>6.0079930298655958E-2</v>
      </c>
      <c r="H5" s="18">
        <f t="shared" ca="1" si="6"/>
        <v>0.8851</v>
      </c>
      <c r="I5" s="19">
        <f t="shared" ca="1" si="7"/>
        <v>0.1318382679228178</v>
      </c>
      <c r="L5" s="20">
        <v>2</v>
      </c>
      <c r="M5" s="21">
        <f ca="1">AVERAGE(OFFSET(B4,24,0,15,1))</f>
        <v>8.3555555555555563E-2</v>
      </c>
      <c r="N5" s="21">
        <f ca="1">_xlfn.STDEV.P(OFFSET(B4,24,0,15,1))</f>
        <v>5.5636974264869861E-2</v>
      </c>
      <c r="O5" s="21">
        <f ca="1">AVERAGE(OFFSET(D4,24,0,15,1))</f>
        <v>5.6729629629629637E-2</v>
      </c>
      <c r="P5" s="21">
        <f ca="1">_xlfn.STDEV.P(OFFSET(D4,24,0,15,1))</f>
        <v>3.7523747798347919E-2</v>
      </c>
      <c r="Q5" s="21">
        <f ca="1">AVERAGE(OFFSET(F4,24,0,15,1))</f>
        <v>4.9707407407407415E-2</v>
      </c>
      <c r="R5" s="21">
        <f ca="1">_xlfn.STDEV.P(OFFSET(F4,24,0,15,1))</f>
        <v>4.5171356900418264E-2</v>
      </c>
      <c r="S5" s="21">
        <f ca="1">AVERAGE(OFFSET(H4,24,0,15,1))</f>
        <v>4.9025925925925924E-2</v>
      </c>
      <c r="T5" s="21">
        <f ca="1">_xlfn.STDEV.P(OFFSET(H4,24,0,15,1))</f>
        <v>3.9145253966391347E-2</v>
      </c>
    </row>
    <row r="6" spans="1:32" x14ac:dyDescent="0.25">
      <c r="A6" s="16">
        <v>9</v>
      </c>
      <c r="B6" s="18">
        <f t="shared" ca="1" si="0"/>
        <v>0.77282222222222219</v>
      </c>
      <c r="C6" s="19">
        <f t="shared" ca="1" si="1"/>
        <v>7.2790105826086277E-2</v>
      </c>
      <c r="D6" s="18">
        <f t="shared" ca="1" si="2"/>
        <v>1.4115555555555557</v>
      </c>
      <c r="E6" s="19">
        <f t="shared" ca="1" si="3"/>
        <v>6.8490585096884521E-2</v>
      </c>
      <c r="F6" s="18">
        <f t="shared" ca="1" si="4"/>
        <v>1.1862111111111111</v>
      </c>
      <c r="G6" s="19">
        <f t="shared" ca="1" si="5"/>
        <v>8.9653375030285309E-2</v>
      </c>
      <c r="H6" s="18">
        <f t="shared" ca="1" si="6"/>
        <v>1.4937555555555557</v>
      </c>
      <c r="I6" s="19">
        <f t="shared" ca="1" si="7"/>
        <v>2.0773493319404854E-2</v>
      </c>
      <c r="L6" s="20">
        <v>3</v>
      </c>
      <c r="M6" s="21">
        <f ca="1">AVERAGE(OFFSET(B28,24,0,15,1))</f>
        <v>6.7676296296296304E-2</v>
      </c>
      <c r="N6" s="21">
        <f ca="1">_xlfn.STDEV.P(OFFSET(B28,24,0,15,1))</f>
        <v>3.4237403767447848E-2</v>
      </c>
      <c r="O6" s="21">
        <f ca="1">AVERAGE(OFFSET(D28,24,0,15,1))</f>
        <v>6.0559259259259264E-2</v>
      </c>
      <c r="P6" s="21">
        <f ca="1">_xlfn.STDEV.P(OFFSET(D28,24,0,15,1))</f>
        <v>2.8287990636772314E-2</v>
      </c>
      <c r="Q6" s="21">
        <f ca="1">AVERAGE(OFFSET(F28,24,0,15,1))</f>
        <v>5.784740740740741E-2</v>
      </c>
      <c r="R6" s="21">
        <f ca="1">_xlfn.STDEV.P(OFFSET(F28,24,0,15,1))</f>
        <v>3.1585911446726359E-2</v>
      </c>
      <c r="S6" s="21">
        <f ca="1">AVERAGE(OFFSET(H28,24,0,15,1))</f>
        <v>5.9216296296296295E-2</v>
      </c>
      <c r="T6" s="21">
        <f ca="1">_xlfn.STDEV.P(OFFSET(H28,24,0,15,1))</f>
        <v>3.5637199057346663E-2</v>
      </c>
    </row>
    <row r="7" spans="1:32" x14ac:dyDescent="0.25">
      <c r="A7" s="16">
        <v>12</v>
      </c>
      <c r="B7" s="18">
        <f t="shared" ca="1" si="0"/>
        <v>1.2977111111111113</v>
      </c>
      <c r="C7" s="19">
        <f t="shared" ca="1" si="1"/>
        <v>1.7379326444207231E-2</v>
      </c>
      <c r="D7" s="18">
        <f t="shared" ca="1" si="2"/>
        <v>1.0153777777777777</v>
      </c>
      <c r="E7" s="19">
        <f t="shared" ca="1" si="3"/>
        <v>6.2105891253528112E-2</v>
      </c>
      <c r="F7" s="18">
        <f t="shared" ca="1" si="4"/>
        <v>1.0447222222222223</v>
      </c>
      <c r="G7" s="19">
        <f t="shared" ca="1" si="5"/>
        <v>6.1265266175102626E-2</v>
      </c>
      <c r="H7" s="18">
        <f t="shared" ca="1" si="6"/>
        <v>1.2299333333333335</v>
      </c>
      <c r="I7" s="19">
        <f t="shared" ca="1" si="7"/>
        <v>5.6205021523387431E-2</v>
      </c>
    </row>
    <row r="8" spans="1:32" x14ac:dyDescent="0.25">
      <c r="A8" s="16">
        <v>15</v>
      </c>
      <c r="B8" s="18">
        <f t="shared" ca="1" si="0"/>
        <v>0.73563333333333336</v>
      </c>
      <c r="C8" s="19">
        <f t="shared" ca="1" si="1"/>
        <v>6.8916858121459146E-2</v>
      </c>
      <c r="D8" s="18">
        <f t="shared" ca="1" si="2"/>
        <v>0.92371111111111126</v>
      </c>
      <c r="E8" s="19">
        <f t="shared" ca="1" si="3"/>
        <v>8.7742976223417493E-2</v>
      </c>
      <c r="F8" s="18">
        <f t="shared" ca="1" si="4"/>
        <v>0.64536666666666676</v>
      </c>
      <c r="G8" s="19">
        <f t="shared" ca="1" si="5"/>
        <v>9.0123643463361464E-2</v>
      </c>
      <c r="H8" s="18">
        <f t="shared" ca="1" si="6"/>
        <v>0.52353333333333341</v>
      </c>
      <c r="I8" s="19">
        <f t="shared" ca="1" si="7"/>
        <v>0.22385741493687941</v>
      </c>
    </row>
    <row r="9" spans="1:32" x14ac:dyDescent="0.25">
      <c r="A9" s="16">
        <v>18</v>
      </c>
      <c r="B9" s="18">
        <f t="shared" ca="1" si="0"/>
        <v>0.95924444444444446</v>
      </c>
      <c r="C9" s="19">
        <f t="shared" ca="1" si="1"/>
        <v>8.7958476454784718E-2</v>
      </c>
      <c r="D9" s="18">
        <f t="shared" ca="1" si="2"/>
        <v>0.57128888888888885</v>
      </c>
      <c r="E9" s="19">
        <f t="shared" ca="1" si="3"/>
        <v>0.14967935688178019</v>
      </c>
      <c r="F9" s="18">
        <f t="shared" ca="1" si="4"/>
        <v>0.8893888888888889</v>
      </c>
      <c r="G9" s="19">
        <f t="shared" ca="1" si="5"/>
        <v>8.5334602131770979E-2</v>
      </c>
      <c r="H9" s="18">
        <f t="shared" ca="1" si="6"/>
        <v>0.8284555555555555</v>
      </c>
      <c r="I9" s="19">
        <f t="shared" ca="1" si="7"/>
        <v>0.11532723597669764</v>
      </c>
    </row>
    <row r="10" spans="1:32" x14ac:dyDescent="0.25">
      <c r="A10" s="16">
        <v>21</v>
      </c>
      <c r="B10" s="18">
        <f t="shared" ca="1" si="0"/>
        <v>0.96755555555555561</v>
      </c>
      <c r="C10" s="19">
        <f t="shared" ca="1" si="1"/>
        <v>2.5708023438914984E-2</v>
      </c>
      <c r="D10" s="18">
        <f t="shared" ca="1" si="2"/>
        <v>0.71174444444444451</v>
      </c>
      <c r="E10" s="19">
        <f t="shared" ca="1" si="3"/>
        <v>0.15933320161159864</v>
      </c>
      <c r="F10" s="18">
        <f t="shared" ca="1" si="4"/>
        <v>0.60884444444444441</v>
      </c>
      <c r="G10" s="19">
        <f t="shared" ca="1" si="5"/>
        <v>0.2318490079106138</v>
      </c>
      <c r="H10" s="18">
        <f t="shared" ca="1" si="6"/>
        <v>0.90658888888888889</v>
      </c>
      <c r="I10" s="19">
        <f t="shared" ca="1" si="7"/>
        <v>2.5995146745517495E-2</v>
      </c>
      <c r="L10" s="126" t="s">
        <v>193</v>
      </c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</row>
    <row r="11" spans="1:32" x14ac:dyDescent="0.25">
      <c r="A11" s="16">
        <v>24</v>
      </c>
      <c r="B11" s="18">
        <f t="shared" ca="1" si="0"/>
        <v>0.65797777777777777</v>
      </c>
      <c r="C11" s="19">
        <f t="shared" ca="1" si="1"/>
        <v>0.17115405521717542</v>
      </c>
      <c r="D11" s="18">
        <f t="shared" ca="1" si="2"/>
        <v>1.1443777777777777</v>
      </c>
      <c r="E11" s="19">
        <f t="shared" ca="1" si="3"/>
        <v>0.14244640144261428</v>
      </c>
      <c r="F11" s="18">
        <f t="shared" ca="1" si="4"/>
        <v>0.97118888888888877</v>
      </c>
      <c r="G11" s="19">
        <f t="shared" ca="1" si="5"/>
        <v>4.0114459694020659E-2</v>
      </c>
      <c r="H11" s="18">
        <f t="shared" ca="1" si="6"/>
        <v>1.3191111111111111</v>
      </c>
      <c r="I11" s="19">
        <f t="shared" ca="1" si="7"/>
        <v>2.8642487649738691E-2</v>
      </c>
      <c r="L11" s="107"/>
      <c r="M11" s="128" t="s">
        <v>186</v>
      </c>
      <c r="N11" s="129"/>
      <c r="O11" s="129"/>
      <c r="P11" s="129"/>
      <c r="Q11" s="130"/>
      <c r="R11" s="128" t="s">
        <v>187</v>
      </c>
      <c r="S11" s="129"/>
      <c r="T11" s="129"/>
      <c r="U11" s="129"/>
      <c r="V11" s="130"/>
      <c r="W11" s="128" t="s">
        <v>188</v>
      </c>
      <c r="X11" s="129"/>
      <c r="Y11" s="129"/>
      <c r="Z11" s="129"/>
      <c r="AA11" s="130"/>
      <c r="AB11" s="128" t="s">
        <v>189</v>
      </c>
      <c r="AC11" s="129"/>
      <c r="AD11" s="129"/>
      <c r="AE11" s="129"/>
      <c r="AF11" s="130"/>
    </row>
    <row r="12" spans="1:32" x14ac:dyDescent="0.25">
      <c r="A12" s="16">
        <v>27</v>
      </c>
      <c r="B12" s="18">
        <f t="shared" ca="1" si="0"/>
        <v>1.1647999999999998</v>
      </c>
      <c r="C12" s="19">
        <f t="shared" ca="1" si="1"/>
        <v>6.5048631380256183E-2</v>
      </c>
      <c r="D12" s="18">
        <f t="shared" ca="1" si="2"/>
        <v>0.9603666666666667</v>
      </c>
      <c r="E12" s="19">
        <f t="shared" ca="1" si="3"/>
        <v>5.389075369052964E-2</v>
      </c>
      <c r="F12" s="18">
        <f t="shared" ca="1" si="4"/>
        <v>0.51054444444444458</v>
      </c>
      <c r="G12" s="19">
        <f t="shared" ca="1" si="5"/>
        <v>0.10667821928179935</v>
      </c>
      <c r="H12" s="18">
        <f t="shared" ca="1" si="6"/>
        <v>0.74126666666666663</v>
      </c>
      <c r="I12" s="19">
        <f t="shared" ca="1" si="7"/>
        <v>0.13092707045442425</v>
      </c>
      <c r="L12" s="107" t="s">
        <v>5</v>
      </c>
      <c r="M12" s="107" t="s">
        <v>194</v>
      </c>
      <c r="N12" s="107" t="s">
        <v>195</v>
      </c>
      <c r="O12" s="107" t="s">
        <v>196</v>
      </c>
      <c r="P12" s="107" t="s">
        <v>197</v>
      </c>
      <c r="Q12" s="107" t="s">
        <v>198</v>
      </c>
      <c r="R12" s="107" t="s">
        <v>194</v>
      </c>
      <c r="S12" s="107" t="s">
        <v>195</v>
      </c>
      <c r="T12" s="107" t="s">
        <v>196</v>
      </c>
      <c r="U12" s="107" t="s">
        <v>197</v>
      </c>
      <c r="V12" s="107" t="s">
        <v>198</v>
      </c>
      <c r="W12" s="107" t="s">
        <v>194</v>
      </c>
      <c r="X12" s="107" t="s">
        <v>195</v>
      </c>
      <c r="Y12" s="107" t="s">
        <v>196</v>
      </c>
      <c r="Z12" s="107" t="s">
        <v>197</v>
      </c>
      <c r="AA12" s="107" t="s">
        <v>198</v>
      </c>
      <c r="AB12" s="107" t="s">
        <v>194</v>
      </c>
      <c r="AC12" s="107" t="s">
        <v>195</v>
      </c>
      <c r="AD12" s="107" t="s">
        <v>196</v>
      </c>
      <c r="AE12" s="107" t="s">
        <v>197</v>
      </c>
      <c r="AF12" s="107" t="s">
        <v>198</v>
      </c>
    </row>
    <row r="13" spans="1:32" x14ac:dyDescent="0.25">
      <c r="A13" s="16">
        <v>30</v>
      </c>
      <c r="B13" s="18">
        <f t="shared" ca="1" si="0"/>
        <v>0.89579999999999993</v>
      </c>
      <c r="C13" s="19">
        <f t="shared" ca="1" si="1"/>
        <v>3.9835188241330331E-2</v>
      </c>
      <c r="D13" s="18">
        <f t="shared" ca="1" si="2"/>
        <v>0.79348888888888902</v>
      </c>
      <c r="E13" s="19">
        <f t="shared" ca="1" si="3"/>
        <v>0.11996439698181131</v>
      </c>
      <c r="F13" s="18">
        <f t="shared" ca="1" si="4"/>
        <v>0.94518888888888897</v>
      </c>
      <c r="G13" s="19">
        <f t="shared" ca="1" si="5"/>
        <v>3.2165628461464708E-2</v>
      </c>
      <c r="H13" s="18">
        <f t="shared" ca="1" si="6"/>
        <v>1.1082666666666665</v>
      </c>
      <c r="I13" s="19">
        <f t="shared" ca="1" si="7"/>
        <v>4.2700663538950592E-2</v>
      </c>
      <c r="L13" s="20">
        <v>1</v>
      </c>
      <c r="M13" s="21">
        <f ca="1">MIN(OFFSET(B4,0,0,15,1))</f>
        <v>0.59538888888888897</v>
      </c>
      <c r="N13" s="21">
        <f ca="1">_xlfn.QUARTILE.INC(OFFSET(B4,0,0,15,1),1)</f>
        <v>0.73140555555555564</v>
      </c>
      <c r="O13" s="21">
        <f ca="1">_xlfn.QUARTILE.INC(OFFSET(B4,0,0,15,1),2)</f>
        <v>0.78184444444444434</v>
      </c>
      <c r="P13" s="21">
        <f ca="1">_xlfn.QUARTILE.INC(OFFSET(B4,0,0,15,1),3)</f>
        <v>0.95506666666666673</v>
      </c>
      <c r="Q13" s="21">
        <f ca="1">MAX(OFFSET(B4,0,0,15,1))</f>
        <v>1.2977111111111113</v>
      </c>
      <c r="R13" s="21">
        <f ca="1">MIN(OFFSET(D4,0,0,15,1))</f>
        <v>0.57128888888888885</v>
      </c>
      <c r="S13" s="21">
        <f ca="1">_xlfn.QUARTILE.INC(OFFSET(D4,0,0,15,1),1)</f>
        <v>0.84948888888888896</v>
      </c>
      <c r="T13" s="21">
        <f ca="1">_xlfn.QUARTILE.INC(OFFSET(D4,0,0,15,1),2)</f>
        <v>0.92013333333333336</v>
      </c>
      <c r="U13" s="21">
        <f ca="1">_xlfn.QUARTILE.INC(OFFSET(D4,0,0,15,1),3)</f>
        <v>0.98425555555555566</v>
      </c>
      <c r="V13" s="21">
        <f ca="1">MAX(OFFSET(D4,0,0,15,1))</f>
        <v>1.4115555555555557</v>
      </c>
      <c r="W13" s="21">
        <f ca="1">MIN(OFFSET(F4,0,0,15,1))</f>
        <v>0.51054444444444458</v>
      </c>
      <c r="X13" s="21">
        <f ca="1">_xlfn.QUARTILE.INC(OFFSET(F4,0,0,15,1),1)</f>
        <v>0.68264999999999998</v>
      </c>
      <c r="Y13" s="21">
        <f ca="1">_xlfn.QUARTILE.INC(OFFSET(F4,0,0,15,1),2)</f>
        <v>0.8893888888888889</v>
      </c>
      <c r="Z13" s="21">
        <f ca="1">_xlfn.QUARTILE.INC(OFFSET(F4,0,0,15,1),3)</f>
        <v>0.95818888888888887</v>
      </c>
      <c r="AA13" s="21">
        <f ca="1">MAX(OFFSET(F4,0,0,15,1))</f>
        <v>1.1862111111111111</v>
      </c>
      <c r="AB13" s="21">
        <f ca="1">MIN(OFFSET(H4,0,0,15,1))</f>
        <v>0.52353333333333341</v>
      </c>
      <c r="AC13" s="21">
        <f ca="1">_xlfn.QUARTILE.INC(OFFSET(H4,0,0,15,1),1)</f>
        <v>0.78486111111111101</v>
      </c>
      <c r="AD13" s="21">
        <f ca="1">_xlfn.QUARTILE.INC(OFFSET(H4,0,0,15,1),2)</f>
        <v>0.8851</v>
      </c>
      <c r="AE13" s="21">
        <f ca="1">_xlfn.QUARTILE.INC(OFFSET(H4,0,0,15,1),3)</f>
        <v>1.0823055555555554</v>
      </c>
      <c r="AF13" s="21">
        <f ca="1">MAX(OFFSET(H4,0,0,15,1))</f>
        <v>1.4937555555555557</v>
      </c>
    </row>
    <row r="14" spans="1:32" x14ac:dyDescent="0.25">
      <c r="A14" s="16">
        <v>33</v>
      </c>
      <c r="B14" s="18">
        <f t="shared" ca="1" si="0"/>
        <v>0.80803333333333327</v>
      </c>
      <c r="C14" s="19">
        <f t="shared" ca="1" si="1"/>
        <v>5.1715353404746055E-2</v>
      </c>
      <c r="D14" s="18">
        <f t="shared" ca="1" si="2"/>
        <v>0.93874444444444449</v>
      </c>
      <c r="E14" s="19">
        <f t="shared" ca="1" si="3"/>
        <v>0.13559604313393628</v>
      </c>
      <c r="F14" s="18">
        <f t="shared" ca="1" si="4"/>
        <v>0.92872222222222234</v>
      </c>
      <c r="G14" s="19">
        <f t="shared" ca="1" si="5"/>
        <v>6.6690225467001596E-2</v>
      </c>
      <c r="H14" s="18">
        <f t="shared" ca="1" si="6"/>
        <v>0.83506666666666662</v>
      </c>
      <c r="I14" s="19">
        <f t="shared" ca="1" si="7"/>
        <v>0.11382286433069769</v>
      </c>
      <c r="L14" s="20">
        <v>2</v>
      </c>
      <c r="M14" s="21">
        <f ca="1">MIN(OFFSET(B4,24,0,15,1))</f>
        <v>1.5388888888888888E-2</v>
      </c>
      <c r="N14" s="21">
        <f ca="1">_xlfn.QUARTILE.INC(OFFSET(B4,24,0,15,1),1)</f>
        <v>4.070555555555555E-2</v>
      </c>
      <c r="O14" s="21">
        <f ca="1">_xlfn.QUARTILE.INC(OFFSET(B4,24,0,15,1),2)</f>
        <v>7.1711111111111114E-2</v>
      </c>
      <c r="P14" s="21">
        <f ca="1">_xlfn.QUARTILE.INC(OFFSET(B4,24,0,15,1),3)</f>
        <v>0.11771666666666666</v>
      </c>
      <c r="Q14" s="21">
        <f ca="1">MAX(OFFSET(B4,24,0,15,1))</f>
        <v>0.21997777777777774</v>
      </c>
      <c r="R14" s="21">
        <f ca="1">MIN(OFFSET(D4,24,0,15,1))</f>
        <v>1.2322222222222222E-2</v>
      </c>
      <c r="S14" s="21">
        <f ca="1">_xlfn.QUARTILE.INC(OFFSET(D4,24,0,15,1),1)</f>
        <v>3.0072222222222219E-2</v>
      </c>
      <c r="T14" s="21">
        <f ca="1">_xlfn.QUARTILE.INC(OFFSET(D4,24,0,15,1),2)</f>
        <v>4.4933333333333339E-2</v>
      </c>
      <c r="U14" s="21">
        <f ca="1">_xlfn.QUARTILE.INC(OFFSET(D4,24,0,15,1),3)</f>
        <v>6.7322222222222228E-2</v>
      </c>
      <c r="V14" s="21">
        <f ca="1">MAX(OFFSET(D4,24,0,15,1))</f>
        <v>0.16041111111111114</v>
      </c>
      <c r="W14" s="21">
        <f ca="1">MIN(OFFSET(F4,24,0,15,1))</f>
        <v>1.5311111111111112E-2</v>
      </c>
      <c r="X14" s="21">
        <f ca="1">_xlfn.QUARTILE.INC(OFFSET(F4,24,0,15,1),1)</f>
        <v>2.6200000000000001E-2</v>
      </c>
      <c r="Y14" s="21">
        <f ca="1">_xlfn.QUARTILE.INC(OFFSET(F4,24,0,15,1),2)</f>
        <v>3.4033333333333332E-2</v>
      </c>
      <c r="Z14" s="21">
        <f ca="1">_xlfn.QUARTILE.INC(OFFSET(F4,24,0,15,1),3)</f>
        <v>4.8566666666666668E-2</v>
      </c>
      <c r="AA14" s="21">
        <f ca="1">MAX(OFFSET(F4,24,0,15,1))</f>
        <v>0.20443333333333336</v>
      </c>
      <c r="AB14" s="21">
        <f ca="1">MIN(OFFSET(H4,24,0,15,1))</f>
        <v>1.4311111111111111E-2</v>
      </c>
      <c r="AC14" s="21">
        <f ca="1">_xlfn.QUARTILE.INC(OFFSET(H4,24,0,15,1),1)</f>
        <v>2.1772222222222221E-2</v>
      </c>
      <c r="AD14" s="21">
        <f ca="1">_xlfn.QUARTILE.INC(OFFSET(H4,24,0,15,1),2)</f>
        <v>4.1822222222222219E-2</v>
      </c>
      <c r="AE14" s="21">
        <f ca="1">_xlfn.QUARTILE.INC(OFFSET(H4,24,0,15,1),3)</f>
        <v>5.9766666666666662E-2</v>
      </c>
      <c r="AF14" s="21">
        <f ca="1">MAX(OFFSET(H4,24,0,15,1))</f>
        <v>0.17301111111111112</v>
      </c>
    </row>
    <row r="15" spans="1:32" x14ac:dyDescent="0.25">
      <c r="A15" s="16">
        <v>36</v>
      </c>
      <c r="B15" s="18">
        <f t="shared" ca="1" si="0"/>
        <v>0.78184444444444434</v>
      </c>
      <c r="C15" s="19">
        <f t="shared" ca="1" si="1"/>
        <v>7.3894641380084947E-2</v>
      </c>
      <c r="D15" s="18">
        <f t="shared" ca="1" si="2"/>
        <v>0.82277777777777783</v>
      </c>
      <c r="E15" s="19">
        <f t="shared" ca="1" si="3"/>
        <v>2.1277780678850965E-2</v>
      </c>
      <c r="F15" s="18">
        <f t="shared" ca="1" si="4"/>
        <v>0.7199333333333332</v>
      </c>
      <c r="G15" s="19">
        <f t="shared" ca="1" si="5"/>
        <v>8.4260442808131067E-2</v>
      </c>
      <c r="H15" s="18">
        <f t="shared" ca="1" si="6"/>
        <v>0.84240000000000004</v>
      </c>
      <c r="I15" s="19">
        <f t="shared" ca="1" si="7"/>
        <v>9.4607692898387524E-2</v>
      </c>
      <c r="L15" s="20">
        <v>3</v>
      </c>
      <c r="M15" s="21">
        <f ca="1">MIN(OFFSET(B28,24,0,15,1))</f>
        <v>3.0133333333333331E-2</v>
      </c>
      <c r="N15" s="21">
        <f ca="1">_xlfn.QUARTILE.INC(OFFSET(B28,24,0,15,1),1)</f>
        <v>4.0627777777777777E-2</v>
      </c>
      <c r="O15" s="21">
        <f ca="1">_xlfn.QUARTILE.INC(OFFSET(B28,24,0,15,1),2)</f>
        <v>5.5288888888888894E-2</v>
      </c>
      <c r="P15" s="21">
        <f ca="1">_xlfn.QUARTILE.INC(OFFSET(B28,24,0,15,1),3)</f>
        <v>7.9205555555555557E-2</v>
      </c>
      <c r="Q15" s="21">
        <f ca="1">MAX(OFFSET(B28,24,0,15,1))</f>
        <v>0.14030000000000001</v>
      </c>
      <c r="R15" s="21">
        <f ca="1">MIN(OFFSET(D28,24,0,15,1))</f>
        <v>2.3866666666666668E-2</v>
      </c>
      <c r="S15" s="21">
        <f ca="1">_xlfn.QUARTILE.INC(OFFSET(D28,24,0,15,1),1)</f>
        <v>3.5116666666666671E-2</v>
      </c>
      <c r="T15" s="21">
        <f ca="1">_xlfn.QUARTILE.INC(OFFSET(D28,24,0,15,1),2)</f>
        <v>6.2311111111111109E-2</v>
      </c>
      <c r="U15" s="21">
        <f ca="1">_xlfn.QUARTILE.INC(OFFSET(D28,24,0,15,1),3)</f>
        <v>7.0283333333333337E-2</v>
      </c>
      <c r="V15" s="21">
        <f ca="1">MAX(OFFSET(D28,24,0,15,1))</f>
        <v>0.13400000000000001</v>
      </c>
      <c r="W15" s="21">
        <f ca="1">MIN(OFFSET(F28,24,0,15,1))</f>
        <v>7.5444444444444448E-3</v>
      </c>
      <c r="X15" s="21">
        <f ca="1">_xlfn.QUARTILE.INC(OFFSET(F28,24,0,15,1),1)</f>
        <v>3.6888888888888888E-2</v>
      </c>
      <c r="Y15" s="21">
        <f ca="1">_xlfn.QUARTILE.INC(OFFSET(F28,24,0,15,1),2)</f>
        <v>5.1655555555555566E-2</v>
      </c>
      <c r="Z15" s="21">
        <f ca="1">_xlfn.QUARTILE.INC(OFFSET(F28,24,0,15,1),3)</f>
        <v>7.7605555555555539E-2</v>
      </c>
      <c r="AA15" s="21">
        <f ca="1">MAX(OFFSET(F28,24,0,15,1))</f>
        <v>0.13298888888888891</v>
      </c>
      <c r="AB15" s="21">
        <f ca="1">MIN(OFFSET(H28,24,0,15,1))</f>
        <v>1.5566666666666666E-2</v>
      </c>
      <c r="AC15" s="21">
        <f ca="1">_xlfn.QUARTILE.INC(OFFSET(H28,24,0,15,1),1)</f>
        <v>3.2411111111111113E-2</v>
      </c>
      <c r="AD15" s="21">
        <f ca="1">_xlfn.QUARTILE.INC(OFFSET(H28,24,0,15,1),2)</f>
        <v>4.7755555555555551E-2</v>
      </c>
      <c r="AE15" s="21">
        <f ca="1">_xlfn.QUARTILE.INC(OFFSET(H28,24,0,15,1),3)</f>
        <v>6.592777777777778E-2</v>
      </c>
      <c r="AF15" s="21">
        <f ca="1">MAX(OFFSET(H28,24,0,15,1))</f>
        <v>0.14478888888888891</v>
      </c>
    </row>
    <row r="16" spans="1:32" x14ac:dyDescent="0.25">
      <c r="A16" s="16">
        <v>39</v>
      </c>
      <c r="B16" s="18">
        <f t="shared" ca="1" si="0"/>
        <v>0.95088888888888889</v>
      </c>
      <c r="C16" s="19">
        <f t="shared" ca="1" si="1"/>
        <v>5.540606554128738E-2</v>
      </c>
      <c r="D16" s="18">
        <f t="shared" ca="1" si="2"/>
        <v>0.8980111111111112</v>
      </c>
      <c r="E16" s="19">
        <f t="shared" ca="1" si="3"/>
        <v>5.4752847606199022E-2</v>
      </c>
      <c r="F16" s="18">
        <f t="shared" ca="1" si="4"/>
        <v>0.75078888888888895</v>
      </c>
      <c r="G16" s="19">
        <f t="shared" ca="1" si="5"/>
        <v>0.20868738153006908</v>
      </c>
      <c r="H16" s="18">
        <f t="shared" ca="1" si="6"/>
        <v>0.90927777777777785</v>
      </c>
      <c r="I16" s="19">
        <f t="shared" ca="1" si="7"/>
        <v>6.0443137240766817E-2</v>
      </c>
    </row>
    <row r="17" spans="1:33" x14ac:dyDescent="0.25">
      <c r="A17" s="16">
        <v>42</v>
      </c>
      <c r="B17" s="18">
        <f t="shared" ca="1" si="0"/>
        <v>0.72717777777777792</v>
      </c>
      <c r="C17" s="19">
        <f t="shared" ca="1" si="1"/>
        <v>3.5371167724190827E-2</v>
      </c>
      <c r="D17" s="18">
        <f t="shared" ca="1" si="2"/>
        <v>0.88434444444444438</v>
      </c>
      <c r="E17" s="19">
        <f t="shared" ca="1" si="3"/>
        <v>6.4008890200435098E-2</v>
      </c>
      <c r="F17" s="18">
        <f t="shared" ca="1" si="4"/>
        <v>0.56565555555555558</v>
      </c>
      <c r="G17" s="19">
        <f t="shared" ca="1" si="5"/>
        <v>9.035105743845423E-2</v>
      </c>
      <c r="H17" s="18">
        <f t="shared" ca="1" si="6"/>
        <v>0.72295555555555557</v>
      </c>
      <c r="I17" s="19">
        <f t="shared" ca="1" si="7"/>
        <v>5.7642116375501977E-2</v>
      </c>
      <c r="L17" s="124" t="s">
        <v>199</v>
      </c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</row>
    <row r="18" spans="1:33" x14ac:dyDescent="0.25">
      <c r="A18" s="16">
        <v>45</v>
      </c>
      <c r="B18" s="18">
        <f t="shared" ca="1" si="0"/>
        <v>0.74786666666666646</v>
      </c>
      <c r="C18" s="19">
        <f t="shared" ca="1" si="1"/>
        <v>7.5284940208666107E-2</v>
      </c>
      <c r="D18" s="18">
        <f t="shared" ca="1" si="2"/>
        <v>1.0081444444444445</v>
      </c>
      <c r="E18" s="19">
        <f t="shared" ca="1" si="3"/>
        <v>2.1519351038909187E-2</v>
      </c>
      <c r="F18" s="18">
        <f t="shared" ca="1" si="4"/>
        <v>1.0018777777777776</v>
      </c>
      <c r="G18" s="19">
        <f t="shared" ca="1" si="5"/>
        <v>7.9205075283199367E-2</v>
      </c>
      <c r="H18" s="18">
        <f t="shared" ca="1" si="6"/>
        <v>1.0563444444444443</v>
      </c>
      <c r="I18" s="19">
        <f t="shared" ca="1" si="7"/>
        <v>1.6772736549472912E-2</v>
      </c>
      <c r="L18" s="106"/>
      <c r="M18" s="118" t="s">
        <v>186</v>
      </c>
      <c r="N18" s="118"/>
      <c r="O18" s="118"/>
      <c r="P18" s="118"/>
      <c r="Q18" s="119"/>
      <c r="R18" s="120" t="s">
        <v>187</v>
      </c>
      <c r="S18" s="118"/>
      <c r="T18" s="118"/>
      <c r="U18" s="118"/>
      <c r="V18" s="119"/>
      <c r="W18" s="120" t="s">
        <v>188</v>
      </c>
      <c r="X18" s="118"/>
      <c r="Y18" s="118"/>
      <c r="Z18" s="118"/>
      <c r="AA18" s="119"/>
      <c r="AB18" s="120" t="s">
        <v>189</v>
      </c>
      <c r="AC18" s="118"/>
      <c r="AD18" s="118"/>
      <c r="AE18" s="118"/>
      <c r="AF18" s="119"/>
      <c r="AG18" s="21"/>
    </row>
    <row r="19" spans="1:33" ht="39.6" x14ac:dyDescent="0.25">
      <c r="L19" s="22" t="s">
        <v>5</v>
      </c>
      <c r="M19" s="22" t="s">
        <v>194</v>
      </c>
      <c r="N19" s="23" t="s">
        <v>200</v>
      </c>
      <c r="O19" s="23" t="s">
        <v>201</v>
      </c>
      <c r="P19" s="23" t="s">
        <v>202</v>
      </c>
      <c r="Q19" s="23" t="s">
        <v>203</v>
      </c>
      <c r="R19" s="23" t="s">
        <v>194</v>
      </c>
      <c r="S19" s="23" t="s">
        <v>200</v>
      </c>
      <c r="T19" s="23" t="s">
        <v>201</v>
      </c>
      <c r="U19" s="23" t="s">
        <v>202</v>
      </c>
      <c r="V19" s="23" t="s">
        <v>203</v>
      </c>
      <c r="W19" s="23" t="s">
        <v>194</v>
      </c>
      <c r="X19" s="23" t="s">
        <v>200</v>
      </c>
      <c r="Y19" s="23" t="s">
        <v>201</v>
      </c>
      <c r="Z19" s="23" t="s">
        <v>202</v>
      </c>
      <c r="AA19" s="23" t="s">
        <v>203</v>
      </c>
      <c r="AB19" s="23" t="s">
        <v>194</v>
      </c>
      <c r="AC19" s="23" t="s">
        <v>200</v>
      </c>
      <c r="AD19" s="23" t="s">
        <v>201</v>
      </c>
      <c r="AE19" s="23" t="s">
        <v>202</v>
      </c>
      <c r="AF19" s="23" t="s">
        <v>203</v>
      </c>
    </row>
    <row r="20" spans="1:33" x14ac:dyDescent="0.25">
      <c r="B20" s="24"/>
      <c r="L20" s="20">
        <v>1</v>
      </c>
      <c r="M20" s="25">
        <f ca="1">M13</f>
        <v>0.59538888888888897</v>
      </c>
      <c r="N20" s="26">
        <f t="shared" ref="N20:Q22" ca="1" si="8">N13-M13</f>
        <v>0.13601666666666667</v>
      </c>
      <c r="O20" s="26">
        <f t="shared" ca="1" si="8"/>
        <v>5.04388888888887E-2</v>
      </c>
      <c r="P20" s="26">
        <f t="shared" ca="1" si="8"/>
        <v>0.17322222222222239</v>
      </c>
      <c r="Q20" s="26">
        <f t="shared" ca="1" si="8"/>
        <v>0.34264444444444453</v>
      </c>
      <c r="R20" s="26">
        <f ca="1">R13</f>
        <v>0.57128888888888885</v>
      </c>
      <c r="S20" s="26">
        <f t="shared" ref="S20:V22" ca="1" si="9">S13-R13</f>
        <v>0.27820000000000011</v>
      </c>
      <c r="T20" s="26">
        <f t="shared" ca="1" si="9"/>
        <v>7.0644444444444399E-2</v>
      </c>
      <c r="U20" s="26">
        <f t="shared" ca="1" si="9"/>
        <v>6.4122222222222303E-2</v>
      </c>
      <c r="V20" s="26">
        <f t="shared" ca="1" si="9"/>
        <v>0.42730000000000001</v>
      </c>
      <c r="W20" s="26">
        <f ca="1">W13</f>
        <v>0.51054444444444458</v>
      </c>
      <c r="X20" s="26">
        <f t="shared" ref="X20:AA22" ca="1" si="10">X13-W13</f>
        <v>0.1721055555555554</v>
      </c>
      <c r="Y20" s="26">
        <f t="shared" ca="1" si="10"/>
        <v>0.20673888888888892</v>
      </c>
      <c r="Z20" s="26">
        <f t="shared" ca="1" si="10"/>
        <v>6.8799999999999972E-2</v>
      </c>
      <c r="AA20" s="26">
        <f t="shared" ca="1" si="10"/>
        <v>0.22802222222222224</v>
      </c>
      <c r="AB20" s="26">
        <f ca="1">AB13</f>
        <v>0.52353333333333341</v>
      </c>
      <c r="AC20" s="26">
        <f t="shared" ref="AC20:AF22" ca="1" si="11">AC13-AB13</f>
        <v>0.2613277777777776</v>
      </c>
      <c r="AD20" s="26">
        <f t="shared" ca="1" si="11"/>
        <v>0.10023888888888899</v>
      </c>
      <c r="AE20" s="26">
        <f t="shared" ca="1" si="11"/>
        <v>0.19720555555555541</v>
      </c>
      <c r="AF20" s="26">
        <f t="shared" ca="1" si="11"/>
        <v>0.41145000000000032</v>
      </c>
    </row>
    <row r="21" spans="1:33" x14ac:dyDescent="0.25">
      <c r="L21" s="20">
        <v>2</v>
      </c>
      <c r="M21" s="25">
        <f ca="1">M14</f>
        <v>1.5388888888888888E-2</v>
      </c>
      <c r="N21" s="26">
        <f t="shared" ca="1" si="8"/>
        <v>2.5316666666666661E-2</v>
      </c>
      <c r="O21" s="26">
        <f t="shared" ca="1" si="8"/>
        <v>3.1005555555555564E-2</v>
      </c>
      <c r="P21" s="26">
        <f t="shared" ca="1" si="8"/>
        <v>4.600555555555555E-2</v>
      </c>
      <c r="Q21" s="26">
        <f t="shared" ca="1" si="8"/>
        <v>0.10226111111111108</v>
      </c>
      <c r="R21" s="26">
        <f ca="1">R14</f>
        <v>1.2322222222222222E-2</v>
      </c>
      <c r="S21" s="26">
        <f t="shared" ca="1" si="9"/>
        <v>1.7749999999999995E-2</v>
      </c>
      <c r="T21" s="26">
        <f t="shared" ca="1" si="9"/>
        <v>1.486111111111112E-2</v>
      </c>
      <c r="U21" s="26">
        <f t="shared" ca="1" si="9"/>
        <v>2.2388888888888889E-2</v>
      </c>
      <c r="V21" s="26">
        <f t="shared" ca="1" si="9"/>
        <v>9.3088888888888915E-2</v>
      </c>
      <c r="W21" s="26">
        <f ca="1">W14</f>
        <v>1.5311111111111112E-2</v>
      </c>
      <c r="X21" s="26">
        <f t="shared" ca="1" si="10"/>
        <v>1.0888888888888889E-2</v>
      </c>
      <c r="Y21" s="26">
        <f t="shared" ca="1" si="10"/>
        <v>7.833333333333331E-3</v>
      </c>
      <c r="Z21" s="26">
        <f t="shared" ca="1" si="10"/>
        <v>1.4533333333333336E-2</v>
      </c>
      <c r="AA21" s="26">
        <f t="shared" ca="1" si="10"/>
        <v>0.15586666666666668</v>
      </c>
      <c r="AB21" s="26">
        <f ca="1">AB14</f>
        <v>1.4311111111111111E-2</v>
      </c>
      <c r="AC21" s="26">
        <f t="shared" ca="1" si="11"/>
        <v>7.4611111111111093E-3</v>
      </c>
      <c r="AD21" s="26">
        <f t="shared" ca="1" si="11"/>
        <v>2.0049999999999998E-2</v>
      </c>
      <c r="AE21" s="26">
        <f t="shared" ca="1" si="11"/>
        <v>1.7944444444444443E-2</v>
      </c>
      <c r="AF21" s="26">
        <f t="shared" ca="1" si="11"/>
        <v>0.11324444444444445</v>
      </c>
    </row>
    <row r="22" spans="1:33" x14ac:dyDescent="0.25">
      <c r="L22" s="20">
        <v>3</v>
      </c>
      <c r="M22" s="25">
        <f ca="1">M15</f>
        <v>3.0133333333333331E-2</v>
      </c>
      <c r="N22" s="26">
        <f t="shared" ca="1" si="8"/>
        <v>1.0494444444444445E-2</v>
      </c>
      <c r="O22" s="26">
        <f t="shared" ca="1" si="8"/>
        <v>1.4661111111111118E-2</v>
      </c>
      <c r="P22" s="26">
        <f t="shared" ca="1" si="8"/>
        <v>2.3916666666666662E-2</v>
      </c>
      <c r="Q22" s="26">
        <f t="shared" ca="1" si="8"/>
        <v>6.1094444444444451E-2</v>
      </c>
      <c r="R22" s="26">
        <f ca="1">R15</f>
        <v>2.3866666666666668E-2</v>
      </c>
      <c r="S22" s="26">
        <f t="shared" ca="1" si="9"/>
        <v>1.1250000000000003E-2</v>
      </c>
      <c r="T22" s="26">
        <f t="shared" ca="1" si="9"/>
        <v>2.7194444444444438E-2</v>
      </c>
      <c r="U22" s="26">
        <f t="shared" ca="1" si="9"/>
        <v>7.9722222222222278E-3</v>
      </c>
      <c r="V22" s="26">
        <f t="shared" ca="1" si="9"/>
        <v>6.3716666666666671E-2</v>
      </c>
      <c r="W22" s="26">
        <f ca="1">W15</f>
        <v>7.5444444444444448E-3</v>
      </c>
      <c r="X22" s="26">
        <f t="shared" ca="1" si="10"/>
        <v>2.9344444444444444E-2</v>
      </c>
      <c r="Y22" s="26">
        <f t="shared" ca="1" si="10"/>
        <v>1.4766666666666678E-2</v>
      </c>
      <c r="Z22" s="26">
        <f t="shared" ca="1" si="10"/>
        <v>2.5949999999999973E-2</v>
      </c>
      <c r="AA22" s="26">
        <f t="shared" ca="1" si="10"/>
        <v>5.5383333333333368E-2</v>
      </c>
      <c r="AB22" s="26">
        <f ca="1">AB15</f>
        <v>1.5566666666666666E-2</v>
      </c>
      <c r="AC22" s="26">
        <f t="shared" ca="1" si="11"/>
        <v>1.6844444444444447E-2</v>
      </c>
      <c r="AD22" s="26">
        <f t="shared" ca="1" si="11"/>
        <v>1.5344444444444438E-2</v>
      </c>
      <c r="AE22" s="26">
        <f t="shared" ca="1" si="11"/>
        <v>1.8172222222222228E-2</v>
      </c>
      <c r="AF22" s="26">
        <f t="shared" ca="1" si="11"/>
        <v>7.8861111111111132E-2</v>
      </c>
    </row>
    <row r="25" spans="1:33" x14ac:dyDescent="0.25">
      <c r="A25" s="121" t="s">
        <v>204</v>
      </c>
      <c r="B25" s="121"/>
      <c r="C25" s="121"/>
      <c r="D25" s="121"/>
      <c r="E25" s="121"/>
      <c r="F25" s="121"/>
      <c r="G25" s="121"/>
      <c r="H25" s="121"/>
      <c r="I25" s="121"/>
    </row>
    <row r="26" spans="1:33" x14ac:dyDescent="0.25">
      <c r="A26" s="16"/>
      <c r="B26" s="122" t="s">
        <v>186</v>
      </c>
      <c r="C26" s="123"/>
      <c r="D26" s="122" t="s">
        <v>187</v>
      </c>
      <c r="E26" s="123"/>
      <c r="F26" s="122" t="s">
        <v>188</v>
      </c>
      <c r="G26" s="123"/>
      <c r="H26" s="122" t="s">
        <v>189</v>
      </c>
      <c r="I26" s="123"/>
    </row>
    <row r="27" spans="1:33" x14ac:dyDescent="0.25">
      <c r="A27" s="17" t="s">
        <v>190</v>
      </c>
      <c r="B27" s="27" t="s">
        <v>191</v>
      </c>
      <c r="C27" s="27" t="s">
        <v>192</v>
      </c>
      <c r="D27" s="27" t="s">
        <v>191</v>
      </c>
      <c r="E27" s="27" t="s">
        <v>192</v>
      </c>
      <c r="F27" s="27" t="s">
        <v>191</v>
      </c>
      <c r="G27" s="27" t="s">
        <v>192</v>
      </c>
      <c r="H27" s="27" t="s">
        <v>191</v>
      </c>
      <c r="I27" s="27" t="s">
        <v>192</v>
      </c>
    </row>
    <row r="28" spans="1:33" x14ac:dyDescent="0.25">
      <c r="A28" s="16">
        <v>1</v>
      </c>
      <c r="B28" s="18">
        <f t="shared" ref="B28:B42" ca="1" si="12">AVERAGE(INDIRECT(A28&amp;"!M4:M12"))</f>
        <v>7.1711111111111114E-2</v>
      </c>
      <c r="C28" s="19">
        <f t="shared" ref="C28:C42" ca="1" si="13">_xlfn.STDEV.P(INDIRECT(A28&amp;"!M4:M12"))</f>
        <v>6.7117549360050125E-3</v>
      </c>
      <c r="D28" s="18">
        <f t="shared" ref="D28:D42" ca="1" si="14">AVERAGE(INDIRECT(A28&amp;"!M14:M22"))</f>
        <v>9.4622222222222219E-2</v>
      </c>
      <c r="E28" s="19">
        <f t="shared" ref="E28:E42" ca="1" si="15">_xlfn.STDEV.P(INDIRECT(A28&amp;"!M14:M22"))</f>
        <v>7.8911733781453948E-3</v>
      </c>
      <c r="F28" s="18">
        <f t="shared" ref="F28:F42" ca="1" si="16">AVERAGE(INDIRECT(A28&amp;"!M24:M32"))</f>
        <v>8.7011111111111122E-2</v>
      </c>
      <c r="G28" s="19">
        <f t="shared" ref="G28:G42" ca="1" si="17">_xlfn.STDEV.P(INDIRECT(A28&amp;"!M24:M32"))</f>
        <v>1.0256753270617324E-2</v>
      </c>
      <c r="H28" s="18">
        <f t="shared" ref="H28:H42" ca="1" si="18">AVERAGE(INDIRECT(A28&amp;"!M34:M42"))</f>
        <v>8.1888888888888886E-2</v>
      </c>
      <c r="I28" s="19">
        <f t="shared" ref="I28:I42" ca="1" si="19">_xlfn.STDEV.P(INDIRECT(A28&amp;"!M34:M42"))</f>
        <v>1.0449608652368495E-2</v>
      </c>
    </row>
    <row r="29" spans="1:33" x14ac:dyDescent="0.25">
      <c r="A29" s="16">
        <v>4</v>
      </c>
      <c r="B29" s="18">
        <f t="shared" ca="1" si="12"/>
        <v>3.9511111111111101E-2</v>
      </c>
      <c r="C29" s="19">
        <f t="shared" ca="1" si="13"/>
        <v>1.1651842433656842E-2</v>
      </c>
      <c r="D29" s="18">
        <f t="shared" ca="1" si="14"/>
        <v>0.10333333333333333</v>
      </c>
      <c r="E29" s="19">
        <f t="shared" ca="1" si="15"/>
        <v>2.0679941972839247E-2</v>
      </c>
      <c r="F29" s="18">
        <f t="shared" ca="1" si="16"/>
        <v>1.5311111111111112E-2</v>
      </c>
      <c r="G29" s="19">
        <f t="shared" ca="1" si="17"/>
        <v>7.372990414636453E-3</v>
      </c>
      <c r="H29" s="18">
        <f t="shared" ca="1" si="18"/>
        <v>4.1822222222222219E-2</v>
      </c>
      <c r="I29" s="19">
        <f t="shared" ca="1" si="19"/>
        <v>7.5809377575568751E-3</v>
      </c>
    </row>
    <row r="30" spans="1:33" x14ac:dyDescent="0.25">
      <c r="A30" s="16">
        <v>7</v>
      </c>
      <c r="B30" s="18">
        <f t="shared" ca="1" si="12"/>
        <v>0.12225555555555556</v>
      </c>
      <c r="C30" s="19">
        <f t="shared" ca="1" si="13"/>
        <v>1.2883332135498866E-2</v>
      </c>
      <c r="D30" s="18">
        <f t="shared" ca="1" si="14"/>
        <v>6.4144444444444434E-2</v>
      </c>
      <c r="E30" s="19">
        <f t="shared" ca="1" si="15"/>
        <v>6.4204726567288232E-3</v>
      </c>
      <c r="F30" s="18">
        <f t="shared" ca="1" si="16"/>
        <v>3.6200000000000003E-2</v>
      </c>
      <c r="G30" s="19">
        <f t="shared" ca="1" si="17"/>
        <v>1.3170421405558731E-2</v>
      </c>
      <c r="H30" s="18">
        <f t="shared" ca="1" si="18"/>
        <v>1.4311111111111111E-2</v>
      </c>
      <c r="I30" s="19">
        <f t="shared" ca="1" si="19"/>
        <v>7.5118342847128637E-3</v>
      </c>
    </row>
    <row r="31" spans="1:33" x14ac:dyDescent="0.25">
      <c r="A31" s="16">
        <v>10</v>
      </c>
      <c r="B31" s="18">
        <f t="shared" ca="1" si="12"/>
        <v>0.21997777777777774</v>
      </c>
      <c r="C31" s="19">
        <f t="shared" ca="1" si="13"/>
        <v>1.559528260424199E-2</v>
      </c>
      <c r="D31" s="18">
        <f t="shared" ca="1" si="14"/>
        <v>0.16041111111111114</v>
      </c>
      <c r="E31" s="19">
        <f t="shared" ca="1" si="15"/>
        <v>1.4392933794396353E-2</v>
      </c>
      <c r="F31" s="18">
        <f t="shared" ca="1" si="16"/>
        <v>0.20443333333333336</v>
      </c>
      <c r="G31" s="19">
        <f t="shared" ca="1" si="17"/>
        <v>2.1544785396419602E-2</v>
      </c>
      <c r="H31" s="18">
        <f t="shared" ca="1" si="18"/>
        <v>0.17301111111111112</v>
      </c>
      <c r="I31" s="19">
        <f t="shared" ca="1" si="19"/>
        <v>2.1951534719541005E-2</v>
      </c>
    </row>
    <row r="32" spans="1:33" x14ac:dyDescent="0.25">
      <c r="A32" s="16">
        <v>13</v>
      </c>
      <c r="B32" s="18">
        <f t="shared" ca="1" si="12"/>
        <v>8.9044444444444426E-2</v>
      </c>
      <c r="C32" s="19">
        <f t="shared" ca="1" si="13"/>
        <v>1.2333163161989336E-2</v>
      </c>
      <c r="D32" s="18">
        <f t="shared" ca="1" si="14"/>
        <v>3.1155555555555554E-2</v>
      </c>
      <c r="E32" s="19">
        <f t="shared" ca="1" si="15"/>
        <v>9.9635012934556084E-3</v>
      </c>
      <c r="F32" s="18">
        <f t="shared" ca="1" si="16"/>
        <v>2.5311111111111111E-2</v>
      </c>
      <c r="G32" s="19">
        <f t="shared" ca="1" si="17"/>
        <v>9.137644292150816E-3</v>
      </c>
      <c r="H32" s="18">
        <f t="shared" ca="1" si="18"/>
        <v>2.251111111111111E-2</v>
      </c>
      <c r="I32" s="19">
        <f t="shared" ca="1" si="19"/>
        <v>8.8430065832893461E-3</v>
      </c>
    </row>
    <row r="33" spans="1:9" x14ac:dyDescent="0.25">
      <c r="A33" s="16">
        <v>16</v>
      </c>
      <c r="B33" s="18">
        <f t="shared" ca="1" si="12"/>
        <v>0.16564444444444443</v>
      </c>
      <c r="C33" s="19">
        <f t="shared" ca="1" si="13"/>
        <v>1.6602684596247357E-2</v>
      </c>
      <c r="D33" s="18">
        <f t="shared" ca="1" si="14"/>
        <v>3.6611111111111115E-2</v>
      </c>
      <c r="E33" s="19">
        <f t="shared" ca="1" si="15"/>
        <v>1.7228106521640359E-2</v>
      </c>
      <c r="F33" s="18">
        <f t="shared" ca="1" si="16"/>
        <v>4.8577777777777782E-2</v>
      </c>
      <c r="G33" s="19">
        <f t="shared" ca="1" si="17"/>
        <v>1.4570119939853892E-2</v>
      </c>
      <c r="H33" s="18">
        <f t="shared" ca="1" si="18"/>
        <v>3.043333333333333E-2</v>
      </c>
      <c r="I33" s="19">
        <f t="shared" ca="1" si="19"/>
        <v>9.8335028233980659E-3</v>
      </c>
    </row>
    <row r="34" spans="1:9" x14ac:dyDescent="0.25">
      <c r="A34" s="16">
        <v>19</v>
      </c>
      <c r="B34" s="18">
        <f t="shared" ca="1" si="12"/>
        <v>4.19E-2</v>
      </c>
      <c r="C34" s="19">
        <f t="shared" ca="1" si="13"/>
        <v>2.3420029414536987E-2</v>
      </c>
      <c r="D34" s="18">
        <f t="shared" ca="1" si="14"/>
        <v>3.78E-2</v>
      </c>
      <c r="E34" s="19">
        <f t="shared" ca="1" si="15"/>
        <v>2.4433083218365129E-2</v>
      </c>
      <c r="F34" s="18">
        <f t="shared" ca="1" si="16"/>
        <v>4.7555555555555559E-2</v>
      </c>
      <c r="G34" s="19">
        <f t="shared" ca="1" si="17"/>
        <v>1.5237899469641908E-2</v>
      </c>
      <c r="H34" s="18">
        <f t="shared" ca="1" si="18"/>
        <v>4.2311111111111105E-2</v>
      </c>
      <c r="I34" s="19">
        <f t="shared" ca="1" si="19"/>
        <v>1.2657755149792534E-2</v>
      </c>
    </row>
    <row r="35" spans="1:9" x14ac:dyDescent="0.25">
      <c r="A35" s="16">
        <v>22</v>
      </c>
      <c r="B35" s="18">
        <f t="shared" ca="1" si="12"/>
        <v>0.11317777777777777</v>
      </c>
      <c r="C35" s="19">
        <f t="shared" ca="1" si="13"/>
        <v>1.4939491124590934E-2</v>
      </c>
      <c r="D35" s="18">
        <f t="shared" ca="1" si="14"/>
        <v>7.0500000000000007E-2</v>
      </c>
      <c r="E35" s="19">
        <f t="shared" ca="1" si="15"/>
        <v>2.0705018178639147E-2</v>
      </c>
      <c r="F35" s="18">
        <f t="shared" ca="1" si="16"/>
        <v>4.8555555555555553E-2</v>
      </c>
      <c r="G35" s="19">
        <f t="shared" ca="1" si="17"/>
        <v>1.8727467118950118E-2</v>
      </c>
      <c r="H35" s="18">
        <f t="shared" ca="1" si="18"/>
        <v>7.7611111111111117E-2</v>
      </c>
      <c r="I35" s="19">
        <f t="shared" ca="1" si="19"/>
        <v>1.8852730096693297E-2</v>
      </c>
    </row>
    <row r="36" spans="1:9" x14ac:dyDescent="0.25">
      <c r="A36" s="16">
        <v>25</v>
      </c>
      <c r="B36" s="18">
        <f t="shared" ca="1" si="12"/>
        <v>8.6755555555555544E-2</v>
      </c>
      <c r="C36" s="19">
        <f t="shared" ca="1" si="13"/>
        <v>9.3284643384418976E-3</v>
      </c>
      <c r="D36" s="18">
        <f t="shared" ca="1" si="14"/>
        <v>5.5466666666666671E-2</v>
      </c>
      <c r="E36" s="19">
        <f t="shared" ca="1" si="15"/>
        <v>2.3812695026906222E-2</v>
      </c>
      <c r="F36" s="18">
        <f t="shared" ca="1" si="16"/>
        <v>2.7088888888888888E-2</v>
      </c>
      <c r="G36" s="19">
        <f t="shared" ca="1" si="17"/>
        <v>8.4484639556475973E-3</v>
      </c>
      <c r="H36" s="18">
        <f t="shared" ca="1" si="18"/>
        <v>2.1033333333333334E-2</v>
      </c>
      <c r="I36" s="19">
        <f t="shared" ca="1" si="19"/>
        <v>7.0039671298168836E-3</v>
      </c>
    </row>
    <row r="37" spans="1:9" x14ac:dyDescent="0.25">
      <c r="A37" s="16">
        <v>28</v>
      </c>
      <c r="B37" s="18">
        <f t="shared" ca="1" si="12"/>
        <v>5.3266666666666664E-2</v>
      </c>
      <c r="C37" s="19">
        <f t="shared" ca="1" si="13"/>
        <v>2.3030366427344955E-2</v>
      </c>
      <c r="D37" s="18">
        <f t="shared" ca="1" si="14"/>
        <v>4.4933333333333339E-2</v>
      </c>
      <c r="E37" s="19">
        <f t="shared" ca="1" si="15"/>
        <v>1.0731469817524724E-2</v>
      </c>
      <c r="F37" s="18">
        <f t="shared" ca="1" si="16"/>
        <v>6.6333333333333327E-2</v>
      </c>
      <c r="G37" s="19">
        <f t="shared" ca="1" si="17"/>
        <v>2.3288289856587697E-2</v>
      </c>
      <c r="H37" s="18">
        <f t="shared" ca="1" si="18"/>
        <v>4.2988888888888896E-2</v>
      </c>
      <c r="I37" s="19">
        <f t="shared" ca="1" si="19"/>
        <v>1.3475611257580551E-2</v>
      </c>
    </row>
    <row r="38" spans="1:9" x14ac:dyDescent="0.25">
      <c r="A38" s="16">
        <v>31</v>
      </c>
      <c r="B38" s="18">
        <f t="shared" ca="1" si="12"/>
        <v>2.3722222222222221E-2</v>
      </c>
      <c r="C38" s="19">
        <f t="shared" ca="1" si="13"/>
        <v>1.246602295822777E-2</v>
      </c>
      <c r="D38" s="18">
        <f t="shared" ca="1" si="14"/>
        <v>2.6844444444444442E-2</v>
      </c>
      <c r="E38" s="19">
        <f t="shared" ca="1" si="15"/>
        <v>1.3926322886383265E-2</v>
      </c>
      <c r="F38" s="18">
        <f t="shared" ca="1" si="16"/>
        <v>2.3311111111111109E-2</v>
      </c>
      <c r="G38" s="19">
        <f t="shared" ca="1" si="17"/>
        <v>8.5348233652808112E-3</v>
      </c>
      <c r="H38" s="18">
        <f t="shared" ca="1" si="18"/>
        <v>5.4822222222222224E-2</v>
      </c>
      <c r="I38" s="19">
        <f t="shared" ca="1" si="19"/>
        <v>1.0990276285858622E-2</v>
      </c>
    </row>
    <row r="39" spans="1:9" x14ac:dyDescent="0.25">
      <c r="A39" s="16">
        <v>34</v>
      </c>
      <c r="B39" s="18">
        <f t="shared" ca="1" si="12"/>
        <v>2.5566666666666665E-2</v>
      </c>
      <c r="C39" s="19">
        <f t="shared" ca="1" si="13"/>
        <v>1.3173626852330556E-2</v>
      </c>
      <c r="D39" s="18">
        <f t="shared" ca="1" si="14"/>
        <v>1.2322222222222222E-2</v>
      </c>
      <c r="E39" s="19">
        <f t="shared" ca="1" si="15"/>
        <v>4.1552584564027006E-3</v>
      </c>
      <c r="F39" s="18">
        <f t="shared" ca="1" si="16"/>
        <v>2.7377777777777775E-2</v>
      </c>
      <c r="G39" s="19">
        <f t="shared" ca="1" si="17"/>
        <v>7.3597671729142607E-3</v>
      </c>
      <c r="H39" s="18">
        <f t="shared" ca="1" si="18"/>
        <v>1.6133333333333333E-2</v>
      </c>
      <c r="I39" s="19">
        <f t="shared" ca="1" si="19"/>
        <v>6.0361871703547764E-3</v>
      </c>
    </row>
    <row r="40" spans="1:9" x14ac:dyDescent="0.25">
      <c r="A40" s="16">
        <v>37</v>
      </c>
      <c r="B40" s="18">
        <f t="shared" ca="1" si="12"/>
        <v>1.5388888888888888E-2</v>
      </c>
      <c r="C40" s="19">
        <f t="shared" ca="1" si="13"/>
        <v>7.7970713083602384E-3</v>
      </c>
      <c r="D40" s="18">
        <f t="shared" ca="1" si="14"/>
        <v>2.8988888888888883E-2</v>
      </c>
      <c r="E40" s="19">
        <f t="shared" ca="1" si="15"/>
        <v>1.1775911801870469E-2</v>
      </c>
      <c r="F40" s="18">
        <f t="shared" ca="1" si="16"/>
        <v>3.3166666666666664E-2</v>
      </c>
      <c r="G40" s="19">
        <f t="shared" ca="1" si="17"/>
        <v>1.6551871327570321E-2</v>
      </c>
      <c r="H40" s="18">
        <f t="shared" ca="1" si="18"/>
        <v>6.4711111111111108E-2</v>
      </c>
      <c r="I40" s="19">
        <f t="shared" ca="1" si="19"/>
        <v>4.7323366191072261E-2</v>
      </c>
    </row>
    <row r="41" spans="1:9" x14ac:dyDescent="0.25">
      <c r="A41" s="16">
        <v>40</v>
      </c>
      <c r="B41" s="18">
        <f t="shared" ca="1" si="12"/>
        <v>0.12570000000000001</v>
      </c>
      <c r="C41" s="19">
        <f t="shared" ca="1" si="13"/>
        <v>9.2014491612281701E-3</v>
      </c>
      <c r="D41" s="18">
        <f t="shared" ca="1" si="14"/>
        <v>6.2955555555555556E-2</v>
      </c>
      <c r="E41" s="19">
        <f t="shared" ca="1" si="15"/>
        <v>1.1716665349559988E-2</v>
      </c>
      <c r="F41" s="18">
        <f t="shared" ca="1" si="16"/>
        <v>3.4033333333333332E-2</v>
      </c>
      <c r="G41" s="19">
        <f t="shared" ca="1" si="17"/>
        <v>2.0842904468107767E-2</v>
      </c>
      <c r="H41" s="18">
        <f t="shared" ca="1" si="18"/>
        <v>1.8355555555555556E-2</v>
      </c>
      <c r="I41" s="19">
        <f t="shared" ca="1" si="19"/>
        <v>9.499603630457553E-3</v>
      </c>
    </row>
    <row r="42" spans="1:9" x14ac:dyDescent="0.25">
      <c r="A42" s="16">
        <v>43</v>
      </c>
      <c r="B42" s="18">
        <f t="shared" ca="1" si="12"/>
        <v>5.9711111111111111E-2</v>
      </c>
      <c r="C42" s="19">
        <f t="shared" ca="1" si="13"/>
        <v>1.9950017791384132E-2</v>
      </c>
      <c r="D42" s="18">
        <f t="shared" ca="1" si="14"/>
        <v>2.0855555555555554E-2</v>
      </c>
      <c r="E42" s="19">
        <f t="shared" ca="1" si="15"/>
        <v>9.2682386090119796E-3</v>
      </c>
      <c r="F42" s="18">
        <f t="shared" ca="1" si="16"/>
        <v>2.1344444444444444E-2</v>
      </c>
      <c r="G42" s="19">
        <f t="shared" ca="1" si="17"/>
        <v>1.026494694591595E-2</v>
      </c>
      <c r="H42" s="18">
        <f t="shared" ca="1" si="18"/>
        <v>3.344444444444445E-2</v>
      </c>
      <c r="I42" s="19">
        <f t="shared" ca="1" si="19"/>
        <v>1.8744665084652806E-2</v>
      </c>
    </row>
    <row r="49" spans="1:9" x14ac:dyDescent="0.25">
      <c r="A49" s="121" t="s">
        <v>205</v>
      </c>
      <c r="B49" s="121"/>
      <c r="C49" s="121"/>
      <c r="D49" s="121"/>
      <c r="E49" s="121"/>
      <c r="F49" s="121"/>
      <c r="G49" s="121"/>
      <c r="H49" s="121"/>
      <c r="I49" s="121"/>
    </row>
    <row r="50" spans="1:9" x14ac:dyDescent="0.25">
      <c r="A50" s="16"/>
      <c r="B50" s="122" t="s">
        <v>186</v>
      </c>
      <c r="C50" s="123"/>
      <c r="D50" s="122" t="s">
        <v>187</v>
      </c>
      <c r="E50" s="123"/>
      <c r="F50" s="122" t="s">
        <v>188</v>
      </c>
      <c r="G50" s="123"/>
      <c r="H50" s="122" t="s">
        <v>189</v>
      </c>
      <c r="I50" s="123"/>
    </row>
    <row r="51" spans="1:9" x14ac:dyDescent="0.25">
      <c r="A51" s="17" t="s">
        <v>190</v>
      </c>
      <c r="B51" s="27" t="s">
        <v>191</v>
      </c>
      <c r="C51" s="27" t="s">
        <v>192</v>
      </c>
      <c r="D51" s="27" t="s">
        <v>191</v>
      </c>
      <c r="E51" s="27" t="s">
        <v>192</v>
      </c>
      <c r="F51" s="27" t="s">
        <v>191</v>
      </c>
      <c r="G51" s="27" t="s">
        <v>192</v>
      </c>
      <c r="H51" s="27" t="s">
        <v>191</v>
      </c>
      <c r="I51" s="27" t="s">
        <v>192</v>
      </c>
    </row>
    <row r="52" spans="1:9" x14ac:dyDescent="0.25">
      <c r="A52" s="16">
        <v>2</v>
      </c>
      <c r="B52" s="18">
        <f t="shared" ref="B52:B66" ca="1" si="20">AVERAGE(INDIRECT(A52&amp;"!M4:M12"))</f>
        <v>6.9933333333333333E-2</v>
      </c>
      <c r="C52" s="19">
        <f t="shared" ref="C52:C66" ca="1" si="21">_xlfn.STDEV.P(INDIRECT(A52&amp;"!M4:M12"))</f>
        <v>1.7451265474648741E-2</v>
      </c>
      <c r="D52" s="18">
        <f t="shared" ref="D52:D66" ca="1" si="22">AVERAGE(INDIRECT(A52&amp;"!M14:M22"))</f>
        <v>5.8788888888888877E-2</v>
      </c>
      <c r="E52" s="19">
        <f t="shared" ref="E52:E66" ca="1" si="23">_xlfn.STDEV.P(INDIRECT(A52&amp;"!M14:M22"))</f>
        <v>1.4309704899856895E-2</v>
      </c>
      <c r="F52" s="18">
        <f t="shared" ref="F52:F66" ca="1" si="24">AVERAGE(INDIRECT(A52&amp;"!M24:M32"))</f>
        <v>2.2611111111111113E-2</v>
      </c>
      <c r="G52" s="19">
        <f t="shared" ref="G52:G66" ca="1" si="25">_xlfn.STDEV.P(INDIRECT(A52&amp;"!M24:M32"))</f>
        <v>5.0790297508359322E-3</v>
      </c>
      <c r="H52" s="18">
        <f t="shared" ref="H52:H66" ca="1" si="26">AVERAGE(INDIRECT(A52&amp;"!M34:M42"))</f>
        <v>3.0755555555555553E-2</v>
      </c>
      <c r="I52" s="19">
        <f t="shared" ref="I52:I66" ca="1" si="27">_xlfn.STDEV.P(INDIRECT(A52&amp;"!M34:M42"))</f>
        <v>1.056441733273761E-2</v>
      </c>
    </row>
    <row r="53" spans="1:9" x14ac:dyDescent="0.25">
      <c r="A53" s="16">
        <v>5</v>
      </c>
      <c r="B53" s="18">
        <f t="shared" ca="1" si="20"/>
        <v>4.073333333333333E-2</v>
      </c>
      <c r="C53" s="19">
        <f t="shared" ca="1" si="21"/>
        <v>1.5544631084575641E-2</v>
      </c>
      <c r="D53" s="18">
        <f t="shared" ca="1" si="22"/>
        <v>6.2311111111111109E-2</v>
      </c>
      <c r="E53" s="19">
        <f t="shared" ca="1" si="23"/>
        <v>1.464752117401473E-2</v>
      </c>
      <c r="F53" s="18">
        <f t="shared" ca="1" si="24"/>
        <v>7.3566666666666655E-2</v>
      </c>
      <c r="G53" s="19">
        <f t="shared" ca="1" si="25"/>
        <v>1.4896830386211585E-2</v>
      </c>
      <c r="H53" s="18">
        <f t="shared" ca="1" si="26"/>
        <v>7.1766666666666659E-2</v>
      </c>
      <c r="I53" s="19">
        <f t="shared" ca="1" si="27"/>
        <v>1.5073376087216428E-2</v>
      </c>
    </row>
    <row r="54" spans="1:9" x14ac:dyDescent="0.25">
      <c r="A54" s="16">
        <v>8</v>
      </c>
      <c r="B54" s="18">
        <f t="shared" ca="1" si="20"/>
        <v>7.6222222222222219E-2</v>
      </c>
      <c r="C54" s="19">
        <f t="shared" ca="1" si="21"/>
        <v>9.0583022419310384E-3</v>
      </c>
      <c r="D54" s="18">
        <f t="shared" ca="1" si="22"/>
        <v>6.8122222222222223E-2</v>
      </c>
      <c r="E54" s="19">
        <f t="shared" ca="1" si="23"/>
        <v>9.6058752597653462E-3</v>
      </c>
      <c r="F54" s="18">
        <f t="shared" ca="1" si="24"/>
        <v>4.183333333333334E-2</v>
      </c>
      <c r="G54" s="19">
        <f t="shared" ca="1" si="25"/>
        <v>2.3062427356103588E-2</v>
      </c>
      <c r="H54" s="18">
        <f t="shared" ca="1" si="26"/>
        <v>5.5088888888888889E-2</v>
      </c>
      <c r="I54" s="19">
        <f t="shared" ca="1" si="27"/>
        <v>1.1549453517080782E-2</v>
      </c>
    </row>
    <row r="55" spans="1:9" x14ac:dyDescent="0.25">
      <c r="A55" s="16">
        <v>11</v>
      </c>
      <c r="B55" s="18">
        <f t="shared" ca="1" si="20"/>
        <v>4.4355555555555558E-2</v>
      </c>
      <c r="C55" s="19">
        <f t="shared" ca="1" si="21"/>
        <v>1.3295873303908258E-2</v>
      </c>
      <c r="D55" s="18">
        <f t="shared" ca="1" si="22"/>
        <v>7.4822222222222221E-2</v>
      </c>
      <c r="E55" s="19">
        <f t="shared" ca="1" si="23"/>
        <v>1.0807484832053266E-2</v>
      </c>
      <c r="F55" s="18">
        <f t="shared" ca="1" si="24"/>
        <v>5.1655555555555566E-2</v>
      </c>
      <c r="G55" s="19">
        <f t="shared" ca="1" si="25"/>
        <v>1.5115122016717086E-2</v>
      </c>
      <c r="H55" s="18">
        <f t="shared" ca="1" si="26"/>
        <v>2.7355555555555553E-2</v>
      </c>
      <c r="I55" s="19">
        <f t="shared" ca="1" si="27"/>
        <v>7.1389559011122193E-3</v>
      </c>
    </row>
    <row r="56" spans="1:9" x14ac:dyDescent="0.25">
      <c r="A56" s="16">
        <v>14</v>
      </c>
      <c r="B56" s="18">
        <f t="shared" ca="1" si="20"/>
        <v>0.14030000000000001</v>
      </c>
      <c r="C56" s="19">
        <f t="shared" ca="1" si="21"/>
        <v>3.3776882298071381E-2</v>
      </c>
      <c r="D56" s="18">
        <f t="shared" ca="1" si="22"/>
        <v>4.781111111111111E-2</v>
      </c>
      <c r="E56" s="19">
        <f t="shared" ca="1" si="23"/>
        <v>1.6172503719066183E-2</v>
      </c>
      <c r="F56" s="18">
        <f t="shared" ca="1" si="24"/>
        <v>3.977777777777778E-2</v>
      </c>
      <c r="G56" s="19">
        <f t="shared" ca="1" si="25"/>
        <v>1.1892460522698852E-2</v>
      </c>
      <c r="H56" s="18">
        <f t="shared" ca="1" si="26"/>
        <v>5.8555555555555555E-2</v>
      </c>
      <c r="I56" s="19">
        <f t="shared" ca="1" si="27"/>
        <v>1.8727051800425037E-2</v>
      </c>
    </row>
    <row r="57" spans="1:9" x14ac:dyDescent="0.25">
      <c r="A57" s="16">
        <v>17</v>
      </c>
      <c r="B57" s="18">
        <f t="shared" ca="1" si="20"/>
        <v>8.2188888888888895E-2</v>
      </c>
      <c r="C57" s="19">
        <f t="shared" ca="1" si="21"/>
        <v>2.4693923879027614E-2</v>
      </c>
      <c r="D57" s="18">
        <f t="shared" ca="1" si="22"/>
        <v>3.1411111111111112E-2</v>
      </c>
      <c r="E57" s="19">
        <f t="shared" ca="1" si="23"/>
        <v>1.5228587476953005E-2</v>
      </c>
      <c r="F57" s="18">
        <f t="shared" ca="1" si="24"/>
        <v>5.5022222222222222E-2</v>
      </c>
      <c r="G57" s="19">
        <f t="shared" ca="1" si="25"/>
        <v>1.3392184933159759E-2</v>
      </c>
      <c r="H57" s="18">
        <f t="shared" ca="1" si="26"/>
        <v>3.1188888888888894E-2</v>
      </c>
      <c r="I57" s="19">
        <f t="shared" ca="1" si="27"/>
        <v>1.4330731891400716E-2</v>
      </c>
    </row>
    <row r="58" spans="1:9" x14ac:dyDescent="0.25">
      <c r="A58" s="16">
        <v>20</v>
      </c>
      <c r="B58" s="18">
        <f t="shared" ca="1" si="20"/>
        <v>3.0133333333333331E-2</v>
      </c>
      <c r="C58" s="19">
        <f t="shared" ca="1" si="21"/>
        <v>1.5375377140812597E-2</v>
      </c>
      <c r="D58" s="18">
        <f t="shared" ca="1" si="22"/>
        <v>3.4477777777777781E-2</v>
      </c>
      <c r="E58" s="19">
        <f t="shared" ca="1" si="23"/>
        <v>2.0214723884545024E-2</v>
      </c>
      <c r="F58" s="18">
        <f t="shared" ca="1" si="24"/>
        <v>2.9088888888888893E-2</v>
      </c>
      <c r="G58" s="19">
        <f t="shared" ca="1" si="25"/>
        <v>1.7160772091180273E-2</v>
      </c>
      <c r="H58" s="18">
        <f t="shared" ca="1" si="26"/>
        <v>4.4755555555555548E-2</v>
      </c>
      <c r="I58" s="19">
        <f t="shared" ca="1" si="27"/>
        <v>2.2789135379781857E-2</v>
      </c>
    </row>
    <row r="59" spans="1:9" x14ac:dyDescent="0.25">
      <c r="A59" s="16">
        <v>23</v>
      </c>
      <c r="B59" s="18">
        <f t="shared" ca="1" si="20"/>
        <v>5.2677777777777782E-2</v>
      </c>
      <c r="C59" s="19">
        <f t="shared" ca="1" si="21"/>
        <v>9.8321217081538733E-3</v>
      </c>
      <c r="D59" s="18">
        <f t="shared" ca="1" si="22"/>
        <v>2.3866666666666668E-2</v>
      </c>
      <c r="E59" s="19">
        <f t="shared" ca="1" si="23"/>
        <v>1.0814085465005554E-2</v>
      </c>
      <c r="F59" s="18">
        <f t="shared" ca="1" si="24"/>
        <v>0.13298888888888891</v>
      </c>
      <c r="G59" s="19">
        <f t="shared" ca="1" si="25"/>
        <v>1.2182268028613873E-2</v>
      </c>
      <c r="H59" s="18">
        <f t="shared" ca="1" si="26"/>
        <v>9.4377777777777769E-2</v>
      </c>
      <c r="I59" s="19">
        <f t="shared" ca="1" si="27"/>
        <v>2.2790874283740985E-2</v>
      </c>
    </row>
    <row r="60" spans="1:9" x14ac:dyDescent="0.25">
      <c r="A60" s="16">
        <v>26</v>
      </c>
      <c r="B60" s="18">
        <f t="shared" ca="1" si="20"/>
        <v>0.10522222222222223</v>
      </c>
      <c r="C60" s="19">
        <f t="shared" ca="1" si="21"/>
        <v>1.3582159685719847E-2</v>
      </c>
      <c r="D60" s="18">
        <f t="shared" ca="1" si="22"/>
        <v>7.2444444444444464E-2</v>
      </c>
      <c r="E60" s="19">
        <f t="shared" ca="1" si="23"/>
        <v>1.5611470932982421E-2</v>
      </c>
      <c r="F60" s="18">
        <f t="shared" ca="1" si="24"/>
        <v>6.6255555555555568E-2</v>
      </c>
      <c r="G60" s="19">
        <f t="shared" ca="1" si="25"/>
        <v>9.8604835481059701E-3</v>
      </c>
      <c r="H60" s="18">
        <f t="shared" ca="1" si="26"/>
        <v>6.0088888888888893E-2</v>
      </c>
      <c r="I60" s="19">
        <f t="shared" ca="1" si="27"/>
        <v>8.069206823810602E-3</v>
      </c>
    </row>
    <row r="61" spans="1:9" x14ac:dyDescent="0.25">
      <c r="A61" s="16">
        <v>29</v>
      </c>
      <c r="B61" s="18">
        <f t="shared" ca="1" si="20"/>
        <v>4.0522222222222223E-2</v>
      </c>
      <c r="C61" s="19">
        <f t="shared" ca="1" si="21"/>
        <v>1.962253680382034E-2</v>
      </c>
      <c r="D61" s="18">
        <f t="shared" ca="1" si="22"/>
        <v>0.10207777777777777</v>
      </c>
      <c r="E61" s="19">
        <f t="shared" ca="1" si="23"/>
        <v>1.6143094690078526E-2</v>
      </c>
      <c r="F61" s="18">
        <f t="shared" ca="1" si="24"/>
        <v>8.1644444444444436E-2</v>
      </c>
      <c r="G61" s="19">
        <f t="shared" ca="1" si="25"/>
        <v>2.6636320696502291E-2</v>
      </c>
      <c r="H61" s="18">
        <f t="shared" ca="1" si="26"/>
        <v>0.12714444444444442</v>
      </c>
      <c r="I61" s="19">
        <f t="shared" ca="1" si="27"/>
        <v>2.6134996167808407E-2</v>
      </c>
    </row>
    <row r="62" spans="1:9" x14ac:dyDescent="0.25">
      <c r="A62" s="16">
        <v>32</v>
      </c>
      <c r="B62" s="18">
        <f t="shared" ca="1" si="20"/>
        <v>3.5133333333333336E-2</v>
      </c>
      <c r="C62" s="19">
        <f t="shared" ca="1" si="21"/>
        <v>1.6443573550512396E-2</v>
      </c>
      <c r="D62" s="18">
        <f t="shared" ca="1" si="22"/>
        <v>3.273333333333333E-2</v>
      </c>
      <c r="E62" s="19">
        <f t="shared" ca="1" si="23"/>
        <v>1.3550727737735059E-2</v>
      </c>
      <c r="F62" s="18">
        <f t="shared" ca="1" si="24"/>
        <v>7.5444444444444448E-3</v>
      </c>
      <c r="G62" s="19">
        <f t="shared" ca="1" si="25"/>
        <v>3.6554711236450026E-3</v>
      </c>
      <c r="H62" s="18">
        <f t="shared" ca="1" si="26"/>
        <v>1.5566666666666666E-2</v>
      </c>
      <c r="I62" s="19">
        <f t="shared" ca="1" si="27"/>
        <v>5.1948692636741723E-3</v>
      </c>
    </row>
    <row r="63" spans="1:9" x14ac:dyDescent="0.25">
      <c r="A63" s="16">
        <v>35</v>
      </c>
      <c r="B63" s="18">
        <f t="shared" ca="1" si="20"/>
        <v>7.1211111111111114E-2</v>
      </c>
      <c r="C63" s="19">
        <f t="shared" ca="1" si="21"/>
        <v>1.6586838453320252E-2</v>
      </c>
      <c r="D63" s="18">
        <f t="shared" ca="1" si="22"/>
        <v>6.7344444444444443E-2</v>
      </c>
      <c r="E63" s="19">
        <f t="shared" ca="1" si="23"/>
        <v>2.6711134220733231E-2</v>
      </c>
      <c r="F63" s="18">
        <f t="shared" ca="1" si="24"/>
        <v>3.3999999999999996E-2</v>
      </c>
      <c r="G63" s="19">
        <f t="shared" ca="1" si="25"/>
        <v>1.1796515493050398E-2</v>
      </c>
      <c r="H63" s="18">
        <f t="shared" ca="1" si="26"/>
        <v>4.7755555555555551E-2</v>
      </c>
      <c r="I63" s="19">
        <f t="shared" ca="1" si="27"/>
        <v>2.0838538608981813E-2</v>
      </c>
    </row>
    <row r="64" spans="1:9" x14ac:dyDescent="0.25">
      <c r="A64" s="16">
        <v>38</v>
      </c>
      <c r="B64" s="18">
        <f t="shared" ca="1" si="20"/>
        <v>3.5111111111111114E-2</v>
      </c>
      <c r="C64" s="19">
        <f t="shared" ca="1" si="21"/>
        <v>1.6209012886830344E-2</v>
      </c>
      <c r="D64" s="18">
        <f t="shared" ca="1" si="22"/>
        <v>3.5755555555555554E-2</v>
      </c>
      <c r="E64" s="19">
        <f t="shared" ca="1" si="23"/>
        <v>1.4544728797831516E-2</v>
      </c>
      <c r="F64" s="18">
        <f t="shared" ca="1" si="24"/>
        <v>4.6388888888888896E-2</v>
      </c>
      <c r="G64" s="19">
        <f t="shared" ca="1" si="25"/>
        <v>2.8417813053882794E-2</v>
      </c>
      <c r="H64" s="18">
        <f t="shared" ca="1" si="26"/>
        <v>4.5422222222222225E-2</v>
      </c>
      <c r="I64" s="19">
        <f t="shared" ca="1" si="27"/>
        <v>2.7990703924210963E-2</v>
      </c>
    </row>
    <row r="65" spans="1:27" x14ac:dyDescent="0.25">
      <c r="A65" s="16">
        <v>41</v>
      </c>
      <c r="B65" s="18">
        <f t="shared" ca="1" si="20"/>
        <v>0.13611111111111113</v>
      </c>
      <c r="C65" s="19">
        <f t="shared" ca="1" si="21"/>
        <v>2.040214827710507E-2</v>
      </c>
      <c r="D65" s="18">
        <f t="shared" ca="1" si="22"/>
        <v>6.2422222222222233E-2</v>
      </c>
      <c r="E65" s="19">
        <f t="shared" ca="1" si="23"/>
        <v>2.024619458223512E-2</v>
      </c>
      <c r="F65" s="18">
        <f t="shared" ca="1" si="24"/>
        <v>8.6277777777777773E-2</v>
      </c>
      <c r="G65" s="19">
        <f t="shared" ca="1" si="25"/>
        <v>1.2476446945948303E-2</v>
      </c>
      <c r="H65" s="18">
        <f t="shared" ca="1" si="26"/>
        <v>3.3633333333333335E-2</v>
      </c>
      <c r="I65" s="19">
        <f t="shared" ca="1" si="27"/>
        <v>1.6414695313109597E-2</v>
      </c>
    </row>
    <row r="66" spans="1:27" ht="12.75" customHeight="1" x14ac:dyDescent="0.25">
      <c r="A66" s="16">
        <v>44</v>
      </c>
      <c r="B66" s="18">
        <f t="shared" ca="1" si="20"/>
        <v>5.5288888888888894E-2</v>
      </c>
      <c r="C66" s="19">
        <f t="shared" ca="1" si="21"/>
        <v>1.8442309113343092E-2</v>
      </c>
      <c r="D66" s="18">
        <f t="shared" ca="1" si="22"/>
        <v>0.13400000000000001</v>
      </c>
      <c r="E66" s="19">
        <f t="shared" ca="1" si="23"/>
        <v>1.9587637824800604E-2</v>
      </c>
      <c r="F66" s="18">
        <f t="shared" ca="1" si="24"/>
        <v>9.9055555555555549E-2</v>
      </c>
      <c r="G66" s="19">
        <f t="shared" ca="1" si="25"/>
        <v>2.4034656048257164E-2</v>
      </c>
      <c r="H66" s="18">
        <f t="shared" ca="1" si="26"/>
        <v>0.14478888888888891</v>
      </c>
      <c r="I66" s="19">
        <f t="shared" ca="1" si="27"/>
        <v>1.8424044944006263E-2</v>
      </c>
      <c r="L66" s="124" t="s">
        <v>206</v>
      </c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</row>
    <row r="67" spans="1:27" x14ac:dyDescent="0.25">
      <c r="L67" s="106"/>
      <c r="M67" s="118" t="s">
        <v>184</v>
      </c>
      <c r="N67" s="118"/>
      <c r="O67" s="118"/>
      <c r="P67" s="118"/>
      <c r="Q67" s="119"/>
      <c r="R67" s="120" t="s">
        <v>204</v>
      </c>
      <c r="S67" s="118"/>
      <c r="T67" s="118"/>
      <c r="U67" s="118"/>
      <c r="V67" s="119"/>
      <c r="W67" s="120" t="s">
        <v>205</v>
      </c>
      <c r="X67" s="118"/>
      <c r="Y67" s="118"/>
      <c r="Z67" s="118"/>
      <c r="AA67" s="119"/>
    </row>
    <row r="68" spans="1:27" ht="39.6" x14ac:dyDescent="0.25">
      <c r="L68" s="22" t="s">
        <v>207</v>
      </c>
      <c r="M68" s="22" t="s">
        <v>194</v>
      </c>
      <c r="N68" s="23" t="s">
        <v>200</v>
      </c>
      <c r="O68" s="23" t="s">
        <v>201</v>
      </c>
      <c r="P68" s="23" t="s">
        <v>202</v>
      </c>
      <c r="Q68" s="23" t="s">
        <v>203</v>
      </c>
      <c r="R68" s="23" t="s">
        <v>194</v>
      </c>
      <c r="S68" s="23" t="s">
        <v>200</v>
      </c>
      <c r="T68" s="23" t="s">
        <v>201</v>
      </c>
      <c r="U68" s="23" t="s">
        <v>202</v>
      </c>
      <c r="V68" s="23" t="s">
        <v>203</v>
      </c>
      <c r="W68" s="23" t="s">
        <v>194</v>
      </c>
      <c r="X68" s="23" t="s">
        <v>200</v>
      </c>
      <c r="Y68" s="23" t="s">
        <v>201</v>
      </c>
      <c r="Z68" s="23" t="s">
        <v>202</v>
      </c>
      <c r="AA68" s="23" t="s">
        <v>203</v>
      </c>
    </row>
    <row r="69" spans="1:27" x14ac:dyDescent="0.25">
      <c r="L69" s="20">
        <v>1</v>
      </c>
      <c r="M69" s="25">
        <f ca="1">M20</f>
        <v>0.59538888888888897</v>
      </c>
      <c r="N69" s="25">
        <f ca="1">N20</f>
        <v>0.13601666666666667</v>
      </c>
      <c r="O69" s="25">
        <f ca="1">O20</f>
        <v>5.04388888888887E-2</v>
      </c>
      <c r="P69" s="25">
        <f ca="1">P20</f>
        <v>0.17322222222222239</v>
      </c>
      <c r="Q69" s="25">
        <f ca="1">Q20</f>
        <v>0.34264444444444453</v>
      </c>
      <c r="R69" s="26">
        <f ca="1">M21</f>
        <v>1.5388888888888888E-2</v>
      </c>
      <c r="S69" s="26">
        <f ca="1">N21</f>
        <v>2.5316666666666661E-2</v>
      </c>
      <c r="T69" s="26">
        <f ca="1">O21</f>
        <v>3.1005555555555564E-2</v>
      </c>
      <c r="U69" s="26">
        <f ca="1">P21</f>
        <v>4.600555555555555E-2</v>
      </c>
      <c r="V69" s="26">
        <f ca="1">Q21</f>
        <v>0.10226111111111108</v>
      </c>
      <c r="W69" s="26">
        <f ca="1">M22</f>
        <v>3.0133333333333331E-2</v>
      </c>
      <c r="X69" s="26">
        <f ca="1">N22</f>
        <v>1.0494444444444445E-2</v>
      </c>
      <c r="Y69" s="26">
        <f ca="1">O22</f>
        <v>1.4661111111111118E-2</v>
      </c>
      <c r="Z69" s="26">
        <f ca="1">P22</f>
        <v>2.3916666666666662E-2</v>
      </c>
      <c r="AA69" s="26">
        <f ca="1">Q22</f>
        <v>6.1094444444444451E-2</v>
      </c>
    </row>
    <row r="70" spans="1:27" x14ac:dyDescent="0.25">
      <c r="L70" s="20">
        <v>2</v>
      </c>
      <c r="M70" s="25">
        <f ca="1">R20</f>
        <v>0.57128888888888885</v>
      </c>
      <c r="N70" s="25">
        <f ca="1">S20</f>
        <v>0.27820000000000011</v>
      </c>
      <c r="O70" s="25">
        <f ca="1">T20</f>
        <v>7.0644444444444399E-2</v>
      </c>
      <c r="P70" s="25">
        <f ca="1">U20</f>
        <v>6.4122222222222303E-2</v>
      </c>
      <c r="Q70" s="25">
        <f ca="1">V20</f>
        <v>0.42730000000000001</v>
      </c>
      <c r="R70" s="26">
        <f ca="1">R21</f>
        <v>1.2322222222222222E-2</v>
      </c>
      <c r="S70" s="26">
        <f ca="1">S21</f>
        <v>1.7749999999999995E-2</v>
      </c>
      <c r="T70" s="26">
        <f ca="1">T21</f>
        <v>1.486111111111112E-2</v>
      </c>
      <c r="U70" s="26">
        <f ca="1">U21</f>
        <v>2.2388888888888889E-2</v>
      </c>
      <c r="V70" s="26">
        <f ca="1">V21</f>
        <v>9.3088888888888915E-2</v>
      </c>
      <c r="W70" s="26">
        <f ca="1">R22</f>
        <v>2.3866666666666668E-2</v>
      </c>
      <c r="X70" s="26">
        <f ca="1">S22</f>
        <v>1.1250000000000003E-2</v>
      </c>
      <c r="Y70" s="26">
        <f ca="1">T22</f>
        <v>2.7194444444444438E-2</v>
      </c>
      <c r="Z70" s="26">
        <f ca="1">U22</f>
        <v>7.9722222222222278E-3</v>
      </c>
      <c r="AA70" s="26">
        <f ca="1">V22</f>
        <v>6.3716666666666671E-2</v>
      </c>
    </row>
    <row r="71" spans="1:27" x14ac:dyDescent="0.25">
      <c r="L71" s="20">
        <v>3</v>
      </c>
      <c r="M71" s="25">
        <f ca="1">W20</f>
        <v>0.51054444444444458</v>
      </c>
      <c r="N71" s="25">
        <f ca="1">X20</f>
        <v>0.1721055555555554</v>
      </c>
      <c r="O71" s="25">
        <f ca="1">Y20</f>
        <v>0.20673888888888892</v>
      </c>
      <c r="P71" s="25">
        <f ca="1">Z20</f>
        <v>6.8799999999999972E-2</v>
      </c>
      <c r="Q71" s="25">
        <f ca="1">AA20</f>
        <v>0.22802222222222224</v>
      </c>
      <c r="R71" s="26">
        <f ca="1">W21</f>
        <v>1.5311111111111112E-2</v>
      </c>
      <c r="S71" s="26">
        <f ca="1">X21</f>
        <v>1.0888888888888889E-2</v>
      </c>
      <c r="T71" s="26">
        <f ca="1">Y21</f>
        <v>7.833333333333331E-3</v>
      </c>
      <c r="U71" s="26">
        <f ca="1">Z21</f>
        <v>1.4533333333333336E-2</v>
      </c>
      <c r="V71" s="26">
        <f ca="1">AA21</f>
        <v>0.15586666666666668</v>
      </c>
      <c r="W71" s="26">
        <f ca="1">W22</f>
        <v>7.5444444444444448E-3</v>
      </c>
      <c r="X71" s="26">
        <f ca="1">X22</f>
        <v>2.9344444444444444E-2</v>
      </c>
      <c r="Y71" s="26">
        <f ca="1">Y22</f>
        <v>1.4766666666666678E-2</v>
      </c>
      <c r="Z71" s="26">
        <f ca="1">Z22</f>
        <v>2.5949999999999973E-2</v>
      </c>
      <c r="AA71" s="26">
        <f ca="1">AA22</f>
        <v>5.5383333333333368E-2</v>
      </c>
    </row>
    <row r="72" spans="1:27" x14ac:dyDescent="0.25">
      <c r="L72" s="20">
        <v>3</v>
      </c>
      <c r="M72" s="25">
        <f ca="1">AB20</f>
        <v>0.52353333333333341</v>
      </c>
      <c r="N72" s="25">
        <f ca="1">AC20</f>
        <v>0.2613277777777776</v>
      </c>
      <c r="O72" s="25">
        <f ca="1">AD20</f>
        <v>0.10023888888888899</v>
      </c>
      <c r="P72" s="25">
        <f ca="1">AE20</f>
        <v>0.19720555555555541</v>
      </c>
      <c r="Q72" s="25">
        <f ca="1">AF20</f>
        <v>0.41145000000000032</v>
      </c>
      <c r="R72" s="26">
        <f ca="1">AB21</f>
        <v>1.4311111111111111E-2</v>
      </c>
      <c r="S72" s="26">
        <f ca="1">AC21</f>
        <v>7.4611111111111093E-3</v>
      </c>
      <c r="T72" s="26">
        <f ca="1">AD21</f>
        <v>2.0049999999999998E-2</v>
      </c>
      <c r="U72" s="26">
        <f ca="1">AE21</f>
        <v>1.7944444444444443E-2</v>
      </c>
      <c r="V72" s="26">
        <f ca="1">AF21</f>
        <v>0.11324444444444445</v>
      </c>
      <c r="W72" s="26">
        <f ca="1">AB22</f>
        <v>1.5566666666666666E-2</v>
      </c>
      <c r="X72" s="26">
        <f ca="1">AC22</f>
        <v>1.6844444444444447E-2</v>
      </c>
      <c r="Y72" s="26">
        <f ca="1">AD22</f>
        <v>1.5344444444444438E-2</v>
      </c>
      <c r="Z72" s="26">
        <f ca="1">AE22</f>
        <v>1.8172222222222228E-2</v>
      </c>
      <c r="AA72" s="26">
        <f ca="1">AF22</f>
        <v>7.8861111111111132E-2</v>
      </c>
    </row>
  </sheetData>
  <mergeCells count="34"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4" workbookViewId="0">
      <selection activeCell="C8" sqref="C8"/>
    </sheetView>
  </sheetViews>
  <sheetFormatPr baseColWidth="10" defaultRowHeight="13.2" x14ac:dyDescent="0.25"/>
  <sheetData>
    <row r="1" spans="1:12" x14ac:dyDescent="0.25">
      <c r="A1" s="135" t="s">
        <v>208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x14ac:dyDescent="0.25">
      <c r="H2" s="30"/>
      <c r="I2" s="30"/>
      <c r="J2" s="30"/>
    </row>
    <row r="3" spans="1:12" x14ac:dyDescent="0.25">
      <c r="A3" s="28"/>
      <c r="B3" s="35" t="s">
        <v>190</v>
      </c>
      <c r="C3" s="29" t="s">
        <v>186</v>
      </c>
      <c r="D3" s="108" t="s">
        <v>187</v>
      </c>
      <c r="E3" s="108" t="s">
        <v>188</v>
      </c>
      <c r="F3" s="108" t="s">
        <v>189</v>
      </c>
      <c r="H3" s="30"/>
      <c r="I3" s="30"/>
      <c r="J3" s="30"/>
    </row>
    <row r="4" spans="1:12" x14ac:dyDescent="0.25">
      <c r="A4" s="132" t="s">
        <v>184</v>
      </c>
      <c r="B4" s="36">
        <f>Performances!A4</f>
        <v>3</v>
      </c>
      <c r="C4">
        <f ca="1">Performances!B4</f>
        <v>0.59538888888888897</v>
      </c>
      <c r="D4">
        <f ca="1">Performances!D4</f>
        <v>0.87620000000000009</v>
      </c>
      <c r="E4">
        <f ca="1">Performances!F4</f>
        <v>0.8207888888888889</v>
      </c>
      <c r="F4">
        <f ca="1">Performances!H4</f>
        <v>0.737611111111111</v>
      </c>
    </row>
    <row r="5" spans="1:12" x14ac:dyDescent="0.25">
      <c r="A5" s="133"/>
      <c r="B5" s="36">
        <f>Performances!A5</f>
        <v>6</v>
      </c>
      <c r="C5">
        <f ca="1">Performances!B5</f>
        <v>0.69297777777777769</v>
      </c>
      <c r="D5">
        <f ca="1">Performances!D5</f>
        <v>0.92013333333333336</v>
      </c>
      <c r="E5">
        <f ca="1">Performances!F5</f>
        <v>0.91754444444444438</v>
      </c>
      <c r="F5">
        <f ca="1">Performances!H5</f>
        <v>0.8851</v>
      </c>
      <c r="H5" s="30" t="s">
        <v>209</v>
      </c>
      <c r="I5" s="30"/>
      <c r="J5" s="30"/>
    </row>
    <row r="6" spans="1:12" x14ac:dyDescent="0.25">
      <c r="A6" s="133"/>
      <c r="B6" s="36">
        <f>Performances!A6</f>
        <v>9</v>
      </c>
      <c r="C6">
        <f ca="1">Performances!B6</f>
        <v>0.77282222222222219</v>
      </c>
      <c r="D6">
        <f ca="1">Performances!D6</f>
        <v>1.4115555555555557</v>
      </c>
      <c r="E6">
        <f ca="1">Performances!F6</f>
        <v>1.1862111111111111</v>
      </c>
      <c r="F6">
        <f ca="1">Performances!H6</f>
        <v>1.4937555555555557</v>
      </c>
      <c r="H6" s="30"/>
      <c r="I6" s="30"/>
      <c r="J6" s="30"/>
    </row>
    <row r="7" spans="1:12" x14ac:dyDescent="0.25">
      <c r="A7" s="133"/>
      <c r="B7" s="36">
        <f>Performances!A7</f>
        <v>12</v>
      </c>
      <c r="C7">
        <f ca="1">Performances!B7</f>
        <v>1.2977111111111113</v>
      </c>
      <c r="D7">
        <f ca="1">Performances!D7</f>
        <v>1.0153777777777777</v>
      </c>
      <c r="E7">
        <f ca="1">Performances!F7</f>
        <v>1.0447222222222223</v>
      </c>
      <c r="F7">
        <f ca="1">Performances!H7</f>
        <v>1.2299333333333335</v>
      </c>
      <c r="H7" s="31"/>
      <c r="I7" s="31" t="str">
        <f>C3</f>
        <v>Jeu 1</v>
      </c>
      <c r="J7" s="31" t="str">
        <f>D3</f>
        <v>Jeu 2</v>
      </c>
      <c r="K7" s="31" t="str">
        <f>E3</f>
        <v>Jeu 3</v>
      </c>
      <c r="L7" s="31" t="str">
        <f>F3</f>
        <v>Jeu 4</v>
      </c>
    </row>
    <row r="8" spans="1:12" x14ac:dyDescent="0.25">
      <c r="A8" s="133"/>
      <c r="B8" s="36">
        <f>Performances!A8</f>
        <v>15</v>
      </c>
      <c r="C8">
        <f ca="1">Performances!B8</f>
        <v>0.73563333333333336</v>
      </c>
      <c r="D8">
        <f ca="1">Performances!D8</f>
        <v>0.92371111111111126</v>
      </c>
      <c r="E8">
        <f ca="1">Performances!F8</f>
        <v>0.64536666666666676</v>
      </c>
      <c r="F8">
        <f ca="1">Performances!H8</f>
        <v>0.52353333333333341</v>
      </c>
      <c r="H8" t="s">
        <v>210</v>
      </c>
      <c r="I8">
        <f ca="1">[1]!SHAPIRO(C4:C48)</f>
        <v>0.7547193512956899</v>
      </c>
      <c r="J8">
        <f ca="1">[1]!SHAPIRO(D4:D48)</f>
        <v>0.72055094638843731</v>
      </c>
      <c r="K8">
        <f ca="1">[1]!SHAPIRO(E4:E48)</f>
        <v>0.72878482784147691</v>
      </c>
      <c r="L8">
        <f ca="1">[1]!SHAPIRO(F4:F48)</f>
        <v>0.73214055312162751</v>
      </c>
    </row>
    <row r="9" spans="1:12" x14ac:dyDescent="0.25">
      <c r="A9" s="133"/>
      <c r="B9" s="36">
        <f>Performances!A9</f>
        <v>18</v>
      </c>
      <c r="C9">
        <f ca="1">Performances!B9</f>
        <v>0.95924444444444446</v>
      </c>
      <c r="D9">
        <f ca="1">Performances!D9</f>
        <v>0.57128888888888885</v>
      </c>
      <c r="E9">
        <f ca="1">Performances!F9</f>
        <v>0.8893888888888889</v>
      </c>
      <c r="F9">
        <f ca="1">Performances!H9</f>
        <v>0.8284555555555555</v>
      </c>
      <c r="H9" t="s">
        <v>211</v>
      </c>
      <c r="I9">
        <f ca="1">[1]!SWTEST(C4:C48)</f>
        <v>2.7530589707946973E-7</v>
      </c>
      <c r="J9">
        <f ca="1">[1]!SWTEST(D4:D48)</f>
        <v>6.3134484529214774E-8</v>
      </c>
      <c r="K9">
        <f ca="1">[1]!SWTEST(E4:E48)</f>
        <v>8.9078031506595323E-8</v>
      </c>
      <c r="L9">
        <f ca="1">[1]!SWTEST(F4:F48)</f>
        <v>1.0268533523483114E-7</v>
      </c>
    </row>
    <row r="10" spans="1:12" x14ac:dyDescent="0.25">
      <c r="A10" s="133"/>
      <c r="B10" s="36">
        <f>Performances!A10</f>
        <v>21</v>
      </c>
      <c r="C10">
        <f ca="1">Performances!B10</f>
        <v>0.96755555555555561</v>
      </c>
      <c r="D10">
        <f ca="1">Performances!D10</f>
        <v>0.71174444444444451</v>
      </c>
      <c r="E10">
        <f ca="1">Performances!F10</f>
        <v>0.60884444444444441</v>
      </c>
      <c r="F10">
        <f ca="1">Performances!H10</f>
        <v>0.90658888888888889</v>
      </c>
      <c r="H10" t="s">
        <v>212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33"/>
      <c r="B11" s="36">
        <f>Performances!A11</f>
        <v>24</v>
      </c>
      <c r="C11">
        <f ca="1">Performances!B11</f>
        <v>0.65797777777777777</v>
      </c>
      <c r="D11">
        <f ca="1">Performances!D11</f>
        <v>1.1443777777777777</v>
      </c>
      <c r="E11">
        <f ca="1">Performances!F11</f>
        <v>0.97118888888888877</v>
      </c>
      <c r="F11">
        <f ca="1">Performances!H11</f>
        <v>1.3191111111111111</v>
      </c>
      <c r="H11" s="32" t="s">
        <v>213</v>
      </c>
      <c r="I11" s="33" t="str">
        <f ca="1">IF(I9&lt;I10,"no","yes")</f>
        <v>no</v>
      </c>
      <c r="J11" s="33" t="str">
        <f ca="1">IF(J9&lt;J10,"no","yes")</f>
        <v>no</v>
      </c>
      <c r="K11" s="33" t="str">
        <f ca="1">IF(K9&lt;K10,"no","yes")</f>
        <v>no</v>
      </c>
      <c r="L11" s="33" t="str">
        <f ca="1">IF(L9&lt;L10,"no","yes")</f>
        <v>no</v>
      </c>
    </row>
    <row r="12" spans="1:12" x14ac:dyDescent="0.25">
      <c r="A12" s="133"/>
      <c r="B12" s="36">
        <f>Performances!A12</f>
        <v>27</v>
      </c>
      <c r="C12">
        <f ca="1">Performances!B12</f>
        <v>1.1647999999999998</v>
      </c>
      <c r="D12">
        <f ca="1">Performances!D12</f>
        <v>0.9603666666666667</v>
      </c>
      <c r="E12">
        <f ca="1">Performances!F12</f>
        <v>0.51054444444444458</v>
      </c>
      <c r="F12">
        <f ca="1">Performances!H12</f>
        <v>0.74126666666666663</v>
      </c>
    </row>
    <row r="13" spans="1:12" x14ac:dyDescent="0.25">
      <c r="A13" s="133"/>
      <c r="B13" s="36">
        <f>Performances!A13</f>
        <v>30</v>
      </c>
      <c r="C13">
        <f ca="1">Performances!B13</f>
        <v>0.89579999999999993</v>
      </c>
      <c r="D13">
        <f ca="1">Performances!D13</f>
        <v>0.79348888888888902</v>
      </c>
      <c r="E13">
        <f ca="1">Performances!F13</f>
        <v>0.94518888888888897</v>
      </c>
      <c r="F13">
        <f ca="1">Performances!H13</f>
        <v>1.1082666666666665</v>
      </c>
      <c r="H13" t="s">
        <v>214</v>
      </c>
    </row>
    <row r="14" spans="1:12" x14ac:dyDescent="0.25">
      <c r="A14" s="133"/>
      <c r="B14" s="36">
        <f>Performances!A14</f>
        <v>33</v>
      </c>
      <c r="C14">
        <f ca="1">Performances!B14</f>
        <v>0.80803333333333327</v>
      </c>
      <c r="D14">
        <f ca="1">Performances!D14</f>
        <v>0.93874444444444449</v>
      </c>
      <c r="E14">
        <f ca="1">Performances!F14</f>
        <v>0.92872222222222234</v>
      </c>
      <c r="F14">
        <f ca="1">Performances!H14</f>
        <v>0.83506666666666662</v>
      </c>
    </row>
    <row r="15" spans="1:12" x14ac:dyDescent="0.25">
      <c r="A15" s="133"/>
      <c r="B15" s="36">
        <f>Performances!A15</f>
        <v>36</v>
      </c>
      <c r="C15">
        <f ca="1">Performances!B15</f>
        <v>0.78184444444444434</v>
      </c>
      <c r="D15">
        <f ca="1">Performances!D15</f>
        <v>0.82277777777777783</v>
      </c>
      <c r="E15">
        <f ca="1">Performances!F15</f>
        <v>0.7199333333333332</v>
      </c>
      <c r="F15">
        <f ca="1">Performances!H15</f>
        <v>0.84240000000000004</v>
      </c>
      <c r="H15" s="34" t="s">
        <v>215</v>
      </c>
      <c r="I15" s="34">
        <f ca="1">[1]!DAGOSTINO(C4:C48)</f>
        <v>7.5134872284474499</v>
      </c>
      <c r="J15" s="34">
        <f ca="1">[1]!DAGOSTINO(D4:D48)</f>
        <v>8.3688921872907489</v>
      </c>
      <c r="K15" s="34">
        <f ca="1">[1]!DAGOSTINO(E4:E48)</f>
        <v>8.8117699836146866</v>
      </c>
      <c r="L15" s="34">
        <f ca="1">[1]!DAGOSTINO(F4:F48)</f>
        <v>7.9681805676249606</v>
      </c>
    </row>
    <row r="16" spans="1:12" x14ac:dyDescent="0.25">
      <c r="A16" s="133"/>
      <c r="B16" s="36">
        <f>Performances!A16</f>
        <v>39</v>
      </c>
      <c r="C16">
        <f ca="1">Performances!B16</f>
        <v>0.95088888888888889</v>
      </c>
      <c r="D16">
        <f ca="1">Performances!D16</f>
        <v>0.8980111111111112</v>
      </c>
      <c r="E16">
        <f ca="1">Performances!F16</f>
        <v>0.75078888888888895</v>
      </c>
      <c r="F16">
        <f ca="1">Performances!H16</f>
        <v>0.90927777777777785</v>
      </c>
      <c r="H16" t="s">
        <v>211</v>
      </c>
      <c r="I16">
        <f ca="1">[1]!DPTEST(C4:C48)</f>
        <v>2.3359684800936864E-2</v>
      </c>
      <c r="J16">
        <f ca="1">[1]!DPTEST(D4:D48)</f>
        <v>1.5230639954129099E-2</v>
      </c>
      <c r="K16">
        <f ca="1">[1]!DPTEST(E4:E48)</f>
        <v>1.2205300043229061E-2</v>
      </c>
      <c r="L16">
        <f ca="1">[1]!DPTEST(F4:F48)</f>
        <v>1.8609365866037675E-2</v>
      </c>
    </row>
    <row r="17" spans="1:12" x14ac:dyDescent="0.25">
      <c r="A17" s="133"/>
      <c r="B17" s="36">
        <f>Performances!A17</f>
        <v>42</v>
      </c>
      <c r="C17">
        <f ca="1">Performances!B17</f>
        <v>0.72717777777777792</v>
      </c>
      <c r="D17">
        <f ca="1">Performances!D17</f>
        <v>0.88434444444444438</v>
      </c>
      <c r="E17">
        <f ca="1">Performances!F17</f>
        <v>0.56565555555555558</v>
      </c>
      <c r="F17">
        <f ca="1">Performances!H17</f>
        <v>0.72295555555555557</v>
      </c>
      <c r="H17" t="s">
        <v>212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34"/>
      <c r="B18" s="36">
        <f>Performances!A18</f>
        <v>45</v>
      </c>
      <c r="C18">
        <f ca="1">Performances!B18</f>
        <v>0.74786666666666646</v>
      </c>
      <c r="D18">
        <f ca="1">Performances!D18</f>
        <v>1.0081444444444445</v>
      </c>
      <c r="E18">
        <f ca="1">Performances!F18</f>
        <v>1.0018777777777776</v>
      </c>
      <c r="F18">
        <f ca="1">Performances!H18</f>
        <v>1.0563444444444443</v>
      </c>
      <c r="H18" s="32" t="s">
        <v>213</v>
      </c>
      <c r="I18" s="33" t="str">
        <f ca="1">IF(I16&lt;I17,"no","yes")</f>
        <v>no</v>
      </c>
      <c r="J18" s="33" t="str">
        <f ca="1">IF(J16&lt;J17,"no","yes")</f>
        <v>no</v>
      </c>
      <c r="K18" s="33" t="str">
        <f ca="1">IF(K16&lt;K17,"no","yes")</f>
        <v>no</v>
      </c>
      <c r="L18" s="33" t="str">
        <f ca="1">IF(L16&lt;L17,"no","yes")</f>
        <v>no</v>
      </c>
    </row>
    <row r="19" spans="1:12" x14ac:dyDescent="0.25">
      <c r="A19" s="132" t="s">
        <v>204</v>
      </c>
      <c r="B19" s="36">
        <f>Performances!A28</f>
        <v>1</v>
      </c>
      <c r="C19">
        <f ca="1">Performances!B28</f>
        <v>7.1711111111111114E-2</v>
      </c>
      <c r="D19">
        <f ca="1">Performances!D28</f>
        <v>9.4622222222222219E-2</v>
      </c>
      <c r="E19">
        <f ca="1">Performances!F28</f>
        <v>8.7011111111111122E-2</v>
      </c>
      <c r="F19">
        <f ca="1">Performances!H28</f>
        <v>8.1888888888888886E-2</v>
      </c>
    </row>
    <row r="20" spans="1:12" x14ac:dyDescent="0.25">
      <c r="A20" s="133"/>
      <c r="B20" s="36">
        <f>Performances!A29</f>
        <v>4</v>
      </c>
      <c r="C20">
        <f ca="1">Performances!B29</f>
        <v>3.9511111111111101E-2</v>
      </c>
      <c r="D20">
        <f ca="1">Performances!D29</f>
        <v>0.10333333333333333</v>
      </c>
      <c r="E20">
        <f ca="1">Performances!F29</f>
        <v>1.5311111111111112E-2</v>
      </c>
      <c r="F20">
        <f ca="1">Performances!H29</f>
        <v>4.1822222222222219E-2</v>
      </c>
    </row>
    <row r="21" spans="1:12" x14ac:dyDescent="0.25">
      <c r="A21" s="133"/>
      <c r="B21" s="36">
        <f>Performances!A30</f>
        <v>7</v>
      </c>
      <c r="C21">
        <f ca="1">Performances!B30</f>
        <v>0.12225555555555556</v>
      </c>
      <c r="D21">
        <f ca="1">Performances!D30</f>
        <v>6.4144444444444434E-2</v>
      </c>
      <c r="E21">
        <f ca="1">Performances!F30</f>
        <v>3.6200000000000003E-2</v>
      </c>
      <c r="F21">
        <f ca="1">Performances!H30</f>
        <v>1.4311111111111111E-2</v>
      </c>
    </row>
    <row r="22" spans="1:12" x14ac:dyDescent="0.25">
      <c r="A22" s="133"/>
      <c r="B22" s="36">
        <f>Performances!A31</f>
        <v>10</v>
      </c>
      <c r="C22">
        <f ca="1">Performances!B31</f>
        <v>0.21997777777777774</v>
      </c>
      <c r="D22">
        <f ca="1">Performances!D31</f>
        <v>0.16041111111111114</v>
      </c>
      <c r="E22">
        <f ca="1">Performances!F31</f>
        <v>0.20443333333333336</v>
      </c>
      <c r="F22">
        <f ca="1">Performances!H31</f>
        <v>0.17301111111111112</v>
      </c>
    </row>
    <row r="23" spans="1:12" x14ac:dyDescent="0.25">
      <c r="A23" s="133"/>
      <c r="B23" s="36">
        <f>Performances!A32</f>
        <v>13</v>
      </c>
      <c r="C23">
        <f ca="1">Performances!B32</f>
        <v>8.9044444444444426E-2</v>
      </c>
      <c r="D23">
        <f ca="1">Performances!D32</f>
        <v>3.1155555555555554E-2</v>
      </c>
      <c r="E23">
        <f ca="1">Performances!F32</f>
        <v>2.5311111111111111E-2</v>
      </c>
      <c r="F23">
        <f ca="1">Performances!H32</f>
        <v>2.251111111111111E-2</v>
      </c>
    </row>
    <row r="24" spans="1:12" x14ac:dyDescent="0.25">
      <c r="A24" s="133"/>
      <c r="B24" s="36">
        <f>Performances!A33</f>
        <v>16</v>
      </c>
      <c r="C24">
        <f ca="1">Performances!B33</f>
        <v>0.16564444444444443</v>
      </c>
      <c r="D24">
        <f ca="1">Performances!D33</f>
        <v>3.6611111111111115E-2</v>
      </c>
      <c r="E24">
        <f ca="1">Performances!F33</f>
        <v>4.8577777777777782E-2</v>
      </c>
      <c r="F24">
        <f ca="1">Performances!H33</f>
        <v>3.043333333333333E-2</v>
      </c>
    </row>
    <row r="25" spans="1:12" x14ac:dyDescent="0.25">
      <c r="A25" s="133"/>
      <c r="B25" s="36">
        <f>Performances!A34</f>
        <v>19</v>
      </c>
      <c r="C25">
        <f ca="1">Performances!B34</f>
        <v>4.19E-2</v>
      </c>
      <c r="D25">
        <f ca="1">Performances!D34</f>
        <v>3.78E-2</v>
      </c>
      <c r="E25">
        <f ca="1">Performances!F34</f>
        <v>4.7555555555555559E-2</v>
      </c>
      <c r="F25">
        <f ca="1">Performances!H34</f>
        <v>4.2311111111111105E-2</v>
      </c>
    </row>
    <row r="26" spans="1:12" x14ac:dyDescent="0.25">
      <c r="A26" s="133"/>
      <c r="B26" s="36">
        <f>Performances!A35</f>
        <v>22</v>
      </c>
      <c r="C26">
        <f ca="1">Performances!B35</f>
        <v>0.11317777777777777</v>
      </c>
      <c r="D26">
        <f ca="1">Performances!D35</f>
        <v>7.0500000000000007E-2</v>
      </c>
      <c r="E26">
        <f ca="1">Performances!F35</f>
        <v>4.8555555555555553E-2</v>
      </c>
      <c r="F26">
        <f ca="1">Performances!H35</f>
        <v>7.7611111111111117E-2</v>
      </c>
    </row>
    <row r="27" spans="1:12" x14ac:dyDescent="0.25">
      <c r="A27" s="133"/>
      <c r="B27" s="36">
        <f>Performances!A36</f>
        <v>25</v>
      </c>
      <c r="C27">
        <f ca="1">Performances!B36</f>
        <v>8.6755555555555544E-2</v>
      </c>
      <c r="D27">
        <f ca="1">Performances!D36</f>
        <v>5.5466666666666671E-2</v>
      </c>
      <c r="E27">
        <f ca="1">Performances!F36</f>
        <v>2.7088888888888888E-2</v>
      </c>
      <c r="F27">
        <f ca="1">Performances!H36</f>
        <v>2.1033333333333334E-2</v>
      </c>
    </row>
    <row r="28" spans="1:12" x14ac:dyDescent="0.25">
      <c r="A28" s="133"/>
      <c r="B28" s="36">
        <f>Performances!A37</f>
        <v>28</v>
      </c>
      <c r="C28">
        <f ca="1">Performances!B37</f>
        <v>5.3266666666666664E-2</v>
      </c>
      <c r="D28">
        <f ca="1">Performances!D37</f>
        <v>4.4933333333333339E-2</v>
      </c>
      <c r="E28">
        <f ca="1">Performances!F37</f>
        <v>6.6333333333333327E-2</v>
      </c>
      <c r="F28">
        <f ca="1">Performances!H37</f>
        <v>4.2988888888888896E-2</v>
      </c>
    </row>
    <row r="29" spans="1:12" x14ac:dyDescent="0.25">
      <c r="A29" s="133"/>
      <c r="B29" s="36">
        <f>Performances!A38</f>
        <v>31</v>
      </c>
      <c r="C29">
        <f ca="1">Performances!B38</f>
        <v>2.3722222222222221E-2</v>
      </c>
      <c r="D29">
        <f ca="1">Performances!D38</f>
        <v>2.6844444444444442E-2</v>
      </c>
      <c r="E29">
        <f ca="1">Performances!F38</f>
        <v>2.3311111111111109E-2</v>
      </c>
      <c r="F29">
        <f ca="1">Performances!H38</f>
        <v>5.4822222222222224E-2</v>
      </c>
    </row>
    <row r="30" spans="1:12" x14ac:dyDescent="0.25">
      <c r="A30" s="133"/>
      <c r="B30" s="36">
        <f>Performances!A39</f>
        <v>34</v>
      </c>
      <c r="C30">
        <f ca="1">Performances!B39</f>
        <v>2.5566666666666665E-2</v>
      </c>
      <c r="D30">
        <f ca="1">Performances!D39</f>
        <v>1.2322222222222222E-2</v>
      </c>
      <c r="E30">
        <f ca="1">Performances!F39</f>
        <v>2.7377777777777775E-2</v>
      </c>
      <c r="F30">
        <f ca="1">Performances!H39</f>
        <v>1.6133333333333333E-2</v>
      </c>
    </row>
    <row r="31" spans="1:12" x14ac:dyDescent="0.25">
      <c r="A31" s="133"/>
      <c r="B31" s="36">
        <f>Performances!A40</f>
        <v>37</v>
      </c>
      <c r="C31">
        <f ca="1">Performances!B40</f>
        <v>1.5388888888888888E-2</v>
      </c>
      <c r="D31">
        <f ca="1">Performances!D40</f>
        <v>2.8988888888888883E-2</v>
      </c>
      <c r="E31">
        <f ca="1">Performances!F40</f>
        <v>3.3166666666666664E-2</v>
      </c>
      <c r="F31">
        <f ca="1">Performances!H40</f>
        <v>6.4711111111111108E-2</v>
      </c>
    </row>
    <row r="32" spans="1:12" x14ac:dyDescent="0.25">
      <c r="A32" s="133"/>
      <c r="B32" s="36">
        <f>Performances!A41</f>
        <v>40</v>
      </c>
      <c r="C32">
        <f ca="1">Performances!B41</f>
        <v>0.12570000000000001</v>
      </c>
      <c r="D32">
        <f ca="1">Performances!D41</f>
        <v>6.2955555555555556E-2</v>
      </c>
      <c r="E32">
        <f ca="1">Performances!F41</f>
        <v>3.4033333333333332E-2</v>
      </c>
      <c r="F32">
        <f ca="1">Performances!H41</f>
        <v>1.8355555555555556E-2</v>
      </c>
    </row>
    <row r="33" spans="1:6" x14ac:dyDescent="0.25">
      <c r="A33" s="134"/>
      <c r="B33" s="36">
        <f>Performances!A42</f>
        <v>43</v>
      </c>
      <c r="C33">
        <f ca="1">Performances!B42</f>
        <v>5.9711111111111111E-2</v>
      </c>
      <c r="D33">
        <f ca="1">Performances!D42</f>
        <v>2.0855555555555554E-2</v>
      </c>
      <c r="E33">
        <f ca="1">Performances!F42</f>
        <v>2.1344444444444444E-2</v>
      </c>
      <c r="F33">
        <f ca="1">Performances!H42</f>
        <v>3.344444444444445E-2</v>
      </c>
    </row>
    <row r="34" spans="1:6" x14ac:dyDescent="0.25">
      <c r="A34" s="132" t="s">
        <v>205</v>
      </c>
      <c r="B34" s="36">
        <f>Performances!A52</f>
        <v>2</v>
      </c>
      <c r="C34">
        <f ca="1">Performances!B52</f>
        <v>6.9933333333333333E-2</v>
      </c>
      <c r="D34">
        <f ca="1">Performances!D52</f>
        <v>5.8788888888888877E-2</v>
      </c>
      <c r="E34">
        <f ca="1">Performances!F52</f>
        <v>2.2611111111111113E-2</v>
      </c>
      <c r="F34">
        <f ca="1">Performances!H52</f>
        <v>3.0755555555555553E-2</v>
      </c>
    </row>
    <row r="35" spans="1:6" x14ac:dyDescent="0.25">
      <c r="A35" s="133"/>
      <c r="B35" s="36">
        <f>Performances!A53</f>
        <v>5</v>
      </c>
      <c r="C35">
        <f ca="1">Performances!B53</f>
        <v>4.073333333333333E-2</v>
      </c>
      <c r="D35">
        <f ca="1">Performances!D53</f>
        <v>6.2311111111111109E-2</v>
      </c>
      <c r="E35">
        <f ca="1">Performances!F53</f>
        <v>7.3566666666666655E-2</v>
      </c>
      <c r="F35">
        <f ca="1">Performances!H53</f>
        <v>7.1766666666666659E-2</v>
      </c>
    </row>
    <row r="36" spans="1:6" x14ac:dyDescent="0.25">
      <c r="A36" s="133"/>
      <c r="B36" s="36">
        <f>Performances!A54</f>
        <v>8</v>
      </c>
      <c r="C36">
        <f ca="1">Performances!B54</f>
        <v>7.6222222222222219E-2</v>
      </c>
      <c r="D36">
        <f ca="1">Performances!D54</f>
        <v>6.8122222222222223E-2</v>
      </c>
      <c r="E36">
        <f ca="1">Performances!F54</f>
        <v>4.183333333333334E-2</v>
      </c>
      <c r="F36">
        <f ca="1">Performances!H54</f>
        <v>5.5088888888888889E-2</v>
      </c>
    </row>
    <row r="37" spans="1:6" x14ac:dyDescent="0.25">
      <c r="A37" s="133"/>
      <c r="B37" s="36">
        <f>Performances!A55</f>
        <v>11</v>
      </c>
      <c r="C37">
        <f ca="1">Performances!B55</f>
        <v>4.4355555555555558E-2</v>
      </c>
      <c r="D37">
        <f ca="1">Performances!D55</f>
        <v>7.4822222222222221E-2</v>
      </c>
      <c r="E37">
        <f ca="1">Performances!F55</f>
        <v>5.1655555555555566E-2</v>
      </c>
      <c r="F37">
        <f ca="1">Performances!H55</f>
        <v>2.7355555555555553E-2</v>
      </c>
    </row>
    <row r="38" spans="1:6" x14ac:dyDescent="0.25">
      <c r="A38" s="133"/>
      <c r="B38" s="36">
        <f>Performances!A56</f>
        <v>14</v>
      </c>
      <c r="C38">
        <f ca="1">Performances!B56</f>
        <v>0.14030000000000001</v>
      </c>
      <c r="D38">
        <f ca="1">Performances!D56</f>
        <v>4.781111111111111E-2</v>
      </c>
      <c r="E38">
        <f ca="1">Performances!F56</f>
        <v>3.977777777777778E-2</v>
      </c>
      <c r="F38">
        <f ca="1">Performances!H56</f>
        <v>5.8555555555555555E-2</v>
      </c>
    </row>
    <row r="39" spans="1:6" x14ac:dyDescent="0.25">
      <c r="A39" s="133"/>
      <c r="B39" s="36">
        <f>Performances!A57</f>
        <v>17</v>
      </c>
      <c r="C39">
        <f ca="1">Performances!B57</f>
        <v>8.2188888888888895E-2</v>
      </c>
      <c r="D39">
        <f ca="1">Performances!D57</f>
        <v>3.1411111111111112E-2</v>
      </c>
      <c r="E39">
        <f ca="1">Performances!F57</f>
        <v>5.5022222222222222E-2</v>
      </c>
      <c r="F39">
        <f ca="1">Performances!H57</f>
        <v>3.1188888888888894E-2</v>
      </c>
    </row>
    <row r="40" spans="1:6" x14ac:dyDescent="0.25">
      <c r="A40" s="133"/>
      <c r="B40" s="36">
        <f>Performances!A58</f>
        <v>20</v>
      </c>
      <c r="C40">
        <f ca="1">Performances!B58</f>
        <v>3.0133333333333331E-2</v>
      </c>
      <c r="D40">
        <f ca="1">Performances!D58</f>
        <v>3.4477777777777781E-2</v>
      </c>
      <c r="E40">
        <f ca="1">Performances!F58</f>
        <v>2.9088888888888893E-2</v>
      </c>
      <c r="F40">
        <f ca="1">Performances!H58</f>
        <v>4.4755555555555548E-2</v>
      </c>
    </row>
    <row r="41" spans="1:6" x14ac:dyDescent="0.25">
      <c r="A41" s="133"/>
      <c r="B41" s="36">
        <f>Performances!A59</f>
        <v>23</v>
      </c>
      <c r="C41">
        <f ca="1">Performances!B59</f>
        <v>5.2677777777777782E-2</v>
      </c>
      <c r="D41">
        <f ca="1">Performances!D59</f>
        <v>2.3866666666666668E-2</v>
      </c>
      <c r="E41">
        <f ca="1">Performances!F59</f>
        <v>0.13298888888888891</v>
      </c>
      <c r="F41">
        <f ca="1">Performances!H59</f>
        <v>9.4377777777777769E-2</v>
      </c>
    </row>
    <row r="42" spans="1:6" x14ac:dyDescent="0.25">
      <c r="A42" s="133"/>
      <c r="B42" s="36">
        <f>Performances!A60</f>
        <v>26</v>
      </c>
      <c r="C42">
        <f ca="1">Performances!B60</f>
        <v>0.10522222222222223</v>
      </c>
      <c r="D42">
        <f ca="1">Performances!D60</f>
        <v>7.2444444444444464E-2</v>
      </c>
      <c r="E42">
        <f ca="1">Performances!F60</f>
        <v>6.6255555555555568E-2</v>
      </c>
      <c r="F42">
        <f ca="1">Performances!H60</f>
        <v>6.0088888888888893E-2</v>
      </c>
    </row>
    <row r="43" spans="1:6" x14ac:dyDescent="0.25">
      <c r="A43" s="133"/>
      <c r="B43" s="36">
        <f>Performances!A61</f>
        <v>29</v>
      </c>
      <c r="C43">
        <f ca="1">Performances!B61</f>
        <v>4.0522222222222223E-2</v>
      </c>
      <c r="D43">
        <f ca="1">Performances!D61</f>
        <v>0.10207777777777777</v>
      </c>
      <c r="E43">
        <f ca="1">Performances!F61</f>
        <v>8.1644444444444436E-2</v>
      </c>
      <c r="F43">
        <f ca="1">Performances!H61</f>
        <v>0.12714444444444442</v>
      </c>
    </row>
    <row r="44" spans="1:6" x14ac:dyDescent="0.25">
      <c r="A44" s="133"/>
      <c r="B44" s="36">
        <f>Performances!A62</f>
        <v>32</v>
      </c>
      <c r="C44">
        <f ca="1">Performances!B62</f>
        <v>3.5133333333333336E-2</v>
      </c>
      <c r="D44">
        <f ca="1">Performances!D62</f>
        <v>3.273333333333333E-2</v>
      </c>
      <c r="E44">
        <f ca="1">Performances!F62</f>
        <v>7.5444444444444448E-3</v>
      </c>
      <c r="F44">
        <f ca="1">Performances!H62</f>
        <v>1.5566666666666666E-2</v>
      </c>
    </row>
    <row r="45" spans="1:6" x14ac:dyDescent="0.25">
      <c r="A45" s="133"/>
      <c r="B45" s="36">
        <f>Performances!A63</f>
        <v>35</v>
      </c>
      <c r="C45">
        <f ca="1">Performances!B63</f>
        <v>7.1211111111111114E-2</v>
      </c>
      <c r="D45">
        <f ca="1">Performances!D63</f>
        <v>6.7344444444444443E-2</v>
      </c>
      <c r="E45">
        <f ca="1">Performances!F63</f>
        <v>3.3999999999999996E-2</v>
      </c>
      <c r="F45">
        <f ca="1">Performances!H63</f>
        <v>4.7755555555555551E-2</v>
      </c>
    </row>
    <row r="46" spans="1:6" x14ac:dyDescent="0.25">
      <c r="A46" s="133"/>
      <c r="B46" s="36">
        <f>Performances!A64</f>
        <v>38</v>
      </c>
      <c r="C46">
        <f ca="1">Performances!B64</f>
        <v>3.5111111111111114E-2</v>
      </c>
      <c r="D46">
        <f ca="1">Performances!D64</f>
        <v>3.5755555555555554E-2</v>
      </c>
      <c r="E46">
        <f ca="1">Performances!F64</f>
        <v>4.6388888888888896E-2</v>
      </c>
      <c r="F46">
        <f ca="1">Performances!H64</f>
        <v>4.5422222222222225E-2</v>
      </c>
    </row>
    <row r="47" spans="1:6" x14ac:dyDescent="0.25">
      <c r="A47" s="133"/>
      <c r="B47" s="36">
        <f>Performances!A65</f>
        <v>41</v>
      </c>
      <c r="C47">
        <f ca="1">Performances!B65</f>
        <v>0.13611111111111113</v>
      </c>
      <c r="D47">
        <f ca="1">Performances!D65</f>
        <v>6.2422222222222233E-2</v>
      </c>
      <c r="E47">
        <f ca="1">Performances!F65</f>
        <v>8.6277777777777773E-2</v>
      </c>
      <c r="F47">
        <f ca="1">Performances!H65</f>
        <v>3.3633333333333335E-2</v>
      </c>
    </row>
    <row r="48" spans="1:6" x14ac:dyDescent="0.25">
      <c r="A48" s="134"/>
      <c r="B48" s="36">
        <f>Performances!A66</f>
        <v>44</v>
      </c>
      <c r="C48">
        <f ca="1">Performances!B66</f>
        <v>5.5288888888888894E-2</v>
      </c>
      <c r="D48">
        <f ca="1">Performances!D66</f>
        <v>0.13400000000000001</v>
      </c>
      <c r="E48">
        <f ca="1">Performances!F66</f>
        <v>9.9055555555555549E-2</v>
      </c>
      <c r="F48">
        <f ca="1">Performances!H66</f>
        <v>0.14478888888888891</v>
      </c>
    </row>
    <row r="49" ht="12.45" customHeight="1" x14ac:dyDescent="0.25"/>
    <row r="50" ht="12.45" customHeight="1" x14ac:dyDescent="0.25"/>
    <row r="51" ht="12.45" customHeight="1" x14ac:dyDescent="0.25"/>
    <row r="52" ht="12.45" customHeight="1" x14ac:dyDescent="0.25"/>
    <row r="53" ht="12.45" customHeight="1" x14ac:dyDescent="0.25"/>
    <row r="55" ht="12.45" customHeight="1" x14ac:dyDescent="0.25"/>
    <row r="56" ht="12.45" customHeight="1" x14ac:dyDescent="0.25"/>
    <row r="57" ht="12.45" customHeight="1" x14ac:dyDescent="0.25"/>
    <row r="59" ht="12.45" customHeight="1" x14ac:dyDescent="0.25"/>
    <row r="60" ht="12.45" customHeight="1" x14ac:dyDescent="0.25"/>
    <row r="61" ht="12.45" customHeight="1" x14ac:dyDescent="0.25"/>
    <row r="62" ht="12.45" customHeight="1" x14ac:dyDescent="0.25"/>
    <row r="63" ht="12.45" customHeight="1" x14ac:dyDescent="0.25"/>
    <row r="64" ht="12.45" customHeight="1" x14ac:dyDescent="0.25"/>
    <row r="65" ht="12.45" customHeight="1" x14ac:dyDescent="0.25"/>
    <row r="66" ht="12.45" customHeight="1" x14ac:dyDescent="0.25"/>
    <row r="67" ht="12.45" customHeight="1" x14ac:dyDescent="0.25"/>
    <row r="68" ht="12.45" customHeight="1" x14ac:dyDescent="0.25"/>
    <row r="69" ht="12.45" customHeight="1" x14ac:dyDescent="0.25"/>
    <row r="70" ht="12.45" customHeight="1" x14ac:dyDescent="0.25"/>
    <row r="71" ht="12.45" customHeight="1" x14ac:dyDescent="0.25"/>
    <row r="73" ht="12.45" customHeight="1" x14ac:dyDescent="0.25"/>
    <row r="74" ht="12.45" customHeight="1" x14ac:dyDescent="0.25"/>
    <row r="75" ht="12.45" customHeight="1" x14ac:dyDescent="0.25"/>
    <row r="77" ht="12.45" customHeight="1" x14ac:dyDescent="0.25"/>
    <row r="78" ht="12.45" customHeight="1" x14ac:dyDescent="0.25"/>
    <row r="79" ht="12.45" customHeight="1" x14ac:dyDescent="0.25"/>
    <row r="80" ht="12.45" customHeight="1" x14ac:dyDescent="0.25"/>
    <row r="81" ht="12.45" customHeight="1" x14ac:dyDescent="0.25"/>
    <row r="82" ht="12.45" customHeight="1" x14ac:dyDescent="0.25"/>
    <row r="83" ht="12.45" customHeight="1" x14ac:dyDescent="0.25"/>
    <row r="84" ht="12.45" customHeight="1" x14ac:dyDescent="0.25"/>
    <row r="85" ht="12.45" customHeight="1" x14ac:dyDescent="0.25"/>
    <row r="86" ht="12.45" customHeight="1" x14ac:dyDescent="0.25"/>
    <row r="87" ht="12.45" customHeight="1" x14ac:dyDescent="0.25"/>
    <row r="88" ht="12.45" customHeight="1" x14ac:dyDescent="0.25"/>
    <row r="89" ht="12.45" customHeight="1" x14ac:dyDescent="0.25"/>
    <row r="90" ht="12.45" customHeight="1" x14ac:dyDescent="0.25"/>
    <row r="91" ht="12.45" customHeight="1" x14ac:dyDescent="0.25"/>
    <row r="92" ht="12.45" customHeight="1" x14ac:dyDescent="0.25"/>
    <row r="93" ht="12.45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workbookViewId="0">
      <selection activeCell="C7" sqref="C7"/>
    </sheetView>
  </sheetViews>
  <sheetFormatPr baseColWidth="10" defaultRowHeight="13.2" x14ac:dyDescent="0.25"/>
  <sheetData>
    <row r="1" spans="1:32" x14ac:dyDescent="0.25">
      <c r="A1" s="135" t="s">
        <v>186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</row>
    <row r="2" spans="1:32" x14ac:dyDescent="0.25">
      <c r="A2" s="36" t="s">
        <v>184</v>
      </c>
      <c r="B2" s="36" t="s">
        <v>204</v>
      </c>
      <c r="C2" s="36" t="s">
        <v>205</v>
      </c>
      <c r="E2" s="136" t="s">
        <v>216</v>
      </c>
      <c r="F2" s="136"/>
      <c r="G2" s="136"/>
      <c r="H2" s="136"/>
      <c r="I2" s="136"/>
      <c r="J2" s="136"/>
      <c r="K2" s="136"/>
      <c r="L2" s="136"/>
      <c r="M2" s="136"/>
      <c r="N2" s="137"/>
      <c r="O2" s="138" t="s">
        <v>217</v>
      </c>
      <c r="P2" s="139"/>
      <c r="Q2" s="139"/>
      <c r="R2" s="139"/>
      <c r="S2" s="139"/>
      <c r="T2" s="140"/>
      <c r="U2" s="141" t="s">
        <v>218</v>
      </c>
      <c r="V2" s="142"/>
      <c r="W2" s="143"/>
      <c r="X2" s="144" t="s">
        <v>219</v>
      </c>
      <c r="Y2" s="145"/>
      <c r="Z2" s="145"/>
      <c r="AA2" s="145"/>
      <c r="AB2" s="137"/>
      <c r="AC2" s="138" t="s">
        <v>220</v>
      </c>
      <c r="AD2" s="139"/>
      <c r="AE2" s="139"/>
      <c r="AF2" s="140"/>
    </row>
    <row r="3" spans="1:32" ht="13.8" thickBot="1" x14ac:dyDescent="0.3">
      <c r="A3">
        <f ca="1">Performances!B4</f>
        <v>0.59538888888888897</v>
      </c>
      <c r="B3">
        <f ca="1">Performances!B28</f>
        <v>7.1711111111111114E-2</v>
      </c>
      <c r="C3">
        <f ca="1">Performances!B52</f>
        <v>6.9933333333333333E-2</v>
      </c>
      <c r="N3" s="37"/>
      <c r="T3" s="37"/>
      <c r="W3" s="37"/>
      <c r="AB3" s="37"/>
      <c r="AF3" s="37"/>
    </row>
    <row r="4" spans="1:32" ht="14.4" thickTop="1" thickBot="1" x14ac:dyDescent="0.3">
      <c r="A4">
        <f ca="1">Performances!B5</f>
        <v>0.69297777777777769</v>
      </c>
      <c r="B4">
        <f ca="1">Performances!B29</f>
        <v>3.9511111111111101E-2</v>
      </c>
      <c r="C4">
        <f ca="1">Performances!B53</f>
        <v>4.073333333333333E-2</v>
      </c>
      <c r="E4" t="s">
        <v>221</v>
      </c>
      <c r="J4" t="s">
        <v>222</v>
      </c>
      <c r="K4">
        <v>0.05</v>
      </c>
      <c r="N4" s="37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7"/>
      <c r="U4" t="s">
        <v>223</v>
      </c>
      <c r="V4" s="38" t="s">
        <v>211</v>
      </c>
      <c r="W4" s="37"/>
      <c r="X4" s="39" t="s">
        <v>224</v>
      </c>
      <c r="Y4" s="39" t="s">
        <v>225</v>
      </c>
      <c r="Z4" s="39" t="s">
        <v>211</v>
      </c>
      <c r="AA4" s="39" t="s">
        <v>226</v>
      </c>
      <c r="AB4" s="37"/>
      <c r="AC4" s="39" t="s">
        <v>224</v>
      </c>
      <c r="AD4" s="39" t="s">
        <v>225</v>
      </c>
      <c r="AE4" s="39" t="s">
        <v>211</v>
      </c>
      <c r="AF4" s="40" t="s">
        <v>226</v>
      </c>
    </row>
    <row r="5" spans="1:32" ht="13.8" thickTop="1" x14ac:dyDescent="0.25">
      <c r="A5">
        <f ca="1">Performances!B6</f>
        <v>0.77282222222222219</v>
      </c>
      <c r="B5">
        <f ca="1">Performances!B30</f>
        <v>0.12225555555555556</v>
      </c>
      <c r="C5">
        <f ca="1">Performances!B54</f>
        <v>7.6222222222222219E-2</v>
      </c>
      <c r="E5" s="39" t="s">
        <v>227</v>
      </c>
      <c r="F5" s="39" t="s">
        <v>228</v>
      </c>
      <c r="G5" s="39" t="s">
        <v>229</v>
      </c>
      <c r="H5" s="39" t="s">
        <v>230</v>
      </c>
      <c r="I5" s="39" t="s">
        <v>231</v>
      </c>
      <c r="J5" s="39" t="s">
        <v>232</v>
      </c>
      <c r="K5" s="39" t="s">
        <v>233</v>
      </c>
      <c r="L5" s="39" t="s">
        <v>234</v>
      </c>
      <c r="M5" s="39" t="s">
        <v>235</v>
      </c>
      <c r="N5" s="37"/>
      <c r="O5" t="s">
        <v>236</v>
      </c>
      <c r="P5" s="41">
        <f ca="1">MEDIAN(A3:A17)</f>
        <v>0.78184444444444434</v>
      </c>
      <c r="Q5" s="42">
        <f t="shared" ref="Q5:R5" ca="1" si="1">MEDIAN(B3:B17)</f>
        <v>7.1711111111111114E-2</v>
      </c>
      <c r="R5" s="43">
        <f t="shared" ca="1" si="1"/>
        <v>5.5288888888888894E-2</v>
      </c>
      <c r="T5" s="37"/>
      <c r="U5" t="s">
        <v>237</v>
      </c>
      <c r="V5" s="44">
        <f ca="1">[1]!LEVENE(A3:C17)</f>
        <v>1.6331352258980303E-5</v>
      </c>
      <c r="W5" s="37"/>
      <c r="X5" t="str">
        <f>A2</f>
        <v>Groupe 1</v>
      </c>
      <c r="Y5" t="str">
        <f>B2</f>
        <v>Groupe 2</v>
      </c>
      <c r="Z5" s="45">
        <f ca="1">_xlfn.T.TEST(A3:A17,B3:B17,2,3)</f>
        <v>5.7419423763369028E-11</v>
      </c>
      <c r="AA5">
        <f ca="1">ABS(AVERAGE(A3:A17)-AVERAGE(B3:B17))</f>
        <v>0.7668259259259258</v>
      </c>
      <c r="AB5" s="37"/>
      <c r="AC5" t="str">
        <f>A2</f>
        <v>Groupe 1</v>
      </c>
      <c r="AD5" s="45" t="str">
        <f>B2</f>
        <v>Groupe 2</v>
      </c>
      <c r="AE5" s="89">
        <f ca="1">[1]!MWTEST(A3:A17,B3:B17)</f>
        <v>3.3918213908634698E-6</v>
      </c>
      <c r="AF5" s="37">
        <f ca="1">ABS(AVERAGE(A3:A17)-AVERAGE(B3:B17))</f>
        <v>0.7668259259259258</v>
      </c>
    </row>
    <row r="6" spans="1:32" x14ac:dyDescent="0.25">
      <c r="A6">
        <f ca="1">Performances!B7</f>
        <v>1.2977111111111113</v>
      </c>
      <c r="B6">
        <f ca="1">Performances!B31</f>
        <v>0.21997777777777774</v>
      </c>
      <c r="C6">
        <f ca="1">Performances!B55</f>
        <v>4.4355555555555558E-2</v>
      </c>
      <c r="E6" t="str">
        <f>A2</f>
        <v>Groupe 1</v>
      </c>
      <c r="F6">
        <f ca="1">COUNT(A3:A17)</f>
        <v>15</v>
      </c>
      <c r="G6">
        <f ca="1">SUM(A3:A17)</f>
        <v>12.755722222222222</v>
      </c>
      <c r="H6">
        <f ca="1">AVERAGE(A3:A17)</f>
        <v>0.8503814814814814</v>
      </c>
      <c r="I6">
        <f ca="1">_xlfn.VAR.S(A3:A17)</f>
        <v>3.6777595144032817E-2</v>
      </c>
      <c r="J6">
        <f ca="1">DEVSQ(A3:A17)</f>
        <v>0.51488633201646095</v>
      </c>
      <c r="K6">
        <f ca="1">SQRT(H13/F6)</f>
        <v>3.0313217370931775E-2</v>
      </c>
      <c r="L6">
        <f ca="1">H6-K6*_xlfn.T.INV.2T(K4,G13)</f>
        <v>0.78920693215164572</v>
      </c>
      <c r="M6">
        <f ca="1">H6+K6*_xlfn.T.INV.2T(K4,G13)</f>
        <v>0.91155603081131709</v>
      </c>
      <c r="N6" s="37"/>
      <c r="O6" t="s">
        <v>238</v>
      </c>
      <c r="P6" s="46">
        <f ca="1">[1]!RANK_SUM(A3:C17, 1,1)</f>
        <v>570</v>
      </c>
      <c r="Q6" s="30">
        <f ca="1">[1]!RANK_SUM(A3:C17, 2,1)</f>
        <v>246</v>
      </c>
      <c r="R6" s="47">
        <f ca="1">[1]!RANK_SUM(A3:C17, 3,1)</f>
        <v>219</v>
      </c>
      <c r="T6" s="37"/>
      <c r="U6" t="s">
        <v>239</v>
      </c>
      <c r="V6" s="48">
        <f ca="1">[1]!LEVENE(A3:C17,1)</f>
        <v>1.5877472845859941E-3</v>
      </c>
      <c r="W6" s="37"/>
      <c r="X6" t="str">
        <f>A2</f>
        <v>Groupe 1</v>
      </c>
      <c r="Y6" t="str">
        <f>C2</f>
        <v>Groupe 3</v>
      </c>
      <c r="Z6" s="45">
        <f ca="1">_xlfn.T.TEST(A3:A17,C3:C17,2,3)</f>
        <v>1.2256887651729523E-10</v>
      </c>
      <c r="AA6">
        <f ca="1">ABS(AVERAGE(A3:A17)-AVERAGE(C3:C17))</f>
        <v>0.78270518518518506</v>
      </c>
      <c r="AB6" s="37"/>
      <c r="AC6" t="str">
        <f>A2</f>
        <v>Groupe 1</v>
      </c>
      <c r="AD6" s="45" t="str">
        <f>C2</f>
        <v>Groupe 3</v>
      </c>
      <c r="AE6" s="89">
        <f ca="1">[1]!MWTEST(A3:A17,C3:C17)</f>
        <v>3.3918213908634698E-6</v>
      </c>
      <c r="AF6" s="37">
        <f ca="1">ABS(AVERAGE(A3:A17)-AVERAGE(C3:C17))</f>
        <v>0.78270518518518506</v>
      </c>
    </row>
    <row r="7" spans="1:32" x14ac:dyDescent="0.25">
      <c r="A7">
        <f ca="1">Performances!B8</f>
        <v>0.73563333333333336</v>
      </c>
      <c r="B7">
        <f ca="1">Performances!B32</f>
        <v>8.9044444444444426E-2</v>
      </c>
      <c r="C7">
        <f ca="1">Performances!B56</f>
        <v>0.14030000000000001</v>
      </c>
      <c r="E7" t="str">
        <f>B2</f>
        <v>Groupe 2</v>
      </c>
      <c r="F7">
        <f ca="1">COUNT(B3:B17)</f>
        <v>15</v>
      </c>
      <c r="G7">
        <f ca="1">SUM(B3:B17)</f>
        <v>1.2533333333333334</v>
      </c>
      <c r="H7">
        <f ca="1">AVERAGE(B3:B17)</f>
        <v>8.3555555555555563E-2</v>
      </c>
      <c r="I7">
        <f ca="1">_xlfn.VAR.S(B3:B17)</f>
        <v>3.3165781128747765E-3</v>
      </c>
      <c r="J7">
        <f ca="1">DEVSQ(B3:B17)</f>
        <v>4.64320935802469E-2</v>
      </c>
      <c r="K7">
        <f ca="1">SQRT(H13/F7)</f>
        <v>3.0313217370931775E-2</v>
      </c>
      <c r="L7">
        <f ca="1">H7-K7*_xlfn.T.INV.2T(K4,G13)</f>
        <v>2.2381006225719868E-2</v>
      </c>
      <c r="M7">
        <f ca="1">H7+K7*_xlfn.T.INV.2T(K4,G13)</f>
        <v>0.14473010488539126</v>
      </c>
      <c r="N7" s="37"/>
      <c r="O7" t="s">
        <v>240</v>
      </c>
      <c r="P7" s="46">
        <f ca="1">COUNT(A3:A17)</f>
        <v>15</v>
      </c>
      <c r="Q7" s="30">
        <f t="shared" ref="Q7:R7" ca="1" si="2">COUNT(B3:B17)</f>
        <v>15</v>
      </c>
      <c r="R7" s="47">
        <f t="shared" ca="1" si="2"/>
        <v>15</v>
      </c>
      <c r="S7" s="49">
        <f ca="1">SUM(P7:R7)</f>
        <v>45</v>
      </c>
      <c r="T7" s="37"/>
      <c r="U7" t="s">
        <v>241</v>
      </c>
      <c r="V7" s="50">
        <f ca="1">[1]!LEVENE(A3:C17,-1)</f>
        <v>1.6331352258980303E-5</v>
      </c>
      <c r="W7" s="37"/>
      <c r="X7" s="32" t="str">
        <f>B2</f>
        <v>Groupe 2</v>
      </c>
      <c r="Y7" s="32" t="str">
        <f>C2</f>
        <v>Groupe 3</v>
      </c>
      <c r="Z7" s="51">
        <f ca="1">_xlfn.T.TEST(B3:B17,C3:C17,2,3)</f>
        <v>0.37241380603047092</v>
      </c>
      <c r="AA7" s="32">
        <f ca="1">ABS(AVERAGE(B3:B17)-AVERAGE(C3:C17))</f>
        <v>1.587925925925926E-2</v>
      </c>
      <c r="AB7" s="37"/>
      <c r="AC7" s="32" t="str">
        <f>B2</f>
        <v>Groupe 2</v>
      </c>
      <c r="AD7" s="51" t="str">
        <f>C2</f>
        <v>Groupe 3</v>
      </c>
      <c r="AE7" s="51">
        <f ca="1">[1]!MWTEST(B3:B17,C3:C17)</f>
        <v>0.58973859331860723</v>
      </c>
      <c r="AF7" s="52">
        <f ca="1">ABS(AVERAGE(B3:B17)-AVERAGE(C3:C17))</f>
        <v>1.587925925925926E-2</v>
      </c>
    </row>
    <row r="8" spans="1:32" x14ac:dyDescent="0.25">
      <c r="A8">
        <f ca="1">Performances!B9</f>
        <v>0.95924444444444446</v>
      </c>
      <c r="B8">
        <f ca="1">Performances!B33</f>
        <v>0.16564444444444443</v>
      </c>
      <c r="C8">
        <f ca="1">Performances!B57</f>
        <v>8.2188888888888895E-2</v>
      </c>
      <c r="E8" t="str">
        <f>C2</f>
        <v>Groupe 3</v>
      </c>
      <c r="F8">
        <f ca="1">COUNT(C3:C17)</f>
        <v>15</v>
      </c>
      <c r="G8">
        <f ca="1">SUM(C3:C17)</f>
        <v>1.0151444444444446</v>
      </c>
      <c r="H8">
        <f ca="1">AVERAGE(C3:C17)</f>
        <v>6.7676296296296304E-2</v>
      </c>
      <c r="I8">
        <f ca="1">_xlfn.VAR.S(C3:C17)</f>
        <v>1.2559283750734837E-3</v>
      </c>
      <c r="J8">
        <f ca="1">DEVSQ(C3:C17)</f>
        <v>1.7582997251028812E-2</v>
      </c>
      <c r="K8">
        <f ca="1">SQRT(H13/F8)</f>
        <v>3.0313217370931775E-2</v>
      </c>
      <c r="L8">
        <f ca="1">H8-K8*_xlfn.T.INV.2T(K4,G13)</f>
        <v>6.5017469664606087E-3</v>
      </c>
      <c r="M8">
        <f ca="1">H8+K8*_xlfn.T.INV.2T(K4,G13)</f>
        <v>0.128850845626132</v>
      </c>
      <c r="N8" s="37"/>
      <c r="O8" t="s">
        <v>242</v>
      </c>
      <c r="P8" s="53">
        <f ca="1">P6^2/P7</f>
        <v>21660</v>
      </c>
      <c r="Q8" s="54">
        <f t="shared" ref="Q8:R8" ca="1" si="3">Q6^2/Q7</f>
        <v>4034.4</v>
      </c>
      <c r="R8" s="55">
        <f t="shared" ca="1" si="3"/>
        <v>3197.4</v>
      </c>
      <c r="S8" s="56">
        <f ca="1">SUM(P8:R8)</f>
        <v>28891.800000000003</v>
      </c>
      <c r="T8" s="37"/>
      <c r="W8" s="37"/>
      <c r="AB8" s="37"/>
      <c r="AF8" s="37"/>
    </row>
    <row r="9" spans="1:32" x14ac:dyDescent="0.25">
      <c r="A9">
        <f ca="1">Performances!B10</f>
        <v>0.96755555555555561</v>
      </c>
      <c r="B9">
        <f ca="1">Performances!B34</f>
        <v>4.19E-2</v>
      </c>
      <c r="C9">
        <f ca="1">Performances!B58</f>
        <v>3.0133333333333331E-2</v>
      </c>
      <c r="E9" s="34"/>
      <c r="F9" s="34"/>
      <c r="G9" s="34"/>
      <c r="H9" s="34"/>
      <c r="I9" s="34"/>
      <c r="J9" s="34"/>
      <c r="K9" s="34"/>
      <c r="L9" s="34"/>
      <c r="M9" s="34"/>
      <c r="N9" s="37"/>
      <c r="O9" t="s">
        <v>243</v>
      </c>
      <c r="S9" s="56">
        <f ca="1">12*S8/(S7*(S7+1))-3*(S7+1)</f>
        <v>29.488695652173931</v>
      </c>
      <c r="T9" s="37"/>
      <c r="U9" s="57" t="s">
        <v>244</v>
      </c>
      <c r="V9" s="57"/>
      <c r="W9" s="37"/>
      <c r="AB9" s="37"/>
      <c r="AF9" s="37"/>
    </row>
    <row r="10" spans="1:32" ht="13.8" thickBot="1" x14ac:dyDescent="0.3">
      <c r="A10">
        <f ca="1">Performances!B11</f>
        <v>0.65797777777777777</v>
      </c>
      <c r="B10">
        <f ca="1">Performances!B35</f>
        <v>0.11317777777777777</v>
      </c>
      <c r="C10">
        <f ca="1">Performances!B59</f>
        <v>5.2677777777777782E-2</v>
      </c>
      <c r="E10" t="s">
        <v>245</v>
      </c>
      <c r="N10" s="37"/>
      <c r="O10" t="s">
        <v>246</v>
      </c>
      <c r="S10" s="56">
        <f ca="1">S9/(1-[1]!TiesCorrection(A3:C17)/(45*(45^2-1)))</f>
        <v>29.488695652173931</v>
      </c>
      <c r="T10" s="37"/>
      <c r="U10" t="s">
        <v>247</v>
      </c>
      <c r="V10" s="45">
        <f ca="1">[1]!FKTEST(A3:C17)</f>
        <v>1.2455984130903541E-3</v>
      </c>
      <c r="W10" s="37"/>
      <c r="AB10" s="37"/>
      <c r="AF10" s="37"/>
    </row>
    <row r="11" spans="1:32" ht="13.8" thickTop="1" x14ac:dyDescent="0.25">
      <c r="A11">
        <f ca="1">Performances!B12</f>
        <v>1.1647999999999998</v>
      </c>
      <c r="B11">
        <f ca="1">Performances!B36</f>
        <v>8.6755555555555544E-2</v>
      </c>
      <c r="C11">
        <f ca="1">Performances!B60</f>
        <v>0.10522222222222223</v>
      </c>
      <c r="E11" s="39" t="s">
        <v>248</v>
      </c>
      <c r="F11" s="39" t="s">
        <v>232</v>
      </c>
      <c r="G11" s="39" t="s">
        <v>249</v>
      </c>
      <c r="H11" s="39" t="s">
        <v>250</v>
      </c>
      <c r="I11" s="39" t="s">
        <v>251</v>
      </c>
      <c r="J11" s="39" t="s">
        <v>252</v>
      </c>
      <c r="K11" s="39" t="s">
        <v>253</v>
      </c>
      <c r="L11" s="39" t="s">
        <v>254</v>
      </c>
      <c r="M11" s="39" t="s">
        <v>255</v>
      </c>
      <c r="N11" s="37"/>
      <c r="O11" t="s">
        <v>249</v>
      </c>
      <c r="S11" s="56">
        <f>COUNTA(P4:R4)-1</f>
        <v>2</v>
      </c>
      <c r="T11" s="37"/>
      <c r="W11" s="37"/>
      <c r="AB11" s="37"/>
      <c r="AF11" s="37"/>
    </row>
    <row r="12" spans="1:32" x14ac:dyDescent="0.25">
      <c r="A12">
        <f ca="1">Performances!B13</f>
        <v>0.89579999999999993</v>
      </c>
      <c r="B12">
        <f ca="1">Performances!B37</f>
        <v>5.3266666666666664E-2</v>
      </c>
      <c r="C12">
        <f ca="1">Performances!B61</f>
        <v>4.0522222222222223E-2</v>
      </c>
      <c r="E12" t="s">
        <v>256</v>
      </c>
      <c r="F12">
        <f ca="1">F14-F13</f>
        <v>6.0045077923127561</v>
      </c>
      <c r="G12">
        <f>COUNTA(E6:E8)-1</f>
        <v>2</v>
      </c>
      <c r="H12">
        <f ca="1">F12/G12</f>
        <v>3.0022538961563781</v>
      </c>
      <c r="I12">
        <f ca="1">H12/H13</f>
        <v>217.81715964400632</v>
      </c>
      <c r="J12" s="45">
        <f ca="1">_xlfn.F.DIST.RT(I12,G12,G13)</f>
        <v>6.7178311671722304E-23</v>
      </c>
      <c r="K12">
        <f ca="1">_xlfn.F.INV.RT(K4,G12,G13)</f>
        <v>3.2199422931761248</v>
      </c>
      <c r="L12">
        <f ca="1">SQRT(DEVSQ(H6:H8)/(H13*G12))</f>
        <v>3.8106618816508884</v>
      </c>
      <c r="M12">
        <f ca="1">(F14-G14*H13)/(F14+H13)</f>
        <v>0.90598250441602413</v>
      </c>
      <c r="N12" s="37"/>
      <c r="O12" t="s">
        <v>211</v>
      </c>
      <c r="S12" s="94">
        <f ca="1">_xlfn.CHISQ.DIST.RT(S10,S11)</f>
        <v>3.9501273735890101E-7</v>
      </c>
      <c r="T12" s="37"/>
      <c r="W12" s="37"/>
      <c r="AB12" s="37"/>
      <c r="AF12" s="37"/>
    </row>
    <row r="13" spans="1:32" x14ac:dyDescent="0.25">
      <c r="A13">
        <f ca="1">Performances!B14</f>
        <v>0.80803333333333327</v>
      </c>
      <c r="B13">
        <f ca="1">Performances!B38</f>
        <v>2.3722222222222221E-2</v>
      </c>
      <c r="C13">
        <f ca="1">Performances!B62</f>
        <v>3.5133333333333336E-2</v>
      </c>
      <c r="E13" t="s">
        <v>257</v>
      </c>
      <c r="F13">
        <f ca="1">SUM(J6:J8)</f>
        <v>0.57890142284773671</v>
      </c>
      <c r="G13">
        <f ca="1">G14-G12</f>
        <v>42</v>
      </c>
      <c r="H13">
        <f ca="1">F13/G13</f>
        <v>1.3783367210660398E-2</v>
      </c>
      <c r="N13" s="37"/>
      <c r="O13" t="s">
        <v>212</v>
      </c>
      <c r="S13" s="56">
        <v>0.05</v>
      </c>
      <c r="T13" s="37"/>
      <c r="W13" s="37"/>
      <c r="AB13" s="37"/>
      <c r="AF13" s="37"/>
    </row>
    <row r="14" spans="1:32" x14ac:dyDescent="0.25">
      <c r="A14">
        <f ca="1">Performances!B15</f>
        <v>0.78184444444444434</v>
      </c>
      <c r="B14">
        <f ca="1">Performances!B39</f>
        <v>2.5566666666666665E-2</v>
      </c>
      <c r="C14">
        <f ca="1">Performances!B63</f>
        <v>7.1211111111111114E-2</v>
      </c>
      <c r="E14" s="32" t="s">
        <v>258</v>
      </c>
      <c r="F14" s="32">
        <f ca="1">DEVSQ(A3:C17)</f>
        <v>6.5834092151604926</v>
      </c>
      <c r="G14" s="32">
        <f ca="1">COUNT(A3:C17)-1</f>
        <v>44</v>
      </c>
      <c r="H14" s="32">
        <f ca="1">F14/G14</f>
        <v>0.14962293670819302</v>
      </c>
      <c r="I14" s="32"/>
      <c r="J14" s="32"/>
      <c r="K14" s="32"/>
      <c r="L14" s="32"/>
      <c r="M14" s="32"/>
      <c r="N14" s="37"/>
      <c r="O14" t="s">
        <v>259</v>
      </c>
      <c r="S14" s="58" t="str">
        <f ca="1">IF(S12&lt;S13,"yes","no")</f>
        <v>yes</v>
      </c>
      <c r="T14" s="37"/>
      <c r="W14" s="37"/>
      <c r="AB14" s="37"/>
      <c r="AF14" s="37"/>
    </row>
    <row r="15" spans="1:32" x14ac:dyDescent="0.25">
      <c r="A15">
        <f ca="1">Performances!B16</f>
        <v>0.95088888888888889</v>
      </c>
      <c r="B15">
        <f ca="1">Performances!B40</f>
        <v>1.5388888888888888E-2</v>
      </c>
      <c r="C15">
        <f ca="1">Performances!B64</f>
        <v>3.5111111111111114E-2</v>
      </c>
      <c r="N15" s="37"/>
      <c r="T15" s="37"/>
      <c r="W15" s="37"/>
      <c r="AB15" s="37"/>
      <c r="AF15" s="37"/>
    </row>
    <row r="16" spans="1:32" x14ac:dyDescent="0.25">
      <c r="A16">
        <f ca="1">Performances!B17</f>
        <v>0.72717777777777792</v>
      </c>
      <c r="B16">
        <f ca="1">Performances!B41</f>
        <v>0.12570000000000001</v>
      </c>
      <c r="C16">
        <f ca="1">Performances!B65</f>
        <v>0.13611111111111113</v>
      </c>
      <c r="N16" s="37"/>
      <c r="T16" s="37"/>
      <c r="W16" s="37"/>
      <c r="AB16" s="37"/>
      <c r="AF16" s="37"/>
    </row>
    <row r="17" spans="1:32" x14ac:dyDescent="0.25">
      <c r="A17">
        <f ca="1">Performances!B18</f>
        <v>0.74786666666666646</v>
      </c>
      <c r="B17">
        <f ca="1">Performances!B42</f>
        <v>5.9711111111111111E-2</v>
      </c>
      <c r="C17">
        <f ca="1">Performances!B66</f>
        <v>5.5288888888888894E-2</v>
      </c>
      <c r="N17" s="37"/>
      <c r="T17" s="37"/>
      <c r="W17" s="37"/>
      <c r="AB17" s="37"/>
      <c r="AF17" s="37"/>
    </row>
    <row r="19" spans="1:32" x14ac:dyDescent="0.25">
      <c r="A19" s="135" t="s">
        <v>187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</row>
    <row r="20" spans="1:32" x14ac:dyDescent="0.25">
      <c r="A20" s="36" t="s">
        <v>184</v>
      </c>
      <c r="B20" s="36" t="s">
        <v>204</v>
      </c>
      <c r="C20" s="36" t="s">
        <v>205</v>
      </c>
      <c r="E20" s="136" t="s">
        <v>216</v>
      </c>
      <c r="F20" s="136"/>
      <c r="G20" s="136"/>
      <c r="H20" s="136"/>
      <c r="I20" s="136"/>
      <c r="J20" s="136"/>
      <c r="K20" s="136"/>
      <c r="L20" s="136"/>
      <c r="M20" s="136"/>
      <c r="N20" s="137"/>
      <c r="O20" s="138" t="s">
        <v>217</v>
      </c>
      <c r="P20" s="139"/>
      <c r="Q20" s="139"/>
      <c r="R20" s="139"/>
      <c r="S20" s="139"/>
      <c r="T20" s="140"/>
      <c r="U20" s="141" t="s">
        <v>218</v>
      </c>
      <c r="V20" s="142"/>
      <c r="W20" s="143"/>
      <c r="X20" s="144" t="s">
        <v>219</v>
      </c>
      <c r="Y20" s="145"/>
      <c r="Z20" s="145"/>
      <c r="AA20" s="145"/>
      <c r="AB20" s="137"/>
      <c r="AC20" s="138" t="s">
        <v>220</v>
      </c>
      <c r="AD20" s="139"/>
      <c r="AE20" s="139"/>
      <c r="AF20" s="140"/>
    </row>
    <row r="21" spans="1:32" ht="13.8" thickBot="1" x14ac:dyDescent="0.3">
      <c r="A21">
        <f ca="1">Performances!D4</f>
        <v>0.87620000000000009</v>
      </c>
      <c r="B21">
        <f ca="1">Performances!D28</f>
        <v>9.4622222222222219E-2</v>
      </c>
      <c r="C21">
        <f ca="1">Performances!D52</f>
        <v>5.8788888888888877E-2</v>
      </c>
      <c r="N21" s="37"/>
      <c r="T21" s="37"/>
      <c r="W21" s="37"/>
      <c r="AB21" s="37"/>
      <c r="AF21" s="37"/>
    </row>
    <row r="22" spans="1:32" ht="14.4" thickTop="1" thickBot="1" x14ac:dyDescent="0.3">
      <c r="A22">
        <f ca="1">Performances!D5</f>
        <v>0.92013333333333336</v>
      </c>
      <c r="B22">
        <f ca="1">Performances!D29</f>
        <v>0.10333333333333333</v>
      </c>
      <c r="C22">
        <f ca="1">Performances!D53</f>
        <v>6.2311111111111109E-2</v>
      </c>
      <c r="E22" t="s">
        <v>221</v>
      </c>
      <c r="J22" t="s">
        <v>222</v>
      </c>
      <c r="K22">
        <v>0.05</v>
      </c>
      <c r="N22" s="37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7"/>
      <c r="U22" t="s">
        <v>223</v>
      </c>
      <c r="V22" s="38" t="s">
        <v>211</v>
      </c>
      <c r="W22" s="37"/>
      <c r="X22" s="39" t="s">
        <v>224</v>
      </c>
      <c r="Y22" s="39" t="s">
        <v>225</v>
      </c>
      <c r="Z22" s="39" t="s">
        <v>211</v>
      </c>
      <c r="AA22" s="39" t="s">
        <v>226</v>
      </c>
      <c r="AB22" s="37"/>
      <c r="AC22" s="39" t="s">
        <v>224</v>
      </c>
      <c r="AD22" s="39" t="s">
        <v>225</v>
      </c>
      <c r="AE22" s="39" t="s">
        <v>211</v>
      </c>
      <c r="AF22" s="40" t="s">
        <v>226</v>
      </c>
    </row>
    <row r="23" spans="1:32" ht="13.8" thickTop="1" x14ac:dyDescent="0.25">
      <c r="A23">
        <f ca="1">Performances!D6</f>
        <v>1.4115555555555557</v>
      </c>
      <c r="B23">
        <f ca="1">Performances!D30</f>
        <v>6.4144444444444434E-2</v>
      </c>
      <c r="C23">
        <f ca="1">Performances!D54</f>
        <v>6.8122222222222223E-2</v>
      </c>
      <c r="E23" s="39" t="s">
        <v>227</v>
      </c>
      <c r="F23" s="39" t="s">
        <v>228</v>
      </c>
      <c r="G23" s="39" t="s">
        <v>229</v>
      </c>
      <c r="H23" s="39" t="s">
        <v>230</v>
      </c>
      <c r="I23" s="39" t="s">
        <v>231</v>
      </c>
      <c r="J23" s="39" t="s">
        <v>232</v>
      </c>
      <c r="K23" s="39" t="s">
        <v>233</v>
      </c>
      <c r="L23" s="39" t="s">
        <v>234</v>
      </c>
      <c r="M23" s="39" t="s">
        <v>235</v>
      </c>
      <c r="N23" s="37"/>
      <c r="O23" t="s">
        <v>236</v>
      </c>
      <c r="P23" s="41">
        <f ca="1">MEDIAN(A21:A35)</f>
        <v>0.92013333333333336</v>
      </c>
      <c r="Q23" s="42">
        <f t="shared" ref="Q23:R23" ca="1" si="5">MEDIAN(B21:B35)</f>
        <v>4.4933333333333339E-2</v>
      </c>
      <c r="R23" s="43">
        <f t="shared" ca="1" si="5"/>
        <v>6.2311111111111109E-2</v>
      </c>
      <c r="T23" s="37"/>
      <c r="U23" t="s">
        <v>237</v>
      </c>
      <c r="V23" s="44">
        <f ca="1">[1]!LEVENE(A21:C35)</f>
        <v>2.2507669613722747E-3</v>
      </c>
      <c r="W23" s="37"/>
      <c r="X23" t="str">
        <f>A20</f>
        <v>Groupe 1</v>
      </c>
      <c r="Y23" t="str">
        <f>B20</f>
        <v>Groupe 2</v>
      </c>
      <c r="Z23" s="45">
        <f ca="1">_xlfn.T.TEST(A21:A35,B21:B35,2,3)</f>
        <v>2.0178845185500526E-11</v>
      </c>
      <c r="AA23">
        <f ca="1">ABS(AVERAGE(A21:A35)-AVERAGE(B21:B35))</f>
        <v>0.86862148148148144</v>
      </c>
      <c r="AB23" s="37"/>
      <c r="AC23" t="str">
        <f>A20</f>
        <v>Groupe 1</v>
      </c>
      <c r="AD23" s="45" t="str">
        <f>B20</f>
        <v>Groupe 2</v>
      </c>
      <c r="AE23" s="89">
        <f ca="1">[1]!MWTEST(A21:A35,B21:B35)</f>
        <v>3.3918213908634698E-6</v>
      </c>
      <c r="AF23" s="37">
        <f ca="1">ABS(AVERAGE(A21:A35)-AVERAGE(B21:B35))</f>
        <v>0.86862148148148144</v>
      </c>
    </row>
    <row r="24" spans="1:32" x14ac:dyDescent="0.25">
      <c r="A24">
        <f ca="1">Performances!D7</f>
        <v>1.0153777777777777</v>
      </c>
      <c r="B24">
        <f ca="1">Performances!D31</f>
        <v>0.16041111111111114</v>
      </c>
      <c r="C24">
        <f ca="1">Performances!D55</f>
        <v>7.4822222222222221E-2</v>
      </c>
      <c r="E24" t="str">
        <f>A20</f>
        <v>Groupe 1</v>
      </c>
      <c r="F24">
        <f ca="1">COUNT(A21:A35)</f>
        <v>15</v>
      </c>
      <c r="G24">
        <f ca="1">SUM(A21:A35)</f>
        <v>13.880266666666667</v>
      </c>
      <c r="H24">
        <f ca="1">AVERAGE(A21:A35)</f>
        <v>0.92535111111111112</v>
      </c>
      <c r="I24">
        <f ca="1">_xlfn.VAR.S(A21:A35)</f>
        <v>3.6036001301587205E-2</v>
      </c>
      <c r="J24">
        <f ca="1">DEVSQ(A21:A35)</f>
        <v>0.50450401822222213</v>
      </c>
      <c r="K24">
        <f ca="1">SQRT(H31/F24)</f>
        <v>2.9212620918067873E-2</v>
      </c>
      <c r="L24">
        <f ca="1">H24-K24*_xlfn.T.INV.2T(K22,G31)</f>
        <v>0.86639765534498692</v>
      </c>
      <c r="M24">
        <f ca="1">H24+K24*_xlfn.T.INV.2T(K22,G31)</f>
        <v>0.98430456687723533</v>
      </c>
      <c r="N24" s="37"/>
      <c r="O24" t="s">
        <v>238</v>
      </c>
      <c r="P24" s="46">
        <f ca="1">[1]!RANK_SUM(A21:C35, 1,1)</f>
        <v>570</v>
      </c>
      <c r="Q24" s="30">
        <f ca="1">[1]!RANK_SUM(A21:C35, 2,1)</f>
        <v>215</v>
      </c>
      <c r="R24" s="47">
        <f ca="1">[1]!RANK_SUM(A21:C35, 3,1)</f>
        <v>250</v>
      </c>
      <c r="T24" s="37"/>
      <c r="U24" t="s">
        <v>239</v>
      </c>
      <c r="V24" s="48">
        <f ca="1">[1]!LEVENE(A21:C35,1)</f>
        <v>2.5055326056527827E-3</v>
      </c>
      <c r="W24" s="37"/>
      <c r="X24" t="str">
        <f>A20</f>
        <v>Groupe 1</v>
      </c>
      <c r="Y24" t="str">
        <f>C20</f>
        <v>Groupe 3</v>
      </c>
      <c r="Z24" s="45">
        <f ca="1">_xlfn.T.TEST(A21:A35,C21:C35,2,3)</f>
        <v>3.2765559987455001E-11</v>
      </c>
      <c r="AA24">
        <f ca="1">ABS(AVERAGE(A21:A35)-AVERAGE(C21:C35))</f>
        <v>0.86479185185185181</v>
      </c>
      <c r="AB24" s="37"/>
      <c r="AC24" t="str">
        <f>A20</f>
        <v>Groupe 1</v>
      </c>
      <c r="AD24" s="45" t="str">
        <f>C20</f>
        <v>Groupe 3</v>
      </c>
      <c r="AE24" s="89">
        <f ca="1">[1]!MWTEST(A21:A35,C21:C35)</f>
        <v>3.3918213908634698E-6</v>
      </c>
      <c r="AF24" s="37">
        <f ca="1">ABS(AVERAGE(A21:A35)-AVERAGE(C21:C35))</f>
        <v>0.86479185185185181</v>
      </c>
    </row>
    <row r="25" spans="1:32" x14ac:dyDescent="0.25">
      <c r="A25">
        <f ca="1">Performances!D8</f>
        <v>0.92371111111111126</v>
      </c>
      <c r="B25">
        <f ca="1">Performances!D32</f>
        <v>3.1155555555555554E-2</v>
      </c>
      <c r="C25">
        <f ca="1">Performances!D56</f>
        <v>4.781111111111111E-2</v>
      </c>
      <c r="E25" t="str">
        <f>B20</f>
        <v>Groupe 2</v>
      </c>
      <c r="F25">
        <f ca="1">COUNT(B21:B35)</f>
        <v>15</v>
      </c>
      <c r="G25">
        <f ca="1">SUM(B21:B35)</f>
        <v>0.8509444444444445</v>
      </c>
      <c r="H25">
        <f ca="1">AVERAGE(B21:B35)</f>
        <v>5.6729629629629637E-2</v>
      </c>
      <c r="I25">
        <f ca="1">_xlfn.VAR.S(B21:B35)</f>
        <v>1.5086053380364507E-3</v>
      </c>
      <c r="J25">
        <f ca="1">DEVSQ(B21:B35)</f>
        <v>2.1120474732510296E-2</v>
      </c>
      <c r="K25">
        <f ca="1">SQRT(H31/F25)</f>
        <v>2.9212620918067873E-2</v>
      </c>
      <c r="L25">
        <f ca="1">H25-K25*_xlfn.T.INV.2T(K22,G31)</f>
        <v>-2.2238261364945361E-3</v>
      </c>
      <c r="M25">
        <f ca="1">H25+K25*_xlfn.T.INV.2T(K22,G31)</f>
        <v>0.11568308539575381</v>
      </c>
      <c r="N25" s="37"/>
      <c r="O25" t="s">
        <v>240</v>
      </c>
      <c r="P25" s="46">
        <f ca="1">COUNT(A21:A35)</f>
        <v>15</v>
      </c>
      <c r="Q25" s="30">
        <f t="shared" ref="Q25:R25" ca="1" si="6">COUNT(B21:B35)</f>
        <v>15</v>
      </c>
      <c r="R25" s="47">
        <f t="shared" ca="1" si="6"/>
        <v>15</v>
      </c>
      <c r="S25" s="49">
        <f ca="1">SUM(P25:R25)</f>
        <v>45</v>
      </c>
      <c r="T25" s="37"/>
      <c r="U25" t="s">
        <v>241</v>
      </c>
      <c r="V25" s="50">
        <f ca="1">[1]!LEVENE(A21:C35,-1)</f>
        <v>2.2507669613722747E-3</v>
      </c>
      <c r="W25" s="37"/>
      <c r="X25" s="32" t="str">
        <f>B20</f>
        <v>Groupe 2</v>
      </c>
      <c r="Y25" s="32" t="str">
        <f>C20</f>
        <v>Groupe 3</v>
      </c>
      <c r="Z25" s="51">
        <f ca="1">_xlfn.T.TEST(B21:B35,C21:C35,2,3)</f>
        <v>0.76284595230056551</v>
      </c>
      <c r="AA25" s="32">
        <f ca="1">ABS(AVERAGE(B21:B35)-AVERAGE(C21:C35))</f>
        <v>3.8296296296296273E-3</v>
      </c>
      <c r="AB25" s="37"/>
      <c r="AC25" s="32" t="str">
        <f>B20</f>
        <v>Groupe 2</v>
      </c>
      <c r="AD25" s="51" t="str">
        <f>C20</f>
        <v>Groupe 3</v>
      </c>
      <c r="AE25" s="51">
        <f ca="1">[1]!MWTEST(B21:B35,C21:C35)</f>
        <v>0.48073111045562245</v>
      </c>
      <c r="AF25" s="52">
        <f ca="1">ABS(AVERAGE(B21:B35)-AVERAGE(C21:C35))</f>
        <v>3.8296296296296273E-3</v>
      </c>
    </row>
    <row r="26" spans="1:32" x14ac:dyDescent="0.25">
      <c r="A26">
        <f ca="1">Performances!D9</f>
        <v>0.57128888888888885</v>
      </c>
      <c r="B26">
        <f ca="1">Performances!D33</f>
        <v>3.6611111111111115E-2</v>
      </c>
      <c r="C26">
        <f ca="1">Performances!D57</f>
        <v>3.1411111111111112E-2</v>
      </c>
      <c r="E26" t="str">
        <f>C20</f>
        <v>Groupe 3</v>
      </c>
      <c r="F26">
        <f ca="1">COUNT(C21:C35)</f>
        <v>15</v>
      </c>
      <c r="G26">
        <f ca="1">SUM(C21:C35)</f>
        <v>0.90838888888888891</v>
      </c>
      <c r="H26">
        <f ca="1">AVERAGE(C21:C35)</f>
        <v>6.0559259259259264E-2</v>
      </c>
      <c r="I26">
        <f ca="1">_xlfn.VAR.S(C21:C35)</f>
        <v>8.5736830099941263E-4</v>
      </c>
      <c r="J26">
        <f ca="1">DEVSQ(C21:C35)</f>
        <v>1.2003156213991771E-2</v>
      </c>
      <c r="K26">
        <f ca="1">SQRT(H31/F26)</f>
        <v>2.9212620918067873E-2</v>
      </c>
      <c r="L26">
        <f ca="1">H26-K26*_xlfn.T.INV.2T(K22,G31)</f>
        <v>1.6058034931350912E-3</v>
      </c>
      <c r="M26">
        <f ca="1">H26+K26*_xlfn.T.INV.2T(K22,G31)</f>
        <v>0.11951271502538344</v>
      </c>
      <c r="N26" s="37"/>
      <c r="O26" t="s">
        <v>242</v>
      </c>
      <c r="P26" s="53">
        <f ca="1">P24^2/P25</f>
        <v>21660</v>
      </c>
      <c r="Q26" s="54">
        <f t="shared" ref="Q26:R26" ca="1" si="7">Q24^2/Q25</f>
        <v>3081.6666666666665</v>
      </c>
      <c r="R26" s="55">
        <f t="shared" ca="1" si="7"/>
        <v>4166.666666666667</v>
      </c>
      <c r="S26" s="56">
        <f ca="1">SUM(P26:R26)</f>
        <v>28908.333333333336</v>
      </c>
      <c r="T26" s="37"/>
      <c r="W26" s="37"/>
      <c r="AB26" s="37"/>
      <c r="AF26" s="37"/>
    </row>
    <row r="27" spans="1:32" x14ac:dyDescent="0.25">
      <c r="A27">
        <f ca="1">Performances!D10</f>
        <v>0.71174444444444451</v>
      </c>
      <c r="B27">
        <f ca="1">Performances!D34</f>
        <v>3.78E-2</v>
      </c>
      <c r="C27">
        <f ca="1">Performances!D58</f>
        <v>3.4477777777777781E-2</v>
      </c>
      <c r="E27" s="34"/>
      <c r="F27" s="34"/>
      <c r="G27" s="34"/>
      <c r="H27" s="34"/>
      <c r="I27" s="34"/>
      <c r="J27" s="34"/>
      <c r="K27" s="34"/>
      <c r="L27" s="34"/>
      <c r="M27" s="34"/>
      <c r="N27" s="37"/>
      <c r="O27" t="s">
        <v>243</v>
      </c>
      <c r="S27" s="56">
        <f ca="1">12*S26/(S25*(S25+1))-3*(S25+1)</f>
        <v>29.584541062801947</v>
      </c>
      <c r="T27" s="37"/>
      <c r="U27" s="57" t="s">
        <v>244</v>
      </c>
      <c r="V27" s="57"/>
      <c r="W27" s="37"/>
      <c r="AB27" s="37"/>
      <c r="AF27" s="37"/>
    </row>
    <row r="28" spans="1:32" ht="13.8" thickBot="1" x14ac:dyDescent="0.3">
      <c r="A28">
        <f ca="1">Performances!D11</f>
        <v>1.1443777777777777</v>
      </c>
      <c r="B28">
        <f ca="1">Performances!D35</f>
        <v>7.0500000000000007E-2</v>
      </c>
      <c r="C28">
        <f ca="1">Performances!D59</f>
        <v>2.3866666666666668E-2</v>
      </c>
      <c r="E28" t="s">
        <v>245</v>
      </c>
      <c r="N28" s="37"/>
      <c r="O28" t="s">
        <v>246</v>
      </c>
      <c r="S28" s="56">
        <f ca="1">S27/(1-[1]!TiesCorrection(A21:C35)/(45*(45^2-1)))</f>
        <v>29.584541062801947</v>
      </c>
      <c r="T28" s="37"/>
      <c r="U28" t="s">
        <v>247</v>
      </c>
      <c r="V28" s="45">
        <f ca="1">[1]!FKTEST(A21:C35)</f>
        <v>2.3851326689658947E-3</v>
      </c>
      <c r="W28" s="37"/>
      <c r="AB28" s="37"/>
      <c r="AF28" s="37"/>
    </row>
    <row r="29" spans="1:32" ht="13.8" thickTop="1" x14ac:dyDescent="0.25">
      <c r="A29">
        <f ca="1">Performances!D12</f>
        <v>0.9603666666666667</v>
      </c>
      <c r="B29">
        <f ca="1">Performances!D36</f>
        <v>5.5466666666666671E-2</v>
      </c>
      <c r="C29">
        <f ca="1">Performances!D60</f>
        <v>7.2444444444444464E-2</v>
      </c>
      <c r="E29" s="39" t="s">
        <v>248</v>
      </c>
      <c r="F29" s="39" t="s">
        <v>232</v>
      </c>
      <c r="G29" s="39" t="s">
        <v>249</v>
      </c>
      <c r="H29" s="39" t="s">
        <v>250</v>
      </c>
      <c r="I29" s="39" t="s">
        <v>251</v>
      </c>
      <c r="J29" s="39" t="s">
        <v>252</v>
      </c>
      <c r="K29" s="39" t="s">
        <v>253</v>
      </c>
      <c r="L29" s="39" t="s">
        <v>254</v>
      </c>
      <c r="M29" s="39" t="s">
        <v>255</v>
      </c>
      <c r="N29" s="37"/>
      <c r="O29" t="s">
        <v>249</v>
      </c>
      <c r="S29" s="56">
        <f>COUNTA(P22:R22)-1</f>
        <v>2</v>
      </c>
      <c r="T29" s="37"/>
      <c r="W29" s="37"/>
      <c r="AB29" s="37"/>
      <c r="AF29" s="37"/>
    </row>
    <row r="30" spans="1:32" x14ac:dyDescent="0.25">
      <c r="A30">
        <f ca="1">Performances!D13</f>
        <v>0.79348888888888902</v>
      </c>
      <c r="B30">
        <f ca="1">Performances!D37</f>
        <v>4.4933333333333339E-2</v>
      </c>
      <c r="C30">
        <f ca="1">Performances!D61</f>
        <v>0.10207777777777777</v>
      </c>
      <c r="E30" t="s">
        <v>256</v>
      </c>
      <c r="F30">
        <f ca="1">F32-F31</f>
        <v>7.5119144559176938</v>
      </c>
      <c r="G30">
        <f>COUNTA(E24:E26)-1</f>
        <v>2</v>
      </c>
      <c r="H30">
        <f ca="1">F30/G30</f>
        <v>3.7559572279588469</v>
      </c>
      <c r="I30">
        <f ca="1">H30/H31</f>
        <v>293.41906767292147</v>
      </c>
      <c r="J30" s="45">
        <f ca="1">_xlfn.F.DIST.RT(I30,G30,G31)</f>
        <v>2.0841011931765257E-25</v>
      </c>
      <c r="K30">
        <f ca="1">_xlfn.F.INV.RT(K22,G30,G31)</f>
        <v>3.2199422931761248</v>
      </c>
      <c r="L30">
        <f ca="1">SQRT(DEVSQ(H24:H26)/(H31*G30))</f>
        <v>4.4228125868269359</v>
      </c>
      <c r="M30">
        <f ca="1">(F32-G32*H31)/(F32+H31)</f>
        <v>0.92855307185346825</v>
      </c>
      <c r="N30" s="37"/>
      <c r="O30" t="s">
        <v>211</v>
      </c>
      <c r="S30" s="94">
        <f ca="1">_xlfn.CHISQ.DIST.RT(S28,S29)</f>
        <v>3.76529088875681E-7</v>
      </c>
      <c r="T30" s="37"/>
      <c r="W30" s="37"/>
      <c r="AB30" s="37"/>
      <c r="AF30" s="37"/>
    </row>
    <row r="31" spans="1:32" x14ac:dyDescent="0.25">
      <c r="A31">
        <f ca="1">Performances!D14</f>
        <v>0.93874444444444449</v>
      </c>
      <c r="B31">
        <f ca="1">Performances!D38</f>
        <v>2.6844444444444442E-2</v>
      </c>
      <c r="C31">
        <f ca="1">Performances!D62</f>
        <v>3.273333333333333E-2</v>
      </c>
      <c r="E31" t="s">
        <v>257</v>
      </c>
      <c r="F31">
        <f ca="1">SUM(J24:J26)</f>
        <v>0.53762764916872419</v>
      </c>
      <c r="G31">
        <f ca="1">G32-G30</f>
        <v>42</v>
      </c>
      <c r="H31">
        <f ca="1">F31/G31</f>
        <v>1.2800658313541052E-2</v>
      </c>
      <c r="N31" s="37"/>
      <c r="O31" t="s">
        <v>212</v>
      </c>
      <c r="S31" s="56">
        <v>0.05</v>
      </c>
      <c r="T31" s="37"/>
      <c r="W31" s="37"/>
      <c r="AB31" s="37"/>
      <c r="AF31" s="37"/>
    </row>
    <row r="32" spans="1:32" x14ac:dyDescent="0.25">
      <c r="A32">
        <f ca="1">Performances!D15</f>
        <v>0.82277777777777783</v>
      </c>
      <c r="B32">
        <f ca="1">Performances!D39</f>
        <v>1.2322222222222222E-2</v>
      </c>
      <c r="C32">
        <f ca="1">Performances!D63</f>
        <v>6.7344444444444443E-2</v>
      </c>
      <c r="E32" s="32" t="s">
        <v>258</v>
      </c>
      <c r="F32" s="32">
        <f ca="1">DEVSQ(A21:C35)</f>
        <v>8.0495421050864184</v>
      </c>
      <c r="G32" s="32">
        <f ca="1">COUNT(A21:C35)-1</f>
        <v>44</v>
      </c>
      <c r="H32" s="32">
        <f ca="1">F32/G32</f>
        <v>0.18294413875196405</v>
      </c>
      <c r="I32" s="32"/>
      <c r="J32" s="32"/>
      <c r="K32" s="32"/>
      <c r="L32" s="32"/>
      <c r="M32" s="32"/>
      <c r="N32" s="37"/>
      <c r="O32" t="s">
        <v>259</v>
      </c>
      <c r="S32" s="58" t="str">
        <f ca="1">IF(S30&lt;S31,"yes","no")</f>
        <v>yes</v>
      </c>
      <c r="T32" s="37"/>
      <c r="W32" s="37"/>
      <c r="AB32" s="37"/>
      <c r="AF32" s="37"/>
    </row>
    <row r="33" spans="1:32" x14ac:dyDescent="0.25">
      <c r="A33">
        <f ca="1">Performances!D16</f>
        <v>0.8980111111111112</v>
      </c>
      <c r="B33">
        <f ca="1">Performances!D40</f>
        <v>2.8988888888888883E-2</v>
      </c>
      <c r="C33">
        <f ca="1">Performances!D64</f>
        <v>3.5755555555555554E-2</v>
      </c>
      <c r="N33" s="37"/>
      <c r="T33" s="37"/>
      <c r="W33" s="37"/>
      <c r="AB33" s="37"/>
      <c r="AF33" s="37"/>
    </row>
    <row r="34" spans="1:32" x14ac:dyDescent="0.25">
      <c r="A34">
        <f ca="1">Performances!D17</f>
        <v>0.88434444444444438</v>
      </c>
      <c r="B34">
        <f ca="1">Performances!D41</f>
        <v>6.2955555555555556E-2</v>
      </c>
      <c r="C34">
        <f ca="1">Performances!D65</f>
        <v>6.2422222222222233E-2</v>
      </c>
      <c r="N34" s="37"/>
      <c r="T34" s="37"/>
      <c r="W34" s="37"/>
      <c r="AB34" s="37"/>
      <c r="AF34" s="37"/>
    </row>
    <row r="35" spans="1:32" x14ac:dyDescent="0.25">
      <c r="A35">
        <f ca="1">Performances!D18</f>
        <v>1.0081444444444445</v>
      </c>
      <c r="B35">
        <f ca="1">Performances!D42</f>
        <v>2.0855555555555554E-2</v>
      </c>
      <c r="C35">
        <f ca="1">Performances!D66</f>
        <v>0.13400000000000001</v>
      </c>
      <c r="N35" s="37"/>
      <c r="T35" s="37"/>
      <c r="W35" s="37"/>
      <c r="AB35" s="37"/>
      <c r="AF35" s="37"/>
    </row>
    <row r="37" spans="1:32" x14ac:dyDescent="0.25">
      <c r="A37" s="135" t="s">
        <v>188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</row>
    <row r="38" spans="1:32" x14ac:dyDescent="0.25">
      <c r="A38" s="36" t="s">
        <v>184</v>
      </c>
      <c r="B38" s="36" t="s">
        <v>204</v>
      </c>
      <c r="C38" s="36" t="s">
        <v>205</v>
      </c>
      <c r="E38" s="146" t="s">
        <v>216</v>
      </c>
      <c r="F38" s="146"/>
      <c r="G38" s="146"/>
      <c r="H38" s="146"/>
      <c r="I38" s="146"/>
      <c r="J38" s="146"/>
      <c r="K38" s="146"/>
      <c r="L38" s="146"/>
      <c r="M38" s="146"/>
      <c r="N38" s="143"/>
      <c r="O38" s="138" t="s">
        <v>217</v>
      </c>
      <c r="P38" s="139"/>
      <c r="Q38" s="139"/>
      <c r="R38" s="139"/>
      <c r="S38" s="139"/>
      <c r="T38" s="140"/>
      <c r="U38" s="141" t="s">
        <v>218</v>
      </c>
      <c r="V38" s="142"/>
      <c r="W38" s="143"/>
      <c r="X38" s="141" t="s">
        <v>219</v>
      </c>
      <c r="Y38" s="142"/>
      <c r="Z38" s="142"/>
      <c r="AA38" s="142"/>
      <c r="AB38" s="143"/>
      <c r="AC38" s="138" t="s">
        <v>220</v>
      </c>
      <c r="AD38" s="139"/>
      <c r="AE38" s="139"/>
      <c r="AF38" s="140"/>
    </row>
    <row r="39" spans="1:32" ht="13.8" thickBot="1" x14ac:dyDescent="0.3">
      <c r="A39">
        <f ca="1">Performances!F4</f>
        <v>0.8207888888888889</v>
      </c>
      <c r="B39">
        <f ca="1">Performances!F28</f>
        <v>8.7011111111111122E-2</v>
      </c>
      <c r="C39">
        <f ca="1">Performances!F52</f>
        <v>2.2611111111111113E-2</v>
      </c>
      <c r="N39" s="37"/>
      <c r="T39" s="37"/>
      <c r="W39" s="37"/>
      <c r="AB39" s="37"/>
      <c r="AF39" s="37"/>
    </row>
    <row r="40" spans="1:32" ht="14.4" thickTop="1" thickBot="1" x14ac:dyDescent="0.3">
      <c r="A40">
        <f ca="1">Performances!F5</f>
        <v>0.91754444444444438</v>
      </c>
      <c r="B40">
        <f ca="1">Performances!F29</f>
        <v>1.5311111111111112E-2</v>
      </c>
      <c r="C40">
        <f ca="1">Performances!F53</f>
        <v>7.3566666666666655E-2</v>
      </c>
      <c r="E40" t="s">
        <v>221</v>
      </c>
      <c r="J40" t="s">
        <v>222</v>
      </c>
      <c r="K40">
        <v>0.05</v>
      </c>
      <c r="N40" s="37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7"/>
      <c r="U40" t="s">
        <v>223</v>
      </c>
      <c r="V40" s="38" t="s">
        <v>211</v>
      </c>
      <c r="W40" s="37"/>
      <c r="X40" s="39" t="s">
        <v>224</v>
      </c>
      <c r="Y40" s="39" t="s">
        <v>225</v>
      </c>
      <c r="Z40" s="39" t="s">
        <v>211</v>
      </c>
      <c r="AA40" s="39" t="s">
        <v>226</v>
      </c>
      <c r="AB40" s="37"/>
      <c r="AC40" s="39" t="s">
        <v>224</v>
      </c>
      <c r="AD40" s="39" t="s">
        <v>225</v>
      </c>
      <c r="AE40" s="39" t="s">
        <v>211</v>
      </c>
      <c r="AF40" s="40" t="s">
        <v>226</v>
      </c>
    </row>
    <row r="41" spans="1:32" ht="13.8" thickTop="1" x14ac:dyDescent="0.25">
      <c r="A41">
        <f ca="1">Performances!F6</f>
        <v>1.1862111111111111</v>
      </c>
      <c r="B41">
        <f ca="1">Performances!F30</f>
        <v>3.6200000000000003E-2</v>
      </c>
      <c r="C41">
        <f ca="1">Performances!F54</f>
        <v>4.183333333333334E-2</v>
      </c>
      <c r="E41" s="39" t="s">
        <v>227</v>
      </c>
      <c r="F41" s="39" t="s">
        <v>228</v>
      </c>
      <c r="G41" s="39" t="s">
        <v>229</v>
      </c>
      <c r="H41" s="39" t="s">
        <v>230</v>
      </c>
      <c r="I41" s="39" t="s">
        <v>231</v>
      </c>
      <c r="J41" s="39" t="s">
        <v>232</v>
      </c>
      <c r="K41" s="39" t="s">
        <v>233</v>
      </c>
      <c r="L41" s="39" t="s">
        <v>234</v>
      </c>
      <c r="M41" s="39" t="s">
        <v>235</v>
      </c>
      <c r="N41" s="37"/>
      <c r="O41" t="s">
        <v>236</v>
      </c>
      <c r="P41" s="41">
        <f ca="1">MEDIAN(A39:A53)</f>
        <v>0.8893888888888889</v>
      </c>
      <c r="Q41" s="42">
        <f t="shared" ref="Q41:R41" ca="1" si="9">MEDIAN(B39:B53)</f>
        <v>3.4033333333333332E-2</v>
      </c>
      <c r="R41" s="43">
        <f t="shared" ca="1" si="9"/>
        <v>5.1655555555555566E-2</v>
      </c>
      <c r="T41" s="37"/>
      <c r="U41" t="s">
        <v>237</v>
      </c>
      <c r="V41" s="44">
        <f ca="1">[1]!LEVENE(A39:C53)</f>
        <v>1.168079837299274E-7</v>
      </c>
      <c r="W41" s="37"/>
      <c r="X41" t="str">
        <f>A38</f>
        <v>Groupe 1</v>
      </c>
      <c r="Y41" t="str">
        <f>B38</f>
        <v>Groupe 2</v>
      </c>
      <c r="Z41" s="45">
        <f ca="1">_xlfn.T.TEST(A39:A53,B39:B53,2,3)</f>
        <v>9.2020599477275122E-11</v>
      </c>
      <c r="AA41">
        <f ca="1">ABS(AVERAGE(A39:A53)-AVERAGE(B39:B53))</f>
        <v>0.78407703703703713</v>
      </c>
      <c r="AB41" s="37"/>
      <c r="AC41" t="str">
        <f>A38</f>
        <v>Groupe 1</v>
      </c>
      <c r="AD41" s="45" t="str">
        <f>B38</f>
        <v>Groupe 2</v>
      </c>
      <c r="AE41" s="89">
        <f ca="1">[1]!MWTEST(A39:A53,B39:B53)</f>
        <v>3.3918213908634698E-6</v>
      </c>
      <c r="AF41" s="37">
        <f ca="1">ABS(AVERAGE(A39:A53)-AVERAGE(B39:B53))</f>
        <v>0.78407703703703713</v>
      </c>
    </row>
    <row r="42" spans="1:32" x14ac:dyDescent="0.25">
      <c r="A42">
        <f ca="1">Performances!F7</f>
        <v>1.0447222222222223</v>
      </c>
      <c r="B42">
        <f ca="1">Performances!F31</f>
        <v>0.20443333333333336</v>
      </c>
      <c r="C42">
        <f ca="1">Performances!F55</f>
        <v>5.1655555555555566E-2</v>
      </c>
      <c r="E42" t="str">
        <f>A38</f>
        <v>Groupe 1</v>
      </c>
      <c r="F42">
        <f ca="1">COUNT(A39:A53)</f>
        <v>15</v>
      </c>
      <c r="G42">
        <f ca="1">SUM(A39:A53)</f>
        <v>12.506766666666667</v>
      </c>
      <c r="H42">
        <f ca="1">AVERAGE(A39:A53)</f>
        <v>0.83378444444444455</v>
      </c>
      <c r="I42">
        <f ca="1">_xlfn.VAR.S(A39:A53)</f>
        <v>3.7847289908289179E-2</v>
      </c>
      <c r="J42">
        <f ca="1">DEVSQ(A39:A53)</f>
        <v>0.52986205871604919</v>
      </c>
      <c r="K42">
        <f ca="1">SQRT(H49/F42)</f>
        <v>3.0222294882248302E-2</v>
      </c>
      <c r="L42">
        <f ca="1">H42-K42*_xlfn.T.INV.2T(K40,G49)</f>
        <v>0.77279338412539567</v>
      </c>
      <c r="M42">
        <f ca="1">H42+K42*_xlfn.T.INV.2T(K40,G49)</f>
        <v>0.89477550476349343</v>
      </c>
      <c r="N42" s="37"/>
      <c r="O42" t="s">
        <v>238</v>
      </c>
      <c r="P42" s="46">
        <f ca="1">[1]!RANK_SUM(A39:C53, 1,1)</f>
        <v>570</v>
      </c>
      <c r="Q42" s="30">
        <f ca="1">[1]!RANK_SUM(A39:C53, 2,1)</f>
        <v>200</v>
      </c>
      <c r="R42" s="47">
        <f ca="1">[1]!RANK_SUM(A39:C53, 3,1)</f>
        <v>265</v>
      </c>
      <c r="T42" s="37"/>
      <c r="U42" t="s">
        <v>239</v>
      </c>
      <c r="V42" s="48">
        <f ca="1">[1]!LEVENE(A39:C53,1)</f>
        <v>6.3243832967296854E-6</v>
      </c>
      <c r="W42" s="37"/>
      <c r="X42" t="str">
        <f>A38</f>
        <v>Groupe 1</v>
      </c>
      <c r="Y42" t="str">
        <f>C38</f>
        <v>Groupe 3</v>
      </c>
      <c r="Z42" s="45">
        <f ca="1">_xlfn.T.TEST(A39:A53,C39:C53,2,3)</f>
        <v>1.9103128660818888E-10</v>
      </c>
      <c r="AA42">
        <f ca="1">ABS(AVERAGE(A39:A53)-AVERAGE(C39:C53))</f>
        <v>0.77593703703703709</v>
      </c>
      <c r="AB42" s="37"/>
      <c r="AC42" t="str">
        <f>A38</f>
        <v>Groupe 1</v>
      </c>
      <c r="AD42" s="45" t="str">
        <f>C38</f>
        <v>Groupe 3</v>
      </c>
      <c r="AE42" s="89">
        <f ca="1">[1]!MWTEST(A39:A53,C39:C53)</f>
        <v>3.3918213908634698E-6</v>
      </c>
      <c r="AF42" s="37">
        <f ca="1">ABS(AVERAGE(A39:A53)-AVERAGE(C39:C53))</f>
        <v>0.77593703703703709</v>
      </c>
    </row>
    <row r="43" spans="1:32" x14ac:dyDescent="0.25">
      <c r="A43">
        <f ca="1">Performances!F8</f>
        <v>0.64536666666666676</v>
      </c>
      <c r="B43">
        <f ca="1">Performances!F32</f>
        <v>2.5311111111111111E-2</v>
      </c>
      <c r="C43">
        <f ca="1">Performances!F56</f>
        <v>3.977777777777778E-2</v>
      </c>
      <c r="E43" t="str">
        <f>B38</f>
        <v>Groupe 2</v>
      </c>
      <c r="F43">
        <f ca="1">COUNT(B39:B53)</f>
        <v>15</v>
      </c>
      <c r="G43">
        <f ca="1">SUM(B39:B53)</f>
        <v>0.74561111111111122</v>
      </c>
      <c r="H43">
        <f ca="1">AVERAGE(B39:B53)</f>
        <v>4.9707407407407415E-2</v>
      </c>
      <c r="I43">
        <f ca="1">_xlfn.VAR.S(B39:B53)</f>
        <v>2.1861980188124623E-3</v>
      </c>
      <c r="J43">
        <f ca="1">DEVSQ(B39:B53)</f>
        <v>3.060677226337449E-2</v>
      </c>
      <c r="K43">
        <f ca="1">SQRT(H49/F43)</f>
        <v>3.0222294882248302E-2</v>
      </c>
      <c r="L43">
        <f ca="1">H43-K43*_xlfn.T.INV.2T(K40,G49)</f>
        <v>-1.1283652911641448E-2</v>
      </c>
      <c r="M43">
        <f ca="1">H43+K43*_xlfn.T.INV.2T(K40,G49)</f>
        <v>0.11069846772645628</v>
      </c>
      <c r="N43" s="37"/>
      <c r="O43" t="s">
        <v>240</v>
      </c>
      <c r="P43" s="46">
        <f ca="1">COUNT(A39:A53)</f>
        <v>15</v>
      </c>
      <c r="Q43" s="30">
        <f t="shared" ref="Q43:R43" ca="1" si="10">COUNT(B39:B53)</f>
        <v>15</v>
      </c>
      <c r="R43" s="47">
        <f t="shared" ca="1" si="10"/>
        <v>15</v>
      </c>
      <c r="S43" s="49">
        <f ca="1">SUM(P43:R43)</f>
        <v>45</v>
      </c>
      <c r="T43" s="37"/>
      <c r="U43" t="s">
        <v>241</v>
      </c>
      <c r="V43" s="50">
        <f ca="1">[1]!LEVENE(A39:C53,-1)</f>
        <v>1.168079837299274E-7</v>
      </c>
      <c r="W43" s="37"/>
      <c r="X43" s="32" t="str">
        <f>B38</f>
        <v>Groupe 2</v>
      </c>
      <c r="Y43" s="32" t="str">
        <f>C38</f>
        <v>Groupe 3</v>
      </c>
      <c r="Z43" s="51">
        <f ca="1">_xlfn.T.TEST(B39:B53,C39:C53,2,3)</f>
        <v>0.5854567412643461</v>
      </c>
      <c r="AA43" s="32">
        <f ca="1">ABS(AVERAGE(B39:B53)-AVERAGE(C39:C53))</f>
        <v>8.1399999999999945E-3</v>
      </c>
      <c r="AB43" s="37"/>
      <c r="AC43" s="32" t="str">
        <f>B38</f>
        <v>Groupe 2</v>
      </c>
      <c r="AD43" s="51" t="str">
        <f>C38</f>
        <v>Groupe 3</v>
      </c>
      <c r="AE43" s="51">
        <f ca="1">[1]!MWTEST(B39:B53,C39:C53)</f>
        <v>0.18441006922163639</v>
      </c>
      <c r="AF43" s="52">
        <f ca="1">ABS(AVERAGE(B39:B53)-AVERAGE(C39:C53))</f>
        <v>8.1399999999999945E-3</v>
      </c>
    </row>
    <row r="44" spans="1:32" x14ac:dyDescent="0.25">
      <c r="A44">
        <f ca="1">Performances!F9</f>
        <v>0.8893888888888889</v>
      </c>
      <c r="B44">
        <f ca="1">Performances!F33</f>
        <v>4.8577777777777782E-2</v>
      </c>
      <c r="C44">
        <f ca="1">Performances!F57</f>
        <v>5.5022222222222222E-2</v>
      </c>
      <c r="E44" t="str">
        <f>C38</f>
        <v>Groupe 3</v>
      </c>
      <c r="F44">
        <f ca="1">COUNT(C39:C53)</f>
        <v>15</v>
      </c>
      <c r="G44">
        <f ca="1">SUM(C39:C53)</f>
        <v>0.8677111111111111</v>
      </c>
      <c r="H44">
        <f ca="1">AVERAGE(C39:C53)</f>
        <v>5.784740740740741E-2</v>
      </c>
      <c r="I44">
        <f ca="1">_xlfn.VAR.S(C39:C53)</f>
        <v>1.0689319306290423E-3</v>
      </c>
      <c r="J44">
        <f ca="1">DEVSQ(C39:C53)</f>
        <v>1.4965047028806588E-2</v>
      </c>
      <c r="K44">
        <f ca="1">SQRT(H49/F44)</f>
        <v>3.0222294882248302E-2</v>
      </c>
      <c r="L44">
        <f ca="1">H44-K44*_xlfn.T.INV.2T(K40,G49)</f>
        <v>-3.1436529116414536E-3</v>
      </c>
      <c r="M44">
        <f ca="1">H44+K44*_xlfn.T.INV.2T(K40,G49)</f>
        <v>0.11883846772645627</v>
      </c>
      <c r="N44" s="37"/>
      <c r="O44" t="s">
        <v>242</v>
      </c>
      <c r="P44" s="53">
        <f ca="1">P42^2/P43</f>
        <v>21660</v>
      </c>
      <c r="Q44" s="54">
        <f t="shared" ref="Q44:R44" ca="1" si="11">Q42^2/Q43</f>
        <v>2666.6666666666665</v>
      </c>
      <c r="R44" s="55">
        <f t="shared" ca="1" si="11"/>
        <v>4681.666666666667</v>
      </c>
      <c r="S44" s="56">
        <f ca="1">SUM(P44:R44)</f>
        <v>29008.333333333336</v>
      </c>
      <c r="T44" s="37"/>
      <c r="W44" s="37"/>
      <c r="AB44" s="37"/>
      <c r="AF44" s="37"/>
    </row>
    <row r="45" spans="1:32" x14ac:dyDescent="0.25">
      <c r="A45">
        <f ca="1">Performances!F10</f>
        <v>0.60884444444444441</v>
      </c>
      <c r="B45">
        <f ca="1">Performances!F34</f>
        <v>4.7555555555555559E-2</v>
      </c>
      <c r="C45">
        <f ca="1">Performances!F58</f>
        <v>2.9088888888888893E-2</v>
      </c>
      <c r="E45" s="34"/>
      <c r="F45" s="34"/>
      <c r="G45" s="34"/>
      <c r="H45" s="34"/>
      <c r="I45" s="34"/>
      <c r="J45" s="34"/>
      <c r="K45" s="34"/>
      <c r="L45" s="34"/>
      <c r="M45" s="34"/>
      <c r="N45" s="37"/>
      <c r="O45" t="s">
        <v>243</v>
      </c>
      <c r="S45" s="56">
        <f ca="1">12*S44/(S43*(S43+1))-3*(S43+1)</f>
        <v>30.164251207729478</v>
      </c>
      <c r="T45" s="37"/>
      <c r="U45" s="57" t="s">
        <v>244</v>
      </c>
      <c r="V45" s="57"/>
      <c r="W45" s="37"/>
      <c r="AB45" s="37"/>
      <c r="AF45" s="37"/>
    </row>
    <row r="46" spans="1:32" ht="13.8" thickBot="1" x14ac:dyDescent="0.3">
      <c r="A46">
        <f ca="1">Performances!F11</f>
        <v>0.97118888888888877</v>
      </c>
      <c r="B46">
        <f ca="1">Performances!F35</f>
        <v>4.8555555555555553E-2</v>
      </c>
      <c r="C46">
        <f ca="1">Performances!F59</f>
        <v>0.13298888888888891</v>
      </c>
      <c r="E46" t="s">
        <v>245</v>
      </c>
      <c r="N46" s="37"/>
      <c r="O46" t="s">
        <v>246</v>
      </c>
      <c r="S46" s="56">
        <f ca="1">S45/(1-[1]!TiesCorrection(A39:C53)/(45*(45^2-1)))</f>
        <v>30.164251207729478</v>
      </c>
      <c r="T46" s="37"/>
      <c r="U46" t="s">
        <v>247</v>
      </c>
      <c r="V46" s="45">
        <f ca="1">[1]!FKTEST(A39:C53)</f>
        <v>5.0756345433944361E-5</v>
      </c>
      <c r="W46" s="37"/>
      <c r="AB46" s="37"/>
      <c r="AF46" s="37"/>
    </row>
    <row r="47" spans="1:32" ht="13.8" thickTop="1" x14ac:dyDescent="0.25">
      <c r="A47">
        <f ca="1">Performances!F12</f>
        <v>0.51054444444444458</v>
      </c>
      <c r="B47">
        <f ca="1">Performances!F36</f>
        <v>2.7088888888888888E-2</v>
      </c>
      <c r="C47">
        <f ca="1">Performances!F60</f>
        <v>6.6255555555555568E-2</v>
      </c>
      <c r="E47" s="39" t="s">
        <v>248</v>
      </c>
      <c r="F47" s="39" t="s">
        <v>232</v>
      </c>
      <c r="G47" s="39" t="s">
        <v>249</v>
      </c>
      <c r="H47" s="39" t="s">
        <v>250</v>
      </c>
      <c r="I47" s="39" t="s">
        <v>251</v>
      </c>
      <c r="J47" s="39" t="s">
        <v>252</v>
      </c>
      <c r="K47" s="39" t="s">
        <v>253</v>
      </c>
      <c r="L47" s="39" t="s">
        <v>254</v>
      </c>
      <c r="M47" s="39" t="s">
        <v>255</v>
      </c>
      <c r="N47" s="37"/>
      <c r="O47" t="s">
        <v>249</v>
      </c>
      <c r="S47" s="56">
        <f>COUNTA(P40:R40)-1</f>
        <v>2</v>
      </c>
      <c r="T47" s="37"/>
      <c r="W47" s="37"/>
      <c r="AB47" s="37"/>
      <c r="AF47" s="37"/>
    </row>
    <row r="48" spans="1:32" x14ac:dyDescent="0.25">
      <c r="A48">
        <f ca="1">Performances!F13</f>
        <v>0.94518888888888897</v>
      </c>
      <c r="B48">
        <f ca="1">Performances!F37</f>
        <v>6.6333333333333327E-2</v>
      </c>
      <c r="C48">
        <f ca="1">Performances!F61</f>
        <v>8.1644444444444436E-2</v>
      </c>
      <c r="E48" t="s">
        <v>256</v>
      </c>
      <c r="F48">
        <f ca="1">F50-F49</f>
        <v>6.0846067252729767</v>
      </c>
      <c r="G48">
        <f>COUNTA(E42:E44)-1</f>
        <v>2</v>
      </c>
      <c r="H48">
        <f ca="1">F48/G48</f>
        <v>3.0423033626364884</v>
      </c>
      <c r="I48">
        <f ca="1">H48/H49</f>
        <v>222.05286500164132</v>
      </c>
      <c r="J48" s="45">
        <f ca="1">_xlfn.F.DIST.RT(I48,G48,G49)</f>
        <v>4.6439715488885921E-23</v>
      </c>
      <c r="K48">
        <f ca="1">_xlfn.F.INV.RT(K40,G48,G49)</f>
        <v>3.2199422931761248</v>
      </c>
      <c r="L48">
        <f ca="1">SQRT(DEVSQ(H42:H44)/(H49*G48))</f>
        <v>3.8475348384963013</v>
      </c>
      <c r="M48">
        <f ca="1">(F50-G50*H49)/(F50+H49)</f>
        <v>0.90761759259186547</v>
      </c>
      <c r="N48" s="37"/>
      <c r="O48" t="s">
        <v>211</v>
      </c>
      <c r="S48" s="94">
        <f ca="1">_xlfn.CHISQ.DIST.RT(S46,S47)</f>
        <v>2.8178383461697579E-7</v>
      </c>
      <c r="T48" s="37"/>
      <c r="W48" s="37"/>
      <c r="AB48" s="37"/>
      <c r="AF48" s="37"/>
    </row>
    <row r="49" spans="1:32" x14ac:dyDescent="0.25">
      <c r="A49">
        <f ca="1">Performances!F14</f>
        <v>0.92872222222222234</v>
      </c>
      <c r="B49">
        <f ca="1">Performances!F38</f>
        <v>2.3311111111111109E-2</v>
      </c>
      <c r="C49">
        <f ca="1">Performances!F62</f>
        <v>7.5444444444444448E-3</v>
      </c>
      <c r="E49" t="s">
        <v>257</v>
      </c>
      <c r="F49">
        <f ca="1">SUM(J42:J44)</f>
        <v>0.57543387800823032</v>
      </c>
      <c r="G49">
        <f ca="1">G50-G48</f>
        <v>42</v>
      </c>
      <c r="H49">
        <f ca="1">F49/G49</f>
        <v>1.3700806619243579E-2</v>
      </c>
      <c r="N49" s="37"/>
      <c r="O49" t="s">
        <v>212</v>
      </c>
      <c r="S49" s="56">
        <v>0.05</v>
      </c>
      <c r="T49" s="37"/>
      <c r="W49" s="37"/>
      <c r="AB49" s="37"/>
      <c r="AF49" s="37"/>
    </row>
    <row r="50" spans="1:32" x14ac:dyDescent="0.25">
      <c r="A50">
        <f ca="1">Performances!F15</f>
        <v>0.7199333333333332</v>
      </c>
      <c r="B50">
        <f ca="1">Performances!F39</f>
        <v>2.7377777777777775E-2</v>
      </c>
      <c r="C50">
        <f ca="1">Performances!F63</f>
        <v>3.3999999999999996E-2</v>
      </c>
      <c r="E50" s="32" t="s">
        <v>258</v>
      </c>
      <c r="F50" s="32">
        <f ca="1">DEVSQ(A39:C53)</f>
        <v>6.6600406032812067</v>
      </c>
      <c r="G50" s="32">
        <f ca="1">COUNT(A39:C53)-1</f>
        <v>44</v>
      </c>
      <c r="H50" s="32">
        <f ca="1">F50/G50</f>
        <v>0.15136455916548197</v>
      </c>
      <c r="I50" s="32"/>
      <c r="J50" s="32"/>
      <c r="K50" s="32"/>
      <c r="L50" s="32"/>
      <c r="M50" s="32"/>
      <c r="N50" s="37"/>
      <c r="O50" t="s">
        <v>259</v>
      </c>
      <c r="S50" s="58" t="str">
        <f ca="1">IF(S48&lt;S49,"yes","no")</f>
        <v>yes</v>
      </c>
      <c r="T50" s="37"/>
      <c r="W50" s="37"/>
      <c r="AB50" s="37"/>
      <c r="AF50" s="37"/>
    </row>
    <row r="51" spans="1:32" x14ac:dyDescent="0.25">
      <c r="A51">
        <f ca="1">Performances!F16</f>
        <v>0.75078888888888895</v>
      </c>
      <c r="B51">
        <f ca="1">Performances!F40</f>
        <v>3.3166666666666664E-2</v>
      </c>
      <c r="C51">
        <f ca="1">Performances!F64</f>
        <v>4.6388888888888896E-2</v>
      </c>
      <c r="N51" s="37"/>
      <c r="T51" s="37"/>
      <c r="W51" s="37"/>
      <c r="AB51" s="37"/>
      <c r="AF51" s="37"/>
    </row>
    <row r="52" spans="1:32" x14ac:dyDescent="0.25">
      <c r="A52">
        <f ca="1">Performances!F17</f>
        <v>0.56565555555555558</v>
      </c>
      <c r="B52">
        <f ca="1">Performances!F41</f>
        <v>3.4033333333333332E-2</v>
      </c>
      <c r="C52">
        <f ca="1">Performances!F65</f>
        <v>8.6277777777777773E-2</v>
      </c>
      <c r="N52" s="37"/>
      <c r="T52" s="37"/>
      <c r="W52" s="37"/>
      <c r="AB52" s="37"/>
      <c r="AF52" s="37"/>
    </row>
    <row r="53" spans="1:32" x14ac:dyDescent="0.25">
      <c r="A53">
        <f ca="1">Performances!F18</f>
        <v>1.0018777777777776</v>
      </c>
      <c r="B53">
        <f ca="1">Performances!F42</f>
        <v>2.1344444444444444E-2</v>
      </c>
      <c r="C53">
        <f ca="1">Performances!F66</f>
        <v>9.9055555555555549E-2</v>
      </c>
      <c r="N53" s="37"/>
      <c r="T53" s="37"/>
      <c r="W53" s="37"/>
      <c r="AB53" s="37"/>
      <c r="AF53" s="37"/>
    </row>
    <row r="55" spans="1:32" x14ac:dyDescent="0.25">
      <c r="A55" s="135" t="s">
        <v>189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</row>
    <row r="56" spans="1:32" x14ac:dyDescent="0.25">
      <c r="A56" s="36" t="s">
        <v>184</v>
      </c>
      <c r="B56" s="36" t="s">
        <v>204</v>
      </c>
      <c r="C56" s="36" t="s">
        <v>205</v>
      </c>
      <c r="E56" s="136" t="s">
        <v>216</v>
      </c>
      <c r="F56" s="136"/>
      <c r="G56" s="136"/>
      <c r="H56" s="136"/>
      <c r="I56" s="136"/>
      <c r="J56" s="136"/>
      <c r="K56" s="136"/>
      <c r="L56" s="136"/>
      <c r="M56" s="136"/>
      <c r="N56" s="137"/>
      <c r="O56" s="138" t="s">
        <v>217</v>
      </c>
      <c r="P56" s="139"/>
      <c r="Q56" s="139"/>
      <c r="R56" s="139"/>
      <c r="S56" s="139"/>
      <c r="T56" s="140"/>
      <c r="U56" s="141" t="s">
        <v>218</v>
      </c>
      <c r="V56" s="142"/>
      <c r="W56" s="143"/>
      <c r="X56" s="144" t="s">
        <v>219</v>
      </c>
      <c r="Y56" s="145"/>
      <c r="Z56" s="145"/>
      <c r="AA56" s="145"/>
      <c r="AB56" s="137"/>
      <c r="AC56" s="138" t="s">
        <v>220</v>
      </c>
      <c r="AD56" s="139"/>
      <c r="AE56" s="139"/>
      <c r="AF56" s="140"/>
    </row>
    <row r="57" spans="1:32" ht="13.8" thickBot="1" x14ac:dyDescent="0.3">
      <c r="A57">
        <f ca="1">Performances!H4</f>
        <v>0.737611111111111</v>
      </c>
      <c r="B57">
        <f ca="1">Performances!H28</f>
        <v>8.1888888888888886E-2</v>
      </c>
      <c r="C57">
        <f ca="1">Performances!H52</f>
        <v>3.0755555555555553E-2</v>
      </c>
      <c r="N57" s="37"/>
      <c r="T57" s="37"/>
      <c r="W57" s="37"/>
      <c r="AB57" s="37"/>
      <c r="AF57" s="37"/>
    </row>
    <row r="58" spans="1:32" ht="14.4" thickTop="1" thickBot="1" x14ac:dyDescent="0.3">
      <c r="A58">
        <f ca="1">Performances!H5</f>
        <v>0.8851</v>
      </c>
      <c r="B58">
        <f ca="1">Performances!H29</f>
        <v>4.1822222222222219E-2</v>
      </c>
      <c r="C58">
        <f ca="1">Performances!H53</f>
        <v>7.1766666666666659E-2</v>
      </c>
      <c r="E58" t="s">
        <v>221</v>
      </c>
      <c r="J58" t="s">
        <v>222</v>
      </c>
      <c r="K58">
        <v>0.05</v>
      </c>
      <c r="N58" s="37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7"/>
      <c r="U58" t="s">
        <v>223</v>
      </c>
      <c r="V58" s="38" t="s">
        <v>211</v>
      </c>
      <c r="W58" s="37"/>
      <c r="X58" s="39" t="s">
        <v>224</v>
      </c>
      <c r="Y58" s="39" t="s">
        <v>225</v>
      </c>
      <c r="Z58" s="39" t="s">
        <v>211</v>
      </c>
      <c r="AA58" s="39" t="s">
        <v>226</v>
      </c>
      <c r="AB58" s="37"/>
      <c r="AC58" s="39" t="s">
        <v>224</v>
      </c>
      <c r="AD58" s="39" t="s">
        <v>225</v>
      </c>
      <c r="AE58" s="39" t="s">
        <v>211</v>
      </c>
      <c r="AF58" s="40" t="s">
        <v>226</v>
      </c>
    </row>
    <row r="59" spans="1:32" ht="13.8" thickTop="1" x14ac:dyDescent="0.25">
      <c r="A59">
        <f ca="1">Performances!H6</f>
        <v>1.4937555555555557</v>
      </c>
      <c r="B59">
        <f ca="1">Performances!H30</f>
        <v>1.4311111111111111E-2</v>
      </c>
      <c r="C59">
        <f ca="1">Performances!H54</f>
        <v>5.5088888888888889E-2</v>
      </c>
      <c r="E59" s="39" t="s">
        <v>227</v>
      </c>
      <c r="F59" s="39" t="s">
        <v>228</v>
      </c>
      <c r="G59" s="39" t="s">
        <v>229</v>
      </c>
      <c r="H59" s="39" t="s">
        <v>230</v>
      </c>
      <c r="I59" s="39" t="s">
        <v>231</v>
      </c>
      <c r="J59" s="39" t="s">
        <v>232</v>
      </c>
      <c r="K59" s="39" t="s">
        <v>233</v>
      </c>
      <c r="L59" s="39" t="s">
        <v>234</v>
      </c>
      <c r="M59" s="39" t="s">
        <v>235</v>
      </c>
      <c r="N59" s="37"/>
      <c r="O59" t="s">
        <v>236</v>
      </c>
      <c r="P59" s="41">
        <f ca="1">MEDIAN(A57:A71)</f>
        <v>0.8851</v>
      </c>
      <c r="Q59" s="42">
        <f t="shared" ref="Q59:R59" ca="1" si="13">MEDIAN(B57:B71)</f>
        <v>4.1822222222222219E-2</v>
      </c>
      <c r="R59" s="43">
        <f t="shared" ca="1" si="13"/>
        <v>4.7755555555555551E-2</v>
      </c>
      <c r="T59" s="37"/>
      <c r="U59" t="s">
        <v>237</v>
      </c>
      <c r="V59" s="44">
        <f ca="1">[1]!LEVENE(A57:C71)</f>
        <v>1.9401848601052762E-6</v>
      </c>
      <c r="W59" s="37"/>
      <c r="X59" t="str">
        <f>A56</f>
        <v>Groupe 1</v>
      </c>
      <c r="Y59" t="str">
        <f>B56</f>
        <v>Groupe 2</v>
      </c>
      <c r="Z59" s="45">
        <f ca="1">_xlfn.T.TEST(A57:A71,B57:B71,2,3)</f>
        <v>1.2549419451839735E-9</v>
      </c>
      <c r="AA59">
        <f ca="1">ABS(AVERAGE(A57:A71)-AVERAGE(B57:B71))</f>
        <v>0.89361851851851859</v>
      </c>
      <c r="AB59" s="37"/>
      <c r="AC59" t="str">
        <f>A56</f>
        <v>Groupe 1</v>
      </c>
      <c r="AD59" s="45" t="str">
        <f>B56</f>
        <v>Groupe 2</v>
      </c>
      <c r="AE59" s="89">
        <f ca="1">[1]!MWTEST(A57:A71,B57:B71)</f>
        <v>3.3918213908634698E-6</v>
      </c>
      <c r="AF59" s="37">
        <f ca="1">ABS(AVERAGE(A57:A71)-AVERAGE(B57:B71))</f>
        <v>0.89361851851851859</v>
      </c>
    </row>
    <row r="60" spans="1:32" x14ac:dyDescent="0.25">
      <c r="A60">
        <f ca="1">Performances!H7</f>
        <v>1.2299333333333335</v>
      </c>
      <c r="B60">
        <f ca="1">Performances!H31</f>
        <v>0.17301111111111112</v>
      </c>
      <c r="C60">
        <f ca="1">Performances!H55</f>
        <v>2.7355555555555553E-2</v>
      </c>
      <c r="E60" t="str">
        <f>A56</f>
        <v>Groupe 1</v>
      </c>
      <c r="F60">
        <f ca="1">COUNT(A57:A71)</f>
        <v>15</v>
      </c>
      <c r="G60">
        <f ca="1">SUM(A57:A71)</f>
        <v>14.139666666666667</v>
      </c>
      <c r="H60">
        <f ca="1">AVERAGE(A57:A71)</f>
        <v>0.94264444444444451</v>
      </c>
      <c r="I60">
        <f ca="1">_xlfn.VAR.S(A57:A71)</f>
        <v>6.5374190176366725E-2</v>
      </c>
      <c r="J60">
        <f ca="1">DEVSQ(A57:A71)</f>
        <v>0.9152386624691361</v>
      </c>
      <c r="K60">
        <f ca="1">SQRT(H67/F60)</f>
        <v>3.8980542061765822E-2</v>
      </c>
      <c r="L60">
        <f ca="1">H60-K60*_xlfn.T.INV.2T(K58,G67)</f>
        <v>0.86397852574365008</v>
      </c>
      <c r="M60">
        <f ca="1">H60+K60*_xlfn.T.INV.2T(K58,G67)</f>
        <v>1.0213103631452389</v>
      </c>
      <c r="N60" s="37"/>
      <c r="O60" t="s">
        <v>238</v>
      </c>
      <c r="P60" s="46">
        <f ca="1">[1]!RANK_SUM(A57:C71, 1,1)</f>
        <v>570</v>
      </c>
      <c r="Q60" s="30">
        <f ca="1">[1]!RANK_SUM(A57:C71, 2,1)</f>
        <v>203</v>
      </c>
      <c r="R60" s="47">
        <f ca="1">[1]!RANK_SUM(A57:C71, 3,1)</f>
        <v>262</v>
      </c>
      <c r="T60" s="37"/>
      <c r="U60" t="s">
        <v>239</v>
      </c>
      <c r="V60" s="48">
        <f ca="1">[1]!LEVENE(A57:C71,1)</f>
        <v>1.0272474474071203E-4</v>
      </c>
      <c r="W60" s="37"/>
      <c r="X60" t="str">
        <f>A56</f>
        <v>Groupe 1</v>
      </c>
      <c r="Y60" t="str">
        <f>C56</f>
        <v>Groupe 3</v>
      </c>
      <c r="Z60" s="45">
        <f ca="1">_xlfn.T.TEST(A57:A71,C57:C71,2,3)</f>
        <v>1.5795293828408513E-9</v>
      </c>
      <c r="AA60">
        <f ca="1">ABS(AVERAGE(A57:A71)-AVERAGE(C57:C71))</f>
        <v>0.88342814814814818</v>
      </c>
      <c r="AB60" s="37"/>
      <c r="AC60" t="str">
        <f>A56</f>
        <v>Groupe 1</v>
      </c>
      <c r="AD60" s="45" t="str">
        <f>C56</f>
        <v>Groupe 3</v>
      </c>
      <c r="AE60" s="89">
        <f ca="1">[1]!MWTEST(A57:A71,C57:C71)</f>
        <v>3.3918213908634698E-6</v>
      </c>
      <c r="AF60" s="37">
        <f ca="1">ABS(AVERAGE(A57:A71)-AVERAGE(C57:C71))</f>
        <v>0.88342814814814818</v>
      </c>
    </row>
    <row r="61" spans="1:32" x14ac:dyDescent="0.25">
      <c r="A61">
        <f ca="1">Performances!H8</f>
        <v>0.52353333333333341</v>
      </c>
      <c r="B61">
        <f ca="1">Performances!H32</f>
        <v>2.251111111111111E-2</v>
      </c>
      <c r="C61">
        <f ca="1">Performances!H56</f>
        <v>5.8555555555555555E-2</v>
      </c>
      <c r="E61" t="str">
        <f>B56</f>
        <v>Groupe 2</v>
      </c>
      <c r="F61">
        <f ca="1">COUNT(B57:B71)</f>
        <v>15</v>
      </c>
      <c r="G61">
        <f ca="1">SUM(B57:B71)</f>
        <v>0.73538888888888887</v>
      </c>
      <c r="H61">
        <f ca="1">AVERAGE(B57:B71)</f>
        <v>4.9025925925925924E-2</v>
      </c>
      <c r="I61">
        <f ca="1">_xlfn.VAR.S(B57:B71)</f>
        <v>1.6418045443856548E-3</v>
      </c>
      <c r="J61">
        <f ca="1">DEVSQ(B57:B71)</f>
        <v>2.2985263621399181E-2</v>
      </c>
      <c r="K61">
        <f ca="1">SQRT(H67/F61)</f>
        <v>3.8980542061765822E-2</v>
      </c>
      <c r="L61">
        <f ca="1">H61-K61*_xlfn.T.INV.2T(K58,G67)</f>
        <v>-2.9639992774868514E-2</v>
      </c>
      <c r="M61">
        <f ca="1">H61+K61*_xlfn.T.INV.2T(K58,G67)</f>
        <v>0.12769184462672037</v>
      </c>
      <c r="N61" s="37"/>
      <c r="O61" t="s">
        <v>240</v>
      </c>
      <c r="P61" s="46">
        <f ca="1">COUNT(A57:A71)</f>
        <v>15</v>
      </c>
      <c r="Q61" s="30">
        <f t="shared" ref="Q61:R61" ca="1" si="14">COUNT(B57:B71)</f>
        <v>15</v>
      </c>
      <c r="R61" s="47">
        <f t="shared" ca="1" si="14"/>
        <v>15</v>
      </c>
      <c r="S61" s="49">
        <f ca="1">SUM(P61:R61)</f>
        <v>45</v>
      </c>
      <c r="T61" s="37"/>
      <c r="U61" t="s">
        <v>241</v>
      </c>
      <c r="V61" s="50">
        <f ca="1">[1]!LEVENE(A57:C71,-1)</f>
        <v>1.9401848601052762E-6</v>
      </c>
      <c r="W61" s="37"/>
      <c r="X61" s="32" t="str">
        <f>B56</f>
        <v>Groupe 2</v>
      </c>
      <c r="Y61" s="32" t="str">
        <f>C56</f>
        <v>Groupe 3</v>
      </c>
      <c r="Z61" s="51">
        <f ca="1">_xlfn.T.TEST(B57:B71,C57:C71,2,3)</f>
        <v>0.47738438564989227</v>
      </c>
      <c r="AA61" s="32">
        <f ca="1">ABS(AVERAGE(B57:B71)-AVERAGE(C57:C71))</f>
        <v>1.019037037037037E-2</v>
      </c>
      <c r="AB61" s="37"/>
      <c r="AC61" s="32" t="str">
        <f>B56</f>
        <v>Groupe 2</v>
      </c>
      <c r="AD61" s="51" t="str">
        <f>C56</f>
        <v>Groupe 3</v>
      </c>
      <c r="AE61" s="51">
        <f ca="1">[1]!MWTEST(B57:B71,C57:C71)</f>
        <v>0.22902896662469452</v>
      </c>
      <c r="AF61" s="52">
        <f ca="1">ABS(AVERAGE(B57:B71)-AVERAGE(C57:C71))</f>
        <v>1.019037037037037E-2</v>
      </c>
    </row>
    <row r="62" spans="1:32" x14ac:dyDescent="0.25">
      <c r="A62">
        <f ca="1">Performances!H9</f>
        <v>0.8284555555555555</v>
      </c>
      <c r="B62">
        <f ca="1">Performances!H33</f>
        <v>3.043333333333333E-2</v>
      </c>
      <c r="C62">
        <f ca="1">Performances!H57</f>
        <v>3.1188888888888894E-2</v>
      </c>
      <c r="E62" t="str">
        <f>C56</f>
        <v>Groupe 3</v>
      </c>
      <c r="F62">
        <f ca="1">COUNT(C57:C71)</f>
        <v>15</v>
      </c>
      <c r="G62">
        <f ca="1">SUM(C57:C71)</f>
        <v>0.88824444444444439</v>
      </c>
      <c r="H62">
        <f ca="1">AVERAGE(C57:C71)</f>
        <v>5.9216296296296295E-2</v>
      </c>
      <c r="I62">
        <f ca="1">_xlfn.VAR.S(C57:C71)</f>
        <v>1.3607249535567318E-3</v>
      </c>
      <c r="J62">
        <f ca="1">DEVSQ(C57:C71)</f>
        <v>1.9050149349794238E-2</v>
      </c>
      <c r="K62">
        <f ca="1">SQRT(H67/F62)</f>
        <v>3.8980542061765822E-2</v>
      </c>
      <c r="L62">
        <f ca="1">H62-K62*_xlfn.T.INV.2T(K58,G67)</f>
        <v>-1.9449622404498143E-2</v>
      </c>
      <c r="M62">
        <f ca="1">H62+K62*_xlfn.T.INV.2T(K58,G67)</f>
        <v>0.13788221499709075</v>
      </c>
      <c r="N62" s="37"/>
      <c r="O62" t="s">
        <v>242</v>
      </c>
      <c r="P62" s="53">
        <f ca="1">P60^2/P61</f>
        <v>21660</v>
      </c>
      <c r="Q62" s="54">
        <f t="shared" ref="Q62:R62" ca="1" si="15">Q60^2/Q61</f>
        <v>2747.2666666666669</v>
      </c>
      <c r="R62" s="55">
        <f t="shared" ca="1" si="15"/>
        <v>4576.2666666666664</v>
      </c>
      <c r="S62" s="56">
        <f ca="1">SUM(P62:R62)</f>
        <v>28983.533333333333</v>
      </c>
      <c r="T62" s="37"/>
      <c r="W62" s="37"/>
      <c r="AB62" s="37"/>
      <c r="AF62" s="37"/>
    </row>
    <row r="63" spans="1:32" x14ac:dyDescent="0.25">
      <c r="A63">
        <f ca="1">Performances!H10</f>
        <v>0.90658888888888889</v>
      </c>
      <c r="B63">
        <f ca="1">Performances!H34</f>
        <v>4.2311111111111105E-2</v>
      </c>
      <c r="C63">
        <f ca="1">Performances!H58</f>
        <v>4.4755555555555548E-2</v>
      </c>
      <c r="E63" s="34"/>
      <c r="F63" s="34"/>
      <c r="G63" s="34"/>
      <c r="H63" s="34"/>
      <c r="I63" s="34"/>
      <c r="J63" s="34"/>
      <c r="K63" s="34"/>
      <c r="L63" s="34"/>
      <c r="M63" s="34"/>
      <c r="N63" s="37"/>
      <c r="O63" t="s">
        <v>243</v>
      </c>
      <c r="S63" s="56">
        <f ca="1">12*S62/(S61*(S61+1))-3*(S61+1)</f>
        <v>30.02048309178744</v>
      </c>
      <c r="T63" s="37"/>
      <c r="U63" s="57" t="s">
        <v>244</v>
      </c>
      <c r="V63" s="57"/>
      <c r="W63" s="37"/>
      <c r="AB63" s="37"/>
      <c r="AF63" s="37"/>
    </row>
    <row r="64" spans="1:32" ht="13.8" thickBot="1" x14ac:dyDescent="0.3">
      <c r="A64">
        <f ca="1">Performances!H11</f>
        <v>1.3191111111111111</v>
      </c>
      <c r="B64">
        <f ca="1">Performances!H35</f>
        <v>7.7611111111111117E-2</v>
      </c>
      <c r="C64">
        <f ca="1">Performances!H59</f>
        <v>9.4377777777777769E-2</v>
      </c>
      <c r="E64" t="s">
        <v>245</v>
      </c>
      <c r="N64" s="37"/>
      <c r="O64" t="s">
        <v>246</v>
      </c>
      <c r="S64" s="56">
        <f ca="1">S63/(1-[1]!TiesCorrection(A57:C71)/(45*(45^2-1)))</f>
        <v>30.02048309178744</v>
      </c>
      <c r="T64" s="37"/>
      <c r="U64" t="s">
        <v>247</v>
      </c>
      <c r="V64" s="45">
        <f ca="1">[1]!FKTEST(A57:C71)</f>
        <v>9.6372179199333274E-5</v>
      </c>
      <c r="W64" s="37"/>
      <c r="AB64" s="37"/>
      <c r="AF64" s="37"/>
    </row>
    <row r="65" spans="1:32" ht="13.8" thickTop="1" x14ac:dyDescent="0.25">
      <c r="A65">
        <f ca="1">Performances!H12</f>
        <v>0.74126666666666663</v>
      </c>
      <c r="B65">
        <f ca="1">Performances!H36</f>
        <v>2.1033333333333334E-2</v>
      </c>
      <c r="C65">
        <f ca="1">Performances!H60</f>
        <v>6.0088888888888893E-2</v>
      </c>
      <c r="E65" s="39" t="s">
        <v>248</v>
      </c>
      <c r="F65" s="39" t="s">
        <v>232</v>
      </c>
      <c r="G65" s="39" t="s">
        <v>249</v>
      </c>
      <c r="H65" s="39" t="s">
        <v>250</v>
      </c>
      <c r="I65" s="39" t="s">
        <v>251</v>
      </c>
      <c r="J65" s="39" t="s">
        <v>252</v>
      </c>
      <c r="K65" s="39" t="s">
        <v>253</v>
      </c>
      <c r="L65" s="39" t="s">
        <v>254</v>
      </c>
      <c r="M65" s="39" t="s">
        <v>255</v>
      </c>
      <c r="N65" s="37"/>
      <c r="O65" t="s">
        <v>249</v>
      </c>
      <c r="S65" s="56">
        <f>COUNTA(P58:R58)-1</f>
        <v>2</v>
      </c>
      <c r="T65" s="37"/>
      <c r="W65" s="37"/>
      <c r="AB65" s="37"/>
      <c r="AF65" s="37"/>
    </row>
    <row r="66" spans="1:32" x14ac:dyDescent="0.25">
      <c r="A66">
        <f ca="1">Performances!H13</f>
        <v>1.1082666666666665</v>
      </c>
      <c r="B66">
        <f ca="1">Performances!H37</f>
        <v>4.2988888888888896E-2</v>
      </c>
      <c r="C66">
        <f ca="1">Performances!H61</f>
        <v>0.12714444444444442</v>
      </c>
      <c r="E66" t="s">
        <v>256</v>
      </c>
      <c r="F66">
        <f ca="1">F68-F67</f>
        <v>7.8955159661399161</v>
      </c>
      <c r="G66">
        <f>COUNTA(E60:E62)-1</f>
        <v>2</v>
      </c>
      <c r="H66">
        <f ca="1">F66/G66</f>
        <v>3.9477579830699581</v>
      </c>
      <c r="I66">
        <f ca="1">H66/H67</f>
        <v>173.20623167682717</v>
      </c>
      <c r="J66" s="45">
        <f ca="1">_xlfn.F.DIST.RT(I66,G66,G67)</f>
        <v>5.165100780768851E-21</v>
      </c>
      <c r="K66">
        <f ca="1">_xlfn.F.INV.RT(K58,G66,G67)</f>
        <v>3.2199422931761248</v>
      </c>
      <c r="L66">
        <f ca="1">SQRT(DEVSQ(H60:H62)/(H67*G66))</f>
        <v>3.3980997795515782</v>
      </c>
      <c r="M66">
        <f ca="1">(F68-G68*H67)/(F68+H67)</f>
        <v>0.88444129493838974</v>
      </c>
      <c r="N66" s="37"/>
      <c r="O66" t="s">
        <v>211</v>
      </c>
      <c r="S66" s="94">
        <f ca="1">_xlfn.CHISQ.DIST.RT(S64,S65)</f>
        <v>3.0278539615356782E-7</v>
      </c>
      <c r="T66" s="37"/>
      <c r="W66" s="37"/>
      <c r="AB66" s="37"/>
      <c r="AF66" s="37"/>
    </row>
    <row r="67" spans="1:32" x14ac:dyDescent="0.25">
      <c r="A67">
        <f ca="1">Performances!H14</f>
        <v>0.83506666666666662</v>
      </c>
      <c r="B67">
        <f ca="1">Performances!H38</f>
        <v>5.4822222222222224E-2</v>
      </c>
      <c r="C67">
        <f ca="1">Performances!H62</f>
        <v>1.5566666666666666E-2</v>
      </c>
      <c r="E67" t="s">
        <v>257</v>
      </c>
      <c r="F67">
        <f ca="1">SUM(J60:J62)</f>
        <v>0.9572740754403295</v>
      </c>
      <c r="G67">
        <f ca="1">G68-G66</f>
        <v>42</v>
      </c>
      <c r="H67">
        <f ca="1">F67/G67</f>
        <v>2.2792239891436417E-2</v>
      </c>
      <c r="N67" s="37"/>
      <c r="O67" t="s">
        <v>212</v>
      </c>
      <c r="S67" s="56">
        <v>0.05</v>
      </c>
      <c r="T67" s="37"/>
      <c r="W67" s="37"/>
      <c r="AB67" s="37"/>
      <c r="AF67" s="37"/>
    </row>
    <row r="68" spans="1:32" x14ac:dyDescent="0.25">
      <c r="A68">
        <f ca="1">Performances!H15</f>
        <v>0.84240000000000004</v>
      </c>
      <c r="B68">
        <f ca="1">Performances!H39</f>
        <v>1.6133333333333333E-2</v>
      </c>
      <c r="C68">
        <f ca="1">Performances!H63</f>
        <v>4.7755555555555551E-2</v>
      </c>
      <c r="E68" s="32" t="s">
        <v>258</v>
      </c>
      <c r="F68" s="32">
        <f ca="1">DEVSQ(A57:C71)</f>
        <v>8.8527900415802456</v>
      </c>
      <c r="G68" s="32">
        <f ca="1">COUNT(A57:C71)-1</f>
        <v>44</v>
      </c>
      <c r="H68" s="32">
        <f ca="1">F68/G68</f>
        <v>0.20119977367227831</v>
      </c>
      <c r="I68" s="32"/>
      <c r="J68" s="32"/>
      <c r="K68" s="32"/>
      <c r="L68" s="32"/>
      <c r="M68" s="32"/>
      <c r="N68" s="37"/>
      <c r="O68" t="s">
        <v>259</v>
      </c>
      <c r="S68" s="58" t="str">
        <f ca="1">IF(S66&lt;S67,"yes","no")</f>
        <v>yes</v>
      </c>
      <c r="T68" s="37"/>
      <c r="W68" s="37"/>
      <c r="AB68" s="37"/>
      <c r="AF68" s="37"/>
    </row>
    <row r="69" spans="1:32" x14ac:dyDescent="0.25">
      <c r="A69">
        <f ca="1">Performances!H16</f>
        <v>0.90927777777777785</v>
      </c>
      <c r="B69">
        <f ca="1">Performances!H40</f>
        <v>6.4711111111111108E-2</v>
      </c>
      <c r="C69">
        <f ca="1">Performances!H64</f>
        <v>4.5422222222222225E-2</v>
      </c>
      <c r="N69" s="37"/>
      <c r="T69" s="37"/>
      <c r="W69" s="37"/>
      <c r="AB69" s="37"/>
      <c r="AF69" s="37"/>
    </row>
    <row r="70" spans="1:32" x14ac:dyDescent="0.25">
      <c r="A70">
        <f ca="1">Performances!H17</f>
        <v>0.72295555555555557</v>
      </c>
      <c r="B70">
        <f ca="1">Performances!H41</f>
        <v>1.8355555555555556E-2</v>
      </c>
      <c r="C70">
        <f ca="1">Performances!H65</f>
        <v>3.3633333333333335E-2</v>
      </c>
      <c r="N70" s="37"/>
      <c r="T70" s="37"/>
      <c r="W70" s="37"/>
      <c r="AB70" s="37"/>
      <c r="AF70" s="37"/>
    </row>
    <row r="71" spans="1:32" x14ac:dyDescent="0.25">
      <c r="A71">
        <f ca="1">Performances!H18</f>
        <v>1.0563444444444443</v>
      </c>
      <c r="B71">
        <f ca="1">Performances!H42</f>
        <v>3.344444444444445E-2</v>
      </c>
      <c r="C71">
        <f ca="1">Performances!H66</f>
        <v>0.14478888888888891</v>
      </c>
      <c r="N71" s="37"/>
      <c r="T71" s="37"/>
      <c r="W71" s="37"/>
      <c r="AB71" s="37"/>
      <c r="AF71" s="37"/>
    </row>
  </sheetData>
  <mergeCells count="24">
    <mergeCell ref="A1:AF1"/>
    <mergeCell ref="E2:N2"/>
    <mergeCell ref="O2:T2"/>
    <mergeCell ref="U2:W2"/>
    <mergeCell ref="X2:AB2"/>
    <mergeCell ref="AC2:AF2"/>
    <mergeCell ref="A19:AF19"/>
    <mergeCell ref="E20:N20"/>
    <mergeCell ref="O20:T20"/>
    <mergeCell ref="U20:W20"/>
    <mergeCell ref="X20:AB20"/>
    <mergeCell ref="AC20:AF20"/>
    <mergeCell ref="A37:AF37"/>
    <mergeCell ref="E38:N38"/>
    <mergeCell ref="O38:T38"/>
    <mergeCell ref="U38:W38"/>
    <mergeCell ref="X38:AB38"/>
    <mergeCell ref="AC38:AF38"/>
    <mergeCell ref="A55:AF55"/>
    <mergeCell ref="E56:N56"/>
    <mergeCell ref="O56:T56"/>
    <mergeCell ref="U56:W56"/>
    <mergeCell ref="X56:AB56"/>
    <mergeCell ref="AC56:AF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J72" workbookViewId="0">
      <selection activeCell="N86" sqref="N86"/>
    </sheetView>
  </sheetViews>
  <sheetFormatPr baseColWidth="10" defaultRowHeight="13.2" x14ac:dyDescent="0.25"/>
  <sheetData>
    <row r="1" spans="1:19" x14ac:dyDescent="0.25">
      <c r="A1" s="135" t="s">
        <v>260</v>
      </c>
      <c r="B1" s="135"/>
      <c r="C1" s="135"/>
      <c r="D1" s="135"/>
      <c r="E1" s="135"/>
      <c r="F1" s="135"/>
      <c r="G1" s="135"/>
      <c r="H1" s="135"/>
      <c r="I1" s="135"/>
      <c r="K1" s="135" t="s">
        <v>260</v>
      </c>
      <c r="L1" s="135"/>
      <c r="M1" s="135"/>
      <c r="N1" s="135"/>
      <c r="O1" s="135"/>
      <c r="P1" s="135"/>
      <c r="Q1" s="135"/>
      <c r="R1" s="135"/>
      <c r="S1" s="135"/>
    </row>
    <row r="3" spans="1:19" x14ac:dyDescent="0.25">
      <c r="B3" s="36" t="s">
        <v>184</v>
      </c>
      <c r="C3" s="36" t="s">
        <v>204</v>
      </c>
      <c r="D3" s="36" t="s">
        <v>205</v>
      </c>
      <c r="F3" s="135" t="s">
        <v>261</v>
      </c>
      <c r="G3" s="135"/>
      <c r="H3" s="135"/>
      <c r="I3" s="135"/>
      <c r="L3" s="36" t="s">
        <v>184</v>
      </c>
      <c r="M3" s="36" t="s">
        <v>204</v>
      </c>
      <c r="N3" s="36" t="s">
        <v>205</v>
      </c>
      <c r="P3" s="135" t="s">
        <v>262</v>
      </c>
      <c r="Q3" s="135"/>
      <c r="R3" s="135"/>
      <c r="S3" s="135"/>
    </row>
    <row r="4" spans="1:19" x14ac:dyDescent="0.25">
      <c r="A4" s="132" t="s">
        <v>186</v>
      </c>
      <c r="B4">
        <f ca="1">Performances!B4</f>
        <v>0.59538888888888897</v>
      </c>
      <c r="C4">
        <f ca="1">Performances!B28</f>
        <v>7.1711111111111114E-2</v>
      </c>
      <c r="D4">
        <f ca="1">Performances!B52</f>
        <v>6.9933333333333333E-2</v>
      </c>
      <c r="F4" t="s">
        <v>209</v>
      </c>
      <c r="K4" s="132" t="s">
        <v>186</v>
      </c>
      <c r="L4">
        <f ca="1">Performances!B4</f>
        <v>0.59538888888888897</v>
      </c>
      <c r="M4">
        <f ca="1">Performances!B28</f>
        <v>7.1711111111111114E-2</v>
      </c>
      <c r="N4">
        <f ca="1">Performances!B52</f>
        <v>6.9933333333333333E-2</v>
      </c>
      <c r="P4" t="s">
        <v>209</v>
      </c>
    </row>
    <row r="5" spans="1:19" x14ac:dyDescent="0.25">
      <c r="A5" s="133"/>
      <c r="B5">
        <f ca="1">Performances!B5</f>
        <v>0.69297777777777769</v>
      </c>
      <c r="C5">
        <f ca="1">Performances!B29</f>
        <v>3.9511111111111101E-2</v>
      </c>
      <c r="D5">
        <f ca="1">Performances!B53</f>
        <v>4.073333333333333E-2</v>
      </c>
      <c r="K5" s="133"/>
      <c r="L5">
        <f ca="1">Performances!B5</f>
        <v>0.69297777777777769</v>
      </c>
      <c r="M5">
        <f ca="1">Performances!B29</f>
        <v>3.9511111111111101E-2</v>
      </c>
      <c r="N5">
        <f ca="1">Performances!B53</f>
        <v>4.073333333333333E-2</v>
      </c>
    </row>
    <row r="6" spans="1:19" x14ac:dyDescent="0.25">
      <c r="A6" s="133"/>
      <c r="B6">
        <f ca="1">Performances!B6</f>
        <v>0.77282222222222219</v>
      </c>
      <c r="C6">
        <f ca="1">Performances!B30</f>
        <v>0.12225555555555556</v>
      </c>
      <c r="D6">
        <f ca="1">Performances!B54</f>
        <v>7.6222222222222219E-2</v>
      </c>
      <c r="F6" s="31"/>
      <c r="G6" s="31" t="str">
        <f>B3</f>
        <v>Groupe 1</v>
      </c>
      <c r="H6" s="31" t="str">
        <f>C3</f>
        <v>Groupe 2</v>
      </c>
      <c r="I6" s="31" t="str">
        <f>D3</f>
        <v>Groupe 3</v>
      </c>
      <c r="K6" s="133"/>
      <c r="L6">
        <f ca="1">Performances!B6</f>
        <v>0.77282222222222219</v>
      </c>
      <c r="M6">
        <f ca="1">Performances!B30</f>
        <v>0.12225555555555556</v>
      </c>
      <c r="N6">
        <f ca="1">Performances!B54</f>
        <v>7.6222222222222219E-2</v>
      </c>
      <c r="P6" s="31"/>
      <c r="Q6" s="31" t="str">
        <f>L3</f>
        <v>Groupe 1</v>
      </c>
      <c r="R6" s="31" t="str">
        <f>M3</f>
        <v>Groupe 2</v>
      </c>
      <c r="S6" s="31" t="str">
        <f>N3</f>
        <v>Groupe 3</v>
      </c>
    </row>
    <row r="7" spans="1:19" x14ac:dyDescent="0.25">
      <c r="A7" s="133"/>
      <c r="B7">
        <f ca="1">Performances!B7</f>
        <v>1.2977111111111113</v>
      </c>
      <c r="C7">
        <f ca="1">Performances!B31</f>
        <v>0.21997777777777774</v>
      </c>
      <c r="D7">
        <f ca="1">Performances!B55</f>
        <v>4.4355555555555558E-2</v>
      </c>
      <c r="F7" t="s">
        <v>210</v>
      </c>
      <c r="G7">
        <f ca="1">[1]!SHAPIRO(B4:B33)</f>
        <v>0.93158880046700399</v>
      </c>
      <c r="H7">
        <f ca="1">[1]!SHAPIRO(C4:C33)</f>
        <v>0.85181411082348935</v>
      </c>
      <c r="I7">
        <f ca="1">[1]!SHAPIRO(D4:D33)</f>
        <v>0.87312486472078521</v>
      </c>
      <c r="K7" s="133"/>
      <c r="L7">
        <f ca="1">Performances!B7</f>
        <v>1.2977111111111113</v>
      </c>
      <c r="M7">
        <f ca="1">Performances!B31</f>
        <v>0.21997777777777774</v>
      </c>
      <c r="N7">
        <f ca="1">Performances!B55</f>
        <v>4.4355555555555558E-2</v>
      </c>
      <c r="P7" t="s">
        <v>210</v>
      </c>
      <c r="Q7">
        <f ca="1">[1]!SHAPIRO(L4:L33)</f>
        <v>0.94854135639712411</v>
      </c>
      <c r="R7">
        <f ca="1">[1]!SHAPIRO(M4:M33)</f>
        <v>0.88500846525843102</v>
      </c>
      <c r="S7">
        <f ca="1">[1]!SHAPIRO(N4:N33)</f>
        <v>0.88164397696140595</v>
      </c>
    </row>
    <row r="8" spans="1:19" x14ac:dyDescent="0.25">
      <c r="A8" s="133"/>
      <c r="B8">
        <f ca="1">Performances!B8</f>
        <v>0.73563333333333336</v>
      </c>
      <c r="C8">
        <f ca="1">Performances!B32</f>
        <v>8.9044444444444426E-2</v>
      </c>
      <c r="D8">
        <f ca="1">Performances!B56</f>
        <v>0.14030000000000001</v>
      </c>
      <c r="F8" t="s">
        <v>211</v>
      </c>
      <c r="G8">
        <f ca="1">[1]!SWTEST(B4:B33)</f>
        <v>5.4121357321221031E-2</v>
      </c>
      <c r="H8">
        <f ca="1">[1]!SWTEST(C4:C33)</f>
        <v>6.7685769019942832E-4</v>
      </c>
      <c r="I8">
        <f ca="1">[1]!SWTEST(D4:D33)</f>
        <v>1.9676599592336474E-3</v>
      </c>
      <c r="K8" s="133"/>
      <c r="L8">
        <f ca="1">Performances!B8</f>
        <v>0.73563333333333336</v>
      </c>
      <c r="M8">
        <f ca="1">Performances!B32</f>
        <v>8.9044444444444426E-2</v>
      </c>
      <c r="N8">
        <f ca="1">Performances!B56</f>
        <v>0.14030000000000001</v>
      </c>
      <c r="P8" t="s">
        <v>211</v>
      </c>
      <c r="Q8">
        <f ca="1">[1]!SWTEST(L4:L33)</f>
        <v>0.15449497429092496</v>
      </c>
      <c r="R8">
        <f ca="1">[1]!SWTEST(M4:M33)</f>
        <v>3.6816441297529146E-3</v>
      </c>
      <c r="S8">
        <f ca="1">[1]!SWTEST(N4:N33)</f>
        <v>3.0758734351861161E-3</v>
      </c>
    </row>
    <row r="9" spans="1:19" x14ac:dyDescent="0.25">
      <c r="A9" s="133"/>
      <c r="B9">
        <f ca="1">Performances!B9</f>
        <v>0.95924444444444446</v>
      </c>
      <c r="C9">
        <f ca="1">Performances!B33</f>
        <v>0.16564444444444443</v>
      </c>
      <c r="D9">
        <f ca="1">Performances!B57</f>
        <v>8.2188888888888895E-2</v>
      </c>
      <c r="F9" t="s">
        <v>212</v>
      </c>
      <c r="G9">
        <v>0.05</v>
      </c>
      <c r="H9">
        <v>0.05</v>
      </c>
      <c r="I9">
        <v>0.05</v>
      </c>
      <c r="K9" s="133"/>
      <c r="L9">
        <f ca="1">Performances!B9</f>
        <v>0.95924444444444446</v>
      </c>
      <c r="M9">
        <f ca="1">Performances!B33</f>
        <v>0.16564444444444443</v>
      </c>
      <c r="N9">
        <f ca="1">Performances!B57</f>
        <v>8.2188888888888895E-2</v>
      </c>
      <c r="P9" t="s">
        <v>212</v>
      </c>
      <c r="Q9">
        <v>0.05</v>
      </c>
      <c r="R9">
        <v>0.05</v>
      </c>
      <c r="S9">
        <v>0.05</v>
      </c>
    </row>
    <row r="10" spans="1:19" x14ac:dyDescent="0.25">
      <c r="A10" s="133"/>
      <c r="B10">
        <f ca="1">Performances!B10</f>
        <v>0.96755555555555561</v>
      </c>
      <c r="C10">
        <f ca="1">Performances!B34</f>
        <v>4.19E-2</v>
      </c>
      <c r="D10">
        <f ca="1">Performances!B58</f>
        <v>3.0133333333333331E-2</v>
      </c>
      <c r="F10" s="32" t="s">
        <v>213</v>
      </c>
      <c r="G10" s="33" t="str">
        <f ca="1">IF(G8&lt;G9,"no","yes")</f>
        <v>yes</v>
      </c>
      <c r="H10" s="33" t="str">
        <f ca="1">IF(H8&lt;H9,"no","yes")</f>
        <v>no</v>
      </c>
      <c r="I10" s="33" t="str">
        <f ca="1">IF(I8&lt;I9,"no","yes")</f>
        <v>no</v>
      </c>
      <c r="K10" s="133"/>
      <c r="L10">
        <f ca="1">Performances!B10</f>
        <v>0.96755555555555561</v>
      </c>
      <c r="M10">
        <f ca="1">Performances!B34</f>
        <v>4.19E-2</v>
      </c>
      <c r="N10">
        <f ca="1">Performances!B58</f>
        <v>3.0133333333333331E-2</v>
      </c>
      <c r="P10" s="32" t="s">
        <v>213</v>
      </c>
      <c r="Q10" s="33" t="str">
        <f ca="1">IF(Q8&lt;Q9,"no","yes")</f>
        <v>yes</v>
      </c>
      <c r="R10" s="33" t="str">
        <f ca="1">IF(R8&lt;R9,"no","yes")</f>
        <v>no</v>
      </c>
      <c r="S10" s="33" t="str">
        <f ca="1">IF(S8&lt;S9,"no","yes")</f>
        <v>no</v>
      </c>
    </row>
    <row r="11" spans="1:19" x14ac:dyDescent="0.25">
      <c r="A11" s="133"/>
      <c r="B11">
        <f ca="1">Performances!B11</f>
        <v>0.65797777777777777</v>
      </c>
      <c r="C11">
        <f ca="1">Performances!B35</f>
        <v>0.11317777777777777</v>
      </c>
      <c r="D11">
        <f ca="1">Performances!B59</f>
        <v>5.2677777777777782E-2</v>
      </c>
      <c r="K11" s="133"/>
      <c r="L11">
        <f ca="1">Performances!B11</f>
        <v>0.65797777777777777</v>
      </c>
      <c r="M11">
        <f ca="1">Performances!B35</f>
        <v>0.11317777777777777</v>
      </c>
      <c r="N11">
        <f ca="1">Performances!B59</f>
        <v>5.2677777777777782E-2</v>
      </c>
    </row>
    <row r="12" spans="1:19" x14ac:dyDescent="0.25">
      <c r="A12" s="133"/>
      <c r="B12">
        <f ca="1">Performances!B12</f>
        <v>1.1647999999999998</v>
      </c>
      <c r="C12">
        <f ca="1">Performances!B36</f>
        <v>8.6755555555555544E-2</v>
      </c>
      <c r="D12">
        <f ca="1">Performances!B60</f>
        <v>0.10522222222222223</v>
      </c>
      <c r="F12" t="s">
        <v>214</v>
      </c>
      <c r="K12" s="133"/>
      <c r="L12">
        <f ca="1">Performances!B12</f>
        <v>1.1647999999999998</v>
      </c>
      <c r="M12">
        <f ca="1">Performances!B36</f>
        <v>8.6755555555555544E-2</v>
      </c>
      <c r="N12">
        <f ca="1">Performances!B60</f>
        <v>0.10522222222222223</v>
      </c>
      <c r="P12" t="s">
        <v>214</v>
      </c>
    </row>
    <row r="13" spans="1:19" x14ac:dyDescent="0.25">
      <c r="A13" s="133"/>
      <c r="B13">
        <f ca="1">Performances!B13</f>
        <v>0.89579999999999993</v>
      </c>
      <c r="C13">
        <f ca="1">Performances!B37</f>
        <v>5.3266666666666664E-2</v>
      </c>
      <c r="D13">
        <f ca="1">Performances!B61</f>
        <v>4.0522222222222223E-2</v>
      </c>
      <c r="K13" s="133"/>
      <c r="L13">
        <f ca="1">Performances!B13</f>
        <v>0.89579999999999993</v>
      </c>
      <c r="M13">
        <f ca="1">Performances!B37</f>
        <v>5.3266666666666664E-2</v>
      </c>
      <c r="N13">
        <f ca="1">Performances!B61</f>
        <v>4.0522222222222223E-2</v>
      </c>
    </row>
    <row r="14" spans="1:19" x14ac:dyDescent="0.25">
      <c r="A14" s="133"/>
      <c r="B14">
        <f ca="1">Performances!B14</f>
        <v>0.80803333333333327</v>
      </c>
      <c r="C14">
        <f ca="1">Performances!B38</f>
        <v>2.3722222222222221E-2</v>
      </c>
      <c r="D14">
        <f ca="1">Performances!B62</f>
        <v>3.5133333333333336E-2</v>
      </c>
      <c r="F14" s="34" t="s">
        <v>215</v>
      </c>
      <c r="G14" s="34">
        <f ca="1">[1]!DAGOSTINO(B4:B33)</f>
        <v>5.1585879572177902</v>
      </c>
      <c r="H14" s="34">
        <f ca="1">[1]!DAGOSTINO(C4:C33)</f>
        <v>11.686877425443505</v>
      </c>
      <c r="I14" s="34">
        <f ca="1">[1]!DAGOSTINO(D4:D33)</f>
        <v>6.2819338088398853</v>
      </c>
      <c r="K14" s="133"/>
      <c r="L14">
        <f ca="1">Performances!B14</f>
        <v>0.80803333333333327</v>
      </c>
      <c r="M14">
        <f ca="1">Performances!B38</f>
        <v>2.3722222222222221E-2</v>
      </c>
      <c r="N14">
        <f ca="1">Performances!B62</f>
        <v>3.5133333333333336E-2</v>
      </c>
      <c r="P14" s="34" t="s">
        <v>215</v>
      </c>
      <c r="Q14" s="34">
        <f ca="1">[1]!DAGOSTINO(L4:L33)</f>
        <v>5.4612088593077104</v>
      </c>
      <c r="R14" s="34">
        <f ca="1">[1]!DAGOSTINO(M4:M33)</f>
        <v>10.302195126750185</v>
      </c>
      <c r="S14" s="34">
        <f ca="1">[1]!DAGOSTINO(N4:N33)</f>
        <v>6.7175651842267108</v>
      </c>
    </row>
    <row r="15" spans="1:19" x14ac:dyDescent="0.25">
      <c r="A15" s="133"/>
      <c r="B15">
        <f ca="1">Performances!B15</f>
        <v>0.78184444444444434</v>
      </c>
      <c r="C15">
        <f ca="1">Performances!B39</f>
        <v>2.5566666666666665E-2</v>
      </c>
      <c r="D15">
        <f ca="1">Performances!B63</f>
        <v>7.1211111111111114E-2</v>
      </c>
      <c r="F15" t="s">
        <v>211</v>
      </c>
      <c r="G15">
        <f ca="1">[1]!DPTEST(B4:B33)</f>
        <v>7.5827520980410679E-2</v>
      </c>
      <c r="H15">
        <f ca="1">[1]!DPTEST(C4:C33)</f>
        <v>2.8988571301348243E-3</v>
      </c>
      <c r="I15">
        <f ca="1">[1]!DPTEST(D4:D33)</f>
        <v>4.3240967799481389E-2</v>
      </c>
      <c r="K15" s="133"/>
      <c r="L15">
        <f ca="1">Performances!B15</f>
        <v>0.78184444444444434</v>
      </c>
      <c r="M15">
        <f ca="1">Performances!B39</f>
        <v>2.5566666666666665E-2</v>
      </c>
      <c r="N15">
        <f ca="1">Performances!B63</f>
        <v>7.1211111111111114E-2</v>
      </c>
      <c r="P15" t="s">
        <v>211</v>
      </c>
      <c r="Q15">
        <f ca="1">[1]!DPTEST(L4:L33)</f>
        <v>6.5179881106500193E-2</v>
      </c>
      <c r="R15">
        <f ca="1">[1]!DPTEST(M4:M33)</f>
        <v>5.7930430044520476E-3</v>
      </c>
      <c r="S15">
        <f ca="1">[1]!DPTEST(N4:N33)</f>
        <v>3.4777571673621499E-2</v>
      </c>
    </row>
    <row r="16" spans="1:19" x14ac:dyDescent="0.25">
      <c r="A16" s="133"/>
      <c r="B16">
        <f ca="1">Performances!B16</f>
        <v>0.95088888888888889</v>
      </c>
      <c r="C16">
        <f ca="1">Performances!B40</f>
        <v>1.5388888888888888E-2</v>
      </c>
      <c r="D16">
        <f ca="1">Performances!B64</f>
        <v>3.5111111111111114E-2</v>
      </c>
      <c r="F16" t="s">
        <v>212</v>
      </c>
      <c r="G16">
        <v>0.05</v>
      </c>
      <c r="H16">
        <v>0.05</v>
      </c>
      <c r="I16">
        <v>0.05</v>
      </c>
      <c r="K16" s="133"/>
      <c r="L16">
        <f ca="1">Performances!B16</f>
        <v>0.95088888888888889</v>
      </c>
      <c r="M16">
        <f ca="1">Performances!B40</f>
        <v>1.5388888888888888E-2</v>
      </c>
      <c r="N16">
        <f ca="1">Performances!B64</f>
        <v>3.5111111111111114E-2</v>
      </c>
      <c r="P16" t="s">
        <v>212</v>
      </c>
      <c r="Q16">
        <v>0.05</v>
      </c>
      <c r="R16">
        <v>0.05</v>
      </c>
      <c r="S16">
        <v>0.05</v>
      </c>
    </row>
    <row r="17" spans="1:19" x14ac:dyDescent="0.25">
      <c r="A17" s="133"/>
      <c r="B17">
        <f ca="1">Performances!B17</f>
        <v>0.72717777777777792</v>
      </c>
      <c r="C17">
        <f ca="1">Performances!B41</f>
        <v>0.12570000000000001</v>
      </c>
      <c r="D17">
        <f ca="1">Performances!B65</f>
        <v>0.13611111111111113</v>
      </c>
      <c r="F17" s="32" t="s">
        <v>213</v>
      </c>
      <c r="G17" s="33" t="str">
        <f ca="1">IF(G15&lt;G16,"no","yes")</f>
        <v>yes</v>
      </c>
      <c r="H17" s="33" t="str">
        <f ca="1">IF(H15&lt;H16,"no","yes")</f>
        <v>no</v>
      </c>
      <c r="I17" s="33" t="str">
        <f ca="1">IF(I15&lt;I16,"no","yes")</f>
        <v>no</v>
      </c>
      <c r="K17" s="133"/>
      <c r="L17">
        <f ca="1">Performances!B17</f>
        <v>0.72717777777777792</v>
      </c>
      <c r="M17">
        <f ca="1">Performances!B41</f>
        <v>0.12570000000000001</v>
      </c>
      <c r="N17">
        <f ca="1">Performances!B65</f>
        <v>0.13611111111111113</v>
      </c>
      <c r="P17" s="32" t="s">
        <v>213</v>
      </c>
      <c r="Q17" s="33" t="str">
        <f ca="1">IF(Q15&lt;Q16,"no","yes")</f>
        <v>yes</v>
      </c>
      <c r="R17" s="33" t="str">
        <f ca="1">IF(R15&lt;R16,"no","yes")</f>
        <v>no</v>
      </c>
      <c r="S17" s="33" t="str">
        <f ca="1">IF(S15&lt;S16,"no","yes")</f>
        <v>no</v>
      </c>
    </row>
    <row r="18" spans="1:19" x14ac:dyDescent="0.25">
      <c r="A18" s="134"/>
      <c r="B18">
        <f ca="1">Performances!B18</f>
        <v>0.74786666666666646</v>
      </c>
      <c r="C18">
        <f ca="1">Performances!B42</f>
        <v>5.9711111111111111E-2</v>
      </c>
      <c r="D18">
        <f ca="1">Performances!B66</f>
        <v>5.5288888888888894E-2</v>
      </c>
      <c r="K18" s="134"/>
      <c r="L18">
        <f ca="1">Performances!B18</f>
        <v>0.74786666666666646</v>
      </c>
      <c r="M18">
        <f ca="1">Performances!B42</f>
        <v>5.9711111111111111E-2</v>
      </c>
      <c r="N18">
        <f ca="1">Performances!B66</f>
        <v>5.5288888888888894E-2</v>
      </c>
    </row>
    <row r="19" spans="1:19" x14ac:dyDescent="0.25">
      <c r="A19" s="132" t="s">
        <v>189</v>
      </c>
      <c r="B19">
        <f ca="1">Performances!H4</f>
        <v>0.737611111111111</v>
      </c>
      <c r="C19">
        <f ca="1">Performances!H28</f>
        <v>8.1888888888888886E-2</v>
      </c>
      <c r="D19">
        <f ca="1">Performances!H52</f>
        <v>3.0755555555555553E-2</v>
      </c>
      <c r="K19" s="132" t="s">
        <v>187</v>
      </c>
      <c r="L19">
        <f ca="1">Performances!D4</f>
        <v>0.87620000000000009</v>
      </c>
      <c r="M19">
        <f ca="1">Performances!D28</f>
        <v>9.4622222222222219E-2</v>
      </c>
      <c r="N19">
        <f ca="1">Performances!D52</f>
        <v>5.8788888888888877E-2</v>
      </c>
    </row>
    <row r="20" spans="1:19" x14ac:dyDescent="0.25">
      <c r="A20" s="133"/>
      <c r="B20">
        <f ca="1">Performances!H5</f>
        <v>0.8851</v>
      </c>
      <c r="C20">
        <f ca="1">Performances!H29</f>
        <v>4.1822222222222219E-2</v>
      </c>
      <c r="D20">
        <f ca="1">Performances!H53</f>
        <v>7.1766666666666659E-2</v>
      </c>
      <c r="K20" s="133"/>
      <c r="L20">
        <f ca="1">Performances!D5</f>
        <v>0.92013333333333336</v>
      </c>
      <c r="M20">
        <f ca="1">Performances!D29</f>
        <v>0.10333333333333333</v>
      </c>
      <c r="N20">
        <f ca="1">Performances!D53</f>
        <v>6.2311111111111109E-2</v>
      </c>
    </row>
    <row r="21" spans="1:19" x14ac:dyDescent="0.25">
      <c r="A21" s="133"/>
      <c r="B21">
        <f ca="1">Performances!H6</f>
        <v>1.4937555555555557</v>
      </c>
      <c r="C21">
        <f ca="1">Performances!H30</f>
        <v>1.4311111111111111E-2</v>
      </c>
      <c r="D21">
        <f ca="1">Performances!H54</f>
        <v>5.5088888888888889E-2</v>
      </c>
      <c r="K21" s="133"/>
      <c r="L21">
        <f ca="1">Performances!D6</f>
        <v>1.4115555555555557</v>
      </c>
      <c r="M21">
        <f ca="1">Performances!D30</f>
        <v>6.4144444444444434E-2</v>
      </c>
      <c r="N21">
        <f ca="1">Performances!D54</f>
        <v>6.8122222222222223E-2</v>
      </c>
    </row>
    <row r="22" spans="1:19" x14ac:dyDescent="0.25">
      <c r="A22" s="133"/>
      <c r="B22">
        <f ca="1">Performances!H7</f>
        <v>1.2299333333333335</v>
      </c>
      <c r="C22">
        <f ca="1">Performances!H31</f>
        <v>0.17301111111111112</v>
      </c>
      <c r="D22">
        <f ca="1">Performances!H55</f>
        <v>2.7355555555555553E-2</v>
      </c>
      <c r="K22" s="133"/>
      <c r="L22">
        <f ca="1">Performances!D7</f>
        <v>1.0153777777777777</v>
      </c>
      <c r="M22">
        <f ca="1">Performances!D31</f>
        <v>0.16041111111111114</v>
      </c>
      <c r="N22">
        <f ca="1">Performances!D55</f>
        <v>7.4822222222222221E-2</v>
      </c>
    </row>
    <row r="23" spans="1:19" x14ac:dyDescent="0.25">
      <c r="A23" s="133"/>
      <c r="B23">
        <f ca="1">Performances!H8</f>
        <v>0.52353333333333341</v>
      </c>
      <c r="C23">
        <f ca="1">Performances!H32</f>
        <v>2.251111111111111E-2</v>
      </c>
      <c r="D23">
        <f ca="1">Performances!H56</f>
        <v>5.8555555555555555E-2</v>
      </c>
      <c r="K23" s="133"/>
      <c r="L23">
        <f ca="1">Performances!D8</f>
        <v>0.92371111111111126</v>
      </c>
      <c r="M23">
        <f ca="1">Performances!D32</f>
        <v>3.1155555555555554E-2</v>
      </c>
      <c r="N23">
        <f ca="1">Performances!D56</f>
        <v>4.781111111111111E-2</v>
      </c>
    </row>
    <row r="24" spans="1:19" x14ac:dyDescent="0.25">
      <c r="A24" s="133"/>
      <c r="B24">
        <f ca="1">Performances!H9</f>
        <v>0.8284555555555555</v>
      </c>
      <c r="C24">
        <f ca="1">Performances!H33</f>
        <v>3.043333333333333E-2</v>
      </c>
      <c r="D24">
        <f ca="1">Performances!H57</f>
        <v>3.1188888888888894E-2</v>
      </c>
      <c r="K24" s="133"/>
      <c r="L24">
        <f ca="1">Performances!D9</f>
        <v>0.57128888888888885</v>
      </c>
      <c r="M24">
        <f ca="1">Performances!D33</f>
        <v>3.6611111111111115E-2</v>
      </c>
      <c r="N24">
        <f ca="1">Performances!D57</f>
        <v>3.1411111111111112E-2</v>
      </c>
    </row>
    <row r="25" spans="1:19" x14ac:dyDescent="0.25">
      <c r="A25" s="133"/>
      <c r="B25">
        <f ca="1">Performances!H10</f>
        <v>0.90658888888888889</v>
      </c>
      <c r="C25">
        <f ca="1">Performances!H34</f>
        <v>4.2311111111111105E-2</v>
      </c>
      <c r="D25">
        <f ca="1">Performances!H58</f>
        <v>4.4755555555555548E-2</v>
      </c>
      <c r="K25" s="133"/>
      <c r="L25">
        <f ca="1">Performances!D10</f>
        <v>0.71174444444444451</v>
      </c>
      <c r="M25">
        <f ca="1">Performances!D34</f>
        <v>3.78E-2</v>
      </c>
      <c r="N25">
        <f ca="1">Performances!D58</f>
        <v>3.4477777777777781E-2</v>
      </c>
    </row>
    <row r="26" spans="1:19" x14ac:dyDescent="0.25">
      <c r="A26" s="133"/>
      <c r="B26">
        <f ca="1">Performances!H11</f>
        <v>1.3191111111111111</v>
      </c>
      <c r="C26">
        <f ca="1">Performances!H35</f>
        <v>7.7611111111111117E-2</v>
      </c>
      <c r="D26">
        <f ca="1">Performances!H59</f>
        <v>9.4377777777777769E-2</v>
      </c>
      <c r="K26" s="133"/>
      <c r="L26">
        <f ca="1">Performances!D11</f>
        <v>1.1443777777777777</v>
      </c>
      <c r="M26">
        <f ca="1">Performances!D35</f>
        <v>7.0500000000000007E-2</v>
      </c>
      <c r="N26">
        <f ca="1">Performances!D59</f>
        <v>2.3866666666666668E-2</v>
      </c>
    </row>
    <row r="27" spans="1:19" x14ac:dyDescent="0.25">
      <c r="A27" s="133"/>
      <c r="B27">
        <f ca="1">Performances!H12</f>
        <v>0.74126666666666663</v>
      </c>
      <c r="C27">
        <f ca="1">Performances!H36</f>
        <v>2.1033333333333334E-2</v>
      </c>
      <c r="D27">
        <f ca="1">Performances!H60</f>
        <v>6.0088888888888893E-2</v>
      </c>
      <c r="K27" s="133"/>
      <c r="L27">
        <f ca="1">Performances!D12</f>
        <v>0.9603666666666667</v>
      </c>
      <c r="M27">
        <f ca="1">Performances!D36</f>
        <v>5.5466666666666671E-2</v>
      </c>
      <c r="N27">
        <f ca="1">Performances!D60</f>
        <v>7.2444444444444464E-2</v>
      </c>
    </row>
    <row r="28" spans="1:19" x14ac:dyDescent="0.25">
      <c r="A28" s="133"/>
      <c r="B28">
        <f ca="1">Performances!H13</f>
        <v>1.1082666666666665</v>
      </c>
      <c r="C28">
        <f ca="1">Performances!H37</f>
        <v>4.2988888888888896E-2</v>
      </c>
      <c r="D28">
        <f ca="1">Performances!H61</f>
        <v>0.12714444444444442</v>
      </c>
      <c r="K28" s="133"/>
      <c r="L28">
        <f ca="1">Performances!D13</f>
        <v>0.79348888888888902</v>
      </c>
      <c r="M28">
        <f ca="1">Performances!D37</f>
        <v>4.4933333333333339E-2</v>
      </c>
      <c r="N28">
        <f ca="1">Performances!D61</f>
        <v>0.10207777777777777</v>
      </c>
    </row>
    <row r="29" spans="1:19" x14ac:dyDescent="0.25">
      <c r="A29" s="133"/>
      <c r="B29">
        <f ca="1">Performances!H14</f>
        <v>0.83506666666666662</v>
      </c>
      <c r="C29">
        <f ca="1">Performances!H38</f>
        <v>5.4822222222222224E-2</v>
      </c>
      <c r="D29">
        <f ca="1">Performances!H62</f>
        <v>1.5566666666666666E-2</v>
      </c>
      <c r="K29" s="133"/>
      <c r="L29">
        <f ca="1">Performances!D14</f>
        <v>0.93874444444444449</v>
      </c>
      <c r="M29">
        <f ca="1">Performances!D38</f>
        <v>2.6844444444444442E-2</v>
      </c>
      <c r="N29">
        <f ca="1">Performances!D62</f>
        <v>3.273333333333333E-2</v>
      </c>
    </row>
    <row r="30" spans="1:19" x14ac:dyDescent="0.25">
      <c r="A30" s="133"/>
      <c r="B30">
        <f ca="1">Performances!H15</f>
        <v>0.84240000000000004</v>
      </c>
      <c r="C30">
        <f ca="1">Performances!H39</f>
        <v>1.6133333333333333E-2</v>
      </c>
      <c r="D30">
        <f ca="1">Performances!H63</f>
        <v>4.7755555555555551E-2</v>
      </c>
      <c r="K30" s="133"/>
      <c r="L30">
        <f ca="1">Performances!D15</f>
        <v>0.82277777777777783</v>
      </c>
      <c r="M30">
        <f ca="1">Performances!D39</f>
        <v>1.2322222222222222E-2</v>
      </c>
      <c r="N30">
        <f ca="1">Performances!D63</f>
        <v>6.7344444444444443E-2</v>
      </c>
    </row>
    <row r="31" spans="1:19" x14ac:dyDescent="0.25">
      <c r="A31" s="133"/>
      <c r="B31">
        <f ca="1">Performances!H16</f>
        <v>0.90927777777777785</v>
      </c>
      <c r="C31">
        <f ca="1">Performances!H40</f>
        <v>6.4711111111111108E-2</v>
      </c>
      <c r="D31">
        <f ca="1">Performances!H64</f>
        <v>4.5422222222222225E-2</v>
      </c>
      <c r="K31" s="133"/>
      <c r="L31">
        <f ca="1">Performances!D16</f>
        <v>0.8980111111111112</v>
      </c>
      <c r="M31">
        <f ca="1">Performances!D40</f>
        <v>2.8988888888888883E-2</v>
      </c>
      <c r="N31">
        <f ca="1">Performances!D64</f>
        <v>3.5755555555555554E-2</v>
      </c>
    </row>
    <row r="32" spans="1:19" x14ac:dyDescent="0.25">
      <c r="A32" s="133"/>
      <c r="B32">
        <f ca="1">Performances!H17</f>
        <v>0.72295555555555557</v>
      </c>
      <c r="C32">
        <f ca="1">Performances!H41</f>
        <v>1.8355555555555556E-2</v>
      </c>
      <c r="D32">
        <f ca="1">Performances!H65</f>
        <v>3.3633333333333335E-2</v>
      </c>
      <c r="K32" s="133"/>
      <c r="L32">
        <f ca="1">Performances!D17</f>
        <v>0.88434444444444438</v>
      </c>
      <c r="M32">
        <f ca="1">Performances!D41</f>
        <v>6.2955555555555556E-2</v>
      </c>
      <c r="N32">
        <f ca="1">Performances!D65</f>
        <v>6.2422222222222233E-2</v>
      </c>
    </row>
    <row r="33" spans="1:19" x14ac:dyDescent="0.25">
      <c r="A33" s="134"/>
      <c r="B33">
        <f ca="1">Performances!H18</f>
        <v>1.0563444444444443</v>
      </c>
      <c r="C33">
        <f ca="1">Performances!H42</f>
        <v>3.344444444444445E-2</v>
      </c>
      <c r="D33">
        <f ca="1">Performances!H66</f>
        <v>0.14478888888888891</v>
      </c>
      <c r="K33" s="134"/>
      <c r="L33">
        <f ca="1">Performances!D18</f>
        <v>1.0081444444444445</v>
      </c>
      <c r="M33">
        <f ca="1">Performances!D42</f>
        <v>2.0855555555555554E-2</v>
      </c>
      <c r="N33">
        <f ca="1">Performances!D66</f>
        <v>0.13400000000000001</v>
      </c>
    </row>
    <row r="35" spans="1:19" x14ac:dyDescent="0.25">
      <c r="A35" s="135" t="s">
        <v>260</v>
      </c>
      <c r="B35" s="135"/>
      <c r="C35" s="135"/>
      <c r="D35" s="135"/>
      <c r="E35" s="135"/>
      <c r="F35" s="135"/>
      <c r="G35" s="135"/>
      <c r="H35" s="135"/>
      <c r="I35" s="135"/>
      <c r="K35" s="135" t="s">
        <v>260</v>
      </c>
      <c r="L35" s="135"/>
      <c r="M35" s="135"/>
      <c r="N35" s="135"/>
      <c r="O35" s="135"/>
      <c r="P35" s="135"/>
      <c r="Q35" s="135"/>
      <c r="R35" s="135"/>
      <c r="S35" s="135"/>
    </row>
    <row r="37" spans="1:19" x14ac:dyDescent="0.25">
      <c r="B37" s="36" t="s">
        <v>184</v>
      </c>
      <c r="C37" s="36" t="s">
        <v>204</v>
      </c>
      <c r="D37" s="36" t="s">
        <v>205</v>
      </c>
      <c r="F37" s="135" t="s">
        <v>263</v>
      </c>
      <c r="G37" s="135"/>
      <c r="H37" s="135"/>
      <c r="I37" s="135"/>
      <c r="L37" s="36" t="s">
        <v>184</v>
      </c>
      <c r="M37" s="36" t="s">
        <v>204</v>
      </c>
      <c r="N37" s="36" t="s">
        <v>205</v>
      </c>
      <c r="P37" s="135" t="s">
        <v>264</v>
      </c>
      <c r="Q37" s="135"/>
      <c r="R37" s="135"/>
      <c r="S37" s="135"/>
    </row>
    <row r="38" spans="1:19" x14ac:dyDescent="0.25">
      <c r="A38" s="132" t="s">
        <v>186</v>
      </c>
      <c r="B38">
        <f ca="1">Performances!B4</f>
        <v>0.59538888888888897</v>
      </c>
      <c r="C38">
        <f ca="1">Performances!B28</f>
        <v>7.1711111111111114E-2</v>
      </c>
      <c r="D38">
        <f ca="1">Performances!B52</f>
        <v>6.9933333333333333E-2</v>
      </c>
      <c r="F38" t="s">
        <v>209</v>
      </c>
      <c r="K38" s="132" t="s">
        <v>187</v>
      </c>
      <c r="L38">
        <f ca="1">Performances!D4</f>
        <v>0.87620000000000009</v>
      </c>
      <c r="M38">
        <f ca="1">Performances!D28</f>
        <v>9.4622222222222219E-2</v>
      </c>
      <c r="N38">
        <f ca="1">Performances!D52</f>
        <v>5.8788888888888877E-2</v>
      </c>
      <c r="P38" t="s">
        <v>209</v>
      </c>
    </row>
    <row r="39" spans="1:19" x14ac:dyDescent="0.25">
      <c r="A39" s="133"/>
      <c r="B39">
        <f ca="1">Performances!B5</f>
        <v>0.69297777777777769</v>
      </c>
      <c r="C39">
        <f ca="1">Performances!B29</f>
        <v>3.9511111111111101E-2</v>
      </c>
      <c r="D39">
        <f ca="1">Performances!B53</f>
        <v>4.073333333333333E-2</v>
      </c>
      <c r="K39" s="133"/>
      <c r="L39">
        <f ca="1">Performances!D5</f>
        <v>0.92013333333333336</v>
      </c>
      <c r="M39">
        <f ca="1">Performances!D29</f>
        <v>0.10333333333333333</v>
      </c>
      <c r="N39">
        <f ca="1">Performances!D53</f>
        <v>6.2311111111111109E-2</v>
      </c>
    </row>
    <row r="40" spans="1:19" x14ac:dyDescent="0.25">
      <c r="A40" s="133"/>
      <c r="B40">
        <f ca="1">Performances!B6</f>
        <v>0.77282222222222219</v>
      </c>
      <c r="C40">
        <f ca="1">Performances!B30</f>
        <v>0.12225555555555556</v>
      </c>
      <c r="D40">
        <f ca="1">Performances!B54</f>
        <v>7.6222222222222219E-2</v>
      </c>
      <c r="F40" s="31"/>
      <c r="G40" s="31" t="str">
        <f>B37</f>
        <v>Groupe 1</v>
      </c>
      <c r="H40" s="31" t="str">
        <f>C37</f>
        <v>Groupe 2</v>
      </c>
      <c r="I40" s="31" t="str">
        <f>D37</f>
        <v>Groupe 3</v>
      </c>
      <c r="K40" s="133"/>
      <c r="L40">
        <f ca="1">Performances!D6</f>
        <v>1.4115555555555557</v>
      </c>
      <c r="M40">
        <f ca="1">Performances!D30</f>
        <v>6.4144444444444434E-2</v>
      </c>
      <c r="N40">
        <f ca="1">Performances!D54</f>
        <v>6.8122222222222223E-2</v>
      </c>
      <c r="P40" s="31"/>
      <c r="Q40" s="31" t="str">
        <f>L37</f>
        <v>Groupe 1</v>
      </c>
      <c r="R40" s="31" t="str">
        <f>M37</f>
        <v>Groupe 2</v>
      </c>
      <c r="S40" s="31" t="str">
        <f>N37</f>
        <v>Groupe 3</v>
      </c>
    </row>
    <row r="41" spans="1:19" x14ac:dyDescent="0.25">
      <c r="A41" s="133"/>
      <c r="B41">
        <f ca="1">Performances!B7</f>
        <v>1.2977111111111113</v>
      </c>
      <c r="C41">
        <f ca="1">Performances!B31</f>
        <v>0.21997777777777774</v>
      </c>
      <c r="D41">
        <f ca="1">Performances!B55</f>
        <v>4.4355555555555558E-2</v>
      </c>
      <c r="F41" t="s">
        <v>210</v>
      </c>
      <c r="G41">
        <f ca="1">[1]!SHAPIRO(B38:B67)</f>
        <v>0.9733504440892391</v>
      </c>
      <c r="H41">
        <f ca="1">[1]!SHAPIRO(C38:C67)</f>
        <v>0.81161497980988828</v>
      </c>
      <c r="I41">
        <f ca="1">[1]!SHAPIRO(D38:D67)</f>
        <v>0.92193895632251555</v>
      </c>
      <c r="K41" s="133"/>
      <c r="L41">
        <f ca="1">Performances!D7</f>
        <v>1.0153777777777777</v>
      </c>
      <c r="M41">
        <f ca="1">Performances!D31</f>
        <v>0.16041111111111114</v>
      </c>
      <c r="N41">
        <f ca="1">Performances!D55</f>
        <v>7.4822222222222221E-2</v>
      </c>
      <c r="P41" t="s">
        <v>210</v>
      </c>
      <c r="Q41">
        <f ca="1">[1]!SHAPIRO(L38:L67)</f>
        <v>0.96172129150628805</v>
      </c>
      <c r="R41">
        <f ca="1">[1]!SHAPIRO(M38:M67)</f>
        <v>0.75708655814326542</v>
      </c>
      <c r="S41">
        <f ca="1">[1]!SHAPIRO(N38:N67)</f>
        <v>0.9427475581012833</v>
      </c>
    </row>
    <row r="42" spans="1:19" x14ac:dyDescent="0.25">
      <c r="A42" s="133"/>
      <c r="B42">
        <f ca="1">Performances!B8</f>
        <v>0.73563333333333336</v>
      </c>
      <c r="C42">
        <f ca="1">Performances!B32</f>
        <v>8.9044444444444426E-2</v>
      </c>
      <c r="D42">
        <f ca="1">Performances!B56</f>
        <v>0.14030000000000001</v>
      </c>
      <c r="F42" t="s">
        <v>211</v>
      </c>
      <c r="G42">
        <f ca="1">[1]!SWTEST(B38:B67)</f>
        <v>0.63428516267846913</v>
      </c>
      <c r="H42">
        <f ca="1">[1]!SWTEST(C38:C67)</f>
        <v>1.0753010654085404E-4</v>
      </c>
      <c r="I42">
        <f ca="1">[1]!SWTEST(D38:D67)</f>
        <v>3.0123180212407008E-2</v>
      </c>
      <c r="K42" s="133"/>
      <c r="L42">
        <f ca="1">Performances!D8</f>
        <v>0.92371111111111126</v>
      </c>
      <c r="M42">
        <f ca="1">Performances!D32</f>
        <v>3.1155555555555554E-2</v>
      </c>
      <c r="N42">
        <f ca="1">Performances!D56</f>
        <v>4.781111111111111E-2</v>
      </c>
      <c r="P42" t="s">
        <v>211</v>
      </c>
      <c r="Q42">
        <f ca="1">[1]!SWTEST(L38:L67)</f>
        <v>0.34254069075520055</v>
      </c>
      <c r="R42">
        <f ca="1">[1]!SWTEST(M38:M67)</f>
        <v>1.1879095410338714E-5</v>
      </c>
      <c r="S42">
        <f ca="1">[1]!SWTEST(N38:N67)</f>
        <v>0.10786694303502609</v>
      </c>
    </row>
    <row r="43" spans="1:19" x14ac:dyDescent="0.25">
      <c r="A43" s="133"/>
      <c r="B43">
        <f ca="1">Performances!B9</f>
        <v>0.95924444444444446</v>
      </c>
      <c r="C43">
        <f ca="1">Performances!B33</f>
        <v>0.16564444444444443</v>
      </c>
      <c r="D43">
        <f ca="1">Performances!B57</f>
        <v>8.2188888888888895E-2</v>
      </c>
      <c r="F43" t="s">
        <v>212</v>
      </c>
      <c r="G43">
        <v>0.05</v>
      </c>
      <c r="H43">
        <v>0.05</v>
      </c>
      <c r="I43">
        <v>0.05</v>
      </c>
      <c r="K43" s="133"/>
      <c r="L43">
        <f ca="1">Performances!D9</f>
        <v>0.57128888888888885</v>
      </c>
      <c r="M43">
        <f ca="1">Performances!D33</f>
        <v>3.6611111111111115E-2</v>
      </c>
      <c r="N43">
        <f ca="1">Performances!D57</f>
        <v>3.1411111111111112E-2</v>
      </c>
      <c r="P43" t="s">
        <v>212</v>
      </c>
      <c r="Q43">
        <v>0.05</v>
      </c>
      <c r="R43">
        <v>0.05</v>
      </c>
      <c r="S43">
        <v>0.05</v>
      </c>
    </row>
    <row r="44" spans="1:19" x14ac:dyDescent="0.25">
      <c r="A44" s="133"/>
      <c r="B44">
        <f ca="1">Performances!B10</f>
        <v>0.96755555555555561</v>
      </c>
      <c r="C44">
        <f ca="1">Performances!B34</f>
        <v>4.19E-2</v>
      </c>
      <c r="D44">
        <f ca="1">Performances!B58</f>
        <v>3.0133333333333331E-2</v>
      </c>
      <c r="F44" s="32" t="s">
        <v>213</v>
      </c>
      <c r="G44" s="33" t="str">
        <f ca="1">IF(G42&lt;G43,"no","yes")</f>
        <v>yes</v>
      </c>
      <c r="H44" s="33" t="str">
        <f ca="1">IF(H42&lt;H43,"no","yes")</f>
        <v>no</v>
      </c>
      <c r="I44" s="33" t="str">
        <f ca="1">IF(I42&lt;I43,"no","yes")</f>
        <v>no</v>
      </c>
      <c r="K44" s="133"/>
      <c r="L44">
        <f ca="1">Performances!D10</f>
        <v>0.71174444444444451</v>
      </c>
      <c r="M44">
        <f ca="1">Performances!D34</f>
        <v>3.78E-2</v>
      </c>
      <c r="N44">
        <f ca="1">Performances!D58</f>
        <v>3.4477777777777781E-2</v>
      </c>
      <c r="P44" s="32" t="s">
        <v>213</v>
      </c>
      <c r="Q44" s="33" t="str">
        <f ca="1">IF(Q42&lt;Q43,"no","yes")</f>
        <v>yes</v>
      </c>
      <c r="R44" s="33" t="str">
        <f ca="1">IF(R42&lt;R43,"no","yes")</f>
        <v>no</v>
      </c>
      <c r="S44" s="33" t="str">
        <f ca="1">IF(S42&lt;S43,"no","yes")</f>
        <v>yes</v>
      </c>
    </row>
    <row r="45" spans="1:19" x14ac:dyDescent="0.25">
      <c r="A45" s="133"/>
      <c r="B45">
        <f ca="1">Performances!B11</f>
        <v>0.65797777777777777</v>
      </c>
      <c r="C45">
        <f ca="1">Performances!B35</f>
        <v>0.11317777777777777</v>
      </c>
      <c r="D45">
        <f ca="1">Performances!B59</f>
        <v>5.2677777777777782E-2</v>
      </c>
      <c r="K45" s="133"/>
      <c r="L45">
        <f ca="1">Performances!D11</f>
        <v>1.1443777777777777</v>
      </c>
      <c r="M45">
        <f ca="1">Performances!D35</f>
        <v>7.0500000000000007E-2</v>
      </c>
      <c r="N45">
        <f ca="1">Performances!D59</f>
        <v>2.3866666666666668E-2</v>
      </c>
    </row>
    <row r="46" spans="1:19" x14ac:dyDescent="0.25">
      <c r="A46" s="133"/>
      <c r="B46">
        <f ca="1">Performances!B12</f>
        <v>1.1647999999999998</v>
      </c>
      <c r="C46">
        <f ca="1">Performances!B36</f>
        <v>8.6755555555555544E-2</v>
      </c>
      <c r="D46">
        <f ca="1">Performances!B60</f>
        <v>0.10522222222222223</v>
      </c>
      <c r="F46" t="s">
        <v>214</v>
      </c>
      <c r="K46" s="133"/>
      <c r="L46">
        <f ca="1">Performances!D12</f>
        <v>0.9603666666666667</v>
      </c>
      <c r="M46">
        <f ca="1">Performances!D36</f>
        <v>5.5466666666666671E-2</v>
      </c>
      <c r="N46">
        <f ca="1">Performances!D60</f>
        <v>7.2444444444444464E-2</v>
      </c>
      <c r="P46" t="s">
        <v>214</v>
      </c>
    </row>
    <row r="47" spans="1:19" x14ac:dyDescent="0.25">
      <c r="A47" s="133"/>
      <c r="B47">
        <f ca="1">Performances!B13</f>
        <v>0.89579999999999993</v>
      </c>
      <c r="C47">
        <f ca="1">Performances!B37</f>
        <v>5.3266666666666664E-2</v>
      </c>
      <c r="D47">
        <f ca="1">Performances!B61</f>
        <v>4.0522222222222223E-2</v>
      </c>
      <c r="K47" s="133"/>
      <c r="L47">
        <f ca="1">Performances!D13</f>
        <v>0.79348888888888902</v>
      </c>
      <c r="M47">
        <f ca="1">Performances!D37</f>
        <v>4.4933333333333339E-2</v>
      </c>
      <c r="N47">
        <f ca="1">Performances!D61</f>
        <v>0.10207777777777777</v>
      </c>
    </row>
    <row r="48" spans="1:19" x14ac:dyDescent="0.25">
      <c r="A48" s="133"/>
      <c r="B48">
        <f ca="1">Performances!B14</f>
        <v>0.80803333333333327</v>
      </c>
      <c r="C48">
        <f ca="1">Performances!B38</f>
        <v>2.3722222222222221E-2</v>
      </c>
      <c r="D48">
        <f ca="1">Performances!B62</f>
        <v>3.5133333333333336E-2</v>
      </c>
      <c r="F48" s="34" t="s">
        <v>215</v>
      </c>
      <c r="G48" s="34">
        <f ca="1">[1]!DAGOSTINO(B38:B67)</f>
        <v>1.1564979918852965</v>
      </c>
      <c r="H48" s="34">
        <f ca="1">[1]!DAGOSTINO(C38:C67)</f>
        <v>13.663237095181548</v>
      </c>
      <c r="I48" s="34">
        <f ca="1">[1]!DAGOSTINO(D38:D67)</f>
        <v>4.4887698521865742</v>
      </c>
      <c r="K48" s="133"/>
      <c r="L48">
        <f ca="1">Performances!D14</f>
        <v>0.93874444444444449</v>
      </c>
      <c r="M48">
        <f ca="1">Performances!D38</f>
        <v>2.6844444444444442E-2</v>
      </c>
      <c r="N48">
        <f ca="1">Performances!D62</f>
        <v>3.273333333333333E-2</v>
      </c>
      <c r="P48" s="34" t="s">
        <v>215</v>
      </c>
      <c r="Q48" s="34">
        <f ca="1">[1]!DAGOSTINO(L38:L67)</f>
        <v>1.842051980208532</v>
      </c>
      <c r="R48" s="34">
        <f ca="1">[1]!DAGOSTINO(M38:M67)</f>
        <v>26.993678831727681</v>
      </c>
      <c r="S48" s="34">
        <f ca="1">[1]!DAGOSTINO(N38:N67)</f>
        <v>4.6458967257606503</v>
      </c>
    </row>
    <row r="49" spans="1:19" x14ac:dyDescent="0.25">
      <c r="A49" s="133"/>
      <c r="B49">
        <f ca="1">Performances!B15</f>
        <v>0.78184444444444434</v>
      </c>
      <c r="C49">
        <f ca="1">Performances!B39</f>
        <v>2.5566666666666665E-2</v>
      </c>
      <c r="D49">
        <f ca="1">Performances!B63</f>
        <v>7.1211111111111114E-2</v>
      </c>
      <c r="F49" t="s">
        <v>211</v>
      </c>
      <c r="G49">
        <f ca="1">[1]!DPTEST(B38:B67)</f>
        <v>0.56087960970661466</v>
      </c>
      <c r="H49">
        <f ca="1">[1]!DPTEST(C38:C67)</f>
        <v>1.0791101122975544E-3</v>
      </c>
      <c r="I49">
        <f ca="1">[1]!DPTEST(D38:D67)</f>
        <v>0.10599271368077712</v>
      </c>
      <c r="K49" s="133"/>
      <c r="L49">
        <f ca="1">Performances!D15</f>
        <v>0.82277777777777783</v>
      </c>
      <c r="M49">
        <f ca="1">Performances!D39</f>
        <v>1.2322222222222222E-2</v>
      </c>
      <c r="N49">
        <f ca="1">Performances!D63</f>
        <v>6.7344444444444443E-2</v>
      </c>
      <c r="P49" t="s">
        <v>211</v>
      </c>
      <c r="Q49">
        <f ca="1">[1]!DPTEST(L38:L67)</f>
        <v>0.39811037417195272</v>
      </c>
      <c r="R49">
        <f ca="1">[1]!DPTEST(M38:M67)</f>
        <v>1.3752989725945852E-6</v>
      </c>
      <c r="S49">
        <f ca="1">[1]!DPTEST(N38:N67)</f>
        <v>9.798426613143052E-2</v>
      </c>
    </row>
    <row r="50" spans="1:19" x14ac:dyDescent="0.25">
      <c r="A50" s="133"/>
      <c r="B50">
        <f ca="1">Performances!B16</f>
        <v>0.95088888888888889</v>
      </c>
      <c r="C50">
        <f ca="1">Performances!B40</f>
        <v>1.5388888888888888E-2</v>
      </c>
      <c r="D50">
        <f ca="1">Performances!B64</f>
        <v>3.5111111111111114E-2</v>
      </c>
      <c r="F50" t="s">
        <v>212</v>
      </c>
      <c r="G50">
        <v>0.05</v>
      </c>
      <c r="H50">
        <v>0.05</v>
      </c>
      <c r="I50">
        <v>0.05</v>
      </c>
      <c r="K50" s="133"/>
      <c r="L50">
        <f ca="1">Performances!D16</f>
        <v>0.8980111111111112</v>
      </c>
      <c r="M50">
        <f ca="1">Performances!D40</f>
        <v>2.8988888888888883E-2</v>
      </c>
      <c r="N50">
        <f ca="1">Performances!D64</f>
        <v>3.5755555555555554E-2</v>
      </c>
      <c r="P50" t="s">
        <v>212</v>
      </c>
      <c r="Q50">
        <v>0.05</v>
      </c>
      <c r="R50">
        <v>0.05</v>
      </c>
      <c r="S50">
        <v>0.05</v>
      </c>
    </row>
    <row r="51" spans="1:19" x14ac:dyDescent="0.25">
      <c r="A51" s="133"/>
      <c r="B51">
        <f ca="1">Performances!B17</f>
        <v>0.72717777777777792</v>
      </c>
      <c r="C51">
        <f ca="1">Performances!B41</f>
        <v>0.12570000000000001</v>
      </c>
      <c r="D51">
        <f ca="1">Performances!B65</f>
        <v>0.13611111111111113</v>
      </c>
      <c r="F51" s="32" t="s">
        <v>213</v>
      </c>
      <c r="G51" s="33" t="str">
        <f ca="1">IF(G49&lt;G50,"no","yes")</f>
        <v>yes</v>
      </c>
      <c r="H51" s="33" t="str">
        <f ca="1">IF(H49&lt;H50,"no","yes")</f>
        <v>no</v>
      </c>
      <c r="I51" s="33" t="str">
        <f ca="1">IF(I49&lt;I50,"no","yes")</f>
        <v>yes</v>
      </c>
      <c r="K51" s="133"/>
      <c r="L51">
        <f ca="1">Performances!D17</f>
        <v>0.88434444444444438</v>
      </c>
      <c r="M51">
        <f ca="1">Performances!D41</f>
        <v>6.2955555555555556E-2</v>
      </c>
      <c r="N51">
        <f ca="1">Performances!D65</f>
        <v>6.2422222222222233E-2</v>
      </c>
      <c r="P51" s="32" t="s">
        <v>213</v>
      </c>
      <c r="Q51" s="33" t="str">
        <f ca="1">IF(Q49&lt;Q50,"no","yes")</f>
        <v>yes</v>
      </c>
      <c r="R51" s="33" t="str">
        <f ca="1">IF(R49&lt;R50,"no","yes")</f>
        <v>no</v>
      </c>
      <c r="S51" s="33" t="str">
        <f ca="1">IF(S49&lt;S50,"no","yes")</f>
        <v>yes</v>
      </c>
    </row>
    <row r="52" spans="1:19" x14ac:dyDescent="0.25">
      <c r="A52" s="134"/>
      <c r="B52">
        <f ca="1">Performances!B18</f>
        <v>0.74786666666666646</v>
      </c>
      <c r="C52">
        <f ca="1">Performances!B42</f>
        <v>5.9711111111111111E-2</v>
      </c>
      <c r="D52">
        <f ca="1">Performances!B66</f>
        <v>5.5288888888888894E-2</v>
      </c>
      <c r="K52" s="134"/>
      <c r="L52">
        <f ca="1">Performances!D18</f>
        <v>1.0081444444444445</v>
      </c>
      <c r="M52">
        <f ca="1">Performances!D42</f>
        <v>2.0855555555555554E-2</v>
      </c>
      <c r="N52">
        <f ca="1">Performances!D66</f>
        <v>0.13400000000000001</v>
      </c>
    </row>
    <row r="53" spans="1:19" x14ac:dyDescent="0.25">
      <c r="A53" s="132" t="s">
        <v>188</v>
      </c>
      <c r="B53">
        <f ca="1">Performances!F4</f>
        <v>0.8207888888888889</v>
      </c>
      <c r="C53">
        <f ca="1">Performances!F28</f>
        <v>8.7011111111111122E-2</v>
      </c>
      <c r="D53">
        <f ca="1">Performances!F52</f>
        <v>2.2611111111111113E-2</v>
      </c>
      <c r="K53" s="132" t="s">
        <v>188</v>
      </c>
      <c r="L53">
        <f ca="1">Performances!F4</f>
        <v>0.8207888888888889</v>
      </c>
      <c r="M53">
        <f ca="1">Performances!F28</f>
        <v>8.7011111111111122E-2</v>
      </c>
      <c r="N53">
        <f ca="1">Performances!F52</f>
        <v>2.2611111111111113E-2</v>
      </c>
    </row>
    <row r="54" spans="1:19" x14ac:dyDescent="0.25">
      <c r="A54" s="133"/>
      <c r="B54">
        <f ca="1">Performances!F5</f>
        <v>0.91754444444444438</v>
      </c>
      <c r="C54">
        <f ca="1">Performances!F29</f>
        <v>1.5311111111111112E-2</v>
      </c>
      <c r="D54">
        <f ca="1">Performances!F53</f>
        <v>7.3566666666666655E-2</v>
      </c>
      <c r="K54" s="133"/>
      <c r="L54">
        <f ca="1">Performances!F5</f>
        <v>0.91754444444444438</v>
      </c>
      <c r="M54">
        <f ca="1">Performances!F29</f>
        <v>1.5311111111111112E-2</v>
      </c>
      <c r="N54">
        <f ca="1">Performances!F53</f>
        <v>7.3566666666666655E-2</v>
      </c>
    </row>
    <row r="55" spans="1:19" x14ac:dyDescent="0.25">
      <c r="A55" s="133"/>
      <c r="B55">
        <f ca="1">Performances!F6</f>
        <v>1.1862111111111111</v>
      </c>
      <c r="C55">
        <f ca="1">Performances!F30</f>
        <v>3.6200000000000003E-2</v>
      </c>
      <c r="D55">
        <f ca="1">Performances!F54</f>
        <v>4.183333333333334E-2</v>
      </c>
      <c r="K55" s="133"/>
      <c r="L55">
        <f ca="1">Performances!F6</f>
        <v>1.1862111111111111</v>
      </c>
      <c r="M55">
        <f ca="1">Performances!F30</f>
        <v>3.6200000000000003E-2</v>
      </c>
      <c r="N55">
        <f ca="1">Performances!F54</f>
        <v>4.183333333333334E-2</v>
      </c>
    </row>
    <row r="56" spans="1:19" x14ac:dyDescent="0.25">
      <c r="A56" s="133"/>
      <c r="B56">
        <f ca="1">Performances!F7</f>
        <v>1.0447222222222223</v>
      </c>
      <c r="C56">
        <f ca="1">Performances!F31</f>
        <v>0.20443333333333336</v>
      </c>
      <c r="D56">
        <f ca="1">Performances!F55</f>
        <v>5.1655555555555566E-2</v>
      </c>
      <c r="K56" s="133"/>
      <c r="L56">
        <f ca="1">Performances!F7</f>
        <v>1.0447222222222223</v>
      </c>
      <c r="M56">
        <f ca="1">Performances!F31</f>
        <v>0.20443333333333336</v>
      </c>
      <c r="N56">
        <f ca="1">Performances!F55</f>
        <v>5.1655555555555566E-2</v>
      </c>
    </row>
    <row r="57" spans="1:19" x14ac:dyDescent="0.25">
      <c r="A57" s="133"/>
      <c r="B57">
        <f ca="1">Performances!F8</f>
        <v>0.64536666666666676</v>
      </c>
      <c r="C57">
        <f ca="1">Performances!F32</f>
        <v>2.5311111111111111E-2</v>
      </c>
      <c r="D57">
        <f ca="1">Performances!F56</f>
        <v>3.977777777777778E-2</v>
      </c>
      <c r="K57" s="133"/>
      <c r="L57">
        <f ca="1">Performances!F8</f>
        <v>0.64536666666666676</v>
      </c>
      <c r="M57">
        <f ca="1">Performances!F32</f>
        <v>2.5311111111111111E-2</v>
      </c>
      <c r="N57">
        <f ca="1">Performances!F56</f>
        <v>3.977777777777778E-2</v>
      </c>
    </row>
    <row r="58" spans="1:19" x14ac:dyDescent="0.25">
      <c r="A58" s="133"/>
      <c r="B58">
        <f ca="1">Performances!F9</f>
        <v>0.8893888888888889</v>
      </c>
      <c r="C58">
        <f ca="1">Performances!F33</f>
        <v>4.8577777777777782E-2</v>
      </c>
      <c r="D58">
        <f ca="1">Performances!F57</f>
        <v>5.5022222222222222E-2</v>
      </c>
      <c r="K58" s="133"/>
      <c r="L58">
        <f ca="1">Performances!F9</f>
        <v>0.8893888888888889</v>
      </c>
      <c r="M58">
        <f ca="1">Performances!F33</f>
        <v>4.8577777777777782E-2</v>
      </c>
      <c r="N58">
        <f ca="1">Performances!F57</f>
        <v>5.5022222222222222E-2</v>
      </c>
    </row>
    <row r="59" spans="1:19" x14ac:dyDescent="0.25">
      <c r="A59" s="133"/>
      <c r="B59">
        <f ca="1">Performances!F10</f>
        <v>0.60884444444444441</v>
      </c>
      <c r="C59">
        <f ca="1">Performances!F34</f>
        <v>4.7555555555555559E-2</v>
      </c>
      <c r="D59">
        <f ca="1">Performances!F58</f>
        <v>2.9088888888888893E-2</v>
      </c>
      <c r="K59" s="133"/>
      <c r="L59">
        <f ca="1">Performances!F10</f>
        <v>0.60884444444444441</v>
      </c>
      <c r="M59">
        <f ca="1">Performances!F34</f>
        <v>4.7555555555555559E-2</v>
      </c>
      <c r="N59">
        <f ca="1">Performances!F58</f>
        <v>2.9088888888888893E-2</v>
      </c>
    </row>
    <row r="60" spans="1:19" x14ac:dyDescent="0.25">
      <c r="A60" s="133"/>
      <c r="B60">
        <f ca="1">Performances!F11</f>
        <v>0.97118888888888877</v>
      </c>
      <c r="C60">
        <f ca="1">Performances!F35</f>
        <v>4.8555555555555553E-2</v>
      </c>
      <c r="D60">
        <f ca="1">Performances!F59</f>
        <v>0.13298888888888891</v>
      </c>
      <c r="K60" s="133"/>
      <c r="L60">
        <f ca="1">Performances!F11</f>
        <v>0.97118888888888877</v>
      </c>
      <c r="M60">
        <f ca="1">Performances!F35</f>
        <v>4.8555555555555553E-2</v>
      </c>
      <c r="N60">
        <f ca="1">Performances!F59</f>
        <v>0.13298888888888891</v>
      </c>
    </row>
    <row r="61" spans="1:19" x14ac:dyDescent="0.25">
      <c r="A61" s="133"/>
      <c r="B61">
        <f ca="1">Performances!F12</f>
        <v>0.51054444444444458</v>
      </c>
      <c r="C61">
        <f ca="1">Performances!F36</f>
        <v>2.7088888888888888E-2</v>
      </c>
      <c r="D61">
        <f ca="1">Performances!F60</f>
        <v>6.6255555555555568E-2</v>
      </c>
      <c r="K61" s="133"/>
      <c r="L61">
        <f ca="1">Performances!F12</f>
        <v>0.51054444444444458</v>
      </c>
      <c r="M61">
        <f ca="1">Performances!F36</f>
        <v>2.7088888888888888E-2</v>
      </c>
      <c r="N61">
        <f ca="1">Performances!F60</f>
        <v>6.6255555555555568E-2</v>
      </c>
    </row>
    <row r="62" spans="1:19" x14ac:dyDescent="0.25">
      <c r="A62" s="133"/>
      <c r="B62">
        <f ca="1">Performances!F13</f>
        <v>0.94518888888888897</v>
      </c>
      <c r="C62">
        <f ca="1">Performances!F37</f>
        <v>6.6333333333333327E-2</v>
      </c>
      <c r="D62">
        <f ca="1">Performances!F61</f>
        <v>8.1644444444444436E-2</v>
      </c>
      <c r="K62" s="133"/>
      <c r="L62">
        <f ca="1">Performances!F13</f>
        <v>0.94518888888888897</v>
      </c>
      <c r="M62">
        <f ca="1">Performances!F37</f>
        <v>6.6333333333333327E-2</v>
      </c>
      <c r="N62">
        <f ca="1">Performances!F61</f>
        <v>8.1644444444444436E-2</v>
      </c>
    </row>
    <row r="63" spans="1:19" x14ac:dyDescent="0.25">
      <c r="A63" s="133"/>
      <c r="B63">
        <f ca="1">Performances!F14</f>
        <v>0.92872222222222234</v>
      </c>
      <c r="C63">
        <f ca="1">Performances!F38</f>
        <v>2.3311111111111109E-2</v>
      </c>
      <c r="D63">
        <f ca="1">Performances!F62</f>
        <v>7.5444444444444448E-3</v>
      </c>
      <c r="K63" s="133"/>
      <c r="L63">
        <f ca="1">Performances!F14</f>
        <v>0.92872222222222234</v>
      </c>
      <c r="M63">
        <f ca="1">Performances!F38</f>
        <v>2.3311111111111109E-2</v>
      </c>
      <c r="N63">
        <f ca="1">Performances!F62</f>
        <v>7.5444444444444448E-3</v>
      </c>
    </row>
    <row r="64" spans="1:19" x14ac:dyDescent="0.25">
      <c r="A64" s="133"/>
      <c r="B64">
        <f ca="1">Performances!F15</f>
        <v>0.7199333333333332</v>
      </c>
      <c r="C64">
        <f ca="1">Performances!F39</f>
        <v>2.7377777777777775E-2</v>
      </c>
      <c r="D64">
        <f ca="1">Performances!F63</f>
        <v>3.3999999999999996E-2</v>
      </c>
      <c r="K64" s="133"/>
      <c r="L64">
        <f ca="1">Performances!F15</f>
        <v>0.7199333333333332</v>
      </c>
      <c r="M64">
        <f ca="1">Performances!F39</f>
        <v>2.7377777777777775E-2</v>
      </c>
      <c r="N64">
        <f ca="1">Performances!F63</f>
        <v>3.3999999999999996E-2</v>
      </c>
    </row>
    <row r="65" spans="1:19" x14ac:dyDescent="0.25">
      <c r="A65" s="133"/>
      <c r="B65">
        <f ca="1">Performances!F16</f>
        <v>0.75078888888888895</v>
      </c>
      <c r="C65">
        <f ca="1">Performances!F40</f>
        <v>3.3166666666666664E-2</v>
      </c>
      <c r="D65">
        <f ca="1">Performances!F64</f>
        <v>4.6388888888888896E-2</v>
      </c>
      <c r="K65" s="133"/>
      <c r="L65">
        <f ca="1">Performances!F16</f>
        <v>0.75078888888888895</v>
      </c>
      <c r="M65">
        <f ca="1">Performances!F40</f>
        <v>3.3166666666666664E-2</v>
      </c>
      <c r="N65">
        <f ca="1">Performances!F64</f>
        <v>4.6388888888888896E-2</v>
      </c>
    </row>
    <row r="66" spans="1:19" x14ac:dyDescent="0.25">
      <c r="A66" s="133"/>
      <c r="B66">
        <f ca="1">Performances!F17</f>
        <v>0.56565555555555558</v>
      </c>
      <c r="C66">
        <f ca="1">Performances!F41</f>
        <v>3.4033333333333332E-2</v>
      </c>
      <c r="D66">
        <f ca="1">Performances!F65</f>
        <v>8.6277777777777773E-2</v>
      </c>
      <c r="K66" s="133"/>
      <c r="L66">
        <f ca="1">Performances!F17</f>
        <v>0.56565555555555558</v>
      </c>
      <c r="M66">
        <f ca="1">Performances!F41</f>
        <v>3.4033333333333332E-2</v>
      </c>
      <c r="N66">
        <f ca="1">Performances!F65</f>
        <v>8.6277777777777773E-2</v>
      </c>
    </row>
    <row r="67" spans="1:19" x14ac:dyDescent="0.25">
      <c r="A67" s="134"/>
      <c r="B67">
        <f ca="1">Performances!F18</f>
        <v>1.0018777777777776</v>
      </c>
      <c r="C67">
        <f ca="1">Performances!F42</f>
        <v>2.1344444444444444E-2</v>
      </c>
      <c r="D67">
        <f ca="1">Performances!F66</f>
        <v>9.9055555555555549E-2</v>
      </c>
      <c r="K67" s="134"/>
      <c r="L67">
        <f ca="1">Performances!F18</f>
        <v>1.0018777777777776</v>
      </c>
      <c r="M67">
        <f ca="1">Performances!F42</f>
        <v>2.1344444444444444E-2</v>
      </c>
      <c r="N67">
        <f ca="1">Performances!F66</f>
        <v>9.9055555555555549E-2</v>
      </c>
    </row>
    <row r="68" spans="1:19" ht="12.45" customHeight="1" x14ac:dyDescent="0.25"/>
    <row r="69" spans="1:19" x14ac:dyDescent="0.25">
      <c r="A69" s="135" t="s">
        <v>260</v>
      </c>
      <c r="B69" s="135"/>
      <c r="C69" s="135"/>
      <c r="D69" s="135"/>
      <c r="E69" s="135"/>
      <c r="F69" s="135"/>
      <c r="G69" s="135"/>
      <c r="H69" s="135"/>
      <c r="I69" s="135"/>
      <c r="K69" s="135" t="s">
        <v>260</v>
      </c>
      <c r="L69" s="135"/>
      <c r="M69" s="135"/>
      <c r="N69" s="135"/>
      <c r="O69" s="135"/>
      <c r="P69" s="135"/>
      <c r="Q69" s="135"/>
      <c r="R69" s="135"/>
      <c r="S69" s="135"/>
    </row>
    <row r="70" spans="1:19" ht="12.45" customHeight="1" x14ac:dyDescent="0.25"/>
    <row r="71" spans="1:19" x14ac:dyDescent="0.25">
      <c r="B71" s="36" t="s">
        <v>184</v>
      </c>
      <c r="C71" s="36" t="s">
        <v>204</v>
      </c>
      <c r="D71" s="36" t="s">
        <v>205</v>
      </c>
      <c r="F71" s="135" t="s">
        <v>265</v>
      </c>
      <c r="G71" s="135"/>
      <c r="H71" s="135"/>
      <c r="I71" s="135"/>
      <c r="L71" s="36" t="s">
        <v>184</v>
      </c>
      <c r="M71" s="36" t="s">
        <v>204</v>
      </c>
      <c r="N71" s="36" t="s">
        <v>205</v>
      </c>
      <c r="P71" s="135" t="s">
        <v>266</v>
      </c>
      <c r="Q71" s="135"/>
      <c r="R71" s="135"/>
      <c r="S71" s="135"/>
    </row>
    <row r="72" spans="1:19" x14ac:dyDescent="0.25">
      <c r="A72" s="132" t="s">
        <v>187</v>
      </c>
      <c r="B72">
        <f ca="1">Performances!D4</f>
        <v>0.87620000000000009</v>
      </c>
      <c r="C72">
        <f ca="1">Performances!D28</f>
        <v>9.4622222222222219E-2</v>
      </c>
      <c r="D72">
        <f ca="1">Performances!D52</f>
        <v>5.8788888888888877E-2</v>
      </c>
      <c r="F72" t="s">
        <v>209</v>
      </c>
      <c r="K72" s="132" t="s">
        <v>188</v>
      </c>
      <c r="L72">
        <f ca="1">Performances!F4</f>
        <v>0.8207888888888889</v>
      </c>
      <c r="M72">
        <f ca="1">Performances!F28</f>
        <v>8.7011111111111122E-2</v>
      </c>
      <c r="N72">
        <f ca="1">Performances!F52</f>
        <v>2.2611111111111113E-2</v>
      </c>
      <c r="P72" t="s">
        <v>209</v>
      </c>
    </row>
    <row r="73" spans="1:19" x14ac:dyDescent="0.25">
      <c r="A73" s="133"/>
      <c r="B73">
        <f ca="1">Performances!D5</f>
        <v>0.92013333333333336</v>
      </c>
      <c r="C73">
        <f ca="1">Performances!D29</f>
        <v>0.10333333333333333</v>
      </c>
      <c r="D73">
        <f ca="1">Performances!D53</f>
        <v>6.2311111111111109E-2</v>
      </c>
      <c r="K73" s="133"/>
      <c r="L73">
        <f ca="1">Performances!F5</f>
        <v>0.91754444444444438</v>
      </c>
      <c r="M73">
        <f ca="1">Performances!F29</f>
        <v>1.5311111111111112E-2</v>
      </c>
      <c r="N73">
        <f ca="1">Performances!F53</f>
        <v>7.3566666666666655E-2</v>
      </c>
    </row>
    <row r="74" spans="1:19" x14ac:dyDescent="0.25">
      <c r="A74" s="133"/>
      <c r="B74">
        <f ca="1">Performances!D6</f>
        <v>1.4115555555555557</v>
      </c>
      <c r="C74">
        <f ca="1">Performances!D30</f>
        <v>6.4144444444444434E-2</v>
      </c>
      <c r="D74">
        <f ca="1">Performances!D54</f>
        <v>6.8122222222222223E-2</v>
      </c>
      <c r="F74" s="31"/>
      <c r="G74" s="31" t="str">
        <f>B71</f>
        <v>Groupe 1</v>
      </c>
      <c r="H74" s="31" t="str">
        <f>C71</f>
        <v>Groupe 2</v>
      </c>
      <c r="I74" s="31" t="str">
        <f>D71</f>
        <v>Groupe 3</v>
      </c>
      <c r="K74" s="133"/>
      <c r="L74">
        <f ca="1">Performances!F6</f>
        <v>1.1862111111111111</v>
      </c>
      <c r="M74">
        <f ca="1">Performances!F30</f>
        <v>3.6200000000000003E-2</v>
      </c>
      <c r="N74">
        <f ca="1">Performances!F54</f>
        <v>4.183333333333334E-2</v>
      </c>
      <c r="P74" s="31"/>
      <c r="Q74" s="31" t="str">
        <f>L71</f>
        <v>Groupe 1</v>
      </c>
      <c r="R74" s="31" t="str">
        <f>M71</f>
        <v>Groupe 2</v>
      </c>
      <c r="S74" s="31" t="str">
        <f>N71</f>
        <v>Groupe 3</v>
      </c>
    </row>
    <row r="75" spans="1:19" x14ac:dyDescent="0.25">
      <c r="A75" s="133"/>
      <c r="B75">
        <f ca="1">Performances!D7</f>
        <v>1.0153777777777777</v>
      </c>
      <c r="C75">
        <f ca="1">Performances!D31</f>
        <v>0.16041111111111114</v>
      </c>
      <c r="D75">
        <f ca="1">Performances!D55</f>
        <v>7.4822222222222221E-2</v>
      </c>
      <c r="F75" t="s">
        <v>210</v>
      </c>
      <c r="G75">
        <f ca="1">[1]!SHAPIRO(B72:B101)</f>
        <v>0.94275297309715411</v>
      </c>
      <c r="H75">
        <f ca="1">[1]!SHAPIRO(C72:C101)</f>
        <v>0.82165253125214321</v>
      </c>
      <c r="I75">
        <f ca="1">[1]!SHAPIRO(D72:D101)</f>
        <v>0.88645618862862408</v>
      </c>
      <c r="K75" s="133"/>
      <c r="L75">
        <f ca="1">Performances!F7</f>
        <v>1.0447222222222223</v>
      </c>
      <c r="M75">
        <f ca="1">Performances!F31</f>
        <v>0.20443333333333336</v>
      </c>
      <c r="N75">
        <f ca="1">Performances!F55</f>
        <v>5.1655555555555566E-2</v>
      </c>
      <c r="P75" t="s">
        <v>210</v>
      </c>
      <c r="Q75">
        <f ca="1">[1]!SHAPIRO(L72:L101)</f>
        <v>0.96838660614608962</v>
      </c>
      <c r="R75">
        <f ca="1">[1]!SHAPIRO(M72:M101)</f>
        <v>0.69511925734998958</v>
      </c>
      <c r="S75">
        <f ca="1">[1]!SHAPIRO(N72:N101)</f>
        <v>0.91651232783077963</v>
      </c>
    </row>
    <row r="76" spans="1:19" x14ac:dyDescent="0.25">
      <c r="A76" s="133"/>
      <c r="B76">
        <f ca="1">Performances!D8</f>
        <v>0.92371111111111126</v>
      </c>
      <c r="C76">
        <f ca="1">Performances!D32</f>
        <v>3.1155555555555554E-2</v>
      </c>
      <c r="D76">
        <f ca="1">Performances!D56</f>
        <v>4.781111111111111E-2</v>
      </c>
      <c r="F76" t="s">
        <v>211</v>
      </c>
      <c r="G76">
        <f ca="1">[1]!SWTEST(B72:B101)</f>
        <v>0.1079032085769418</v>
      </c>
      <c r="H76">
        <f ca="1">[1]!SWTEST(C72:C101)</f>
        <v>1.669833206695559E-4</v>
      </c>
      <c r="I76">
        <f ca="1">[1]!SWTEST(D72:D101)</f>
        <v>3.98009372563779E-3</v>
      </c>
      <c r="K76" s="133"/>
      <c r="L76">
        <f ca="1">Performances!F8</f>
        <v>0.64536666666666676</v>
      </c>
      <c r="M76">
        <f ca="1">Performances!F32</f>
        <v>2.5311111111111111E-2</v>
      </c>
      <c r="N76">
        <f ca="1">Performances!F56</f>
        <v>3.977777777777778E-2</v>
      </c>
      <c r="P76" t="s">
        <v>211</v>
      </c>
      <c r="Q76">
        <f ca="1">[1]!SWTEST(L72:L101)</f>
        <v>0.4960271837461403</v>
      </c>
      <c r="R76">
        <f ca="1">[1]!SWTEST(M72:M101)</f>
        <v>1.3258730777732097E-6</v>
      </c>
      <c r="S76">
        <f ca="1">[1]!SWTEST(N72:N101)</f>
        <v>2.1798081741559061E-2</v>
      </c>
    </row>
    <row r="77" spans="1:19" x14ac:dyDescent="0.25">
      <c r="A77" s="133"/>
      <c r="B77">
        <f ca="1">Performances!D9</f>
        <v>0.57128888888888885</v>
      </c>
      <c r="C77">
        <f ca="1">Performances!D33</f>
        <v>3.6611111111111115E-2</v>
      </c>
      <c r="D77">
        <f ca="1">Performances!D57</f>
        <v>3.1411111111111112E-2</v>
      </c>
      <c r="F77" t="s">
        <v>212</v>
      </c>
      <c r="G77">
        <v>0.05</v>
      </c>
      <c r="H77">
        <v>0.05</v>
      </c>
      <c r="I77">
        <v>0.05</v>
      </c>
      <c r="K77" s="133"/>
      <c r="L77">
        <f ca="1">Performances!F9</f>
        <v>0.8893888888888889</v>
      </c>
      <c r="M77">
        <f ca="1">Performances!F33</f>
        <v>4.8577777777777782E-2</v>
      </c>
      <c r="N77">
        <f ca="1">Performances!F57</f>
        <v>5.5022222222222222E-2</v>
      </c>
      <c r="P77" t="s">
        <v>212</v>
      </c>
      <c r="Q77">
        <v>0.05</v>
      </c>
      <c r="R77">
        <v>0.05</v>
      </c>
      <c r="S77">
        <v>0.05</v>
      </c>
    </row>
    <row r="78" spans="1:19" x14ac:dyDescent="0.25">
      <c r="A78" s="133"/>
      <c r="B78">
        <f ca="1">Performances!D10</f>
        <v>0.71174444444444451</v>
      </c>
      <c r="C78">
        <f ca="1">Performances!D34</f>
        <v>3.78E-2</v>
      </c>
      <c r="D78">
        <f ca="1">Performances!D58</f>
        <v>3.4477777777777781E-2</v>
      </c>
      <c r="F78" s="32" t="s">
        <v>213</v>
      </c>
      <c r="G78" s="33" t="str">
        <f ca="1">IF(G76&lt;G77,"no","yes")</f>
        <v>yes</v>
      </c>
      <c r="H78" s="33" t="str">
        <f ca="1">IF(H76&lt;H77,"no","yes")</f>
        <v>no</v>
      </c>
      <c r="I78" s="33" t="str">
        <f ca="1">IF(I76&lt;I77,"no","yes")</f>
        <v>no</v>
      </c>
      <c r="K78" s="133"/>
      <c r="L78">
        <f ca="1">Performances!F10</f>
        <v>0.60884444444444441</v>
      </c>
      <c r="M78">
        <f ca="1">Performances!F34</f>
        <v>4.7555555555555559E-2</v>
      </c>
      <c r="N78">
        <f ca="1">Performances!F58</f>
        <v>2.9088888888888893E-2</v>
      </c>
      <c r="P78" s="32" t="s">
        <v>213</v>
      </c>
      <c r="Q78" s="33" t="str">
        <f ca="1">IF(Q76&lt;Q77,"no","yes")</f>
        <v>yes</v>
      </c>
      <c r="R78" s="33" t="str">
        <f ca="1">IF(R76&lt;R77,"no","yes")</f>
        <v>no</v>
      </c>
      <c r="S78" s="33" t="str">
        <f ca="1">IF(S76&lt;S77,"no","yes")</f>
        <v>no</v>
      </c>
    </row>
    <row r="79" spans="1:19" x14ac:dyDescent="0.25">
      <c r="A79" s="133"/>
      <c r="B79">
        <f ca="1">Performances!D11</f>
        <v>1.1443777777777777</v>
      </c>
      <c r="C79">
        <f ca="1">Performances!D35</f>
        <v>7.0500000000000007E-2</v>
      </c>
      <c r="D79">
        <f ca="1">Performances!D59</f>
        <v>2.3866666666666668E-2</v>
      </c>
      <c r="K79" s="133"/>
      <c r="L79">
        <f ca="1">Performances!F11</f>
        <v>0.97118888888888877</v>
      </c>
      <c r="M79">
        <f ca="1">Performances!F35</f>
        <v>4.8555555555555553E-2</v>
      </c>
      <c r="N79">
        <f ca="1">Performances!F59</f>
        <v>0.13298888888888891</v>
      </c>
    </row>
    <row r="80" spans="1:19" x14ac:dyDescent="0.25">
      <c r="A80" s="133"/>
      <c r="B80">
        <f ca="1">Performances!D12</f>
        <v>0.9603666666666667</v>
      </c>
      <c r="C80">
        <f ca="1">Performances!D36</f>
        <v>5.5466666666666671E-2</v>
      </c>
      <c r="D80">
        <f ca="1">Performances!D60</f>
        <v>7.2444444444444464E-2</v>
      </c>
      <c r="F80" t="s">
        <v>214</v>
      </c>
      <c r="K80" s="133"/>
      <c r="L80">
        <f ca="1">Performances!F12</f>
        <v>0.51054444444444458</v>
      </c>
      <c r="M80">
        <f ca="1">Performances!F36</f>
        <v>2.7088888888888888E-2</v>
      </c>
      <c r="N80">
        <f ca="1">Performances!F60</f>
        <v>6.6255555555555568E-2</v>
      </c>
      <c r="P80" t="s">
        <v>214</v>
      </c>
    </row>
    <row r="81" spans="1:19" x14ac:dyDescent="0.25">
      <c r="A81" s="133"/>
      <c r="B81">
        <f ca="1">Performances!D13</f>
        <v>0.79348888888888902</v>
      </c>
      <c r="C81">
        <f ca="1">Performances!D37</f>
        <v>4.4933333333333339E-2</v>
      </c>
      <c r="D81">
        <f ca="1">Performances!D61</f>
        <v>0.10207777777777777</v>
      </c>
      <c r="K81" s="133"/>
      <c r="L81">
        <f ca="1">Performances!F13</f>
        <v>0.94518888888888897</v>
      </c>
      <c r="M81">
        <f ca="1">Performances!F37</f>
        <v>6.6333333333333327E-2</v>
      </c>
      <c r="N81">
        <f ca="1">Performances!F61</f>
        <v>8.1644444444444436E-2</v>
      </c>
    </row>
    <row r="82" spans="1:19" x14ac:dyDescent="0.25">
      <c r="A82" s="133"/>
      <c r="B82">
        <f ca="1">Performances!D14</f>
        <v>0.93874444444444449</v>
      </c>
      <c r="C82">
        <f ca="1">Performances!D38</f>
        <v>2.6844444444444442E-2</v>
      </c>
      <c r="D82">
        <f ca="1">Performances!D62</f>
        <v>3.273333333333333E-2</v>
      </c>
      <c r="F82" s="34" t="s">
        <v>215</v>
      </c>
      <c r="G82" s="34">
        <f ca="1">[1]!DAGOSTINO(B72:B101)</f>
        <v>4.4565362010339209</v>
      </c>
      <c r="H82" s="34">
        <f ca="1">[1]!DAGOSTINO(C72:C101)</f>
        <v>18.256464285101814</v>
      </c>
      <c r="I82" s="34">
        <f ca="1">[1]!DAGOSTINO(D72:D101)</f>
        <v>8.3674897157257249</v>
      </c>
      <c r="K82" s="133"/>
      <c r="L82">
        <f ca="1">Performances!F14</f>
        <v>0.92872222222222234</v>
      </c>
      <c r="M82">
        <f ca="1">Performances!F38</f>
        <v>2.3311111111111109E-2</v>
      </c>
      <c r="N82">
        <f ca="1">Performances!F62</f>
        <v>7.5444444444444448E-3</v>
      </c>
      <c r="P82" s="34" t="s">
        <v>215</v>
      </c>
      <c r="Q82" s="34">
        <f ca="1">[1]!DAGOSTINO(L72:L101)</f>
        <v>2.7865824071383414</v>
      </c>
      <c r="R82" s="34">
        <f ca="1">[1]!DAGOSTINO(M72:M101)</f>
        <v>31.889328931148384</v>
      </c>
      <c r="S82" s="34">
        <f ca="1">[1]!DAGOSTINO(N72:N101)</f>
        <v>6.2676930872888708</v>
      </c>
    </row>
    <row r="83" spans="1:19" x14ac:dyDescent="0.25">
      <c r="A83" s="133"/>
      <c r="B83">
        <f ca="1">Performances!D15</f>
        <v>0.82277777777777783</v>
      </c>
      <c r="C83">
        <f ca="1">Performances!D39</f>
        <v>1.2322222222222222E-2</v>
      </c>
      <c r="D83">
        <f ca="1">Performances!D63</f>
        <v>6.7344444444444443E-2</v>
      </c>
      <c r="F83" t="s">
        <v>211</v>
      </c>
      <c r="G83">
        <f ca="1">[1]!DPTEST(B72:B101)</f>
        <v>0.10771481992596055</v>
      </c>
      <c r="H83">
        <f ca="1">[1]!DPTEST(C72:C101)</f>
        <v>1.0855732944459184E-4</v>
      </c>
      <c r="I83">
        <f ca="1">[1]!DPTEST(D72:D101)</f>
        <v>1.5241323969424569E-2</v>
      </c>
      <c r="K83" s="133"/>
      <c r="L83">
        <f ca="1">Performances!F15</f>
        <v>0.7199333333333332</v>
      </c>
      <c r="M83">
        <f ca="1">Performances!F39</f>
        <v>2.7377777777777775E-2</v>
      </c>
      <c r="N83">
        <f ca="1">Performances!F63</f>
        <v>3.3999999999999996E-2</v>
      </c>
      <c r="P83" t="s">
        <v>211</v>
      </c>
      <c r="Q83">
        <f ca="1">[1]!DPTEST(L72:L101)</f>
        <v>0.24825689461580747</v>
      </c>
      <c r="R83">
        <f ca="1">[1]!DPTEST(M72:M101)</f>
        <v>1.1893788376404757E-7</v>
      </c>
      <c r="S83">
        <f ca="1">[1]!DPTEST(N72:N101)</f>
        <v>4.3549957845327114E-2</v>
      </c>
    </row>
    <row r="84" spans="1:19" x14ac:dyDescent="0.25">
      <c r="A84" s="133"/>
      <c r="B84">
        <f ca="1">Performances!D16</f>
        <v>0.8980111111111112</v>
      </c>
      <c r="C84">
        <f ca="1">Performances!D40</f>
        <v>2.8988888888888883E-2</v>
      </c>
      <c r="D84">
        <f ca="1">Performances!D64</f>
        <v>3.5755555555555554E-2</v>
      </c>
      <c r="F84" t="s">
        <v>212</v>
      </c>
      <c r="G84">
        <v>0.05</v>
      </c>
      <c r="H84">
        <v>0.05</v>
      </c>
      <c r="I84">
        <v>0.05</v>
      </c>
      <c r="K84" s="133"/>
      <c r="L84">
        <f ca="1">Performances!F16</f>
        <v>0.75078888888888895</v>
      </c>
      <c r="M84">
        <f ca="1">Performances!F40</f>
        <v>3.3166666666666664E-2</v>
      </c>
      <c r="N84">
        <f ca="1">Performances!F64</f>
        <v>4.6388888888888896E-2</v>
      </c>
      <c r="P84" t="s">
        <v>212</v>
      </c>
      <c r="Q84">
        <v>0.05</v>
      </c>
      <c r="R84">
        <v>0.05</v>
      </c>
      <c r="S84">
        <v>0.05</v>
      </c>
    </row>
    <row r="85" spans="1:19" x14ac:dyDescent="0.25">
      <c r="A85" s="133"/>
      <c r="B85">
        <f ca="1">Performances!D17</f>
        <v>0.88434444444444438</v>
      </c>
      <c r="C85">
        <f ca="1">Performances!D41</f>
        <v>6.2955555555555556E-2</v>
      </c>
      <c r="D85">
        <f ca="1">Performances!D65</f>
        <v>6.2422222222222233E-2</v>
      </c>
      <c r="F85" s="32" t="s">
        <v>213</v>
      </c>
      <c r="G85" s="33" t="str">
        <f ca="1">IF(G83&lt;G84,"no","yes")</f>
        <v>yes</v>
      </c>
      <c r="H85" s="33" t="str">
        <f ca="1">IF(H83&lt;H84,"no","yes")</f>
        <v>no</v>
      </c>
      <c r="I85" s="33" t="str">
        <f ca="1">IF(I83&lt;I84,"no","yes")</f>
        <v>no</v>
      </c>
      <c r="K85" s="133"/>
      <c r="L85">
        <f ca="1">Performances!F17</f>
        <v>0.56565555555555558</v>
      </c>
      <c r="M85">
        <f ca="1">Performances!F41</f>
        <v>3.4033333333333332E-2</v>
      </c>
      <c r="N85">
        <f ca="1">Performances!F65</f>
        <v>8.6277777777777773E-2</v>
      </c>
      <c r="P85" s="32" t="s">
        <v>213</v>
      </c>
      <c r="Q85" s="33" t="str">
        <f ca="1">IF(Q83&lt;Q84,"no","yes")</f>
        <v>yes</v>
      </c>
      <c r="R85" s="33" t="str">
        <f ca="1">IF(R83&lt;R84,"no","yes")</f>
        <v>no</v>
      </c>
      <c r="S85" s="33" t="str">
        <f ca="1">IF(S83&lt;S84,"no","yes")</f>
        <v>no</v>
      </c>
    </row>
    <row r="86" spans="1:19" x14ac:dyDescent="0.25">
      <c r="A86" s="134"/>
      <c r="B86">
        <f ca="1">Performances!D18</f>
        <v>1.0081444444444445</v>
      </c>
      <c r="C86">
        <f ca="1">Performances!D42</f>
        <v>2.0855555555555554E-2</v>
      </c>
      <c r="D86">
        <f ca="1">Performances!D66</f>
        <v>0.13400000000000001</v>
      </c>
      <c r="K86" s="134"/>
      <c r="L86">
        <f ca="1">Performances!F18</f>
        <v>1.0018777777777776</v>
      </c>
      <c r="M86">
        <f ca="1">Performances!F42</f>
        <v>2.1344444444444444E-2</v>
      </c>
      <c r="N86">
        <f ca="1">Performances!F66</f>
        <v>9.9055555555555549E-2</v>
      </c>
    </row>
    <row r="87" spans="1:19" x14ac:dyDescent="0.25">
      <c r="A87" s="132" t="s">
        <v>189</v>
      </c>
      <c r="B87">
        <f ca="1">Performances!H4</f>
        <v>0.737611111111111</v>
      </c>
      <c r="C87">
        <f ca="1">Performances!H28</f>
        <v>8.1888888888888886E-2</v>
      </c>
      <c r="D87">
        <f ca="1">Performances!H52</f>
        <v>3.0755555555555553E-2</v>
      </c>
      <c r="K87" s="132" t="s">
        <v>189</v>
      </c>
      <c r="L87">
        <f ca="1">Performances!H4</f>
        <v>0.737611111111111</v>
      </c>
      <c r="M87">
        <f ca="1">Performances!H28</f>
        <v>8.1888888888888886E-2</v>
      </c>
      <c r="N87">
        <f ca="1">Performances!H52</f>
        <v>3.0755555555555553E-2</v>
      </c>
    </row>
    <row r="88" spans="1:19" x14ac:dyDescent="0.25">
      <c r="A88" s="133"/>
      <c r="B88">
        <f ca="1">Performances!H5</f>
        <v>0.8851</v>
      </c>
      <c r="C88">
        <f ca="1">Performances!H29</f>
        <v>4.1822222222222219E-2</v>
      </c>
      <c r="D88">
        <f ca="1">Performances!H53</f>
        <v>7.1766666666666659E-2</v>
      </c>
      <c r="K88" s="133"/>
      <c r="L88">
        <f ca="1">Performances!H5</f>
        <v>0.8851</v>
      </c>
      <c r="M88">
        <f ca="1">Performances!H29</f>
        <v>4.1822222222222219E-2</v>
      </c>
      <c r="N88">
        <f ca="1">Performances!H53</f>
        <v>7.1766666666666659E-2</v>
      </c>
    </row>
    <row r="89" spans="1:19" x14ac:dyDescent="0.25">
      <c r="A89" s="133"/>
      <c r="B89">
        <f ca="1">Performances!H6</f>
        <v>1.4937555555555557</v>
      </c>
      <c r="C89">
        <f ca="1">Performances!H30</f>
        <v>1.4311111111111111E-2</v>
      </c>
      <c r="D89">
        <f ca="1">Performances!H54</f>
        <v>5.5088888888888889E-2</v>
      </c>
      <c r="K89" s="133"/>
      <c r="L89">
        <f ca="1">Performances!H6</f>
        <v>1.4937555555555557</v>
      </c>
      <c r="M89">
        <f ca="1">Performances!H30</f>
        <v>1.4311111111111111E-2</v>
      </c>
      <c r="N89">
        <f ca="1">Performances!H54</f>
        <v>5.5088888888888889E-2</v>
      </c>
    </row>
    <row r="90" spans="1:19" x14ac:dyDescent="0.25">
      <c r="A90" s="133"/>
      <c r="B90">
        <f ca="1">Performances!H7</f>
        <v>1.2299333333333335</v>
      </c>
      <c r="C90">
        <f ca="1">Performances!H31</f>
        <v>0.17301111111111112</v>
      </c>
      <c r="D90">
        <f ca="1">Performances!H55</f>
        <v>2.7355555555555553E-2</v>
      </c>
      <c r="K90" s="133"/>
      <c r="L90">
        <f ca="1">Performances!H7</f>
        <v>1.2299333333333335</v>
      </c>
      <c r="M90">
        <f ca="1">Performances!H31</f>
        <v>0.17301111111111112</v>
      </c>
      <c r="N90">
        <f ca="1">Performances!H55</f>
        <v>2.7355555555555553E-2</v>
      </c>
    </row>
    <row r="91" spans="1:19" x14ac:dyDescent="0.25">
      <c r="A91" s="133"/>
      <c r="B91">
        <f ca="1">Performances!H8</f>
        <v>0.52353333333333341</v>
      </c>
      <c r="C91">
        <f ca="1">Performances!H32</f>
        <v>2.251111111111111E-2</v>
      </c>
      <c r="D91">
        <f ca="1">Performances!H56</f>
        <v>5.8555555555555555E-2</v>
      </c>
      <c r="K91" s="133"/>
      <c r="L91">
        <f ca="1">Performances!H8</f>
        <v>0.52353333333333341</v>
      </c>
      <c r="M91">
        <f ca="1">Performances!H32</f>
        <v>2.251111111111111E-2</v>
      </c>
      <c r="N91">
        <f ca="1">Performances!H56</f>
        <v>5.8555555555555555E-2</v>
      </c>
    </row>
    <row r="92" spans="1:19" x14ac:dyDescent="0.25">
      <c r="A92" s="133"/>
      <c r="B92">
        <f ca="1">Performances!H9</f>
        <v>0.8284555555555555</v>
      </c>
      <c r="C92">
        <f ca="1">Performances!H33</f>
        <v>3.043333333333333E-2</v>
      </c>
      <c r="D92">
        <f ca="1">Performances!H57</f>
        <v>3.1188888888888894E-2</v>
      </c>
      <c r="K92" s="133"/>
      <c r="L92">
        <f ca="1">Performances!H9</f>
        <v>0.8284555555555555</v>
      </c>
      <c r="M92">
        <f ca="1">Performances!H33</f>
        <v>3.043333333333333E-2</v>
      </c>
      <c r="N92">
        <f ca="1">Performances!H57</f>
        <v>3.1188888888888894E-2</v>
      </c>
    </row>
    <row r="93" spans="1:19" x14ac:dyDescent="0.25">
      <c r="A93" s="133"/>
      <c r="B93">
        <f ca="1">Performances!H10</f>
        <v>0.90658888888888889</v>
      </c>
      <c r="C93">
        <f ca="1">Performances!H34</f>
        <v>4.2311111111111105E-2</v>
      </c>
      <c r="D93">
        <f ca="1">Performances!H58</f>
        <v>4.4755555555555548E-2</v>
      </c>
      <c r="K93" s="133"/>
      <c r="L93">
        <f ca="1">Performances!H10</f>
        <v>0.90658888888888889</v>
      </c>
      <c r="M93">
        <f ca="1">Performances!H34</f>
        <v>4.2311111111111105E-2</v>
      </c>
      <c r="N93">
        <f ca="1">Performances!H58</f>
        <v>4.4755555555555548E-2</v>
      </c>
    </row>
    <row r="94" spans="1:19" x14ac:dyDescent="0.25">
      <c r="A94" s="133"/>
      <c r="B94">
        <f ca="1">Performances!H11</f>
        <v>1.3191111111111111</v>
      </c>
      <c r="C94">
        <f ca="1">Performances!H35</f>
        <v>7.7611111111111117E-2</v>
      </c>
      <c r="D94">
        <f ca="1">Performances!H59</f>
        <v>9.4377777777777769E-2</v>
      </c>
      <c r="K94" s="133"/>
      <c r="L94">
        <f ca="1">Performances!H11</f>
        <v>1.3191111111111111</v>
      </c>
      <c r="M94">
        <f ca="1">Performances!H35</f>
        <v>7.7611111111111117E-2</v>
      </c>
      <c r="N94">
        <f ca="1">Performances!H59</f>
        <v>9.4377777777777769E-2</v>
      </c>
    </row>
    <row r="95" spans="1:19" x14ac:dyDescent="0.25">
      <c r="A95" s="133"/>
      <c r="B95">
        <f ca="1">Performances!H12</f>
        <v>0.74126666666666663</v>
      </c>
      <c r="C95">
        <f ca="1">Performances!H36</f>
        <v>2.1033333333333334E-2</v>
      </c>
      <c r="D95">
        <f ca="1">Performances!H60</f>
        <v>6.0088888888888893E-2</v>
      </c>
      <c r="K95" s="133"/>
      <c r="L95">
        <f ca="1">Performances!H12</f>
        <v>0.74126666666666663</v>
      </c>
      <c r="M95">
        <f ca="1">Performances!H36</f>
        <v>2.1033333333333334E-2</v>
      </c>
      <c r="N95">
        <f ca="1">Performances!H60</f>
        <v>6.0088888888888893E-2</v>
      </c>
    </row>
    <row r="96" spans="1:19" x14ac:dyDescent="0.25">
      <c r="A96" s="133"/>
      <c r="B96">
        <f ca="1">Performances!H13</f>
        <v>1.1082666666666665</v>
      </c>
      <c r="C96">
        <f ca="1">Performances!H37</f>
        <v>4.2988888888888896E-2</v>
      </c>
      <c r="D96">
        <f ca="1">Performances!H61</f>
        <v>0.12714444444444442</v>
      </c>
      <c r="K96" s="133"/>
      <c r="L96">
        <f ca="1">Performances!H13</f>
        <v>1.1082666666666665</v>
      </c>
      <c r="M96">
        <f ca="1">Performances!H37</f>
        <v>4.2988888888888896E-2</v>
      </c>
      <c r="N96">
        <f ca="1">Performances!H61</f>
        <v>0.12714444444444442</v>
      </c>
    </row>
    <row r="97" spans="1:14" x14ac:dyDescent="0.25">
      <c r="A97" s="133"/>
      <c r="B97">
        <f ca="1">Performances!H14</f>
        <v>0.83506666666666662</v>
      </c>
      <c r="C97">
        <f ca="1">Performances!H38</f>
        <v>5.4822222222222224E-2</v>
      </c>
      <c r="D97">
        <f ca="1">Performances!H62</f>
        <v>1.5566666666666666E-2</v>
      </c>
      <c r="K97" s="133"/>
      <c r="L97">
        <f ca="1">Performances!H14</f>
        <v>0.83506666666666662</v>
      </c>
      <c r="M97">
        <f ca="1">Performances!H38</f>
        <v>5.4822222222222224E-2</v>
      </c>
      <c r="N97">
        <f ca="1">Performances!H62</f>
        <v>1.5566666666666666E-2</v>
      </c>
    </row>
    <row r="98" spans="1:14" x14ac:dyDescent="0.25">
      <c r="A98" s="133"/>
      <c r="B98">
        <f ca="1">Performances!H15</f>
        <v>0.84240000000000004</v>
      </c>
      <c r="C98">
        <f ca="1">Performances!H39</f>
        <v>1.6133333333333333E-2</v>
      </c>
      <c r="D98">
        <f ca="1">Performances!H63</f>
        <v>4.7755555555555551E-2</v>
      </c>
      <c r="K98" s="133"/>
      <c r="L98">
        <f ca="1">Performances!H15</f>
        <v>0.84240000000000004</v>
      </c>
      <c r="M98">
        <f ca="1">Performances!H39</f>
        <v>1.6133333333333333E-2</v>
      </c>
      <c r="N98">
        <f ca="1">Performances!H63</f>
        <v>4.7755555555555551E-2</v>
      </c>
    </row>
    <row r="99" spans="1:14" x14ac:dyDescent="0.25">
      <c r="A99" s="133"/>
      <c r="B99">
        <f ca="1">Performances!H16</f>
        <v>0.90927777777777785</v>
      </c>
      <c r="C99">
        <f ca="1">Performances!H40</f>
        <v>6.4711111111111108E-2</v>
      </c>
      <c r="D99">
        <f ca="1">Performances!H64</f>
        <v>4.5422222222222225E-2</v>
      </c>
      <c r="K99" s="133"/>
      <c r="L99">
        <f ca="1">Performances!H16</f>
        <v>0.90927777777777785</v>
      </c>
      <c r="M99">
        <f ca="1">Performances!H40</f>
        <v>6.4711111111111108E-2</v>
      </c>
      <c r="N99">
        <f ca="1">Performances!H64</f>
        <v>4.5422222222222225E-2</v>
      </c>
    </row>
    <row r="100" spans="1:14" x14ac:dyDescent="0.25">
      <c r="A100" s="133"/>
      <c r="B100">
        <f ca="1">Performances!H17</f>
        <v>0.72295555555555557</v>
      </c>
      <c r="C100">
        <f ca="1">Performances!H41</f>
        <v>1.8355555555555556E-2</v>
      </c>
      <c r="D100">
        <f ca="1">Performances!H65</f>
        <v>3.3633333333333335E-2</v>
      </c>
      <c r="K100" s="133"/>
      <c r="L100">
        <f ca="1">Performances!H17</f>
        <v>0.72295555555555557</v>
      </c>
      <c r="M100">
        <f ca="1">Performances!H41</f>
        <v>1.8355555555555556E-2</v>
      </c>
      <c r="N100">
        <f ca="1">Performances!H65</f>
        <v>3.3633333333333335E-2</v>
      </c>
    </row>
    <row r="101" spans="1:14" x14ac:dyDescent="0.25">
      <c r="A101" s="134"/>
      <c r="B101">
        <f ca="1">Performances!H18</f>
        <v>1.0563444444444443</v>
      </c>
      <c r="C101">
        <f ca="1">Performances!H42</f>
        <v>3.344444444444445E-2</v>
      </c>
      <c r="D101">
        <f ca="1">Performances!H66</f>
        <v>0.14478888888888891</v>
      </c>
      <c r="K101" s="134"/>
      <c r="L101">
        <f ca="1">Performances!H18</f>
        <v>1.0563444444444443</v>
      </c>
      <c r="M101">
        <f ca="1">Performances!H42</f>
        <v>3.344444444444445E-2</v>
      </c>
      <c r="N101">
        <f ca="1">Performances!H66</f>
        <v>0.14478888888888891</v>
      </c>
    </row>
  </sheetData>
  <mergeCells count="24">
    <mergeCell ref="A1:I1"/>
    <mergeCell ref="K1:S1"/>
    <mergeCell ref="F3:I3"/>
    <mergeCell ref="P3:S3"/>
    <mergeCell ref="A4:A18"/>
    <mergeCell ref="K4:K18"/>
    <mergeCell ref="A19:A33"/>
    <mergeCell ref="K19:K33"/>
    <mergeCell ref="A35:I35"/>
    <mergeCell ref="K35:S35"/>
    <mergeCell ref="F37:I37"/>
    <mergeCell ref="P37:S37"/>
    <mergeCell ref="A38:A52"/>
    <mergeCell ref="K38:K52"/>
    <mergeCell ref="A53:A67"/>
    <mergeCell ref="K53:K67"/>
    <mergeCell ref="A69:I69"/>
    <mergeCell ref="K69:S69"/>
    <mergeCell ref="F71:I71"/>
    <mergeCell ref="P71:S71"/>
    <mergeCell ref="A72:A86"/>
    <mergeCell ref="K72:K86"/>
    <mergeCell ref="A87:A101"/>
    <mergeCell ref="K87:K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2"/>
  <sheetViews>
    <sheetView tabSelected="1" topLeftCell="U1" workbookViewId="0">
      <selection activeCell="AI103" sqref="AI103"/>
    </sheetView>
  </sheetViews>
  <sheetFormatPr baseColWidth="10" defaultRowHeight="13.2" x14ac:dyDescent="0.25"/>
  <sheetData>
    <row r="1" spans="1:49" x14ac:dyDescent="0.25">
      <c r="A1" s="59" t="s">
        <v>186</v>
      </c>
      <c r="B1" s="59"/>
      <c r="C1" s="59"/>
      <c r="E1" s="150" t="s">
        <v>267</v>
      </c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</row>
    <row r="2" spans="1:49" x14ac:dyDescent="0.25">
      <c r="A2" s="36" t="s">
        <v>184</v>
      </c>
      <c r="B2" s="36" t="s">
        <v>204</v>
      </c>
      <c r="C2" s="36" t="s">
        <v>205</v>
      </c>
      <c r="E2" s="150" t="s">
        <v>184</v>
      </c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 t="s">
        <v>204</v>
      </c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 t="s">
        <v>205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</row>
    <row r="3" spans="1:49" x14ac:dyDescent="0.25">
      <c r="A3">
        <f ca="1">Performances!B4</f>
        <v>0.59538888888888897</v>
      </c>
      <c r="B3">
        <f ca="1">Performances!B28</f>
        <v>7.1711111111111114E-2</v>
      </c>
      <c r="C3">
        <f ca="1">Performances!B52</f>
        <v>6.9933333333333333E-2</v>
      </c>
      <c r="E3" s="151" t="s">
        <v>268</v>
      </c>
      <c r="F3" s="151"/>
      <c r="G3" s="151"/>
      <c r="H3" s="151"/>
      <c r="I3" s="151"/>
      <c r="J3" s="151"/>
      <c r="K3" s="151"/>
      <c r="L3" s="151"/>
      <c r="M3" s="151"/>
      <c r="N3" s="152"/>
      <c r="O3" s="153" t="s">
        <v>269</v>
      </c>
      <c r="P3" s="154"/>
      <c r="Q3" s="154"/>
      <c r="R3" s="154"/>
      <c r="S3" s="155"/>
      <c r="T3" s="154" t="s">
        <v>268</v>
      </c>
      <c r="U3" s="154"/>
      <c r="V3" s="154"/>
      <c r="W3" s="154"/>
      <c r="X3" s="154"/>
      <c r="Y3" s="154"/>
      <c r="Z3" s="154"/>
      <c r="AA3" s="154"/>
      <c r="AB3" s="154"/>
      <c r="AC3" s="155"/>
      <c r="AD3" s="156" t="s">
        <v>269</v>
      </c>
      <c r="AE3" s="151"/>
      <c r="AF3" s="151"/>
      <c r="AG3" s="151"/>
      <c r="AH3" s="152"/>
      <c r="AI3" s="160" t="s">
        <v>268</v>
      </c>
      <c r="AJ3" s="160"/>
      <c r="AK3" s="160"/>
      <c r="AL3" s="160"/>
      <c r="AM3" s="160"/>
      <c r="AN3" s="160"/>
      <c r="AO3" s="160"/>
      <c r="AP3" s="160"/>
      <c r="AQ3" s="160"/>
      <c r="AR3" s="161"/>
      <c r="AS3" s="156" t="s">
        <v>269</v>
      </c>
      <c r="AT3" s="151"/>
      <c r="AU3" s="151"/>
      <c r="AV3" s="151"/>
      <c r="AW3" s="152"/>
    </row>
    <row r="4" spans="1:49" x14ac:dyDescent="0.25">
      <c r="A4">
        <f ca="1">Performances!B5</f>
        <v>0.69297777777777769</v>
      </c>
      <c r="B4">
        <f ca="1">Performances!B29</f>
        <v>3.9511111111111101E-2</v>
      </c>
      <c r="C4">
        <f ca="1">Performances!B53</f>
        <v>4.073333333333333E-2</v>
      </c>
      <c r="E4" s="60"/>
      <c r="F4" s="60"/>
      <c r="G4" s="60"/>
      <c r="H4" s="60"/>
      <c r="I4" s="60"/>
      <c r="J4" s="60"/>
      <c r="K4" s="60"/>
      <c r="L4" s="60"/>
      <c r="M4" s="60"/>
      <c r="N4" s="61"/>
      <c r="O4" s="60"/>
      <c r="P4" s="60"/>
      <c r="Q4" s="60"/>
      <c r="R4" s="60"/>
      <c r="S4" s="61"/>
      <c r="T4" s="60"/>
      <c r="U4" s="60"/>
      <c r="V4" s="60"/>
      <c r="W4" s="60"/>
      <c r="X4" s="60"/>
      <c r="Y4" s="60"/>
      <c r="Z4" s="30"/>
      <c r="AA4" s="30"/>
      <c r="AB4" s="30"/>
      <c r="AC4" s="37"/>
      <c r="AH4" s="37"/>
      <c r="AR4" s="37"/>
      <c r="AW4" s="37"/>
    </row>
    <row r="5" spans="1:49" ht="13.8" thickBot="1" x14ac:dyDescent="0.3">
      <c r="A5">
        <f ca="1">Performances!B6</f>
        <v>0.77282222222222219</v>
      </c>
      <c r="B5">
        <f ca="1">Performances!B30</f>
        <v>0.12225555555555556</v>
      </c>
      <c r="C5">
        <f ca="1">Performances!B54</f>
        <v>7.6222222222222219E-2</v>
      </c>
      <c r="E5" s="60" t="s">
        <v>270</v>
      </c>
      <c r="F5" s="60"/>
      <c r="G5" s="60"/>
      <c r="H5" s="60" t="s">
        <v>222</v>
      </c>
      <c r="I5" s="60">
        <v>0.05</v>
      </c>
      <c r="J5" s="60"/>
      <c r="K5" s="60" t="s">
        <v>271</v>
      </c>
      <c r="L5" s="60">
        <v>0</v>
      </c>
      <c r="M5" s="60"/>
      <c r="N5" s="61"/>
      <c r="O5" s="60"/>
      <c r="P5" s="60" t="str">
        <f>A2</f>
        <v>Groupe 1</v>
      </c>
      <c r="Q5" s="60" t="str">
        <f>A64</f>
        <v>Groupe 1</v>
      </c>
      <c r="R5" s="60"/>
      <c r="S5" s="61"/>
      <c r="T5" s="60" t="s">
        <v>270</v>
      </c>
      <c r="U5" s="60"/>
      <c r="V5" s="60"/>
      <c r="W5" s="60" t="s">
        <v>222</v>
      </c>
      <c r="X5" s="60">
        <v>0.05</v>
      </c>
      <c r="Y5" s="60"/>
      <c r="Z5" s="30" t="s">
        <v>271</v>
      </c>
      <c r="AA5" s="30">
        <v>0</v>
      </c>
      <c r="AB5" s="30"/>
      <c r="AC5" s="37"/>
      <c r="AE5" t="str">
        <f>B2</f>
        <v>Groupe 2</v>
      </c>
      <c r="AF5" t="str">
        <f>B64</f>
        <v>Groupe 2</v>
      </c>
      <c r="AH5" s="37"/>
      <c r="AI5" t="s">
        <v>270</v>
      </c>
      <c r="AL5" t="s">
        <v>222</v>
      </c>
      <c r="AM5">
        <v>0.05</v>
      </c>
      <c r="AO5" t="s">
        <v>271</v>
      </c>
      <c r="AP5">
        <v>0</v>
      </c>
      <c r="AR5" s="37"/>
      <c r="AT5" t="str">
        <f>C2</f>
        <v>Groupe 3</v>
      </c>
      <c r="AU5" t="str">
        <f>C64</f>
        <v>Groupe 3</v>
      </c>
      <c r="AW5" s="37"/>
    </row>
    <row r="6" spans="1:49" ht="13.8" thickTop="1" x14ac:dyDescent="0.25">
      <c r="A6">
        <f ca="1">Performances!B7</f>
        <v>1.2977111111111113</v>
      </c>
      <c r="B6">
        <f ca="1">Performances!B31</f>
        <v>0.21997777777777774</v>
      </c>
      <c r="C6">
        <f ca="1">Performances!B55</f>
        <v>4.4355555555555558E-2</v>
      </c>
      <c r="E6" s="62" t="s">
        <v>272</v>
      </c>
      <c r="F6" s="62" t="s">
        <v>228</v>
      </c>
      <c r="G6" s="62" t="s">
        <v>230</v>
      </c>
      <c r="H6" s="62" t="s">
        <v>273</v>
      </c>
      <c r="I6" s="62" t="s">
        <v>233</v>
      </c>
      <c r="J6" s="62" t="s">
        <v>274</v>
      </c>
      <c r="K6" s="62" t="s">
        <v>249</v>
      </c>
      <c r="L6" s="62" t="s">
        <v>275</v>
      </c>
      <c r="M6" s="62" t="s">
        <v>276</v>
      </c>
      <c r="N6" s="63"/>
      <c r="O6" s="64" t="s">
        <v>236</v>
      </c>
      <c r="P6" s="65">
        <f ca="1">MEDIAN(A3:A17)</f>
        <v>0.78184444444444434</v>
      </c>
      <c r="Q6" s="66">
        <f ca="1">MEDIAN(A65:A79)</f>
        <v>0.8851</v>
      </c>
      <c r="R6" s="64"/>
      <c r="S6" s="63"/>
      <c r="T6" s="67" t="s">
        <v>272</v>
      </c>
      <c r="U6" s="62" t="s">
        <v>228</v>
      </c>
      <c r="V6" s="62" t="s">
        <v>230</v>
      </c>
      <c r="W6" s="62" t="s">
        <v>273</v>
      </c>
      <c r="X6" s="62" t="s">
        <v>233</v>
      </c>
      <c r="Y6" s="62" t="s">
        <v>274</v>
      </c>
      <c r="Z6" s="39" t="s">
        <v>249</v>
      </c>
      <c r="AA6" s="39" t="s">
        <v>275</v>
      </c>
      <c r="AB6" s="39" t="s">
        <v>276</v>
      </c>
      <c r="AC6" s="37"/>
      <c r="AD6" t="s">
        <v>236</v>
      </c>
      <c r="AE6" s="68">
        <f ca="1">MEDIAN(B3:B17)</f>
        <v>7.1711111111111114E-2</v>
      </c>
      <c r="AF6" s="69">
        <f ca="1">MEDIAN(B65:B79)</f>
        <v>4.1822222222222219E-2</v>
      </c>
      <c r="AH6" s="37"/>
      <c r="AI6" s="70" t="s">
        <v>272</v>
      </c>
      <c r="AJ6" s="39" t="s">
        <v>228</v>
      </c>
      <c r="AK6" s="39" t="s">
        <v>230</v>
      </c>
      <c r="AL6" s="39" t="s">
        <v>273</v>
      </c>
      <c r="AM6" s="39" t="s">
        <v>233</v>
      </c>
      <c r="AN6" s="39" t="s">
        <v>274</v>
      </c>
      <c r="AO6" s="39" t="s">
        <v>249</v>
      </c>
      <c r="AP6" s="39" t="s">
        <v>275</v>
      </c>
      <c r="AQ6" s="39" t="s">
        <v>276</v>
      </c>
      <c r="AR6" s="37"/>
      <c r="AS6" t="s">
        <v>236</v>
      </c>
      <c r="AT6" s="68">
        <f ca="1">MEDIAN(C3:C17)</f>
        <v>5.5288888888888894E-2</v>
      </c>
      <c r="AU6" s="69">
        <f ca="1">MEDIAN(C65:C79)</f>
        <v>4.7755555555555551E-2</v>
      </c>
      <c r="AW6" s="37"/>
    </row>
    <row r="7" spans="1:49" x14ac:dyDescent="0.25">
      <c r="A7">
        <f ca="1">Performances!B8</f>
        <v>0.73563333333333336</v>
      </c>
      <c r="B7">
        <f ca="1">Performances!B32</f>
        <v>8.9044444444444426E-2</v>
      </c>
      <c r="C7">
        <f ca="1">Performances!B56</f>
        <v>0.14030000000000001</v>
      </c>
      <c r="E7" s="60" t="str">
        <f>A2</f>
        <v>Groupe 1</v>
      </c>
      <c r="F7" s="60">
        <f ca="1">COUNT(A3:A17)</f>
        <v>15</v>
      </c>
      <c r="G7" s="60">
        <f ca="1">AVERAGE(A3:A17)</f>
        <v>0.8503814814814814</v>
      </c>
      <c r="H7" s="60">
        <f ca="1">_xlfn.STDEV.S(A3:A17)</f>
        <v>0.19177485534874694</v>
      </c>
      <c r="I7" s="60"/>
      <c r="J7" s="60"/>
      <c r="K7" s="60"/>
      <c r="L7" s="60"/>
      <c r="M7" s="60"/>
      <c r="N7" s="61"/>
      <c r="O7" s="60"/>
      <c r="P7" s="60"/>
      <c r="Q7" s="60"/>
      <c r="R7" s="60"/>
      <c r="S7" s="61"/>
      <c r="T7" s="60" t="str">
        <f>B2</f>
        <v>Groupe 2</v>
      </c>
      <c r="U7" s="60">
        <f ca="1">COUNT(B3:B17)</f>
        <v>15</v>
      </c>
      <c r="V7" s="60">
        <f ca="1">AVERAGE(B3:B17)</f>
        <v>8.3555555555555563E-2</v>
      </c>
      <c r="W7" s="60">
        <f ca="1">_xlfn.STDEV.S(B3:B17)</f>
        <v>5.7589739649305381E-2</v>
      </c>
      <c r="X7" s="60"/>
      <c r="Y7" s="60"/>
      <c r="Z7" s="30"/>
      <c r="AA7" s="30"/>
      <c r="AB7" s="30"/>
      <c r="AC7" s="37"/>
      <c r="AH7" s="37"/>
      <c r="AI7" t="str">
        <f>C2</f>
        <v>Groupe 3</v>
      </c>
      <c r="AJ7">
        <f ca="1">COUNT(C3:C17)</f>
        <v>15</v>
      </c>
      <c r="AK7">
        <f ca="1">AVERAGE(C3:C17)</f>
        <v>6.7676296296296304E-2</v>
      </c>
      <c r="AL7">
        <f ca="1">_xlfn.STDEV.S(C3:C17)</f>
        <v>3.5439079771820876E-2</v>
      </c>
      <c r="AR7" s="37"/>
      <c r="AW7" s="37"/>
    </row>
    <row r="8" spans="1:49" x14ac:dyDescent="0.25">
      <c r="A8">
        <f ca="1">Performances!B9</f>
        <v>0.95924444444444446</v>
      </c>
      <c r="B8">
        <f ca="1">Performances!B33</f>
        <v>0.16564444444444443</v>
      </c>
      <c r="C8">
        <f ca="1">Performances!B57</f>
        <v>8.2188888888888895E-2</v>
      </c>
      <c r="E8" s="60" t="str">
        <f>A64</f>
        <v>Groupe 1</v>
      </c>
      <c r="F8" s="60">
        <f ca="1">COUNT(A65:A79)</f>
        <v>15</v>
      </c>
      <c r="G8" s="60">
        <f ca="1">AVERAGE(A65:A79)</f>
        <v>0.94264444444444451</v>
      </c>
      <c r="H8" s="60">
        <f ca="1">_xlfn.STDEV.S(A65:A79)</f>
        <v>0.25568376987279956</v>
      </c>
      <c r="I8" s="60"/>
      <c r="J8" s="60"/>
      <c r="K8" s="60"/>
      <c r="L8" s="60"/>
      <c r="M8" s="60"/>
      <c r="N8" s="61"/>
      <c r="O8" s="60" t="s">
        <v>240</v>
      </c>
      <c r="P8" s="71">
        <f ca="1">SUMPRODUCT(--ISNUMBER(A3:A17),--ISNUMBER(A65:A79))</f>
        <v>15</v>
      </c>
      <c r="Q8" s="60"/>
      <c r="R8" s="60"/>
      <c r="S8" s="61"/>
      <c r="T8" s="60" t="str">
        <f>B64</f>
        <v>Groupe 2</v>
      </c>
      <c r="U8" s="60">
        <f ca="1">COUNT(B65:B79)</f>
        <v>15</v>
      </c>
      <c r="V8" s="60">
        <f ca="1">AVERAGE(B65:B79)</f>
        <v>4.9025925925925924E-2</v>
      </c>
      <c r="W8" s="60">
        <f ca="1">_xlfn.STDEV.S(B65:B79)</f>
        <v>4.0519187360874537E-2</v>
      </c>
      <c r="X8" s="60"/>
      <c r="Y8" s="60"/>
      <c r="Z8" s="30"/>
      <c r="AA8" s="30"/>
      <c r="AB8" s="30"/>
      <c r="AC8" s="37"/>
      <c r="AD8" t="s">
        <v>240</v>
      </c>
      <c r="AE8" s="49">
        <f ca="1">SUMPRODUCT(--ISNUMBER(B3:B17),--ISNUMBER(B65:B79))</f>
        <v>15</v>
      </c>
      <c r="AH8" s="37"/>
      <c r="AI8" t="str">
        <f>C64</f>
        <v>Groupe 3</v>
      </c>
      <c r="AJ8">
        <f ca="1">COUNT(C65:C79)</f>
        <v>15</v>
      </c>
      <c r="AK8">
        <f ca="1">AVERAGE(C65:C79)</f>
        <v>5.9216296296296295E-2</v>
      </c>
      <c r="AL8">
        <f ca="1">_xlfn.STDEV.S(C65:C79)</f>
        <v>3.688800555135411E-2</v>
      </c>
      <c r="AR8" s="37"/>
      <c r="AS8" t="s">
        <v>240</v>
      </c>
      <c r="AT8" s="49">
        <f ca="1">SUMPRODUCT(--ISNUMBER(C3:C17),--ISNUMBER(C65:C79))</f>
        <v>15</v>
      </c>
      <c r="AW8" s="37"/>
    </row>
    <row r="9" spans="1:49" x14ac:dyDescent="0.25">
      <c r="A9">
        <f ca="1">Performances!B10</f>
        <v>0.96755555555555561</v>
      </c>
      <c r="B9">
        <f ca="1">Performances!B34</f>
        <v>4.19E-2</v>
      </c>
      <c r="C9">
        <f ca="1">Performances!B58</f>
        <v>3.0133333333333331E-2</v>
      </c>
      <c r="E9" s="72" t="s">
        <v>277</v>
      </c>
      <c r="F9" s="72">
        <f ca="1">F8</f>
        <v>15</v>
      </c>
      <c r="G9" s="72">
        <f ca="1">G7-G8</f>
        <v>-9.2262962962963102E-2</v>
      </c>
      <c r="H9" s="72">
        <f t="array" ref="H9" ca="1">_xlfn.STDEV.S(A3:A17-A65:A79)</f>
        <v>0.30266961605754378</v>
      </c>
      <c r="I9" s="72">
        <f ca="1">H9/SQRT(F9)</f>
        <v>7.8148958826257331E-2</v>
      </c>
      <c r="J9" s="72">
        <f ca="1">(G7-G8-L5)/I9</f>
        <v>-1.180603866624562</v>
      </c>
      <c r="K9" s="72">
        <f ca="1">F9-1</f>
        <v>14</v>
      </c>
      <c r="L9" s="72">
        <f ca="1">ABS(G7-G8-L5)/H9</f>
        <v>0.30483060759366742</v>
      </c>
      <c r="M9" s="72">
        <f ca="1">SQRT(J9^2/(J9^2+K9))</f>
        <v>0.30090605142990812</v>
      </c>
      <c r="N9" s="61"/>
      <c r="O9" s="60" t="s">
        <v>278</v>
      </c>
      <c r="P9" s="73">
        <f ca="1">SUMPRODUCT(--ISNUMBER(A3:A17),--ISNUMBER(A65:A79),--(A3:A17&lt;&gt;A65:A79))</f>
        <v>15</v>
      </c>
      <c r="Q9" s="60"/>
      <c r="R9" s="60"/>
      <c r="S9" s="61"/>
      <c r="T9" s="74" t="s">
        <v>277</v>
      </c>
      <c r="U9" s="72">
        <f ca="1">U8</f>
        <v>15</v>
      </c>
      <c r="V9" s="72">
        <f ca="1">V7-V8</f>
        <v>3.4529629629629639E-2</v>
      </c>
      <c r="W9" s="72">
        <f t="array" ref="W9" ca="1">_xlfn.STDEV.S(B3:B17-B65:B79)</f>
        <v>5.3574344439555763E-2</v>
      </c>
      <c r="X9" s="72">
        <f ca="1">W9/SQRT(U9)</f>
        <v>1.3832836253225293E-2</v>
      </c>
      <c r="Y9" s="72">
        <f ca="1">(V7-V8-AA5)/X9</f>
        <v>2.4962075020282728</v>
      </c>
      <c r="Z9" s="34">
        <f ca="1">U9-1</f>
        <v>14</v>
      </c>
      <c r="AA9" s="34">
        <f ca="1">ABS(V7-V8-AA5)/W9</f>
        <v>0.64451800560223449</v>
      </c>
      <c r="AB9" s="34">
        <f ca="1">SQRT(Y9^2/(Y9^2+Z9))</f>
        <v>0.55497248536402888</v>
      </c>
      <c r="AC9" s="37"/>
      <c r="AD9" t="s">
        <v>278</v>
      </c>
      <c r="AE9" s="56">
        <f ca="1">SUMPRODUCT(--ISNUMBER(B3:B17),--ISNUMBER(B65:B79),--(B3:B17&lt;&gt;B65:B79))</f>
        <v>15</v>
      </c>
      <c r="AH9" s="37"/>
      <c r="AI9" s="75" t="s">
        <v>277</v>
      </c>
      <c r="AJ9" s="34">
        <f ca="1">AJ8</f>
        <v>15</v>
      </c>
      <c r="AK9" s="34">
        <f ca="1">AK7-AK8</f>
        <v>8.4600000000000092E-3</v>
      </c>
      <c r="AL9" s="34">
        <f t="array" ref="AL9" ca="1">_xlfn.STDEV.S(C3:C17-C65:C79)</f>
        <v>5.5089260069054374E-2</v>
      </c>
      <c r="AM9" s="34">
        <f ca="1">AL9/SQRT(AJ9)</f>
        <v>1.4223985786822456E-2</v>
      </c>
      <c r="AN9" s="34">
        <f ca="1">(AK7-AK8-AP5)/AM9</f>
        <v>0.59476999814198472</v>
      </c>
      <c r="AO9" s="34">
        <f ca="1">AJ9-1</f>
        <v>14</v>
      </c>
      <c r="AP9" s="34">
        <f ca="1">ABS(AK7-AK8-AP5)/AL9</f>
        <v>0.15356895317518154</v>
      </c>
      <c r="AQ9" s="34">
        <f ca="1">SQRT(AN9^2/(AN9^2+AO9))</f>
        <v>0.15698795928642906</v>
      </c>
      <c r="AR9" s="37"/>
      <c r="AS9" t="s">
        <v>278</v>
      </c>
      <c r="AT9" s="56">
        <f ca="1">SUMPRODUCT(--ISNUMBER(C3:C17),--ISNUMBER(C65:C79),--(C3:C17&lt;&gt;C65:C79))</f>
        <v>15</v>
      </c>
      <c r="AW9" s="37"/>
    </row>
    <row r="10" spans="1:49" x14ac:dyDescent="0.25">
      <c r="A10">
        <f ca="1">Performances!B11</f>
        <v>0.65797777777777777</v>
      </c>
      <c r="B10">
        <f ca="1">Performances!B35</f>
        <v>0.11317777777777777</v>
      </c>
      <c r="C10">
        <f ca="1">Performances!B59</f>
        <v>5.2677777777777782E-2</v>
      </c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0" t="s">
        <v>279</v>
      </c>
      <c r="P10" s="73">
        <f ca="1">IF(P12&lt;=P15,P12,P9*(P9+1)/2)</f>
        <v>45</v>
      </c>
      <c r="Q10" s="60"/>
      <c r="R10" s="60"/>
      <c r="S10" s="61"/>
      <c r="T10" s="60"/>
      <c r="U10" s="60"/>
      <c r="V10" s="60"/>
      <c r="W10" s="60"/>
      <c r="X10" s="60"/>
      <c r="Y10" s="60"/>
      <c r="Z10" s="30"/>
      <c r="AA10" s="30"/>
      <c r="AB10" s="30"/>
      <c r="AC10" s="37"/>
      <c r="AD10" t="s">
        <v>279</v>
      </c>
      <c r="AE10" s="56">
        <f ca="1">IF(AE12&lt;=AE15,AE12,AE9*(AE9+1)/2)</f>
        <v>24</v>
      </c>
      <c r="AH10" s="37"/>
      <c r="AR10" s="37"/>
      <c r="AS10" t="s">
        <v>279</v>
      </c>
      <c r="AT10" s="56">
        <f ca="1">IF(AT12&lt;=AT15,AT12,AT9*(AT9+1)/2)</f>
        <v>46</v>
      </c>
      <c r="AW10" s="37"/>
    </row>
    <row r="11" spans="1:49" ht="13.8" thickBot="1" x14ac:dyDescent="0.3">
      <c r="A11">
        <f ca="1">Performances!B12</f>
        <v>1.1647999999999998</v>
      </c>
      <c r="B11">
        <f ca="1">Performances!B36</f>
        <v>8.6755555555555544E-2</v>
      </c>
      <c r="C11">
        <f ca="1">Performances!B60</f>
        <v>0.10522222222222223</v>
      </c>
      <c r="E11" s="60" t="s">
        <v>280</v>
      </c>
      <c r="F11" s="60"/>
      <c r="G11" s="60"/>
      <c r="H11" s="60"/>
      <c r="I11" s="60"/>
      <c r="J11" s="60"/>
      <c r="K11" s="60"/>
      <c r="L11" s="60"/>
      <c r="M11" s="60"/>
      <c r="N11" s="61"/>
      <c r="O11" s="60" t="s">
        <v>281</v>
      </c>
      <c r="P11" s="73">
        <f ca="1">P9*(P9+1)/2-P10</f>
        <v>75</v>
      </c>
      <c r="Q11" s="60"/>
      <c r="R11" s="60"/>
      <c r="S11" s="61"/>
      <c r="T11" s="60" t="s">
        <v>280</v>
      </c>
      <c r="U11" s="60"/>
      <c r="V11" s="60"/>
      <c r="W11" s="60"/>
      <c r="X11" s="60"/>
      <c r="Y11" s="60"/>
      <c r="Z11" s="30"/>
      <c r="AA11" s="30"/>
      <c r="AB11" s="30"/>
      <c r="AC11" s="37"/>
      <c r="AD11" t="s">
        <v>281</v>
      </c>
      <c r="AE11" s="56">
        <f ca="1">AE9*(AE9+1)/2-AE10</f>
        <v>96</v>
      </c>
      <c r="AH11" s="37"/>
      <c r="AI11" t="s">
        <v>280</v>
      </c>
      <c r="AR11" s="37"/>
      <c r="AS11" t="s">
        <v>281</v>
      </c>
      <c r="AT11" s="56">
        <f ca="1">AT9*(AT9+1)/2-AT10</f>
        <v>74</v>
      </c>
      <c r="AW11" s="37"/>
    </row>
    <row r="12" spans="1:49" ht="13.8" thickTop="1" x14ac:dyDescent="0.25">
      <c r="A12">
        <f ca="1">Performances!B13</f>
        <v>0.89579999999999993</v>
      </c>
      <c r="B12">
        <f ca="1">Performances!B37</f>
        <v>5.3266666666666664E-2</v>
      </c>
      <c r="C12">
        <f ca="1">Performances!B61</f>
        <v>4.0522222222222223E-2</v>
      </c>
      <c r="E12" s="62" t="s">
        <v>133</v>
      </c>
      <c r="F12" s="62" t="s">
        <v>211</v>
      </c>
      <c r="G12" s="62" t="s">
        <v>282</v>
      </c>
      <c r="H12" s="62" t="s">
        <v>283</v>
      </c>
      <c r="I12" s="62" t="s">
        <v>284</v>
      </c>
      <c r="J12" s="62" t="s">
        <v>259</v>
      </c>
      <c r="K12" s="60"/>
      <c r="L12" s="60"/>
      <c r="M12" s="60"/>
      <c r="N12" s="63"/>
      <c r="O12" s="64" t="s">
        <v>285</v>
      </c>
      <c r="P12" s="76">
        <f ca="1">[1]!SRANK(A3:A17,A65:A79)</f>
        <v>45</v>
      </c>
      <c r="Q12" s="64"/>
      <c r="R12" s="64"/>
      <c r="S12" s="61"/>
      <c r="T12" s="67" t="s">
        <v>133</v>
      </c>
      <c r="U12" s="62" t="s">
        <v>211</v>
      </c>
      <c r="V12" s="62" t="s">
        <v>282</v>
      </c>
      <c r="W12" s="62" t="s">
        <v>283</v>
      </c>
      <c r="X12" s="62" t="s">
        <v>284</v>
      </c>
      <c r="Y12" s="62" t="s">
        <v>259</v>
      </c>
      <c r="Z12" s="30"/>
      <c r="AA12" s="30"/>
      <c r="AB12" s="30"/>
      <c r="AC12" s="37"/>
      <c r="AD12" t="s">
        <v>285</v>
      </c>
      <c r="AE12" s="77">
        <f ca="1">[1]!SRANK(B3:B17,B65:B79)</f>
        <v>24</v>
      </c>
      <c r="AH12" s="37"/>
      <c r="AI12" s="70" t="s">
        <v>133</v>
      </c>
      <c r="AJ12" s="39" t="s">
        <v>211</v>
      </c>
      <c r="AK12" s="39" t="s">
        <v>282</v>
      </c>
      <c r="AL12" s="39" t="s">
        <v>283</v>
      </c>
      <c r="AM12" s="39" t="s">
        <v>284</v>
      </c>
      <c r="AN12" s="39" t="s">
        <v>259</v>
      </c>
      <c r="AR12" s="37"/>
      <c r="AS12" t="s">
        <v>285</v>
      </c>
      <c r="AT12" s="77">
        <f ca="1">[1]!SRANK(C3:C17,C65:C79)</f>
        <v>46</v>
      </c>
      <c r="AW12" s="37"/>
    </row>
    <row r="13" spans="1:49" x14ac:dyDescent="0.25">
      <c r="A13">
        <f ca="1">Performances!B14</f>
        <v>0.80803333333333327</v>
      </c>
      <c r="B13">
        <f ca="1">Performances!B38</f>
        <v>2.3722222222222221E-2</v>
      </c>
      <c r="C13">
        <f ca="1">Performances!B62</f>
        <v>3.5133333333333336E-2</v>
      </c>
      <c r="E13" s="60" t="s">
        <v>286</v>
      </c>
      <c r="F13" s="78">
        <f ca="1">_xlfn.T.DIST.RT(ABS(J9),K9)</f>
        <v>0.12871513513779859</v>
      </c>
      <c r="G13" s="60">
        <f ca="1">_xlfn.T.INV.2T(I5*2,K9)</f>
        <v>1.7613101357748921</v>
      </c>
      <c r="H13" s="60"/>
      <c r="I13" s="60"/>
      <c r="J13" s="79" t="str">
        <f ca="1">IF(F13&lt;I5,"yes","no")</f>
        <v>no</v>
      </c>
      <c r="K13" s="60"/>
      <c r="L13" s="60"/>
      <c r="M13" s="60"/>
      <c r="N13" s="61"/>
      <c r="O13" s="78"/>
      <c r="P13" s="60"/>
      <c r="Q13" s="60"/>
      <c r="R13" s="60"/>
      <c r="S13" s="61"/>
      <c r="T13" s="60" t="s">
        <v>286</v>
      </c>
      <c r="U13" s="78">
        <f ca="1">_xlfn.T.DIST.RT(ABS(Y9),Z9)</f>
        <v>1.2826955820084437E-2</v>
      </c>
      <c r="V13" s="60">
        <f ca="1">_xlfn.T.INV.2T(X5*2,Z9)</f>
        <v>1.7613101357748921</v>
      </c>
      <c r="W13" s="60"/>
      <c r="X13" s="60"/>
      <c r="Y13" s="79" t="str">
        <f ca="1">IF(U13&lt;X5,"yes","no")</f>
        <v>yes</v>
      </c>
      <c r="Z13" s="30"/>
      <c r="AA13" s="30"/>
      <c r="AB13" s="30"/>
      <c r="AC13" s="37"/>
      <c r="AH13" s="37"/>
      <c r="AI13" t="s">
        <v>286</v>
      </c>
      <c r="AJ13" s="45">
        <f ca="1">_xlfn.T.DIST.RT(ABS(AN9),AO9)</f>
        <v>0.28074376649859645</v>
      </c>
      <c r="AK13">
        <f ca="1">_xlfn.T.INV.2T(AM5*2,AO9)</f>
        <v>1.7613101357748921</v>
      </c>
      <c r="AN13" s="80" t="str">
        <f ca="1">IF(AJ13&lt;AM5,"yes","no")</f>
        <v>no</v>
      </c>
      <c r="AR13" s="37"/>
      <c r="AW13" s="37"/>
    </row>
    <row r="14" spans="1:49" x14ac:dyDescent="0.25">
      <c r="A14">
        <f ca="1">Performances!B15</f>
        <v>0.78184444444444434</v>
      </c>
      <c r="B14">
        <f ca="1">Performances!B39</f>
        <v>2.5566666666666665E-2</v>
      </c>
      <c r="C14">
        <f ca="1">Performances!B63</f>
        <v>7.1211111111111114E-2</v>
      </c>
      <c r="E14" s="60" t="s">
        <v>287</v>
      </c>
      <c r="F14" s="105">
        <f ca="1">_xlfn.T.DIST.2T(ABS(J9),K9)</f>
        <v>0.25743027027559717</v>
      </c>
      <c r="G14" s="79">
        <f ca="1">_xlfn.T.INV.2T(I5,K9)</f>
        <v>2.1447866879178044</v>
      </c>
      <c r="H14" s="60">
        <f ca="1">(G7-G8)-I9*G14</f>
        <v>-0.25987580952815642</v>
      </c>
      <c r="I14" s="60">
        <f ca="1">(G7-G8)+I9*G14</f>
        <v>7.5349883602230217E-2</v>
      </c>
      <c r="J14" s="79" t="str">
        <f ca="1">IF(F14&lt;I5,"yes","no")</f>
        <v>no</v>
      </c>
      <c r="K14" s="60"/>
      <c r="L14" s="60"/>
      <c r="M14" s="60"/>
      <c r="N14" s="61"/>
      <c r="O14" s="78"/>
      <c r="P14" s="79" t="s">
        <v>288</v>
      </c>
      <c r="Q14" s="79" t="s">
        <v>289</v>
      </c>
      <c r="R14" s="60"/>
      <c r="S14" s="61"/>
      <c r="T14" s="60" t="s">
        <v>287</v>
      </c>
      <c r="U14" s="105">
        <f ca="1">_xlfn.T.DIST.2T(ABS(Y9),Z9)</f>
        <v>2.5653911640168874E-2</v>
      </c>
      <c r="V14" s="79">
        <f ca="1">_xlfn.T.INV.2T(X5,Z9)</f>
        <v>2.1447866879178044</v>
      </c>
      <c r="W14" s="60">
        <f ca="1">(V7-V8)-X9*V14</f>
        <v>4.861146577565232E-3</v>
      </c>
      <c r="X14" s="60">
        <f ca="1">(V7-V8)+X9*V14</f>
        <v>6.419811268169405E-2</v>
      </c>
      <c r="Y14" s="79" t="str">
        <f ca="1">IF(U14&lt;X5,"yes","no")</f>
        <v>yes</v>
      </c>
      <c r="Z14" s="30"/>
      <c r="AA14" s="30"/>
      <c r="AB14" s="30"/>
      <c r="AC14" s="37"/>
      <c r="AE14" s="80" t="s">
        <v>288</v>
      </c>
      <c r="AF14" s="80" t="s">
        <v>289</v>
      </c>
      <c r="AH14" s="37"/>
      <c r="AI14" t="s">
        <v>287</v>
      </c>
      <c r="AJ14" s="45">
        <f ca="1">_xlfn.T.DIST.2T(ABS(AN9),AO9)</f>
        <v>0.5614875329971929</v>
      </c>
      <c r="AK14">
        <f ca="1">_xlfn.T.INV.2T(AM5,AO9)</f>
        <v>2.1447866879178044</v>
      </c>
      <c r="AL14">
        <f ca="1">(AK7-AK8)-AM9*AK14</f>
        <v>-2.2047415364708851E-2</v>
      </c>
      <c r="AM14">
        <f ca="1">(AK7-AK8)+AM9*AK14</f>
        <v>3.8967415364708866E-2</v>
      </c>
      <c r="AN14" s="80" t="str">
        <f ca="1">IF(AJ14&lt;AM5,"yes","no")</f>
        <v>no</v>
      </c>
      <c r="AR14" s="37"/>
      <c r="AT14" s="80" t="s">
        <v>288</v>
      </c>
      <c r="AU14" s="80" t="s">
        <v>289</v>
      </c>
      <c r="AW14" s="37"/>
    </row>
    <row r="15" spans="1:49" x14ac:dyDescent="0.25">
      <c r="A15">
        <f ca="1">Performances!B16</f>
        <v>0.95088888888888889</v>
      </c>
      <c r="B15">
        <f ca="1">Performances!B40</f>
        <v>1.5388888888888888E-2</v>
      </c>
      <c r="C15">
        <f ca="1">Performances!B64</f>
        <v>3.5111111111111114E-2</v>
      </c>
      <c r="E15" s="72"/>
      <c r="F15" s="72"/>
      <c r="G15" s="72"/>
      <c r="H15" s="72"/>
      <c r="I15" s="72"/>
      <c r="J15" s="72"/>
      <c r="K15" s="60"/>
      <c r="L15" s="60"/>
      <c r="M15" s="60"/>
      <c r="N15" s="61"/>
      <c r="O15" s="60" t="s">
        <v>226</v>
      </c>
      <c r="P15" s="71">
        <f ca="1">P9*(P9+1)/4</f>
        <v>60</v>
      </c>
      <c r="Q15" s="60"/>
      <c r="R15" s="60"/>
      <c r="S15" s="61"/>
      <c r="T15" s="74"/>
      <c r="U15" s="72"/>
      <c r="V15" s="72"/>
      <c r="W15" s="72"/>
      <c r="X15" s="72"/>
      <c r="Y15" s="72"/>
      <c r="Z15" s="30"/>
      <c r="AA15" s="30"/>
      <c r="AB15" s="30"/>
      <c r="AC15" s="37"/>
      <c r="AD15" t="s">
        <v>226</v>
      </c>
      <c r="AE15" s="49">
        <f ca="1">AE9*(AE9+1)/4</f>
        <v>60</v>
      </c>
      <c r="AH15" s="37"/>
      <c r="AI15" s="75"/>
      <c r="AJ15" s="34"/>
      <c r="AK15" s="34"/>
      <c r="AL15" s="34"/>
      <c r="AM15" s="34"/>
      <c r="AN15" s="34"/>
      <c r="AR15" s="37"/>
      <c r="AS15" t="s">
        <v>226</v>
      </c>
      <c r="AT15" s="49">
        <f ca="1">AT9*(AT9+1)/4</f>
        <v>60</v>
      </c>
      <c r="AW15" s="37"/>
    </row>
    <row r="16" spans="1:49" x14ac:dyDescent="0.25">
      <c r="A16">
        <f ca="1">Performances!B17</f>
        <v>0.72717777777777792</v>
      </c>
      <c r="B16">
        <f ca="1">Performances!B41</f>
        <v>0.12570000000000001</v>
      </c>
      <c r="C16">
        <f ca="1">Performances!B65</f>
        <v>0.13611111111111113</v>
      </c>
      <c r="E16" s="60"/>
      <c r="F16" s="60"/>
      <c r="G16" s="60"/>
      <c r="H16" s="60"/>
      <c r="I16" s="60"/>
      <c r="J16" s="60"/>
      <c r="K16" s="60"/>
      <c r="L16" s="60"/>
      <c r="M16" s="60"/>
      <c r="N16" s="61"/>
      <c r="O16" s="60" t="s">
        <v>290</v>
      </c>
      <c r="P16" s="73">
        <f ca="1">SQRT(P15*(2*P9+1)/6-[1]!TiesCorrection(A3:A17,A65:A79,1)/48)</f>
        <v>17.606816861659009</v>
      </c>
      <c r="Q16" s="60" t="s">
        <v>291</v>
      </c>
      <c r="R16" s="60"/>
      <c r="S16" s="61"/>
      <c r="T16" s="60"/>
      <c r="U16" s="60"/>
      <c r="V16" s="60"/>
      <c r="W16" s="60"/>
      <c r="X16" s="60"/>
      <c r="Y16" s="60"/>
      <c r="Z16" s="30"/>
      <c r="AA16" s="30"/>
      <c r="AB16" s="30"/>
      <c r="AC16" s="37"/>
      <c r="AD16" t="s">
        <v>290</v>
      </c>
      <c r="AE16" s="56">
        <f ca="1">SQRT(AE15*(2*AE9+1)/6-[1]!TiesCorrection(B3:B17,B65:B79,1)/48)</f>
        <v>17.606816861659009</v>
      </c>
      <c r="AF16" t="s">
        <v>291</v>
      </c>
      <c r="AH16" s="37"/>
      <c r="AR16" s="37"/>
      <c r="AS16" t="s">
        <v>290</v>
      </c>
      <c r="AT16" s="56">
        <f ca="1">SQRT(AT15*(2*AT9+1)/6-[1]!TiesCorrection(C3:C17,C65:C79,1)/48)</f>
        <v>17.606816861659009</v>
      </c>
      <c r="AU16" t="s">
        <v>291</v>
      </c>
      <c r="AW16" s="37"/>
    </row>
    <row r="17" spans="1:49" x14ac:dyDescent="0.25">
      <c r="A17">
        <f ca="1">Performances!B18</f>
        <v>0.74786666666666646</v>
      </c>
      <c r="B17">
        <f ca="1">Performances!B42</f>
        <v>5.9711111111111111E-2</v>
      </c>
      <c r="C17">
        <f ca="1">Performances!B66</f>
        <v>5.5288888888888894E-2</v>
      </c>
      <c r="E17" s="60"/>
      <c r="F17" s="60"/>
      <c r="G17" s="60"/>
      <c r="H17" s="60"/>
      <c r="I17" s="60"/>
      <c r="J17" s="60"/>
      <c r="K17" s="60"/>
      <c r="L17" s="60"/>
      <c r="M17" s="60"/>
      <c r="N17" s="61"/>
      <c r="O17" s="60" t="s">
        <v>292</v>
      </c>
      <c r="P17" s="73">
        <f ca="1">ABS(ABS(P12-P15)-1/2)/P16</f>
        <v>0.82354465965824397</v>
      </c>
      <c r="Q17" s="60" t="s">
        <v>293</v>
      </c>
      <c r="R17" s="60"/>
      <c r="S17" s="61"/>
      <c r="T17" s="60"/>
      <c r="U17" s="60"/>
      <c r="V17" s="60"/>
      <c r="W17" s="60"/>
      <c r="X17" s="60"/>
      <c r="Y17" s="60"/>
      <c r="Z17" s="30"/>
      <c r="AA17" s="30"/>
      <c r="AB17" s="30"/>
      <c r="AC17" s="37"/>
      <c r="AD17" t="s">
        <v>292</v>
      </c>
      <c r="AE17" s="56">
        <f ca="1">ABS(ABS(AE12-AE15)-1/2)/AE16</f>
        <v>2.0162645115770799</v>
      </c>
      <c r="AF17" t="s">
        <v>293</v>
      </c>
      <c r="AH17" s="37"/>
      <c r="AR17" s="37"/>
      <c r="AS17" t="s">
        <v>292</v>
      </c>
      <c r="AT17" s="56">
        <f ca="1">ABS(ABS(AT12-AT15)-1/2)/AT16</f>
        <v>0.76674847623353748</v>
      </c>
      <c r="AU17" t="s">
        <v>293</v>
      </c>
      <c r="AW17" s="37"/>
    </row>
    <row r="18" spans="1:49" x14ac:dyDescent="0.25">
      <c r="E18" s="60"/>
      <c r="F18" s="60"/>
      <c r="G18" s="60"/>
      <c r="H18" s="60"/>
      <c r="I18" s="60"/>
      <c r="J18" s="60"/>
      <c r="K18" s="60"/>
      <c r="L18" s="60"/>
      <c r="M18" s="60"/>
      <c r="N18" s="61"/>
      <c r="O18" s="60" t="s">
        <v>294</v>
      </c>
      <c r="P18" s="73">
        <f ca="1">P17/SQRT(2*P8)</f>
        <v>0.15035799573591166</v>
      </c>
      <c r="Q18" s="60"/>
      <c r="R18" s="60"/>
      <c r="S18" s="61"/>
      <c r="T18" s="60"/>
      <c r="U18" s="60"/>
      <c r="V18" s="60"/>
      <c r="W18" s="60"/>
      <c r="X18" s="60"/>
      <c r="Y18" s="60"/>
      <c r="Z18" s="30"/>
      <c r="AA18" s="30"/>
      <c r="AB18" s="30"/>
      <c r="AC18" s="37"/>
      <c r="AD18" t="s">
        <v>294</v>
      </c>
      <c r="AE18" s="56">
        <f ca="1">AE17/SQRT(2*AE8)</f>
        <v>0.36811785162930094</v>
      </c>
      <c r="AH18" s="37"/>
      <c r="AR18" s="37"/>
      <c r="AS18" t="s">
        <v>294</v>
      </c>
      <c r="AT18" s="56">
        <f ca="1">AT17/SQRT(2*AT8)</f>
        <v>0.1399884787886074</v>
      </c>
      <c r="AW18" s="37"/>
    </row>
    <row r="19" spans="1:49" x14ac:dyDescent="0.25">
      <c r="E19" s="78"/>
      <c r="F19" s="78"/>
      <c r="G19" s="60"/>
      <c r="H19" s="60"/>
      <c r="I19" s="60"/>
      <c r="J19" s="60"/>
      <c r="K19" s="60"/>
      <c r="L19" s="60"/>
      <c r="M19" s="60"/>
      <c r="N19" s="61"/>
      <c r="O19" s="60" t="s">
        <v>295</v>
      </c>
      <c r="P19" s="81">
        <f ca="1">1-_xlfn.NORM.S.DIST(P17,TRUE)</f>
        <v>0.20509916575652298</v>
      </c>
      <c r="Q19" s="82">
        <f ca="1">2*P19</f>
        <v>0.41019833151304597</v>
      </c>
      <c r="R19" s="60"/>
      <c r="S19" s="61"/>
      <c r="T19" s="60"/>
      <c r="U19" s="78"/>
      <c r="V19" s="60"/>
      <c r="W19" s="60"/>
      <c r="X19" s="60"/>
      <c r="Y19" s="60"/>
      <c r="Z19" s="30"/>
      <c r="AA19" s="30"/>
      <c r="AB19" s="30"/>
      <c r="AC19" s="37"/>
      <c r="AD19" t="s">
        <v>295</v>
      </c>
      <c r="AE19" s="93">
        <f ca="1">1-_xlfn.NORM.S.DIST(AE17,TRUE)</f>
        <v>2.1886161881520594E-2</v>
      </c>
      <c r="AF19" s="115">
        <f ca="1">2*AE19</f>
        <v>4.3772323763041188E-2</v>
      </c>
      <c r="AH19" s="37"/>
      <c r="AR19" s="37"/>
      <c r="AS19" t="s">
        <v>295</v>
      </c>
      <c r="AT19" s="81">
        <f ca="1">1-_xlfn.NORM.S.DIST(AT17,TRUE)</f>
        <v>0.22161553779552612</v>
      </c>
      <c r="AU19" s="82">
        <f ca="1">2*AT19</f>
        <v>0.44323107559105224</v>
      </c>
      <c r="AW19" s="37"/>
    </row>
    <row r="20" spans="1:49" x14ac:dyDescent="0.25">
      <c r="E20" s="78"/>
      <c r="F20" s="78"/>
      <c r="G20" s="60"/>
      <c r="H20" s="60"/>
      <c r="I20" s="60"/>
      <c r="J20" s="60"/>
      <c r="K20" s="60"/>
      <c r="L20" s="60"/>
      <c r="M20" s="60"/>
      <c r="N20" s="61"/>
      <c r="O20" s="60" t="s">
        <v>296</v>
      </c>
      <c r="P20" s="83">
        <f ca="1">[1]!SRDIST(P12,P9,1)</f>
        <v>0.210601806640625</v>
      </c>
      <c r="Q20" s="84">
        <f ca="1">2*P20</f>
        <v>0.42120361328125</v>
      </c>
      <c r="R20" s="60"/>
      <c r="S20" s="61"/>
      <c r="T20" s="60"/>
      <c r="U20" s="78"/>
      <c r="V20" s="60"/>
      <c r="W20" s="60"/>
      <c r="X20" s="60"/>
      <c r="Y20" s="60"/>
      <c r="Z20" s="30"/>
      <c r="AA20" s="30"/>
      <c r="AB20" s="30"/>
      <c r="AC20" s="37"/>
      <c r="AD20" t="s">
        <v>296</v>
      </c>
      <c r="AE20" s="94">
        <f ca="1">[1]!SRDIST(AE12,AE9,1)</f>
        <v>2.06298828125E-2</v>
      </c>
      <c r="AF20" s="116">
        <f ca="1">2*AE20</f>
        <v>4.1259765625E-2</v>
      </c>
      <c r="AH20" s="37"/>
      <c r="AR20" s="37"/>
      <c r="AS20" t="s">
        <v>296</v>
      </c>
      <c r="AT20" s="83">
        <f ca="1">[1]!SRDIST(AT12,AT9,1)</f>
        <v>0.227142333984375</v>
      </c>
      <c r="AU20" s="84">
        <f ca="1">2*AT20</f>
        <v>0.45428466796875</v>
      </c>
      <c r="AW20" s="37"/>
    </row>
    <row r="21" spans="1:49" x14ac:dyDescent="0.25">
      <c r="E21" s="60"/>
      <c r="F21" s="60"/>
      <c r="G21" s="60"/>
      <c r="H21" s="60"/>
      <c r="I21" s="60"/>
      <c r="J21" s="60"/>
      <c r="K21" s="60"/>
      <c r="L21" s="60"/>
      <c r="M21" s="60"/>
      <c r="N21" s="61"/>
      <c r="O21" s="60" t="s">
        <v>297</v>
      </c>
      <c r="P21" s="85" t="s">
        <v>298</v>
      </c>
      <c r="Q21" s="86" t="s">
        <v>298</v>
      </c>
      <c r="R21" s="60"/>
      <c r="S21" s="61"/>
      <c r="T21" s="60"/>
      <c r="U21" s="60"/>
      <c r="V21" s="60"/>
      <c r="W21" s="60"/>
      <c r="X21" s="60"/>
      <c r="Y21" s="60"/>
      <c r="Z21" s="30"/>
      <c r="AA21" s="30"/>
      <c r="AB21" s="30"/>
      <c r="AC21" s="37"/>
      <c r="AD21" t="s">
        <v>297</v>
      </c>
      <c r="AE21" s="77" t="s">
        <v>298</v>
      </c>
      <c r="AF21" s="55" t="s">
        <v>298</v>
      </c>
      <c r="AH21" s="37"/>
      <c r="AR21" s="37"/>
      <c r="AS21" t="s">
        <v>297</v>
      </c>
      <c r="AT21" s="77" t="s">
        <v>298</v>
      </c>
      <c r="AU21" s="55" t="s">
        <v>298</v>
      </c>
      <c r="AW21" s="37"/>
    </row>
    <row r="22" spans="1:49" x14ac:dyDescent="0.25">
      <c r="E22" s="60"/>
      <c r="F22" s="60"/>
      <c r="G22" s="60"/>
      <c r="H22" s="60"/>
      <c r="I22" s="60"/>
      <c r="J22" s="60"/>
      <c r="K22" s="60"/>
      <c r="L22" s="60"/>
      <c r="M22" s="60"/>
      <c r="N22" s="87"/>
      <c r="O22" s="60"/>
      <c r="P22" s="60"/>
      <c r="Q22" s="60"/>
      <c r="R22" s="60"/>
      <c r="S22" s="61"/>
      <c r="T22" s="60"/>
      <c r="U22" s="60"/>
      <c r="V22" s="60"/>
      <c r="W22" s="60"/>
      <c r="X22" s="60"/>
      <c r="Y22" s="60"/>
      <c r="AC22" s="52"/>
      <c r="AE22" s="30"/>
      <c r="AF22" s="30"/>
      <c r="AH22" s="37"/>
      <c r="AR22" s="52"/>
      <c r="AW22" s="52"/>
    </row>
    <row r="23" spans="1:49" x14ac:dyDescent="0.25">
      <c r="A23" s="59" t="s">
        <v>187</v>
      </c>
      <c r="B23" s="59"/>
      <c r="C23" s="59"/>
      <c r="E23" s="147" t="s">
        <v>299</v>
      </c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9"/>
    </row>
    <row r="24" spans="1:49" x14ac:dyDescent="0.25">
      <c r="A24" s="36" t="s">
        <v>184</v>
      </c>
      <c r="B24" s="36" t="s">
        <v>204</v>
      </c>
      <c r="C24" s="36" t="s">
        <v>205</v>
      </c>
      <c r="E24" s="150" t="s">
        <v>184</v>
      </c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47" t="s">
        <v>204</v>
      </c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9"/>
      <c r="AI24" s="150" t="s">
        <v>205</v>
      </c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</row>
    <row r="25" spans="1:49" x14ac:dyDescent="0.25">
      <c r="A25">
        <f ca="1">Performances!D4</f>
        <v>0.87620000000000009</v>
      </c>
      <c r="B25">
        <f ca="1">Performances!D28</f>
        <v>9.4622222222222219E-2</v>
      </c>
      <c r="C25">
        <f ca="1">Performances!D52</f>
        <v>5.8788888888888877E-2</v>
      </c>
      <c r="E25" s="151" t="s">
        <v>268</v>
      </c>
      <c r="F25" s="151"/>
      <c r="G25" s="151"/>
      <c r="H25" s="151"/>
      <c r="I25" s="151"/>
      <c r="J25" s="151"/>
      <c r="K25" s="151"/>
      <c r="L25" s="151"/>
      <c r="M25" s="151"/>
      <c r="N25" s="152"/>
      <c r="O25" s="153" t="s">
        <v>269</v>
      </c>
      <c r="P25" s="154"/>
      <c r="Q25" s="154"/>
      <c r="R25" s="154"/>
      <c r="S25" s="155"/>
      <c r="T25" s="154" t="s">
        <v>268</v>
      </c>
      <c r="U25" s="154"/>
      <c r="V25" s="154"/>
      <c r="W25" s="154"/>
      <c r="X25" s="154"/>
      <c r="Y25" s="154"/>
      <c r="Z25" s="154"/>
      <c r="AA25" s="154"/>
      <c r="AB25" s="154"/>
      <c r="AC25" s="155"/>
      <c r="AD25" s="156" t="s">
        <v>269</v>
      </c>
      <c r="AE25" s="151"/>
      <c r="AF25" s="151"/>
      <c r="AG25" s="151"/>
      <c r="AH25" s="152"/>
      <c r="AI25" s="154" t="s">
        <v>268</v>
      </c>
      <c r="AJ25" s="154"/>
      <c r="AK25" s="154"/>
      <c r="AL25" s="154"/>
      <c r="AM25" s="154"/>
      <c r="AN25" s="154"/>
      <c r="AO25" s="154"/>
      <c r="AP25" s="154"/>
      <c r="AQ25" s="154"/>
      <c r="AR25" s="155"/>
      <c r="AS25" s="156" t="s">
        <v>269</v>
      </c>
      <c r="AT25" s="151"/>
      <c r="AU25" s="151"/>
      <c r="AV25" s="151"/>
      <c r="AW25" s="152"/>
    </row>
    <row r="26" spans="1:49" x14ac:dyDescent="0.25">
      <c r="A26">
        <f ca="1">Performances!D5</f>
        <v>0.92013333333333336</v>
      </c>
      <c r="B26">
        <f ca="1">Performances!D29</f>
        <v>0.10333333333333333</v>
      </c>
      <c r="C26">
        <f ca="1">Performances!D53</f>
        <v>6.2311111111111109E-2</v>
      </c>
      <c r="E26" s="60"/>
      <c r="F26" s="60"/>
      <c r="G26" s="60"/>
      <c r="H26" s="60"/>
      <c r="I26" s="60"/>
      <c r="J26" s="60"/>
      <c r="K26" s="60"/>
      <c r="L26" s="60"/>
      <c r="M26" s="60"/>
      <c r="N26" s="61"/>
      <c r="O26" s="60"/>
      <c r="P26" s="60"/>
      <c r="Q26" s="60"/>
      <c r="R26" s="60"/>
      <c r="S26" s="61"/>
      <c r="T26" s="60"/>
      <c r="U26" s="60"/>
      <c r="V26" s="60"/>
      <c r="W26" s="60"/>
      <c r="X26" s="60"/>
      <c r="Y26" s="60"/>
      <c r="Z26" s="30"/>
      <c r="AA26" s="30"/>
      <c r="AB26" s="30"/>
      <c r="AH26" s="37"/>
      <c r="AW26" s="37"/>
    </row>
    <row r="27" spans="1:49" ht="13.8" thickBot="1" x14ac:dyDescent="0.3">
      <c r="A27">
        <f ca="1">Performances!D6</f>
        <v>1.4115555555555557</v>
      </c>
      <c r="B27">
        <f ca="1">Performances!D30</f>
        <v>6.4144444444444434E-2</v>
      </c>
      <c r="C27">
        <f ca="1">Performances!D54</f>
        <v>6.8122222222222223E-2</v>
      </c>
      <c r="E27" s="60" t="s">
        <v>270</v>
      </c>
      <c r="F27" s="60"/>
      <c r="G27" s="60"/>
      <c r="H27" s="60" t="s">
        <v>222</v>
      </c>
      <c r="I27" s="60">
        <v>0.05</v>
      </c>
      <c r="J27" s="60"/>
      <c r="K27" s="60" t="s">
        <v>271</v>
      </c>
      <c r="L27" s="60">
        <v>0</v>
      </c>
      <c r="M27" s="60"/>
      <c r="N27" s="61"/>
      <c r="O27" s="60"/>
      <c r="P27" s="60" t="str">
        <f>A2</f>
        <v>Groupe 1</v>
      </c>
      <c r="Q27" s="60" t="str">
        <f>A24</f>
        <v>Groupe 1</v>
      </c>
      <c r="R27" s="60"/>
      <c r="S27" s="61"/>
      <c r="T27" s="60" t="s">
        <v>270</v>
      </c>
      <c r="U27" s="60"/>
      <c r="V27" s="60"/>
      <c r="W27" s="60" t="s">
        <v>222</v>
      </c>
      <c r="X27" s="60">
        <v>0.05</v>
      </c>
      <c r="Y27" s="60"/>
      <c r="Z27" s="30" t="s">
        <v>271</v>
      </c>
      <c r="AA27" s="30">
        <v>0</v>
      </c>
      <c r="AB27" s="30"/>
      <c r="AE27" s="68" t="str">
        <f>B2</f>
        <v>Groupe 2</v>
      </c>
      <c r="AF27" s="69" t="str">
        <f>B24</f>
        <v>Groupe 2</v>
      </c>
      <c r="AH27" s="37"/>
      <c r="AI27" t="s">
        <v>270</v>
      </c>
      <c r="AL27" t="s">
        <v>222</v>
      </c>
      <c r="AM27">
        <v>0.05</v>
      </c>
      <c r="AO27" t="s">
        <v>271</v>
      </c>
      <c r="AP27">
        <v>0</v>
      </c>
      <c r="AT27" t="str">
        <f>C2</f>
        <v>Groupe 3</v>
      </c>
      <c r="AU27" t="str">
        <f>C24</f>
        <v>Groupe 3</v>
      </c>
      <c r="AW27" s="37"/>
    </row>
    <row r="28" spans="1:49" ht="13.8" thickTop="1" x14ac:dyDescent="0.25">
      <c r="A28">
        <f ca="1">Performances!D7</f>
        <v>1.0153777777777777</v>
      </c>
      <c r="B28">
        <f ca="1">Performances!D31</f>
        <v>0.16041111111111114</v>
      </c>
      <c r="C28">
        <f ca="1">Performances!D55</f>
        <v>7.4822222222222221E-2</v>
      </c>
      <c r="E28" s="62" t="s">
        <v>272</v>
      </c>
      <c r="F28" s="62" t="s">
        <v>228</v>
      </c>
      <c r="G28" s="62" t="s">
        <v>230</v>
      </c>
      <c r="H28" s="62" t="s">
        <v>273</v>
      </c>
      <c r="I28" s="62" t="s">
        <v>233</v>
      </c>
      <c r="J28" s="62" t="s">
        <v>274</v>
      </c>
      <c r="K28" s="62" t="s">
        <v>249</v>
      </c>
      <c r="L28" s="62" t="s">
        <v>275</v>
      </c>
      <c r="M28" s="62" t="s">
        <v>276</v>
      </c>
      <c r="N28" s="63"/>
      <c r="O28" s="64" t="s">
        <v>236</v>
      </c>
      <c r="P28" s="65">
        <f ca="1">MEDIAN(A3:A17)</f>
        <v>0.78184444444444434</v>
      </c>
      <c r="Q28" s="66">
        <f ca="1">MEDIAN(A25:A39)</f>
        <v>0.92013333333333336</v>
      </c>
      <c r="R28" s="64"/>
      <c r="S28" s="63"/>
      <c r="T28" s="67" t="s">
        <v>272</v>
      </c>
      <c r="U28" s="62" t="s">
        <v>228</v>
      </c>
      <c r="V28" s="62" t="s">
        <v>230</v>
      </c>
      <c r="W28" s="62" t="s">
        <v>273</v>
      </c>
      <c r="X28" s="62" t="s">
        <v>233</v>
      </c>
      <c r="Y28" s="62" t="s">
        <v>274</v>
      </c>
      <c r="Z28" s="39" t="s">
        <v>249</v>
      </c>
      <c r="AA28" s="39" t="s">
        <v>275</v>
      </c>
      <c r="AB28" s="39" t="s">
        <v>276</v>
      </c>
      <c r="AD28" t="s">
        <v>236</v>
      </c>
      <c r="AE28" s="68">
        <f ca="1">MEDIAN(B3:B17)</f>
        <v>7.1711111111111114E-2</v>
      </c>
      <c r="AF28" s="69">
        <f ca="1">MEDIAN(B25:B39)</f>
        <v>4.4933333333333339E-2</v>
      </c>
      <c r="AH28" s="37"/>
      <c r="AI28" s="70" t="s">
        <v>272</v>
      </c>
      <c r="AJ28" s="39" t="s">
        <v>228</v>
      </c>
      <c r="AK28" s="39" t="s">
        <v>230</v>
      </c>
      <c r="AL28" s="39" t="s">
        <v>273</v>
      </c>
      <c r="AM28" s="39" t="s">
        <v>233</v>
      </c>
      <c r="AN28" s="39" t="s">
        <v>274</v>
      </c>
      <c r="AO28" s="39" t="s">
        <v>249</v>
      </c>
      <c r="AP28" s="39" t="s">
        <v>275</v>
      </c>
      <c r="AQ28" s="39" t="s">
        <v>276</v>
      </c>
      <c r="AS28" t="s">
        <v>236</v>
      </c>
      <c r="AT28" s="68">
        <f ca="1">MEDIAN(C3:C17)</f>
        <v>5.5288888888888894E-2</v>
      </c>
      <c r="AU28" s="69">
        <f ca="1">MEDIAN(C25:C39)</f>
        <v>6.2311111111111109E-2</v>
      </c>
      <c r="AW28" s="37"/>
    </row>
    <row r="29" spans="1:49" x14ac:dyDescent="0.25">
      <c r="A29">
        <f ca="1">Performances!D8</f>
        <v>0.92371111111111126</v>
      </c>
      <c r="B29">
        <f ca="1">Performances!D32</f>
        <v>3.1155555555555554E-2</v>
      </c>
      <c r="C29">
        <f ca="1">Performances!D56</f>
        <v>4.781111111111111E-2</v>
      </c>
      <c r="E29" s="60" t="str">
        <f>A2</f>
        <v>Groupe 1</v>
      </c>
      <c r="F29" s="60">
        <f ca="1">COUNT(A3:A17)</f>
        <v>15</v>
      </c>
      <c r="G29" s="60">
        <f ca="1">AVERAGE(A3:A17)</f>
        <v>0.8503814814814814</v>
      </c>
      <c r="H29" s="60">
        <f ca="1">_xlfn.STDEV.S(A3:A17)</f>
        <v>0.19177485534874694</v>
      </c>
      <c r="I29" s="60"/>
      <c r="J29" s="60"/>
      <c r="K29" s="60"/>
      <c r="L29" s="60"/>
      <c r="M29" s="60"/>
      <c r="N29" s="61"/>
      <c r="O29" s="60"/>
      <c r="P29" s="60"/>
      <c r="Q29" s="60"/>
      <c r="R29" s="60"/>
      <c r="S29" s="61"/>
      <c r="T29" s="60" t="str">
        <f>B2</f>
        <v>Groupe 2</v>
      </c>
      <c r="U29" s="60">
        <f ca="1">COUNT(B3:B17)</f>
        <v>15</v>
      </c>
      <c r="V29" s="60">
        <f ca="1">AVERAGE(B3:B17)</f>
        <v>8.3555555555555563E-2</v>
      </c>
      <c r="W29" s="60">
        <f ca="1">_xlfn.STDEV.S(B3:B17)</f>
        <v>5.7589739649305381E-2</v>
      </c>
      <c r="X29" s="60"/>
      <c r="Y29" s="60"/>
      <c r="Z29" s="30"/>
      <c r="AA29" s="30"/>
      <c r="AB29" s="30"/>
      <c r="AD29" t="s">
        <v>240</v>
      </c>
      <c r="AE29" s="49">
        <f ca="1">SUMPRODUCT(--ISNUMBER(B3:B17),--ISNUMBER(B25:B39))</f>
        <v>15</v>
      </c>
      <c r="AH29" s="37"/>
      <c r="AI29" t="str">
        <f>C2</f>
        <v>Groupe 3</v>
      </c>
      <c r="AJ29">
        <f ca="1">COUNT(C3:C17)</f>
        <v>15</v>
      </c>
      <c r="AK29">
        <f ca="1">AVERAGE(C3:C17)</f>
        <v>6.7676296296296304E-2</v>
      </c>
      <c r="AL29">
        <f ca="1">_xlfn.STDEV.S(C3:C17)</f>
        <v>3.5439079771820876E-2</v>
      </c>
      <c r="AW29" s="37"/>
    </row>
    <row r="30" spans="1:49" x14ac:dyDescent="0.25">
      <c r="A30">
        <f ca="1">Performances!D9</f>
        <v>0.57128888888888885</v>
      </c>
      <c r="B30">
        <f ca="1">Performances!D33</f>
        <v>3.6611111111111115E-2</v>
      </c>
      <c r="C30">
        <f ca="1">Performances!D57</f>
        <v>3.1411111111111112E-2</v>
      </c>
      <c r="E30" s="60" t="str">
        <f>A24</f>
        <v>Groupe 1</v>
      </c>
      <c r="F30" s="60">
        <f ca="1">COUNT(A25:A39)</f>
        <v>15</v>
      </c>
      <c r="G30" s="60">
        <f ca="1">AVERAGE(A25:A39)</f>
        <v>0.92535111111111112</v>
      </c>
      <c r="H30" s="60">
        <f ca="1">_xlfn.STDEV.S(A25:A39)</f>
        <v>0.18983150766294621</v>
      </c>
      <c r="I30" s="60"/>
      <c r="J30" s="60"/>
      <c r="K30" s="60"/>
      <c r="L30" s="60"/>
      <c r="M30" s="60"/>
      <c r="N30" s="61"/>
      <c r="O30" s="60" t="s">
        <v>240</v>
      </c>
      <c r="P30" s="71">
        <f ca="1">SUMPRODUCT(--ISNUMBER(A3:A17),--ISNUMBER(A25:A39))</f>
        <v>15</v>
      </c>
      <c r="Q30" s="60"/>
      <c r="R30" s="60"/>
      <c r="S30" s="61"/>
      <c r="T30" s="60" t="str">
        <f>B24</f>
        <v>Groupe 2</v>
      </c>
      <c r="U30" s="60">
        <f ca="1">COUNT(B25:B39)</f>
        <v>15</v>
      </c>
      <c r="V30" s="60">
        <f ca="1">AVERAGE(B25:B39)</f>
        <v>5.6729629629629637E-2</v>
      </c>
      <c r="W30" s="60">
        <f ca="1">_xlfn.STDEV.S(B25:B39)</f>
        <v>3.8840769019632591E-2</v>
      </c>
      <c r="X30" s="60"/>
      <c r="Y30" s="60"/>
      <c r="Z30" s="30"/>
      <c r="AA30" s="30"/>
      <c r="AB30" s="30"/>
      <c r="AD30" t="s">
        <v>240</v>
      </c>
      <c r="AE30" s="49">
        <f ca="1">SUMPRODUCT(--ISNUMBER(B3:B17),--ISNUMBER(B25:B39))</f>
        <v>15</v>
      </c>
      <c r="AH30" s="37"/>
      <c r="AI30" t="str">
        <f>C24</f>
        <v>Groupe 3</v>
      </c>
      <c r="AJ30">
        <f ca="1">COUNT(C25:C39)</f>
        <v>15</v>
      </c>
      <c r="AK30">
        <f ca="1">AVERAGE(C25:C39)</f>
        <v>6.0559259259259264E-2</v>
      </c>
      <c r="AL30">
        <f ca="1">_xlfn.STDEV.S(C25:C39)</f>
        <v>2.9280852122153356E-2</v>
      </c>
      <c r="AS30" t="s">
        <v>240</v>
      </c>
      <c r="AT30" s="49">
        <f ca="1">SUMPRODUCT(--ISNUMBER(C3:C17),--ISNUMBER(C25:C39))</f>
        <v>15</v>
      </c>
      <c r="AW30" s="37"/>
    </row>
    <row r="31" spans="1:49" x14ac:dyDescent="0.25">
      <c r="A31">
        <f ca="1">Performances!D10</f>
        <v>0.71174444444444451</v>
      </c>
      <c r="B31">
        <f ca="1">Performances!D34</f>
        <v>3.78E-2</v>
      </c>
      <c r="C31">
        <f ca="1">Performances!D58</f>
        <v>3.4477777777777781E-2</v>
      </c>
      <c r="E31" s="72" t="s">
        <v>277</v>
      </c>
      <c r="F31" s="72">
        <f ca="1">F30</f>
        <v>15</v>
      </c>
      <c r="G31" s="72">
        <f ca="1">G29-G30</f>
        <v>-7.4969629629629719E-2</v>
      </c>
      <c r="H31" s="72">
        <f t="array" ref="H31" ca="1">_xlfn.STDEV.S(A3:A17-A25:A39)</f>
        <v>0.29130380583195453</v>
      </c>
      <c r="I31" s="72">
        <f ca="1">H31/SQRT(F31)</f>
        <v>7.5214319244933256E-2</v>
      </c>
      <c r="J31" s="72">
        <f ca="1">(G29-G30-L27)/I31</f>
        <v>-0.99674676819839703</v>
      </c>
      <c r="K31" s="72">
        <f ca="1">F31-1</f>
        <v>14</v>
      </c>
      <c r="L31" s="72">
        <f ca="1">ABS(G29-G30-L27)/H31</f>
        <v>0.25735890890789709</v>
      </c>
      <c r="M31" s="72">
        <f ca="1">SQRT(J31^2/(J31^2+K31))</f>
        <v>0.25741465276753345</v>
      </c>
      <c r="N31" s="61"/>
      <c r="O31" s="60" t="s">
        <v>278</v>
      </c>
      <c r="P31" s="73">
        <f ca="1">SUMPRODUCT(--ISNUMBER(A3:A17),--ISNUMBER(A25:A39),--(A3:A17&lt;&gt;A25:A39))</f>
        <v>15</v>
      </c>
      <c r="Q31" s="60"/>
      <c r="R31" s="60"/>
      <c r="S31" s="61"/>
      <c r="T31" s="74" t="s">
        <v>277</v>
      </c>
      <c r="U31" s="72">
        <f ca="1">U30</f>
        <v>15</v>
      </c>
      <c r="V31" s="72">
        <f ca="1">V29-V30</f>
        <v>2.6825925925925927E-2</v>
      </c>
      <c r="W31" s="72">
        <f t="array" ref="W31" ca="1">_xlfn.STDEV.S(B3:B17-B25:B39)</f>
        <v>4.5851420705548741E-2</v>
      </c>
      <c r="X31" s="72">
        <f ca="1">W31/SQRT(U31)</f>
        <v>1.183878591950268E-2</v>
      </c>
      <c r="Y31" s="72">
        <f ca="1">(V29-V30-AA27)/X31</f>
        <v>2.265935553554872</v>
      </c>
      <c r="Z31" s="34">
        <f ca="1">U31-1</f>
        <v>14</v>
      </c>
      <c r="AA31" s="34">
        <f ca="1">ABS(V29-V30-AA27)/W31</f>
        <v>0.58506204416648688</v>
      </c>
      <c r="AB31" s="34">
        <f ca="1">SQRT(Y31^2/(Y31^2+Z31))</f>
        <v>0.51801150312798572</v>
      </c>
      <c r="AD31" t="s">
        <v>278</v>
      </c>
      <c r="AE31" s="56">
        <f ca="1">SUMPRODUCT(--ISNUMBER(B3:B17),--ISNUMBER(B25:B39),--(B3:B17&lt;&gt;B25:B39))</f>
        <v>15</v>
      </c>
      <c r="AH31" s="37"/>
      <c r="AI31" s="75" t="s">
        <v>277</v>
      </c>
      <c r="AJ31" s="34">
        <f ca="1">AJ30</f>
        <v>15</v>
      </c>
      <c r="AK31" s="34">
        <f ca="1">AK29-AK30</f>
        <v>7.1170370370370398E-3</v>
      </c>
      <c r="AL31" s="34">
        <f t="array" ref="AL31" ca="1">_xlfn.STDEV.S(C3:C17-C25:C39)</f>
        <v>4.5759825010045982E-2</v>
      </c>
      <c r="AM31" s="34">
        <f ca="1">AL31/SQRT(AJ31)</f>
        <v>1.1815136012618249E-2</v>
      </c>
      <c r="AN31" s="34">
        <f ca="1">(AK29-AK30-AP27)/AM31</f>
        <v>0.60236606920447089</v>
      </c>
      <c r="AO31" s="34">
        <f ca="1">AJ31-1</f>
        <v>14</v>
      </c>
      <c r="AP31" s="34">
        <f ca="1">ABS(AK29-AK30-AP27)/AL31</f>
        <v>0.15553025028995598</v>
      </c>
      <c r="AQ31" s="34">
        <f ca="1">SQRT(AN31^2/(AN31^2+AO31))</f>
        <v>0.15894258257499436</v>
      </c>
      <c r="AS31" t="s">
        <v>278</v>
      </c>
      <c r="AT31" s="56">
        <f ca="1">SUMPRODUCT(--ISNUMBER(C3:C17),--ISNUMBER(C25:C39),--(C3:C17&lt;&gt;C25:C39))</f>
        <v>15</v>
      </c>
      <c r="AW31" s="37"/>
    </row>
    <row r="32" spans="1:49" x14ac:dyDescent="0.25">
      <c r="A32">
        <f ca="1">Performances!D11</f>
        <v>1.1443777777777777</v>
      </c>
      <c r="B32">
        <f ca="1">Performances!D35</f>
        <v>7.0500000000000007E-2</v>
      </c>
      <c r="C32">
        <f ca="1">Performances!D59</f>
        <v>2.3866666666666668E-2</v>
      </c>
      <c r="E32" s="60"/>
      <c r="F32" s="60"/>
      <c r="G32" s="60"/>
      <c r="H32" s="60"/>
      <c r="I32" s="60"/>
      <c r="J32" s="60"/>
      <c r="K32" s="60"/>
      <c r="L32" s="60"/>
      <c r="M32" s="60"/>
      <c r="N32" s="61"/>
      <c r="O32" s="60" t="s">
        <v>279</v>
      </c>
      <c r="P32" s="73">
        <f ca="1">IF(P34&lt;=P37,P34,P31*(P31+1)/2)</f>
        <v>46</v>
      </c>
      <c r="Q32" s="60"/>
      <c r="R32" s="60"/>
      <c r="S32" s="61"/>
      <c r="T32" s="60"/>
      <c r="U32" s="60"/>
      <c r="V32" s="60"/>
      <c r="W32" s="60"/>
      <c r="X32" s="60"/>
      <c r="Y32" s="60"/>
      <c r="Z32" s="30"/>
      <c r="AA32" s="30"/>
      <c r="AB32" s="30"/>
      <c r="AD32" t="s">
        <v>279</v>
      </c>
      <c r="AE32" s="56">
        <f ca="1">IF(AE34&lt;=AE37,AE34,AE31*(AE31+1)/2)</f>
        <v>26</v>
      </c>
      <c r="AH32" s="37"/>
      <c r="AS32" t="s">
        <v>279</v>
      </c>
      <c r="AT32" s="56">
        <f ca="1">IF(AT34&lt;=AT37,AT34,AT31*(AT31+1)/2)</f>
        <v>47</v>
      </c>
      <c r="AW32" s="37"/>
    </row>
    <row r="33" spans="1:49" ht="13.8" thickBot="1" x14ac:dyDescent="0.3">
      <c r="A33">
        <f ca="1">Performances!D12</f>
        <v>0.9603666666666667</v>
      </c>
      <c r="B33">
        <f ca="1">Performances!D36</f>
        <v>5.5466666666666671E-2</v>
      </c>
      <c r="C33">
        <f ca="1">Performances!D60</f>
        <v>7.2444444444444464E-2</v>
      </c>
      <c r="E33" s="60" t="s">
        <v>280</v>
      </c>
      <c r="F33" s="60"/>
      <c r="G33" s="60"/>
      <c r="H33" s="60"/>
      <c r="I33" s="60"/>
      <c r="J33" s="60"/>
      <c r="K33" s="60"/>
      <c r="L33" s="60"/>
      <c r="M33" s="60"/>
      <c r="N33" s="61"/>
      <c r="O33" s="60" t="s">
        <v>281</v>
      </c>
      <c r="P33" s="73">
        <f ca="1">P31*(P31+1)/2-P32</f>
        <v>74</v>
      </c>
      <c r="Q33" s="60"/>
      <c r="R33" s="60"/>
      <c r="S33" s="61"/>
      <c r="T33" s="60" t="s">
        <v>280</v>
      </c>
      <c r="U33" s="60"/>
      <c r="V33" s="60"/>
      <c r="W33" s="60"/>
      <c r="X33" s="60"/>
      <c r="Y33" s="60"/>
      <c r="Z33" s="30"/>
      <c r="AA33" s="30"/>
      <c r="AB33" s="30"/>
      <c r="AD33" t="s">
        <v>281</v>
      </c>
      <c r="AE33" s="77">
        <f ca="1">AE31*(AE31+1)/2-AE32</f>
        <v>94</v>
      </c>
      <c r="AH33" s="37"/>
      <c r="AI33" t="s">
        <v>280</v>
      </c>
      <c r="AS33" t="s">
        <v>281</v>
      </c>
      <c r="AT33" s="56">
        <f ca="1">AT31*(AT31+1)/2-AT32</f>
        <v>73</v>
      </c>
      <c r="AW33" s="37"/>
    </row>
    <row r="34" spans="1:49" ht="13.8" thickTop="1" x14ac:dyDescent="0.25">
      <c r="A34">
        <f ca="1">Performances!D13</f>
        <v>0.79348888888888902</v>
      </c>
      <c r="B34">
        <f ca="1">Performances!D37</f>
        <v>4.4933333333333339E-2</v>
      </c>
      <c r="C34">
        <f ca="1">Performances!D61</f>
        <v>0.10207777777777777</v>
      </c>
      <c r="E34" s="62" t="s">
        <v>133</v>
      </c>
      <c r="F34" s="62" t="s">
        <v>211</v>
      </c>
      <c r="G34" s="62" t="s">
        <v>282</v>
      </c>
      <c r="H34" s="62" t="s">
        <v>283</v>
      </c>
      <c r="I34" s="62" t="s">
        <v>284</v>
      </c>
      <c r="J34" s="62" t="s">
        <v>259</v>
      </c>
      <c r="K34" s="60"/>
      <c r="L34" s="60"/>
      <c r="M34" s="60"/>
      <c r="N34" s="63"/>
      <c r="O34" s="64" t="s">
        <v>285</v>
      </c>
      <c r="P34" s="76">
        <f ca="1">[1]!SRANK(A3:A17,A25:A39)</f>
        <v>46</v>
      </c>
      <c r="Q34" s="64"/>
      <c r="R34" s="64"/>
      <c r="S34" s="61"/>
      <c r="T34" s="67" t="s">
        <v>133</v>
      </c>
      <c r="U34" s="62" t="s">
        <v>211</v>
      </c>
      <c r="V34" s="62" t="s">
        <v>282</v>
      </c>
      <c r="W34" s="62" t="s">
        <v>283</v>
      </c>
      <c r="X34" s="62" t="s">
        <v>284</v>
      </c>
      <c r="Y34" s="62" t="s">
        <v>259</v>
      </c>
      <c r="Z34" s="30"/>
      <c r="AA34" s="30"/>
      <c r="AB34" s="30"/>
      <c r="AD34" t="s">
        <v>285</v>
      </c>
      <c r="AE34" s="77">
        <f ca="1">[1]!SRANK(B3:B17,B25:B39)</f>
        <v>26</v>
      </c>
      <c r="AH34" s="37"/>
      <c r="AI34" s="70" t="s">
        <v>133</v>
      </c>
      <c r="AJ34" s="39" t="s">
        <v>211</v>
      </c>
      <c r="AK34" s="39" t="s">
        <v>282</v>
      </c>
      <c r="AL34" s="39" t="s">
        <v>283</v>
      </c>
      <c r="AM34" s="39" t="s">
        <v>284</v>
      </c>
      <c r="AN34" s="39" t="s">
        <v>259</v>
      </c>
      <c r="AS34" t="s">
        <v>285</v>
      </c>
      <c r="AT34" s="77">
        <f ca="1">[1]!SRANK(C3:C17,C25:C39)</f>
        <v>47</v>
      </c>
      <c r="AW34" s="37"/>
    </row>
    <row r="35" spans="1:49" x14ac:dyDescent="0.25">
      <c r="A35">
        <f ca="1">Performances!D14</f>
        <v>0.93874444444444449</v>
      </c>
      <c r="B35">
        <f ca="1">Performances!D38</f>
        <v>2.6844444444444442E-2</v>
      </c>
      <c r="C35">
        <f ca="1">Performances!D62</f>
        <v>3.273333333333333E-2</v>
      </c>
      <c r="E35" s="60" t="s">
        <v>286</v>
      </c>
      <c r="F35" s="98">
        <f ca="1">_xlfn.T.DIST.RT(ABS(J31),K31)</f>
        <v>0.16790210049310533</v>
      </c>
      <c r="G35" s="60">
        <f ca="1">_xlfn.T.INV.2T(I27*2,K31)</f>
        <v>1.7613101357748921</v>
      </c>
      <c r="H35" s="60"/>
      <c r="I35" s="60"/>
      <c r="J35" s="79" t="str">
        <f ca="1">IF(F35&lt;I27,"yes","no")</f>
        <v>no</v>
      </c>
      <c r="K35" s="60"/>
      <c r="L35" s="60"/>
      <c r="M35" s="60"/>
      <c r="N35" s="61"/>
      <c r="O35" s="78"/>
      <c r="P35" s="60"/>
      <c r="Q35" s="60"/>
      <c r="R35" s="60"/>
      <c r="S35" s="61"/>
      <c r="T35" s="60" t="s">
        <v>286</v>
      </c>
      <c r="U35" s="78">
        <f ca="1">_xlfn.T.DIST.RT(ABS(Y31),Z31)</f>
        <v>1.9918785882334547E-2</v>
      </c>
      <c r="V35" s="60">
        <f ca="1">_xlfn.T.INV.2T(X27*2,Z31)</f>
        <v>1.7613101357748921</v>
      </c>
      <c r="W35" s="60"/>
      <c r="X35" s="60"/>
      <c r="Y35" s="79" t="str">
        <f ca="1">IF(U35&lt;X27,"yes","no")</f>
        <v>yes</v>
      </c>
      <c r="Z35" s="30"/>
      <c r="AA35" s="30"/>
      <c r="AB35" s="30"/>
      <c r="AE35" s="80" t="s">
        <v>288</v>
      </c>
      <c r="AF35" s="80" t="s">
        <v>289</v>
      </c>
      <c r="AH35" s="37"/>
      <c r="AI35" t="s">
        <v>286</v>
      </c>
      <c r="AJ35" s="96">
        <f ca="1">_xlfn.T.DIST.RT(ABS(AN31),AO31)</f>
        <v>0.27828089900601671</v>
      </c>
      <c r="AK35">
        <f ca="1">_xlfn.T.INV.2T(AM27*2,AO31)</f>
        <v>1.7613101357748921</v>
      </c>
      <c r="AN35" s="80" t="str">
        <f ca="1">IF(AJ35&lt;AM27,"yes","no")</f>
        <v>no</v>
      </c>
      <c r="AW35" s="37"/>
    </row>
    <row r="36" spans="1:49" x14ac:dyDescent="0.25">
      <c r="A36">
        <f ca="1">Performances!D15</f>
        <v>0.82277777777777783</v>
      </c>
      <c r="B36">
        <f ca="1">Performances!D39</f>
        <v>1.2322222222222222E-2</v>
      </c>
      <c r="C36">
        <f ca="1">Performances!D63</f>
        <v>6.7344444444444443E-2</v>
      </c>
      <c r="E36" s="60" t="s">
        <v>287</v>
      </c>
      <c r="F36" s="99">
        <f ca="1">_xlfn.T.DIST.2T(ABS(J31),K31)</f>
        <v>0.33580420098621067</v>
      </c>
      <c r="G36" s="79">
        <f ca="1">_xlfn.T.INV.2T(I27,K31)</f>
        <v>2.1447866879178044</v>
      </c>
      <c r="H36" s="60">
        <f ca="1">(G29-G30)-I31*G36</f>
        <v>-0.23628830028696249</v>
      </c>
      <c r="I36" s="60">
        <f ca="1">(G29-G30)+I31*G36</f>
        <v>8.634904102770305E-2</v>
      </c>
      <c r="J36" s="79" t="str">
        <f ca="1">IF(F36&lt;I27,"yes","no")</f>
        <v>no</v>
      </c>
      <c r="K36" s="60"/>
      <c r="L36" s="60"/>
      <c r="M36" s="60"/>
      <c r="N36" s="61"/>
      <c r="O36" s="78"/>
      <c r="P36" s="79" t="s">
        <v>288</v>
      </c>
      <c r="Q36" s="79" t="s">
        <v>289</v>
      </c>
      <c r="R36" s="60"/>
      <c r="S36" s="61"/>
      <c r="T36" s="60" t="s">
        <v>287</v>
      </c>
      <c r="U36" s="105">
        <f ca="1">_xlfn.T.DIST.2T(ABS(Y31),Z31)</f>
        <v>3.9837571764669094E-2</v>
      </c>
      <c r="V36" s="79">
        <f ca="1">_xlfn.T.INV.2T(X27,Z31)</f>
        <v>2.1447866879178044</v>
      </c>
      <c r="W36" s="60">
        <f ca="1">(V29-V30)-X31*V36</f>
        <v>1.434255484667836E-3</v>
      </c>
      <c r="X36" s="60">
        <f ca="1">(V29-V30)+X31*V36</f>
        <v>5.2217596367184017E-2</v>
      </c>
      <c r="Y36" s="79" t="str">
        <f ca="1">IF(U36&lt;X27,"yes","no")</f>
        <v>yes</v>
      </c>
      <c r="Z36" s="30"/>
      <c r="AA36" s="30"/>
      <c r="AB36" s="30"/>
      <c r="AD36" t="s">
        <v>226</v>
      </c>
      <c r="AE36" s="90" t="s">
        <v>288</v>
      </c>
      <c r="AF36" s="80" t="s">
        <v>289</v>
      </c>
      <c r="AH36" s="37"/>
      <c r="AI36" t="s">
        <v>287</v>
      </c>
      <c r="AJ36" s="96">
        <f ca="1">_xlfn.T.DIST.2T(ABS(AN31),AO31)</f>
        <v>0.55656179801203343</v>
      </c>
      <c r="AK36">
        <f ca="1">_xlfn.T.INV.2T(AM27,AO31)</f>
        <v>2.1447866879178044</v>
      </c>
      <c r="AL36">
        <f ca="1">(AK29-AK30)-AM31*AK36</f>
        <v>-1.8223909398764827E-2</v>
      </c>
      <c r="AM36">
        <f ca="1">(AK29-AK30)+AM31*AK36</f>
        <v>3.2457983472838903E-2</v>
      </c>
      <c r="AN36" s="80" t="str">
        <f ca="1">IF(AJ36&lt;AM27,"yes","no")</f>
        <v>no</v>
      </c>
      <c r="AT36" s="80" t="s">
        <v>288</v>
      </c>
      <c r="AU36" s="80" t="s">
        <v>289</v>
      </c>
      <c r="AW36" s="37"/>
    </row>
    <row r="37" spans="1:49" x14ac:dyDescent="0.25">
      <c r="A37">
        <f ca="1">Performances!D16</f>
        <v>0.8980111111111112</v>
      </c>
      <c r="B37">
        <f ca="1">Performances!D40</f>
        <v>2.8988888888888883E-2</v>
      </c>
      <c r="C37">
        <f ca="1">Performances!D64</f>
        <v>3.5755555555555554E-2</v>
      </c>
      <c r="E37" s="72"/>
      <c r="F37" s="72"/>
      <c r="G37" s="72"/>
      <c r="H37" s="72"/>
      <c r="I37" s="72"/>
      <c r="J37" s="72"/>
      <c r="K37" s="60"/>
      <c r="L37" s="60"/>
      <c r="M37" s="60"/>
      <c r="N37" s="61"/>
      <c r="O37" s="60" t="s">
        <v>226</v>
      </c>
      <c r="P37" s="71">
        <f ca="1">P31*(P31+1)/4</f>
        <v>60</v>
      </c>
      <c r="Q37" s="60"/>
      <c r="R37" s="60"/>
      <c r="S37" s="61"/>
      <c r="T37" s="74"/>
      <c r="U37" s="72"/>
      <c r="V37" s="72"/>
      <c r="W37" s="72"/>
      <c r="X37" s="72"/>
      <c r="Y37" s="72"/>
      <c r="Z37" s="30"/>
      <c r="AA37" s="30"/>
      <c r="AB37" s="30"/>
      <c r="AD37" t="s">
        <v>226</v>
      </c>
      <c r="AE37" s="49">
        <f ca="1">AE31*(AE31+1)/4</f>
        <v>60</v>
      </c>
      <c r="AF37" t="s">
        <v>291</v>
      </c>
      <c r="AH37" s="37"/>
      <c r="AI37" s="75"/>
      <c r="AJ37" s="34"/>
      <c r="AK37" s="34"/>
      <c r="AL37" s="34"/>
      <c r="AM37" s="34"/>
      <c r="AN37" s="34"/>
      <c r="AS37" t="s">
        <v>226</v>
      </c>
      <c r="AT37" s="49">
        <f ca="1">AT31*(AT31+1)/4</f>
        <v>60</v>
      </c>
      <c r="AW37" s="37"/>
    </row>
    <row r="38" spans="1:49" x14ac:dyDescent="0.25">
      <c r="A38">
        <f ca="1">Performances!D17</f>
        <v>0.88434444444444438</v>
      </c>
      <c r="B38">
        <f ca="1">Performances!D41</f>
        <v>6.2955555555555556E-2</v>
      </c>
      <c r="C38">
        <f ca="1">Performances!D65</f>
        <v>6.2422222222222233E-2</v>
      </c>
      <c r="E38" s="60"/>
      <c r="F38" s="60"/>
      <c r="G38" s="60"/>
      <c r="H38" s="60"/>
      <c r="I38" s="60"/>
      <c r="J38" s="60"/>
      <c r="K38" s="60"/>
      <c r="L38" s="60"/>
      <c r="M38" s="60"/>
      <c r="N38" s="61"/>
      <c r="O38" s="60" t="s">
        <v>290</v>
      </c>
      <c r="P38" s="73">
        <f ca="1">SQRT(P37*(2*P31+1)/6-[1]!TiesCorrection(A3:A17,A25:A39,1)/48)</f>
        <v>17.606816861659009</v>
      </c>
      <c r="Q38" s="60" t="s">
        <v>291</v>
      </c>
      <c r="R38" s="60"/>
      <c r="S38" s="61"/>
      <c r="T38" s="60"/>
      <c r="U38" s="60"/>
      <c r="V38" s="60"/>
      <c r="W38" s="60"/>
      <c r="X38" s="60"/>
      <c r="Y38" s="60"/>
      <c r="Z38" s="30"/>
      <c r="AA38" s="30"/>
      <c r="AB38" s="30"/>
      <c r="AD38" t="s">
        <v>290</v>
      </c>
      <c r="AE38" s="56">
        <f ca="1">SQRT(AE37*(2*AE31+1)/6-[1]!TiesCorrection(B3:B17,B25:B39,1)/48)</f>
        <v>17.606816861659009</v>
      </c>
      <c r="AF38" t="s">
        <v>291</v>
      </c>
      <c r="AH38" s="37"/>
      <c r="AS38" t="s">
        <v>290</v>
      </c>
      <c r="AT38" s="56">
        <f ca="1">SQRT(AT37*(2*AT31+1)/6-[1]!TiesCorrection(C3:C17,C25:C39,1)/48)</f>
        <v>17.606816861659009</v>
      </c>
      <c r="AU38" t="s">
        <v>291</v>
      </c>
      <c r="AW38" s="37"/>
    </row>
    <row r="39" spans="1:49" x14ac:dyDescent="0.25">
      <c r="A39">
        <f ca="1">Performances!D18</f>
        <v>1.0081444444444445</v>
      </c>
      <c r="B39">
        <f ca="1">Performances!D42</f>
        <v>2.0855555555555554E-2</v>
      </c>
      <c r="C39">
        <f ca="1">Performances!D66</f>
        <v>0.13400000000000001</v>
      </c>
      <c r="E39" s="60"/>
      <c r="F39" s="60"/>
      <c r="G39" s="60"/>
      <c r="H39" s="60"/>
      <c r="I39" s="60"/>
      <c r="J39" s="60"/>
      <c r="K39" s="60"/>
      <c r="L39" s="60"/>
      <c r="M39" s="60"/>
      <c r="N39" s="61"/>
      <c r="O39" s="60" t="s">
        <v>292</v>
      </c>
      <c r="P39" s="73">
        <f ca="1">ABS(ABS(P34-P37)-1/2)/P38</f>
        <v>0.76674847623353748</v>
      </c>
      <c r="Q39" s="60" t="s">
        <v>293</v>
      </c>
      <c r="R39" s="60"/>
      <c r="S39" s="61"/>
      <c r="T39" s="60"/>
      <c r="U39" s="60"/>
      <c r="V39" s="60"/>
      <c r="W39" s="60"/>
      <c r="X39" s="60"/>
      <c r="Y39" s="60"/>
      <c r="Z39" s="30"/>
      <c r="AA39" s="30"/>
      <c r="AB39" s="30"/>
      <c r="AD39" t="s">
        <v>292</v>
      </c>
      <c r="AE39" s="56">
        <f ca="1">ABS(ABS(AE34-AE37)-1/2)/AE38</f>
        <v>1.9026721447276671</v>
      </c>
      <c r="AF39" t="s">
        <v>293</v>
      </c>
      <c r="AH39" s="37"/>
      <c r="AS39" t="s">
        <v>292</v>
      </c>
      <c r="AT39" s="56">
        <f ca="1">ABS(ABS(AT34-AT37)-1/2)/AT38</f>
        <v>0.70995229280883099</v>
      </c>
      <c r="AU39" t="s">
        <v>293</v>
      </c>
      <c r="AW39" s="37"/>
    </row>
    <row r="40" spans="1:49" x14ac:dyDescent="0.25">
      <c r="E40" s="60"/>
      <c r="F40" s="60"/>
      <c r="G40" s="60"/>
      <c r="H40" s="60"/>
      <c r="I40" s="60"/>
      <c r="J40" s="60"/>
      <c r="K40" s="60"/>
      <c r="L40" s="60"/>
      <c r="M40" s="60"/>
      <c r="N40" s="61"/>
      <c r="O40" s="60" t="s">
        <v>294</v>
      </c>
      <c r="P40" s="73">
        <f ca="1">P39/SQRT(2*P30)</f>
        <v>0.1399884787886074</v>
      </c>
      <c r="Q40" s="60"/>
      <c r="R40" s="60"/>
      <c r="S40" s="61"/>
      <c r="T40" s="60"/>
      <c r="U40" s="60"/>
      <c r="V40" s="60"/>
      <c r="W40" s="60"/>
      <c r="X40" s="60"/>
      <c r="Y40" s="60"/>
      <c r="Z40" s="30"/>
      <c r="AA40" s="30"/>
      <c r="AB40" s="30"/>
      <c r="AD40" t="s">
        <v>294</v>
      </c>
      <c r="AE40" s="91">
        <f ca="1">AE39/SQRT(2*AE30)</f>
        <v>0.34737881773469248</v>
      </c>
      <c r="AF40" s="92">
        <f ca="1">2*AE40</f>
        <v>0.69475763546938496</v>
      </c>
      <c r="AH40" s="37"/>
      <c r="AS40" t="s">
        <v>294</v>
      </c>
      <c r="AT40" s="56">
        <f ca="1">AT39/SQRT(2*AT30)</f>
        <v>0.12961896184130314</v>
      </c>
      <c r="AW40" s="37"/>
    </row>
    <row r="41" spans="1:49" x14ac:dyDescent="0.25">
      <c r="E41" s="78"/>
      <c r="F41" s="78"/>
      <c r="G41" s="60"/>
      <c r="H41" s="60"/>
      <c r="I41" s="60"/>
      <c r="J41" s="60"/>
      <c r="K41" s="60"/>
      <c r="L41" s="60"/>
      <c r="M41" s="60"/>
      <c r="N41" s="61"/>
      <c r="O41" s="60" t="s">
        <v>295</v>
      </c>
      <c r="P41" s="81">
        <f ca="1">1-_xlfn.NORM.S.DIST(P39,TRUE)</f>
        <v>0.22161553779552612</v>
      </c>
      <c r="Q41" s="82">
        <f ca="1">2*P41</f>
        <v>0.44323107559105224</v>
      </c>
      <c r="R41" s="60"/>
      <c r="S41" s="61"/>
      <c r="T41" s="60"/>
      <c r="U41" s="78"/>
      <c r="V41" s="60"/>
      <c r="W41" s="60"/>
      <c r="X41" s="60"/>
      <c r="Y41" s="60"/>
      <c r="Z41" s="30"/>
      <c r="AA41" s="30"/>
      <c r="AB41" s="30"/>
      <c r="AD41" t="s">
        <v>295</v>
      </c>
      <c r="AE41" s="93">
        <f ca="1">1-_xlfn.NORM.S.DIST(AE39,TRUE)</f>
        <v>2.8541669412414983E-2</v>
      </c>
      <c r="AF41" s="113">
        <f ca="1">2*AE41</f>
        <v>5.7083338824829966E-2</v>
      </c>
      <c r="AH41" s="37"/>
      <c r="AS41" t="s">
        <v>295</v>
      </c>
      <c r="AT41" s="81">
        <f ca="1">1-_xlfn.NORM.S.DIST(AT39,TRUE)</f>
        <v>0.23886686044578631</v>
      </c>
      <c r="AU41" s="82">
        <f ca="1">2*AT41</f>
        <v>0.47773372089157262</v>
      </c>
      <c r="AW41" s="37"/>
    </row>
    <row r="42" spans="1:49" x14ac:dyDescent="0.25">
      <c r="E42" s="78"/>
      <c r="F42" s="78"/>
      <c r="G42" s="60"/>
      <c r="H42" s="60"/>
      <c r="I42" s="60"/>
      <c r="J42" s="60"/>
      <c r="K42" s="60"/>
      <c r="L42" s="60"/>
      <c r="M42" s="60"/>
      <c r="N42" s="61"/>
      <c r="O42" s="60" t="s">
        <v>296</v>
      </c>
      <c r="P42" s="83">
        <f ca="1">[1]!SRDIST(P34,P31,1)</f>
        <v>0.227142333984375</v>
      </c>
      <c r="Q42" s="84">
        <f ca="1">2*P42</f>
        <v>0.45428466796875</v>
      </c>
      <c r="R42" s="60"/>
      <c r="S42" s="61"/>
      <c r="T42" s="60"/>
      <c r="U42" s="78"/>
      <c r="V42" s="60"/>
      <c r="W42" s="60"/>
      <c r="X42" s="60"/>
      <c r="Y42" s="60"/>
      <c r="Z42" s="30"/>
      <c r="AA42" s="30"/>
      <c r="AB42" s="30"/>
      <c r="AD42" t="s">
        <v>296</v>
      </c>
      <c r="AE42" s="95">
        <f ca="1">[1]!SRDIST(AE34,AE31,1)</f>
        <v>2.7679443359375E-2</v>
      </c>
      <c r="AF42" s="114">
        <f ca="1">2*AE42</f>
        <v>5.535888671875E-2</v>
      </c>
      <c r="AH42" s="37"/>
      <c r="AS42" t="s">
        <v>296</v>
      </c>
      <c r="AT42" s="83">
        <f ca="1">[1]!SRDIST(AT34,AT31,1)</f>
        <v>0.244354248046875</v>
      </c>
      <c r="AU42" s="84">
        <f ca="1">2*AT42</f>
        <v>0.48870849609375</v>
      </c>
      <c r="AW42" s="37"/>
    </row>
    <row r="43" spans="1:49" x14ac:dyDescent="0.25">
      <c r="E43" s="60"/>
      <c r="F43" s="60"/>
      <c r="G43" s="60"/>
      <c r="H43" s="60"/>
      <c r="I43" s="60"/>
      <c r="J43" s="60"/>
      <c r="K43" s="60"/>
      <c r="L43" s="60"/>
      <c r="M43" s="60"/>
      <c r="N43" s="61"/>
      <c r="O43" s="60" t="s">
        <v>297</v>
      </c>
      <c r="P43" s="85" t="s">
        <v>298</v>
      </c>
      <c r="Q43" s="86" t="s">
        <v>298</v>
      </c>
      <c r="R43" s="60"/>
      <c r="S43" s="61"/>
      <c r="T43" s="60"/>
      <c r="U43" s="60"/>
      <c r="V43" s="60"/>
      <c r="W43" s="60"/>
      <c r="X43" s="60"/>
      <c r="Y43" s="60"/>
      <c r="Z43" s="30"/>
      <c r="AA43" s="30"/>
      <c r="AB43" s="30"/>
      <c r="AD43" t="s">
        <v>297</v>
      </c>
      <c r="AE43" s="77" t="s">
        <v>298</v>
      </c>
      <c r="AF43" s="55" t="s">
        <v>298</v>
      </c>
      <c r="AH43" s="37"/>
      <c r="AS43" t="s">
        <v>297</v>
      </c>
      <c r="AT43" s="77" t="s">
        <v>298</v>
      </c>
      <c r="AU43" s="55" t="s">
        <v>298</v>
      </c>
      <c r="AW43" s="37"/>
    </row>
    <row r="44" spans="1:49" x14ac:dyDescent="0.25">
      <c r="E44" s="60"/>
      <c r="F44" s="60"/>
      <c r="G44" s="60"/>
      <c r="H44" s="60"/>
      <c r="I44" s="60"/>
      <c r="J44" s="60"/>
      <c r="K44" s="60"/>
      <c r="L44" s="60"/>
      <c r="M44" s="60"/>
      <c r="N44" s="87"/>
      <c r="O44" s="60"/>
      <c r="P44" s="60"/>
      <c r="Q44" s="60"/>
      <c r="R44" s="60"/>
      <c r="S44" s="61"/>
      <c r="T44" s="60"/>
      <c r="U44" s="60"/>
      <c r="V44" s="60"/>
      <c r="W44" s="60"/>
      <c r="X44" s="60"/>
      <c r="Y44" s="60"/>
    </row>
    <row r="45" spans="1:49" x14ac:dyDescent="0.25">
      <c r="A45" s="59" t="s">
        <v>188</v>
      </c>
      <c r="B45" s="59"/>
      <c r="C45" s="59"/>
      <c r="E45" s="147" t="s">
        <v>300</v>
      </c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9"/>
    </row>
    <row r="46" spans="1:49" x14ac:dyDescent="0.25">
      <c r="A46" s="36" t="s">
        <v>184</v>
      </c>
      <c r="B46" s="36" t="s">
        <v>204</v>
      </c>
      <c r="C46" s="36" t="s">
        <v>205</v>
      </c>
      <c r="E46" s="150" t="s">
        <v>184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47" t="s">
        <v>204</v>
      </c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9"/>
      <c r="AI46" s="150" t="s">
        <v>205</v>
      </c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</row>
    <row r="47" spans="1:49" x14ac:dyDescent="0.25">
      <c r="A47">
        <f ca="1">Performances!F4</f>
        <v>0.8207888888888889</v>
      </c>
      <c r="B47">
        <f ca="1">Performances!F28</f>
        <v>8.7011111111111122E-2</v>
      </c>
      <c r="C47">
        <f ca="1">Performances!F52</f>
        <v>2.2611111111111113E-2</v>
      </c>
      <c r="E47" s="151" t="s">
        <v>268</v>
      </c>
      <c r="F47" s="151"/>
      <c r="G47" s="151"/>
      <c r="H47" s="151"/>
      <c r="I47" s="151"/>
      <c r="J47" s="151"/>
      <c r="K47" s="151"/>
      <c r="L47" s="151"/>
      <c r="M47" s="151"/>
      <c r="N47" s="152"/>
      <c r="O47" s="153" t="s">
        <v>269</v>
      </c>
      <c r="P47" s="154"/>
      <c r="Q47" s="154"/>
      <c r="R47" s="154"/>
      <c r="S47" s="155"/>
      <c r="T47" s="154" t="s">
        <v>268</v>
      </c>
      <c r="U47" s="154"/>
      <c r="V47" s="154"/>
      <c r="W47" s="154"/>
      <c r="X47" s="154"/>
      <c r="Y47" s="154"/>
      <c r="Z47" s="154"/>
      <c r="AA47" s="154"/>
      <c r="AB47" s="154"/>
      <c r="AC47" s="155"/>
      <c r="AD47" s="156" t="s">
        <v>269</v>
      </c>
      <c r="AE47" s="151"/>
      <c r="AF47" s="151"/>
      <c r="AG47" s="151"/>
      <c r="AH47" s="152"/>
      <c r="AI47" s="151" t="s">
        <v>268</v>
      </c>
      <c r="AJ47" s="151"/>
      <c r="AK47" s="151"/>
      <c r="AL47" s="151"/>
      <c r="AM47" s="151"/>
      <c r="AN47" s="151"/>
      <c r="AO47" s="151"/>
      <c r="AP47" s="151"/>
      <c r="AQ47" s="151"/>
      <c r="AR47" s="152"/>
      <c r="AS47" s="156" t="s">
        <v>269</v>
      </c>
      <c r="AT47" s="151"/>
      <c r="AU47" s="151"/>
      <c r="AV47" s="151"/>
      <c r="AW47" s="152"/>
    </row>
    <row r="48" spans="1:49" x14ac:dyDescent="0.25">
      <c r="A48">
        <f ca="1">Performances!F5</f>
        <v>0.91754444444444438</v>
      </c>
      <c r="B48">
        <f ca="1">Performances!F29</f>
        <v>1.5311111111111112E-2</v>
      </c>
      <c r="C48">
        <f ca="1">Performances!F53</f>
        <v>7.3566666666666655E-2</v>
      </c>
      <c r="E48" s="60"/>
      <c r="F48" s="60"/>
      <c r="G48" s="60"/>
      <c r="H48" s="60"/>
      <c r="I48" s="60"/>
      <c r="J48" s="60"/>
      <c r="K48" s="60"/>
      <c r="L48" s="60"/>
      <c r="M48" s="60"/>
      <c r="N48" s="61"/>
      <c r="O48" s="60"/>
      <c r="P48" s="60"/>
      <c r="Q48" s="60"/>
      <c r="R48" s="60"/>
      <c r="S48" s="61"/>
      <c r="T48" s="60"/>
      <c r="U48" s="60"/>
      <c r="V48" s="60"/>
      <c r="W48" s="60"/>
      <c r="X48" s="60"/>
      <c r="Y48" s="60"/>
      <c r="Z48" s="30"/>
      <c r="AA48" s="30"/>
      <c r="AB48" s="30"/>
      <c r="AH48" s="37"/>
      <c r="AW48" s="37"/>
    </row>
    <row r="49" spans="1:49" ht="13.8" thickBot="1" x14ac:dyDescent="0.3">
      <c r="A49">
        <f ca="1">Performances!F6</f>
        <v>1.1862111111111111</v>
      </c>
      <c r="B49">
        <f ca="1">Performances!F30</f>
        <v>3.6200000000000003E-2</v>
      </c>
      <c r="C49">
        <f ca="1">Performances!F54</f>
        <v>4.183333333333334E-2</v>
      </c>
      <c r="E49" s="60" t="s">
        <v>270</v>
      </c>
      <c r="F49" s="60"/>
      <c r="G49" s="60"/>
      <c r="H49" s="60" t="s">
        <v>222</v>
      </c>
      <c r="I49" s="60">
        <v>0.05</v>
      </c>
      <c r="J49" s="60"/>
      <c r="K49" s="60" t="s">
        <v>271</v>
      </c>
      <c r="L49" s="60">
        <v>0</v>
      </c>
      <c r="M49" s="60"/>
      <c r="N49" s="61"/>
      <c r="O49" s="60"/>
      <c r="P49" s="60" t="str">
        <f>A2</f>
        <v>Groupe 1</v>
      </c>
      <c r="Q49" s="60" t="str">
        <f>A46</f>
        <v>Groupe 1</v>
      </c>
      <c r="R49" s="60"/>
      <c r="S49" s="61"/>
      <c r="T49" s="60" t="s">
        <v>270</v>
      </c>
      <c r="U49" s="60"/>
      <c r="V49" s="60"/>
      <c r="W49" s="60" t="s">
        <v>222</v>
      </c>
      <c r="X49" s="60">
        <v>0.05</v>
      </c>
      <c r="Y49" s="60"/>
      <c r="Z49" s="30" t="s">
        <v>271</v>
      </c>
      <c r="AA49" s="30">
        <v>0</v>
      </c>
      <c r="AB49" s="30"/>
      <c r="AE49" s="68" t="str">
        <f>B2</f>
        <v>Groupe 2</v>
      </c>
      <c r="AF49" s="69" t="str">
        <f>B46</f>
        <v>Groupe 2</v>
      </c>
      <c r="AH49" s="37"/>
      <c r="AI49" t="s">
        <v>270</v>
      </c>
      <c r="AL49" t="s">
        <v>222</v>
      </c>
      <c r="AM49">
        <v>0.05</v>
      </c>
      <c r="AO49" t="s">
        <v>271</v>
      </c>
      <c r="AP49">
        <v>0</v>
      </c>
      <c r="AT49" t="str">
        <f>C2</f>
        <v>Groupe 3</v>
      </c>
      <c r="AU49" t="str">
        <f>C46</f>
        <v>Groupe 3</v>
      </c>
      <c r="AW49" s="37"/>
    </row>
    <row r="50" spans="1:49" ht="13.8" thickTop="1" x14ac:dyDescent="0.25">
      <c r="A50">
        <f ca="1">Performances!F7</f>
        <v>1.0447222222222223</v>
      </c>
      <c r="B50">
        <f ca="1">Performances!F31</f>
        <v>0.20443333333333336</v>
      </c>
      <c r="C50">
        <f ca="1">Performances!F55</f>
        <v>5.1655555555555566E-2</v>
      </c>
      <c r="E50" s="62" t="s">
        <v>272</v>
      </c>
      <c r="F50" s="62" t="s">
        <v>228</v>
      </c>
      <c r="G50" s="62" t="s">
        <v>230</v>
      </c>
      <c r="H50" s="62" t="s">
        <v>273</v>
      </c>
      <c r="I50" s="62" t="s">
        <v>233</v>
      </c>
      <c r="J50" s="62" t="s">
        <v>274</v>
      </c>
      <c r="K50" s="62" t="s">
        <v>249</v>
      </c>
      <c r="L50" s="62" t="s">
        <v>275</v>
      </c>
      <c r="M50" s="62" t="s">
        <v>276</v>
      </c>
      <c r="N50" s="63"/>
      <c r="O50" s="64" t="s">
        <v>236</v>
      </c>
      <c r="P50" s="65">
        <f ca="1">MEDIAN(A3:A17)</f>
        <v>0.78184444444444434</v>
      </c>
      <c r="Q50" s="66">
        <f ca="1">MEDIAN(A47:A61)</f>
        <v>0.8893888888888889</v>
      </c>
      <c r="R50" s="64"/>
      <c r="S50" s="63"/>
      <c r="T50" s="67" t="s">
        <v>272</v>
      </c>
      <c r="U50" s="62" t="s">
        <v>228</v>
      </c>
      <c r="V50" s="62" t="s">
        <v>230</v>
      </c>
      <c r="W50" s="62" t="s">
        <v>273</v>
      </c>
      <c r="X50" s="62" t="s">
        <v>233</v>
      </c>
      <c r="Y50" s="62" t="s">
        <v>274</v>
      </c>
      <c r="Z50" s="39" t="s">
        <v>249</v>
      </c>
      <c r="AA50" s="39" t="s">
        <v>275</v>
      </c>
      <c r="AB50" s="39" t="s">
        <v>276</v>
      </c>
      <c r="AD50" t="s">
        <v>236</v>
      </c>
      <c r="AE50" s="68">
        <f ca="1">MEDIAN(B3:B17)</f>
        <v>7.1711111111111114E-2</v>
      </c>
      <c r="AF50" s="69">
        <f ca="1">MEDIAN(B47:B61)</f>
        <v>3.4033333333333332E-2</v>
      </c>
      <c r="AH50" s="37"/>
      <c r="AI50" s="70" t="s">
        <v>272</v>
      </c>
      <c r="AJ50" s="39" t="s">
        <v>228</v>
      </c>
      <c r="AK50" s="39" t="s">
        <v>230</v>
      </c>
      <c r="AL50" s="39" t="s">
        <v>273</v>
      </c>
      <c r="AM50" s="39" t="s">
        <v>233</v>
      </c>
      <c r="AN50" s="39" t="s">
        <v>274</v>
      </c>
      <c r="AO50" s="39" t="s">
        <v>249</v>
      </c>
      <c r="AP50" s="39" t="s">
        <v>275</v>
      </c>
      <c r="AQ50" s="39" t="s">
        <v>276</v>
      </c>
      <c r="AS50" t="s">
        <v>236</v>
      </c>
      <c r="AT50" s="68">
        <f ca="1">MEDIAN(C3:C17)</f>
        <v>5.5288888888888894E-2</v>
      </c>
      <c r="AU50" s="69">
        <f ca="1">MEDIAN(C47:C61)</f>
        <v>5.1655555555555566E-2</v>
      </c>
      <c r="AW50" s="37"/>
    </row>
    <row r="51" spans="1:49" x14ac:dyDescent="0.25">
      <c r="A51">
        <f ca="1">Performances!F8</f>
        <v>0.64536666666666676</v>
      </c>
      <c r="B51">
        <f ca="1">Performances!F32</f>
        <v>2.5311111111111111E-2</v>
      </c>
      <c r="C51">
        <f ca="1">Performances!F56</f>
        <v>3.977777777777778E-2</v>
      </c>
      <c r="E51" s="60" t="str">
        <f>A2</f>
        <v>Groupe 1</v>
      </c>
      <c r="F51" s="60">
        <f ca="1">COUNT(A3:A17)</f>
        <v>15</v>
      </c>
      <c r="G51" s="60">
        <f ca="1">AVERAGE(A3:A17)</f>
        <v>0.8503814814814814</v>
      </c>
      <c r="H51" s="60">
        <f ca="1">_xlfn.STDEV.S(A3:A17)</f>
        <v>0.19177485534874694</v>
      </c>
      <c r="I51" s="60"/>
      <c r="J51" s="60"/>
      <c r="K51" s="60"/>
      <c r="L51" s="60"/>
      <c r="M51" s="60"/>
      <c r="N51" s="61"/>
      <c r="O51" s="60"/>
      <c r="P51" s="60"/>
      <c r="Q51" s="60"/>
      <c r="R51" s="60"/>
      <c r="S51" s="61"/>
      <c r="T51" s="60" t="str">
        <f>B2</f>
        <v>Groupe 2</v>
      </c>
      <c r="U51" s="60">
        <f ca="1">COUNT(B3:B17)</f>
        <v>15</v>
      </c>
      <c r="V51" s="60">
        <f ca="1">AVERAGE(B3:B17)</f>
        <v>8.3555555555555563E-2</v>
      </c>
      <c r="W51" s="60">
        <f ca="1">_xlfn.STDEV.S(B3:B17)</f>
        <v>5.7589739649305381E-2</v>
      </c>
      <c r="X51" s="60"/>
      <c r="Y51" s="60"/>
      <c r="Z51" s="30"/>
      <c r="AA51" s="30"/>
      <c r="AB51" s="30"/>
      <c r="AD51" t="s">
        <v>240</v>
      </c>
      <c r="AE51" s="49">
        <f ca="1">SUMPRODUCT(--ISNUMBER(B25:B39),--ISNUMBER(B44:B58))</f>
        <v>12</v>
      </c>
      <c r="AH51" s="37"/>
      <c r="AI51" t="str">
        <f>C2</f>
        <v>Groupe 3</v>
      </c>
      <c r="AJ51">
        <f ca="1">COUNT(C3:C17)</f>
        <v>15</v>
      </c>
      <c r="AK51">
        <f ca="1">AVERAGE(C3:C17)</f>
        <v>6.7676296296296304E-2</v>
      </c>
      <c r="AL51">
        <f ca="1">_xlfn.STDEV.S(C3:C17)</f>
        <v>3.5439079771820876E-2</v>
      </c>
      <c r="AW51" s="37"/>
    </row>
    <row r="52" spans="1:49" x14ac:dyDescent="0.25">
      <c r="A52">
        <f ca="1">Performances!F9</f>
        <v>0.8893888888888889</v>
      </c>
      <c r="B52">
        <f ca="1">Performances!F33</f>
        <v>4.8577777777777782E-2</v>
      </c>
      <c r="C52">
        <f ca="1">Performances!F57</f>
        <v>5.5022222222222222E-2</v>
      </c>
      <c r="E52" s="60" t="str">
        <f>A46</f>
        <v>Groupe 1</v>
      </c>
      <c r="F52" s="60">
        <f ca="1">COUNT(A47:A61)</f>
        <v>15</v>
      </c>
      <c r="G52" s="60">
        <f ca="1">AVERAGE(A47:A61)</f>
        <v>0.83378444444444455</v>
      </c>
      <c r="H52" s="60">
        <f ca="1">_xlfn.STDEV.S(A47:A61)</f>
        <v>0.19454379945988814</v>
      </c>
      <c r="I52" s="60"/>
      <c r="J52" s="60"/>
      <c r="K52" s="60"/>
      <c r="L52" s="60"/>
      <c r="M52" s="60"/>
      <c r="N52" s="61"/>
      <c r="O52" s="60" t="s">
        <v>240</v>
      </c>
      <c r="P52" s="71">
        <f ca="1">SUMPRODUCT(--ISNUMBER(A3:A17),--ISNUMBER(A47:A61))</f>
        <v>15</v>
      </c>
      <c r="Q52" s="60"/>
      <c r="R52" s="60"/>
      <c r="S52" s="61"/>
      <c r="T52" s="60" t="str">
        <f>B46</f>
        <v>Groupe 2</v>
      </c>
      <c r="U52" s="60">
        <f ca="1">COUNT(B47:B61)</f>
        <v>15</v>
      </c>
      <c r="V52" s="60">
        <f ca="1">AVERAGE(B47:B61)</f>
        <v>4.9707407407407415E-2</v>
      </c>
      <c r="W52" s="60">
        <f ca="1">_xlfn.STDEV.S(B47:B61)</f>
        <v>4.6756796498610365E-2</v>
      </c>
      <c r="X52" s="60"/>
      <c r="Y52" s="60"/>
      <c r="Z52" s="30"/>
      <c r="AA52" s="30"/>
      <c r="AB52" s="30"/>
      <c r="AD52" t="s">
        <v>240</v>
      </c>
      <c r="AE52" s="49">
        <f ca="1">SUMPRODUCT(--ISNUMBER(B3:B17),--ISNUMBER(B47:B61))</f>
        <v>15</v>
      </c>
      <c r="AH52" s="37"/>
      <c r="AI52" t="str">
        <f>C46</f>
        <v>Groupe 3</v>
      </c>
      <c r="AJ52">
        <f ca="1">COUNT(C47:C61)</f>
        <v>15</v>
      </c>
      <c r="AK52">
        <f ca="1">AVERAGE(C47:C61)</f>
        <v>5.784740740740741E-2</v>
      </c>
      <c r="AL52">
        <f ca="1">_xlfn.STDEV.S(C47:C61)</f>
        <v>3.2694524474734941E-2</v>
      </c>
      <c r="AS52" t="s">
        <v>240</v>
      </c>
      <c r="AT52" s="49">
        <f ca="1">SUMPRODUCT(--ISNUMBER(C3:C17),--ISNUMBER(C47:C61))</f>
        <v>15</v>
      </c>
      <c r="AW52" s="37"/>
    </row>
    <row r="53" spans="1:49" x14ac:dyDescent="0.25">
      <c r="A53">
        <f ca="1">Performances!F10</f>
        <v>0.60884444444444441</v>
      </c>
      <c r="B53">
        <f ca="1">Performances!F34</f>
        <v>4.7555555555555559E-2</v>
      </c>
      <c r="C53">
        <f ca="1">Performances!F58</f>
        <v>2.9088888888888893E-2</v>
      </c>
      <c r="E53" s="72" t="s">
        <v>277</v>
      </c>
      <c r="F53" s="72">
        <f ca="1">F52</f>
        <v>15</v>
      </c>
      <c r="G53" s="72">
        <f ca="1">G51-G52</f>
        <v>1.6597037037036855E-2</v>
      </c>
      <c r="H53" s="72">
        <f t="array" ref="H53" ca="1">_xlfn.STDEV.S(A3:A17-A47:A61)</f>
        <v>0.28677260483968353</v>
      </c>
      <c r="I53" s="72">
        <f ca="1">H53/SQRT(F53)</f>
        <v>7.4044368179507644E-2</v>
      </c>
      <c r="J53" s="72">
        <f ca="1">(G51-G52-L49)/I53</f>
        <v>0.22414989073578473</v>
      </c>
      <c r="K53" s="72">
        <f ca="1">F53-1</f>
        <v>14</v>
      </c>
      <c r="L53" s="72">
        <f ca="1">ABS(G51-G52-L49)/H53</f>
        <v>5.7875252924927088E-2</v>
      </c>
      <c r="M53" s="72">
        <f ca="1">SQRT(J53^2/(J53^2+K53))</f>
        <v>5.9799370339675084E-2</v>
      </c>
      <c r="N53" s="61"/>
      <c r="O53" s="60" t="s">
        <v>278</v>
      </c>
      <c r="P53" s="73">
        <f ca="1">SUMPRODUCT(--ISNUMBER(A3:A17),--ISNUMBER(A47:A61),--(A3:A17&lt;&gt;A47:A61))</f>
        <v>15</v>
      </c>
      <c r="Q53" s="60"/>
      <c r="R53" s="60"/>
      <c r="S53" s="61"/>
      <c r="T53" s="74" t="s">
        <v>277</v>
      </c>
      <c r="U53" s="72">
        <f ca="1">U52</f>
        <v>15</v>
      </c>
      <c r="V53" s="72">
        <f ca="1">V51-V52</f>
        <v>3.3848148148148148E-2</v>
      </c>
      <c r="W53" s="72">
        <f t="array" ref="W53" ca="1">_xlfn.STDEV.S(B3:B17-B47:B61)</f>
        <v>4.4062574685874475E-2</v>
      </c>
      <c r="X53" s="72">
        <f ca="1">W53/SQRT(U53)</f>
        <v>1.1376907863294155E-2</v>
      </c>
      <c r="Y53" s="72">
        <f ca="1">(V51-V52-AA49)/X53</f>
        <v>2.9751623687974127</v>
      </c>
      <c r="Z53" s="34">
        <f ca="1">U53-1</f>
        <v>14</v>
      </c>
      <c r="AA53" s="34">
        <f ca="1">ABS(V51-V52-AA49)/W53</f>
        <v>0.76818362044102573</v>
      </c>
      <c r="AB53" s="34">
        <f ca="1">SQRT(Y53^2/(Y53^2+Z53))</f>
        <v>0.6223754451049861</v>
      </c>
      <c r="AD53" t="s">
        <v>278</v>
      </c>
      <c r="AE53" s="56">
        <f ca="1">SUMPRODUCT(--ISNUMBER(B3:B17),--ISNUMBER(B47:B61),--(B3:B17&lt;&gt;B47:B61))</f>
        <v>15</v>
      </c>
      <c r="AH53" s="37"/>
      <c r="AI53" s="75" t="s">
        <v>277</v>
      </c>
      <c r="AJ53" s="34">
        <f ca="1">AJ52</f>
        <v>15</v>
      </c>
      <c r="AK53" s="34">
        <f ca="1">AK51-AK52</f>
        <v>9.8288888888888939E-3</v>
      </c>
      <c r="AL53" s="34">
        <f t="array" ref="AL53" ca="1">_xlfn.STDEV.S(C3:C17-C47:C61)</f>
        <v>4.6505938973300603E-2</v>
      </c>
      <c r="AM53" s="34">
        <f ca="1">AL53/SQRT(AJ53)</f>
        <v>1.2007781809555446E-2</v>
      </c>
      <c r="AN53" s="34">
        <f ca="1">(AK51-AK52-AP49)/AM53</f>
        <v>0.81854326175941572</v>
      </c>
      <c r="AO53" s="34">
        <f ca="1">AJ53-1</f>
        <v>14</v>
      </c>
      <c r="AP53" s="34">
        <f ca="1">ABS(AK51-AK52-AP49)/AL53</f>
        <v>0.21134696139630102</v>
      </c>
      <c r="AQ53" s="34">
        <f ca="1">SQRT(AN53^2/(AN53^2+AO53))</f>
        <v>0.21371075930238176</v>
      </c>
      <c r="AS53" t="s">
        <v>278</v>
      </c>
      <c r="AT53" s="56">
        <f ca="1">SUMPRODUCT(--ISNUMBER(C3:C17),--ISNUMBER(C47:C61),--(C3:C17&lt;&gt;C47:C61))</f>
        <v>15</v>
      </c>
      <c r="AW53" s="37"/>
    </row>
    <row r="54" spans="1:49" x14ac:dyDescent="0.25">
      <c r="A54">
        <f ca="1">Performances!F11</f>
        <v>0.97118888888888877</v>
      </c>
      <c r="B54">
        <f ca="1">Performances!F35</f>
        <v>4.8555555555555553E-2</v>
      </c>
      <c r="C54">
        <f ca="1">Performances!F59</f>
        <v>0.13298888888888891</v>
      </c>
      <c r="E54" s="60"/>
      <c r="F54" s="60"/>
      <c r="G54" s="60"/>
      <c r="H54" s="60"/>
      <c r="I54" s="60"/>
      <c r="J54" s="60"/>
      <c r="K54" s="60"/>
      <c r="L54" s="60"/>
      <c r="M54" s="60"/>
      <c r="N54" s="61"/>
      <c r="O54" s="60" t="s">
        <v>279</v>
      </c>
      <c r="P54" s="73">
        <f ca="1">IF(P56&lt;=P59,P56,P53*(P53+1)/2)</f>
        <v>60</v>
      </c>
      <c r="Q54" s="60"/>
      <c r="R54" s="60"/>
      <c r="S54" s="61"/>
      <c r="T54" s="60"/>
      <c r="U54" s="60"/>
      <c r="V54" s="60"/>
      <c r="W54" s="60"/>
      <c r="X54" s="60"/>
      <c r="Y54" s="60"/>
      <c r="Z54" s="30"/>
      <c r="AA54" s="30"/>
      <c r="AB54" s="30"/>
      <c r="AD54" t="s">
        <v>279</v>
      </c>
      <c r="AE54" s="56">
        <f ca="1">IF(AE56&lt;=AE59,AE56,AE53*(AE53+1)/2)</f>
        <v>21</v>
      </c>
      <c r="AH54" s="37"/>
      <c r="AS54" t="s">
        <v>279</v>
      </c>
      <c r="AT54" s="56">
        <f ca="1">IF(AT56&lt;=AT59,AT56,AT53*(AT53+1)/2)</f>
        <v>46</v>
      </c>
      <c r="AW54" s="37"/>
    </row>
    <row r="55" spans="1:49" ht="13.8" thickBot="1" x14ac:dyDescent="0.3">
      <c r="A55">
        <f ca="1">Performances!F12</f>
        <v>0.51054444444444458</v>
      </c>
      <c r="B55">
        <f ca="1">Performances!F36</f>
        <v>2.7088888888888888E-2</v>
      </c>
      <c r="C55">
        <f ca="1">Performances!F60</f>
        <v>6.6255555555555568E-2</v>
      </c>
      <c r="E55" s="60" t="s">
        <v>280</v>
      </c>
      <c r="F55" s="60"/>
      <c r="G55" s="60"/>
      <c r="H55" s="60"/>
      <c r="I55" s="60"/>
      <c r="J55" s="60"/>
      <c r="K55" s="60"/>
      <c r="L55" s="60"/>
      <c r="M55" s="60"/>
      <c r="N55" s="61"/>
      <c r="O55" s="60" t="s">
        <v>281</v>
      </c>
      <c r="P55" s="73">
        <f ca="1">P53*(P53+1)/2-P54</f>
        <v>60</v>
      </c>
      <c r="Q55" s="60"/>
      <c r="R55" s="60"/>
      <c r="S55" s="61"/>
      <c r="T55" s="60" t="s">
        <v>280</v>
      </c>
      <c r="U55" s="60"/>
      <c r="V55" s="60"/>
      <c r="W55" s="60"/>
      <c r="X55" s="60"/>
      <c r="Y55" s="60"/>
      <c r="Z55" s="30"/>
      <c r="AA55" s="30"/>
      <c r="AB55" s="30"/>
      <c r="AD55" t="s">
        <v>281</v>
      </c>
      <c r="AE55" s="77">
        <f ca="1">AE53*(AE53+1)/2-AE54</f>
        <v>99</v>
      </c>
      <c r="AH55" s="37"/>
      <c r="AI55" t="s">
        <v>280</v>
      </c>
      <c r="AS55" t="s">
        <v>281</v>
      </c>
      <c r="AT55" s="56">
        <f ca="1">AT53*(AT53+1)/2-AT54</f>
        <v>74</v>
      </c>
      <c r="AW55" s="37"/>
    </row>
    <row r="56" spans="1:49" ht="13.8" thickTop="1" x14ac:dyDescent="0.25">
      <c r="A56">
        <f ca="1">Performances!F13</f>
        <v>0.94518888888888897</v>
      </c>
      <c r="B56">
        <f ca="1">Performances!F37</f>
        <v>6.6333333333333327E-2</v>
      </c>
      <c r="C56">
        <f ca="1">Performances!F61</f>
        <v>8.1644444444444436E-2</v>
      </c>
      <c r="E56" s="62" t="s">
        <v>133</v>
      </c>
      <c r="F56" s="62" t="s">
        <v>211</v>
      </c>
      <c r="G56" s="62" t="s">
        <v>282</v>
      </c>
      <c r="H56" s="62" t="s">
        <v>283</v>
      </c>
      <c r="I56" s="62" t="s">
        <v>284</v>
      </c>
      <c r="J56" s="62" t="s">
        <v>259</v>
      </c>
      <c r="K56" s="60"/>
      <c r="L56" s="60"/>
      <c r="M56" s="60"/>
      <c r="N56" s="63"/>
      <c r="O56" s="64" t="s">
        <v>285</v>
      </c>
      <c r="P56" s="76">
        <f ca="1">[1]!SRANK(A3:A17,A47:A61)</f>
        <v>60</v>
      </c>
      <c r="Q56" s="64"/>
      <c r="R56" s="64"/>
      <c r="S56" s="61"/>
      <c r="T56" s="67" t="s">
        <v>133</v>
      </c>
      <c r="U56" s="62" t="s">
        <v>211</v>
      </c>
      <c r="V56" s="62" t="s">
        <v>282</v>
      </c>
      <c r="W56" s="62" t="s">
        <v>283</v>
      </c>
      <c r="X56" s="62" t="s">
        <v>284</v>
      </c>
      <c r="Y56" s="62" t="s">
        <v>259</v>
      </c>
      <c r="Z56" s="30"/>
      <c r="AA56" s="30"/>
      <c r="AB56" s="30"/>
      <c r="AD56" t="s">
        <v>285</v>
      </c>
      <c r="AE56" s="77">
        <f ca="1">[1]!SRANK(B3:B17,B47:B61)</f>
        <v>21</v>
      </c>
      <c r="AH56" s="37"/>
      <c r="AI56" s="70" t="s">
        <v>133</v>
      </c>
      <c r="AJ56" s="39" t="s">
        <v>211</v>
      </c>
      <c r="AK56" s="39" t="s">
        <v>282</v>
      </c>
      <c r="AL56" s="39" t="s">
        <v>283</v>
      </c>
      <c r="AM56" s="39" t="s">
        <v>284</v>
      </c>
      <c r="AN56" s="39" t="s">
        <v>259</v>
      </c>
      <c r="AS56" t="s">
        <v>285</v>
      </c>
      <c r="AT56" s="77">
        <f ca="1">[1]!SRANK(C3:C17,C47:C61)</f>
        <v>46</v>
      </c>
      <c r="AW56" s="37"/>
    </row>
    <row r="57" spans="1:49" x14ac:dyDescent="0.25">
      <c r="A57">
        <f ca="1">Performances!F14</f>
        <v>0.92872222222222234</v>
      </c>
      <c r="B57">
        <f ca="1">Performances!F38</f>
        <v>2.3311111111111109E-2</v>
      </c>
      <c r="C57">
        <f ca="1">Performances!F62</f>
        <v>7.5444444444444448E-3</v>
      </c>
      <c r="E57" s="60" t="s">
        <v>286</v>
      </c>
      <c r="F57" s="78">
        <f ca="1">_xlfn.T.DIST.RT(ABS(J53),K53)</f>
        <v>0.41293942914685827</v>
      </c>
      <c r="G57" s="60">
        <f ca="1">_xlfn.T.INV.2T(I49*2,K53)</f>
        <v>1.7613101357748921</v>
      </c>
      <c r="H57" s="60"/>
      <c r="I57" s="60"/>
      <c r="J57" s="79" t="str">
        <f ca="1">IF(F57&lt;I49,"yes","no")</f>
        <v>no</v>
      </c>
      <c r="K57" s="60"/>
      <c r="L57" s="60"/>
      <c r="M57" s="60"/>
      <c r="N57" s="61"/>
      <c r="O57" s="78"/>
      <c r="P57" s="60"/>
      <c r="Q57" s="60"/>
      <c r="R57" s="60"/>
      <c r="S57" s="61"/>
      <c r="T57" s="60" t="s">
        <v>286</v>
      </c>
      <c r="U57" s="78">
        <f ca="1">_xlfn.T.DIST.RT(ABS(Y53),Z53)</f>
        <v>5.0166701550036184E-3</v>
      </c>
      <c r="V57" s="60">
        <f ca="1">_xlfn.T.INV.2T(X49*2,Z53)</f>
        <v>1.7613101357748921</v>
      </c>
      <c r="W57" s="60"/>
      <c r="X57" s="60"/>
      <c r="Y57" s="79" t="str">
        <f ca="1">IF(U57&lt;X49,"yes","no")</f>
        <v>yes</v>
      </c>
      <c r="Z57" s="30"/>
      <c r="AA57" s="30"/>
      <c r="AB57" s="30"/>
      <c r="AE57" s="80" t="s">
        <v>288</v>
      </c>
      <c r="AF57" s="80" t="s">
        <v>289</v>
      </c>
      <c r="AH57" s="37"/>
      <c r="AI57" t="s">
        <v>286</v>
      </c>
      <c r="AJ57" s="96">
        <f ca="1">_xlfn.T.DIST.RT(ABS(AN53),AO53)</f>
        <v>0.21338041024709281</v>
      </c>
      <c r="AK57">
        <f ca="1">_xlfn.T.INV.2T(AM49*2,AO53)</f>
        <v>1.7613101357748921</v>
      </c>
      <c r="AN57" s="80" t="str">
        <f ca="1">IF(AJ57&lt;AM49,"yes","no")</f>
        <v>no</v>
      </c>
      <c r="AW57" s="37"/>
    </row>
    <row r="58" spans="1:49" x14ac:dyDescent="0.25">
      <c r="A58">
        <f ca="1">Performances!F15</f>
        <v>0.7199333333333332</v>
      </c>
      <c r="B58">
        <f ca="1">Performances!F39</f>
        <v>2.7377777777777775E-2</v>
      </c>
      <c r="C58">
        <f ca="1">Performances!F63</f>
        <v>3.3999999999999996E-2</v>
      </c>
      <c r="E58" s="60" t="s">
        <v>287</v>
      </c>
      <c r="F58" s="105">
        <f ca="1">_xlfn.T.DIST.2T(ABS(J53),K53)</f>
        <v>0.82587885829371654</v>
      </c>
      <c r="G58" s="79">
        <f ca="1">_xlfn.T.INV.2T(I49,K53)</f>
        <v>2.1447866879178044</v>
      </c>
      <c r="H58" s="60">
        <f ca="1">(G51-G52)-I53*G58</f>
        <v>-0.14221233814965581</v>
      </c>
      <c r="I58" s="60">
        <f ca="1">(G51-G52)+I53*G58</f>
        <v>0.17540641222372952</v>
      </c>
      <c r="J58" s="79" t="str">
        <f ca="1">IF(F58&lt;I49,"yes","no")</f>
        <v>no</v>
      </c>
      <c r="K58" s="60"/>
      <c r="L58" s="60"/>
      <c r="M58" s="60"/>
      <c r="N58" s="61"/>
      <c r="O58" s="78"/>
      <c r="P58" s="79" t="s">
        <v>288</v>
      </c>
      <c r="Q58" s="79" t="s">
        <v>289</v>
      </c>
      <c r="R58" s="60"/>
      <c r="S58" s="61"/>
      <c r="T58" s="60" t="s">
        <v>287</v>
      </c>
      <c r="U58" s="105">
        <f ca="1">_xlfn.T.DIST.2T(ABS(Y53),Z53)</f>
        <v>1.0033340310007237E-2</v>
      </c>
      <c r="V58" s="79">
        <f ca="1">_xlfn.T.INV.2T(X49,Z53)</f>
        <v>2.1447866879178044</v>
      </c>
      <c r="W58" s="60">
        <f ca="1">(V51-V52)-X53*V58</f>
        <v>9.4471076132874518E-3</v>
      </c>
      <c r="X58" s="60">
        <f ca="1">(V51-V52)+X53*V58</f>
        <v>5.8249188683008844E-2</v>
      </c>
      <c r="Y58" s="79" t="str">
        <f ca="1">IF(U58&lt;X49,"yes","no")</f>
        <v>yes</v>
      </c>
      <c r="Z58" s="30"/>
      <c r="AA58" s="30"/>
      <c r="AB58" s="30"/>
      <c r="AD58" t="s">
        <v>226</v>
      </c>
      <c r="AE58" s="90" t="s">
        <v>288</v>
      </c>
      <c r="AF58" s="80" t="s">
        <v>289</v>
      </c>
      <c r="AH58" s="37"/>
      <c r="AI58" t="s">
        <v>287</v>
      </c>
      <c r="AJ58" s="96">
        <f ca="1">_xlfn.T.DIST.2T(ABS(AN53),AO53)</f>
        <v>0.42676082049418562</v>
      </c>
      <c r="AK58">
        <f ca="1">_xlfn.T.INV.2T(AM49,AO53)</f>
        <v>2.1447866879178044</v>
      </c>
      <c r="AL58">
        <f ca="1">(AK51-AK52)-AM53*AK58</f>
        <v>-1.592524168766719E-2</v>
      </c>
      <c r="AM58">
        <f ca="1">(AK51-AK52)+AM53*AK58</f>
        <v>3.5583019465444982E-2</v>
      </c>
      <c r="AN58" s="80" t="str">
        <f ca="1">IF(AJ58&lt;AM49,"yes","no")</f>
        <v>no</v>
      </c>
      <c r="AT58" s="80" t="s">
        <v>288</v>
      </c>
      <c r="AU58" s="80" t="s">
        <v>289</v>
      </c>
      <c r="AW58" s="37"/>
    </row>
    <row r="59" spans="1:49" x14ac:dyDescent="0.25">
      <c r="A59">
        <f ca="1">Performances!F16</f>
        <v>0.75078888888888895</v>
      </c>
      <c r="B59">
        <f ca="1">Performances!F40</f>
        <v>3.3166666666666664E-2</v>
      </c>
      <c r="C59">
        <f ca="1">Performances!F64</f>
        <v>4.6388888888888896E-2</v>
      </c>
      <c r="E59" s="72"/>
      <c r="F59" s="72"/>
      <c r="G59" s="72"/>
      <c r="H59" s="72"/>
      <c r="I59" s="72"/>
      <c r="J59" s="72"/>
      <c r="K59" s="60"/>
      <c r="L59" s="60"/>
      <c r="M59" s="60"/>
      <c r="N59" s="61"/>
      <c r="O59" s="60" t="s">
        <v>226</v>
      </c>
      <c r="P59" s="71">
        <f ca="1">P53*(P53+1)/4</f>
        <v>60</v>
      </c>
      <c r="Q59" s="60"/>
      <c r="R59" s="60"/>
      <c r="S59" s="61"/>
      <c r="T59" s="74"/>
      <c r="U59" s="72"/>
      <c r="V59" s="72"/>
      <c r="W59" s="72"/>
      <c r="X59" s="72"/>
      <c r="Y59" s="72"/>
      <c r="Z59" s="30"/>
      <c r="AA59" s="30"/>
      <c r="AB59" s="30"/>
      <c r="AD59" t="s">
        <v>226</v>
      </c>
      <c r="AE59" s="49">
        <f ca="1">AE53*(AE53+1)/4</f>
        <v>60</v>
      </c>
      <c r="AF59" t="s">
        <v>291</v>
      </c>
      <c r="AH59" s="37"/>
      <c r="AI59" s="75"/>
      <c r="AJ59" s="34"/>
      <c r="AK59" s="34"/>
      <c r="AL59" s="34"/>
      <c r="AM59" s="34"/>
      <c r="AN59" s="34"/>
      <c r="AS59" t="s">
        <v>226</v>
      </c>
      <c r="AT59" s="49">
        <f ca="1">AT53*(AT53+1)/4</f>
        <v>60</v>
      </c>
      <c r="AW59" s="37"/>
    </row>
    <row r="60" spans="1:49" x14ac:dyDescent="0.25">
      <c r="A60">
        <f ca="1">Performances!F17</f>
        <v>0.56565555555555558</v>
      </c>
      <c r="B60">
        <f ca="1">Performances!F41</f>
        <v>3.4033333333333332E-2</v>
      </c>
      <c r="C60">
        <f ca="1">Performances!F65</f>
        <v>8.6277777777777773E-2</v>
      </c>
      <c r="E60" s="60"/>
      <c r="F60" s="60"/>
      <c r="G60" s="60"/>
      <c r="H60" s="60"/>
      <c r="I60" s="60"/>
      <c r="J60" s="60"/>
      <c r="K60" s="60"/>
      <c r="L60" s="60"/>
      <c r="M60" s="60"/>
      <c r="N60" s="61"/>
      <c r="O60" s="60" t="s">
        <v>290</v>
      </c>
      <c r="P60" s="73">
        <f ca="1">SQRT(P59*(2*P53+1)/6-[1]!TiesCorrection(A3:A17,A47:A61,1)/48)</f>
        <v>17.606816861659009</v>
      </c>
      <c r="Q60" s="60" t="s">
        <v>291</v>
      </c>
      <c r="R60" s="60"/>
      <c r="S60" s="61"/>
      <c r="T60" s="60"/>
      <c r="U60" s="60"/>
      <c r="V60" s="60"/>
      <c r="W60" s="60"/>
      <c r="X60" s="60"/>
      <c r="Y60" s="60"/>
      <c r="Z60" s="30"/>
      <c r="AA60" s="30"/>
      <c r="AB60" s="30"/>
      <c r="AD60" t="s">
        <v>290</v>
      </c>
      <c r="AE60" s="56">
        <f ca="1">SQRT(AE59*(2*AE53+1)/6-[1]!TiesCorrection(B3:B17,B47:B61,1)/48)</f>
        <v>17.606816861659009</v>
      </c>
      <c r="AF60" t="s">
        <v>291</v>
      </c>
      <c r="AH60" s="37"/>
      <c r="AS60" t="s">
        <v>290</v>
      </c>
      <c r="AT60" s="56">
        <f ca="1">SQRT(AT59*(2*AT53+1)/6-[1]!TiesCorrection(C3:C17,C47:C61,1)/48)</f>
        <v>17.606816861659009</v>
      </c>
      <c r="AU60" t="s">
        <v>291</v>
      </c>
      <c r="AW60" s="37"/>
    </row>
    <row r="61" spans="1:49" x14ac:dyDescent="0.25">
      <c r="A61">
        <f ca="1">Performances!F18</f>
        <v>1.0018777777777776</v>
      </c>
      <c r="B61">
        <f ca="1">Performances!F42</f>
        <v>2.1344444444444444E-2</v>
      </c>
      <c r="C61">
        <f ca="1">Performances!F66</f>
        <v>9.9055555555555549E-2</v>
      </c>
      <c r="E61" s="60"/>
      <c r="F61" s="60"/>
      <c r="G61" s="60"/>
      <c r="H61" s="60"/>
      <c r="I61" s="60"/>
      <c r="J61" s="60"/>
      <c r="K61" s="60"/>
      <c r="L61" s="60"/>
      <c r="M61" s="60"/>
      <c r="N61" s="61"/>
      <c r="O61" s="60" t="s">
        <v>292</v>
      </c>
      <c r="P61" s="73">
        <f ca="1">ABS(ABS(P56-P59)-1/2)/P60</f>
        <v>2.8398091712353239E-2</v>
      </c>
      <c r="Q61" s="60" t="s">
        <v>293</v>
      </c>
      <c r="R61" s="60"/>
      <c r="S61" s="61"/>
      <c r="T61" s="60"/>
      <c r="U61" s="60"/>
      <c r="V61" s="60"/>
      <c r="W61" s="60"/>
      <c r="X61" s="60"/>
      <c r="Y61" s="60"/>
      <c r="Z61" s="30"/>
      <c r="AA61" s="30"/>
      <c r="AB61" s="30"/>
      <c r="AD61" t="s">
        <v>292</v>
      </c>
      <c r="AE61" s="56">
        <f ca="1">ABS(ABS(AE56-AE59)-1/2)/AE60</f>
        <v>2.1866530618511995</v>
      </c>
      <c r="AF61" t="s">
        <v>293</v>
      </c>
      <c r="AH61" s="37"/>
      <c r="AS61" t="s">
        <v>292</v>
      </c>
      <c r="AT61" s="56">
        <f ca="1">ABS(ABS(AT56-AT59)-1/2)/AT60</f>
        <v>0.76674847623353748</v>
      </c>
      <c r="AU61" t="s">
        <v>293</v>
      </c>
      <c r="AW61" s="37"/>
    </row>
    <row r="62" spans="1:49" x14ac:dyDescent="0.25">
      <c r="E62" s="60"/>
      <c r="F62" s="60"/>
      <c r="G62" s="60"/>
      <c r="H62" s="60"/>
      <c r="I62" s="60"/>
      <c r="J62" s="60"/>
      <c r="K62" s="60"/>
      <c r="L62" s="60"/>
      <c r="M62" s="60"/>
      <c r="N62" s="61"/>
      <c r="O62" s="60" t="s">
        <v>294</v>
      </c>
      <c r="P62" s="73">
        <f ca="1">P61/SQRT(2*P52)</f>
        <v>5.1847584736521264E-3</v>
      </c>
      <c r="Q62" s="60"/>
      <c r="R62" s="60"/>
      <c r="S62" s="61"/>
      <c r="T62" s="60"/>
      <c r="U62" s="60"/>
      <c r="V62" s="60"/>
      <c r="W62" s="60"/>
      <c r="X62" s="60"/>
      <c r="Y62" s="60"/>
      <c r="Z62" s="30"/>
      <c r="AA62" s="30"/>
      <c r="AB62" s="30"/>
      <c r="AD62" t="s">
        <v>294</v>
      </c>
      <c r="AE62" s="91">
        <f ca="1">AE61/SQRT(2*AE52)</f>
        <v>0.39922640247121371</v>
      </c>
      <c r="AF62" s="92">
        <f ca="1">2*AE62</f>
        <v>0.79845280494242743</v>
      </c>
      <c r="AH62" s="37"/>
      <c r="AS62" t="s">
        <v>294</v>
      </c>
      <c r="AT62" s="56">
        <f ca="1">AT61/SQRT(2*AT52)</f>
        <v>0.1399884787886074</v>
      </c>
      <c r="AW62" s="37"/>
    </row>
    <row r="63" spans="1:49" x14ac:dyDescent="0.25">
      <c r="A63" s="59" t="s">
        <v>189</v>
      </c>
      <c r="B63" s="59"/>
      <c r="C63" s="59"/>
      <c r="E63" s="78"/>
      <c r="F63" s="78"/>
      <c r="G63" s="60"/>
      <c r="H63" s="60"/>
      <c r="I63" s="60"/>
      <c r="J63" s="60"/>
      <c r="K63" s="60"/>
      <c r="L63" s="60"/>
      <c r="M63" s="60"/>
      <c r="N63" s="61"/>
      <c r="O63" s="60" t="s">
        <v>295</v>
      </c>
      <c r="P63" s="81">
        <f ca="1">1-_xlfn.NORM.S.DIST(P61,TRUE)</f>
        <v>0.48867232309090358</v>
      </c>
      <c r="Q63" s="82">
        <f ca="1">2*P63</f>
        <v>0.97734464618180716</v>
      </c>
      <c r="R63" s="60"/>
      <c r="S63" s="61"/>
      <c r="T63" s="60"/>
      <c r="U63" s="78"/>
      <c r="V63" s="60"/>
      <c r="W63" s="60"/>
      <c r="X63" s="60"/>
      <c r="Y63" s="60"/>
      <c r="Z63" s="30"/>
      <c r="AA63" s="30"/>
      <c r="AB63" s="30"/>
      <c r="AD63" t="s">
        <v>295</v>
      </c>
      <c r="AE63" s="93">
        <f ca="1">1-_xlfn.NORM.S.DIST(AE61,TRUE)</f>
        <v>1.4383930298733749E-2</v>
      </c>
      <c r="AF63" s="115">
        <f ca="1">2*AE63</f>
        <v>2.8767860597467498E-2</v>
      </c>
      <c r="AH63" s="37"/>
      <c r="AS63" t="s">
        <v>295</v>
      </c>
      <c r="AT63" s="81">
        <f ca="1">1-_xlfn.NORM.S.DIST(AT61,TRUE)</f>
        <v>0.22161553779552612</v>
      </c>
      <c r="AU63" s="82">
        <f ca="1">2*AT63</f>
        <v>0.44323107559105224</v>
      </c>
      <c r="AW63" s="37"/>
    </row>
    <row r="64" spans="1:49" x14ac:dyDescent="0.25">
      <c r="A64" s="36" t="s">
        <v>184</v>
      </c>
      <c r="B64" s="36" t="s">
        <v>204</v>
      </c>
      <c r="C64" s="36" t="s">
        <v>205</v>
      </c>
      <c r="E64" s="78"/>
      <c r="F64" s="78"/>
      <c r="G64" s="60"/>
      <c r="H64" s="60"/>
      <c r="I64" s="60"/>
      <c r="J64" s="60"/>
      <c r="K64" s="60"/>
      <c r="L64" s="60"/>
      <c r="M64" s="60"/>
      <c r="N64" s="61"/>
      <c r="O64" s="60" t="s">
        <v>296</v>
      </c>
      <c r="P64" s="83">
        <f ca="1">[1]!SRDIST(P56,P53,1)</f>
        <v>0.511016845703125</v>
      </c>
      <c r="Q64" s="84">
        <f ca="1">2*P64</f>
        <v>1.02203369140625</v>
      </c>
      <c r="R64" s="60"/>
      <c r="S64" s="61"/>
      <c r="T64" s="60"/>
      <c r="U64" s="78"/>
      <c r="V64" s="60"/>
      <c r="W64" s="60"/>
      <c r="X64" s="60"/>
      <c r="Y64" s="60"/>
      <c r="Z64" s="30"/>
      <c r="AA64" s="30"/>
      <c r="AB64" s="30"/>
      <c r="AD64" t="s">
        <v>296</v>
      </c>
      <c r="AE64" s="95">
        <f ca="1">[1]!SRDIST(AE56,AE53,1)</f>
        <v>1.2786865234375E-2</v>
      </c>
      <c r="AF64" s="117">
        <f ca="1">2*AE64</f>
        <v>2.557373046875E-2</v>
      </c>
      <c r="AH64" s="37"/>
      <c r="AS64" t="s">
        <v>296</v>
      </c>
      <c r="AT64" s="83">
        <f ca="1">[1]!SRDIST(AT56,AT53,1)</f>
        <v>0.227142333984375</v>
      </c>
      <c r="AU64" s="84">
        <f ca="1">2*AT64</f>
        <v>0.45428466796875</v>
      </c>
      <c r="AW64" s="37"/>
    </row>
    <row r="65" spans="1:49" x14ac:dyDescent="0.25">
      <c r="A65">
        <f ca="1">Performances!H4</f>
        <v>0.737611111111111</v>
      </c>
      <c r="B65">
        <f ca="1">Performances!H28</f>
        <v>8.1888888888888886E-2</v>
      </c>
      <c r="C65">
        <f ca="1">Performances!H52</f>
        <v>3.0755555555555553E-2</v>
      </c>
      <c r="E65" s="60"/>
      <c r="F65" s="60"/>
      <c r="G65" s="60"/>
      <c r="H65" s="60"/>
      <c r="I65" s="60"/>
      <c r="J65" s="60"/>
      <c r="K65" s="60"/>
      <c r="L65" s="60"/>
      <c r="M65" s="60"/>
      <c r="N65" s="61"/>
      <c r="O65" s="60" t="s">
        <v>297</v>
      </c>
      <c r="P65" s="85" t="s">
        <v>298</v>
      </c>
      <c r="Q65" s="86" t="s">
        <v>298</v>
      </c>
      <c r="R65" s="60"/>
      <c r="S65" s="61"/>
      <c r="T65" s="60"/>
      <c r="U65" s="60"/>
      <c r="V65" s="60"/>
      <c r="W65" s="60"/>
      <c r="X65" s="60"/>
      <c r="Y65" s="60"/>
      <c r="Z65" s="30"/>
      <c r="AA65" s="30"/>
      <c r="AB65" s="30"/>
      <c r="AD65" t="s">
        <v>297</v>
      </c>
      <c r="AE65" s="77" t="s">
        <v>298</v>
      </c>
      <c r="AF65" s="55" t="s">
        <v>298</v>
      </c>
      <c r="AH65" s="37"/>
      <c r="AS65" t="s">
        <v>297</v>
      </c>
      <c r="AT65" s="77" t="s">
        <v>298</v>
      </c>
      <c r="AU65" s="55" t="s">
        <v>298</v>
      </c>
      <c r="AW65" s="37"/>
    </row>
    <row r="66" spans="1:49" x14ac:dyDescent="0.25">
      <c r="A66">
        <f ca="1">Performances!H5</f>
        <v>0.8851</v>
      </c>
      <c r="B66">
        <f ca="1">Performances!H29</f>
        <v>4.1822222222222219E-2</v>
      </c>
      <c r="C66">
        <f ca="1">Performances!H53</f>
        <v>7.1766666666666659E-2</v>
      </c>
      <c r="N66" s="37"/>
    </row>
    <row r="67" spans="1:49" x14ac:dyDescent="0.25">
      <c r="A67">
        <f ca="1">Performances!H6</f>
        <v>1.4937555555555557</v>
      </c>
      <c r="B67">
        <f ca="1">Performances!H30</f>
        <v>1.4311111111111111E-2</v>
      </c>
      <c r="C67">
        <f ca="1">Performances!H54</f>
        <v>5.5088888888888889E-2</v>
      </c>
      <c r="E67" s="147" t="s">
        <v>301</v>
      </c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9"/>
    </row>
    <row r="68" spans="1:49" x14ac:dyDescent="0.25">
      <c r="A68">
        <f ca="1">Performances!H7</f>
        <v>1.2299333333333335</v>
      </c>
      <c r="B68">
        <f ca="1">Performances!H31</f>
        <v>0.17301111111111112</v>
      </c>
      <c r="C68">
        <f ca="1">Performances!H55</f>
        <v>2.7355555555555553E-2</v>
      </c>
      <c r="E68" s="150" t="s">
        <v>184</v>
      </c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47" t="s">
        <v>204</v>
      </c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9"/>
      <c r="AI68" s="150" t="s">
        <v>205</v>
      </c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</row>
    <row r="69" spans="1:49" x14ac:dyDescent="0.25">
      <c r="A69">
        <f ca="1">Performances!H8</f>
        <v>0.52353333333333341</v>
      </c>
      <c r="B69">
        <f ca="1">Performances!H32</f>
        <v>2.251111111111111E-2</v>
      </c>
      <c r="C69">
        <f ca="1">Performances!H56</f>
        <v>5.8555555555555555E-2</v>
      </c>
      <c r="E69" s="151" t="s">
        <v>268</v>
      </c>
      <c r="F69" s="151"/>
      <c r="G69" s="151"/>
      <c r="H69" s="151"/>
      <c r="I69" s="151"/>
      <c r="J69" s="151"/>
      <c r="K69" s="151"/>
      <c r="L69" s="151"/>
      <c r="M69" s="151"/>
      <c r="N69" s="152"/>
      <c r="O69" s="157" t="s">
        <v>269</v>
      </c>
      <c r="P69" s="158"/>
      <c r="Q69" s="158"/>
      <c r="R69" s="158"/>
      <c r="S69" s="159"/>
      <c r="T69" s="154" t="s">
        <v>268</v>
      </c>
      <c r="U69" s="154"/>
      <c r="V69" s="154"/>
      <c r="W69" s="154"/>
      <c r="X69" s="154"/>
      <c r="Y69" s="154"/>
      <c r="Z69" s="154"/>
      <c r="AA69" s="154"/>
      <c r="AB69" s="154"/>
      <c r="AC69" s="155"/>
      <c r="AD69" s="156" t="s">
        <v>269</v>
      </c>
      <c r="AE69" s="151"/>
      <c r="AF69" s="151"/>
      <c r="AG69" s="151"/>
      <c r="AH69" s="152"/>
      <c r="AI69" s="151" t="s">
        <v>268</v>
      </c>
      <c r="AJ69" s="151"/>
      <c r="AK69" s="151"/>
      <c r="AL69" s="151"/>
      <c r="AM69" s="151"/>
      <c r="AN69" s="151"/>
      <c r="AO69" s="151"/>
      <c r="AP69" s="151"/>
      <c r="AQ69" s="151"/>
      <c r="AR69" s="152"/>
      <c r="AS69" s="153" t="s">
        <v>269</v>
      </c>
      <c r="AT69" s="154"/>
      <c r="AU69" s="154"/>
      <c r="AV69" s="154"/>
      <c r="AW69" s="155"/>
    </row>
    <row r="70" spans="1:49" x14ac:dyDescent="0.25">
      <c r="A70">
        <f ca="1">Performances!H9</f>
        <v>0.8284555555555555</v>
      </c>
      <c r="B70">
        <f ca="1">Performances!H33</f>
        <v>3.043333333333333E-2</v>
      </c>
      <c r="C70">
        <f ca="1">Performances!H57</f>
        <v>3.1188888888888894E-2</v>
      </c>
      <c r="E70" s="60"/>
      <c r="F70" s="60"/>
      <c r="G70" s="60"/>
      <c r="H70" s="60"/>
      <c r="I70" s="60"/>
      <c r="J70" s="60"/>
      <c r="K70" s="60"/>
      <c r="L70" s="60"/>
      <c r="M70" s="60"/>
      <c r="N70" s="61"/>
      <c r="O70" s="60"/>
      <c r="P70" s="60"/>
      <c r="Q70" s="60"/>
      <c r="R70" s="60"/>
      <c r="S70" s="61"/>
      <c r="T70" s="60"/>
      <c r="U70" s="60"/>
      <c r="V70" s="60"/>
      <c r="W70" s="60"/>
      <c r="X70" s="60"/>
      <c r="Y70" s="60"/>
      <c r="Z70" s="30"/>
      <c r="AA70" s="30"/>
      <c r="AB70" s="30"/>
      <c r="AH70" s="37"/>
      <c r="AW70" s="37"/>
    </row>
    <row r="71" spans="1:49" ht="13.8" thickBot="1" x14ac:dyDescent="0.3">
      <c r="A71">
        <f ca="1">Performances!H10</f>
        <v>0.90658888888888889</v>
      </c>
      <c r="B71">
        <f ca="1">Performances!H34</f>
        <v>4.2311111111111105E-2</v>
      </c>
      <c r="C71">
        <f ca="1">Performances!H58</f>
        <v>4.4755555555555548E-2</v>
      </c>
      <c r="E71" s="60" t="s">
        <v>270</v>
      </c>
      <c r="F71" s="60"/>
      <c r="G71" s="60"/>
      <c r="H71" s="60" t="s">
        <v>222</v>
      </c>
      <c r="I71" s="60">
        <v>0.05</v>
      </c>
      <c r="J71" s="60"/>
      <c r="K71" s="60" t="s">
        <v>271</v>
      </c>
      <c r="L71" s="60">
        <v>0</v>
      </c>
      <c r="M71" s="60"/>
      <c r="N71" s="61"/>
      <c r="O71" s="60"/>
      <c r="P71" s="60" t="str">
        <f>A24</f>
        <v>Groupe 1</v>
      </c>
      <c r="Q71" s="60" t="str">
        <f>A46</f>
        <v>Groupe 1</v>
      </c>
      <c r="R71" s="60"/>
      <c r="S71" s="61"/>
      <c r="T71" s="60" t="s">
        <v>270</v>
      </c>
      <c r="U71" s="60"/>
      <c r="V71" s="60"/>
      <c r="W71" s="60" t="s">
        <v>222</v>
      </c>
      <c r="X71" s="60">
        <v>0.05</v>
      </c>
      <c r="Y71" s="60"/>
      <c r="Z71" s="30" t="s">
        <v>271</v>
      </c>
      <c r="AA71" s="30">
        <v>0</v>
      </c>
      <c r="AB71" s="30"/>
      <c r="AE71" s="68" t="str">
        <f>B24</f>
        <v>Groupe 2</v>
      </c>
      <c r="AF71" s="69" t="str">
        <f>B46</f>
        <v>Groupe 2</v>
      </c>
      <c r="AH71" s="37"/>
      <c r="AI71" t="s">
        <v>270</v>
      </c>
      <c r="AL71" t="s">
        <v>222</v>
      </c>
      <c r="AM71">
        <v>0.05</v>
      </c>
      <c r="AO71" t="s">
        <v>271</v>
      </c>
      <c r="AP71">
        <v>0</v>
      </c>
      <c r="AT71" t="str">
        <f>C24</f>
        <v>Groupe 3</v>
      </c>
      <c r="AU71" t="str">
        <f>C46</f>
        <v>Groupe 3</v>
      </c>
      <c r="AW71" s="37"/>
    </row>
    <row r="72" spans="1:49" ht="13.8" thickTop="1" x14ac:dyDescent="0.25">
      <c r="A72">
        <f ca="1">Performances!H11</f>
        <v>1.3191111111111111</v>
      </c>
      <c r="B72">
        <f ca="1">Performances!H35</f>
        <v>7.7611111111111117E-2</v>
      </c>
      <c r="C72">
        <f ca="1">Performances!H59</f>
        <v>9.4377777777777769E-2</v>
      </c>
      <c r="E72" s="62" t="s">
        <v>272</v>
      </c>
      <c r="F72" s="62" t="s">
        <v>228</v>
      </c>
      <c r="G72" s="62" t="s">
        <v>230</v>
      </c>
      <c r="H72" s="62" t="s">
        <v>273</v>
      </c>
      <c r="I72" s="62" t="s">
        <v>233</v>
      </c>
      <c r="J72" s="62" t="s">
        <v>274</v>
      </c>
      <c r="K72" s="62" t="s">
        <v>249</v>
      </c>
      <c r="L72" s="62" t="s">
        <v>275</v>
      </c>
      <c r="M72" s="62" t="s">
        <v>276</v>
      </c>
      <c r="N72" s="63"/>
      <c r="O72" s="64" t="s">
        <v>236</v>
      </c>
      <c r="P72" s="65">
        <f ca="1">MEDIAN(A25:A39)</f>
        <v>0.92013333333333336</v>
      </c>
      <c r="Q72" s="66">
        <f ca="1">MEDIAN(A47:A61)</f>
        <v>0.8893888888888889</v>
      </c>
      <c r="R72" s="64"/>
      <c r="S72" s="63"/>
      <c r="T72" s="67" t="s">
        <v>272</v>
      </c>
      <c r="U72" s="62" t="s">
        <v>228</v>
      </c>
      <c r="V72" s="62" t="s">
        <v>230</v>
      </c>
      <c r="W72" s="62" t="s">
        <v>273</v>
      </c>
      <c r="X72" s="62" t="s">
        <v>233</v>
      </c>
      <c r="Y72" s="62" t="s">
        <v>274</v>
      </c>
      <c r="Z72" s="39" t="s">
        <v>249</v>
      </c>
      <c r="AA72" s="39" t="s">
        <v>275</v>
      </c>
      <c r="AB72" s="39" t="s">
        <v>276</v>
      </c>
      <c r="AD72" t="s">
        <v>236</v>
      </c>
      <c r="AE72" s="68">
        <f ca="1">MEDIAN(B25:B39)</f>
        <v>4.4933333333333339E-2</v>
      </c>
      <c r="AF72" s="69">
        <f ca="1">MEDIAN(B47:B61)</f>
        <v>3.4033333333333332E-2</v>
      </c>
      <c r="AH72" s="37"/>
      <c r="AI72" s="70" t="s">
        <v>272</v>
      </c>
      <c r="AJ72" s="39" t="s">
        <v>228</v>
      </c>
      <c r="AK72" s="39" t="s">
        <v>230</v>
      </c>
      <c r="AL72" s="39" t="s">
        <v>273</v>
      </c>
      <c r="AM72" s="39" t="s">
        <v>233</v>
      </c>
      <c r="AN72" s="39" t="s">
        <v>274</v>
      </c>
      <c r="AO72" s="39" t="s">
        <v>249</v>
      </c>
      <c r="AP72" s="39" t="s">
        <v>275</v>
      </c>
      <c r="AQ72" s="39" t="s">
        <v>276</v>
      </c>
      <c r="AS72" t="s">
        <v>236</v>
      </c>
      <c r="AT72" s="68">
        <f ca="1">MEDIAN(C25:C39)</f>
        <v>6.2311111111111109E-2</v>
      </c>
      <c r="AU72" s="69">
        <f ca="1">MEDIAN(C47:C61)</f>
        <v>5.1655555555555566E-2</v>
      </c>
      <c r="AW72" s="37"/>
    </row>
    <row r="73" spans="1:49" x14ac:dyDescent="0.25">
      <c r="A73">
        <f ca="1">Performances!H12</f>
        <v>0.74126666666666663</v>
      </c>
      <c r="B73">
        <f ca="1">Performances!H36</f>
        <v>2.1033333333333334E-2</v>
      </c>
      <c r="C73">
        <f ca="1">Performances!H60</f>
        <v>6.0088888888888893E-2</v>
      </c>
      <c r="E73" s="60" t="str">
        <f>A24</f>
        <v>Groupe 1</v>
      </c>
      <c r="F73" s="60">
        <f ca="1">COUNT(A25:A39)</f>
        <v>15</v>
      </c>
      <c r="G73" s="60">
        <f ca="1">AVERAGE(A25:A39)</f>
        <v>0.92535111111111112</v>
      </c>
      <c r="H73" s="60">
        <f ca="1">_xlfn.STDEV.S(A25:A39)</f>
        <v>0.18983150766294621</v>
      </c>
      <c r="I73" s="60"/>
      <c r="J73" s="60"/>
      <c r="K73" s="60"/>
      <c r="L73" s="60"/>
      <c r="M73" s="60"/>
      <c r="N73" s="61"/>
      <c r="O73" s="60"/>
      <c r="P73" s="60"/>
      <c r="Q73" s="60"/>
      <c r="R73" s="60"/>
      <c r="S73" s="61"/>
      <c r="T73" s="60" t="str">
        <f>B24</f>
        <v>Groupe 2</v>
      </c>
      <c r="U73" s="60">
        <f ca="1">COUNT(B25:B39)</f>
        <v>15</v>
      </c>
      <c r="V73" s="60">
        <f ca="1">AVERAGE(B25:B39)</f>
        <v>5.6729629629629637E-2</v>
      </c>
      <c r="W73" s="60">
        <f ca="1">_xlfn.STDEV.S(B25:B39)</f>
        <v>3.8840769019632591E-2</v>
      </c>
      <c r="X73" s="60"/>
      <c r="Y73" s="60"/>
      <c r="Z73" s="30"/>
      <c r="AA73" s="30"/>
      <c r="AB73" s="30"/>
      <c r="AD73" t="s">
        <v>240</v>
      </c>
      <c r="AE73" s="49">
        <f ca="1">SUMPRODUCT(--ISNUMBER(B47:B61),--ISNUMBER(B66:B80))</f>
        <v>14</v>
      </c>
      <c r="AH73" s="37"/>
      <c r="AI73" t="str">
        <f>C24</f>
        <v>Groupe 3</v>
      </c>
      <c r="AJ73">
        <f ca="1">COUNT(C25:C39)</f>
        <v>15</v>
      </c>
      <c r="AK73">
        <f ca="1">AVERAGE(C25:C39)</f>
        <v>6.0559259259259264E-2</v>
      </c>
      <c r="AL73">
        <f ca="1">_xlfn.STDEV.S(C25:C39)</f>
        <v>2.9280852122153356E-2</v>
      </c>
      <c r="AW73" s="37"/>
    </row>
    <row r="74" spans="1:49" x14ac:dyDescent="0.25">
      <c r="A74">
        <f ca="1">Performances!H13</f>
        <v>1.1082666666666665</v>
      </c>
      <c r="B74">
        <f ca="1">Performances!H37</f>
        <v>4.2988888888888896E-2</v>
      </c>
      <c r="C74">
        <f ca="1">Performances!H61</f>
        <v>0.12714444444444442</v>
      </c>
      <c r="E74" s="60" t="str">
        <f>A46</f>
        <v>Groupe 1</v>
      </c>
      <c r="F74" s="60">
        <f ca="1">COUNT(A47:A61)</f>
        <v>15</v>
      </c>
      <c r="G74" s="60">
        <f ca="1">AVERAGE(A47:A61)</f>
        <v>0.83378444444444455</v>
      </c>
      <c r="H74" s="60">
        <f ca="1">_xlfn.STDEV.S(A47:A61)</f>
        <v>0.19454379945988814</v>
      </c>
      <c r="I74" s="60"/>
      <c r="J74" s="60"/>
      <c r="K74" s="60"/>
      <c r="L74" s="60"/>
      <c r="M74" s="60"/>
      <c r="N74" s="61"/>
      <c r="O74" s="60" t="s">
        <v>240</v>
      </c>
      <c r="P74" s="71">
        <f ca="1">SUMPRODUCT(--ISNUMBER(A25:A39),--ISNUMBER(A47:A61))</f>
        <v>15</v>
      </c>
      <c r="Q74" s="60"/>
      <c r="R74" s="60"/>
      <c r="S74" s="61"/>
      <c r="T74" s="60" t="str">
        <f>B46</f>
        <v>Groupe 2</v>
      </c>
      <c r="U74" s="60">
        <f ca="1">COUNT(B47:B61)</f>
        <v>15</v>
      </c>
      <c r="V74" s="60">
        <f ca="1">AVERAGE(B47:B61)</f>
        <v>4.9707407407407415E-2</v>
      </c>
      <c r="W74" s="60">
        <f ca="1">_xlfn.STDEV.S(B47:B61)</f>
        <v>4.6756796498610365E-2</v>
      </c>
      <c r="X74" s="60"/>
      <c r="Y74" s="60"/>
      <c r="Z74" s="30"/>
      <c r="AA74" s="30"/>
      <c r="AB74" s="30"/>
      <c r="AD74" t="s">
        <v>240</v>
      </c>
      <c r="AE74" s="49">
        <f ca="1">SUMPRODUCT(--ISNUMBER(B25:B39),--ISNUMBER(B47:B61))</f>
        <v>15</v>
      </c>
      <c r="AH74" s="37"/>
      <c r="AI74" t="str">
        <f>C46</f>
        <v>Groupe 3</v>
      </c>
      <c r="AJ74">
        <f ca="1">COUNT(C47:C61)</f>
        <v>15</v>
      </c>
      <c r="AK74">
        <f ca="1">AVERAGE(C47:C61)</f>
        <v>5.784740740740741E-2</v>
      </c>
      <c r="AL74">
        <f ca="1">_xlfn.STDEV.S(C47:C61)</f>
        <v>3.2694524474734941E-2</v>
      </c>
      <c r="AS74" t="s">
        <v>240</v>
      </c>
      <c r="AT74" s="49">
        <f ca="1">SUMPRODUCT(--ISNUMBER(C25:C39),--ISNUMBER(C47:C61))</f>
        <v>15</v>
      </c>
      <c r="AW74" s="37"/>
    </row>
    <row r="75" spans="1:49" x14ac:dyDescent="0.25">
      <c r="A75">
        <f ca="1">Performances!H14</f>
        <v>0.83506666666666662</v>
      </c>
      <c r="B75">
        <f ca="1">Performances!H38</f>
        <v>5.4822222222222224E-2</v>
      </c>
      <c r="C75">
        <f ca="1">Performances!H62</f>
        <v>1.5566666666666666E-2</v>
      </c>
      <c r="E75" s="72" t="s">
        <v>277</v>
      </c>
      <c r="F75" s="72">
        <f ca="1">F74</f>
        <v>15</v>
      </c>
      <c r="G75" s="72">
        <f ca="1">G73-G74</f>
        <v>9.1566666666666574E-2</v>
      </c>
      <c r="H75" s="72">
        <f t="array" ref="H75" ca="1">_xlfn.STDEV.S(A25:A39-A47:A61)</f>
        <v>0.19039510441403804</v>
      </c>
      <c r="I75" s="72">
        <f ca="1">H75/SQRT(F75)</f>
        <v>4.9159804572999434E-2</v>
      </c>
      <c r="J75" s="72">
        <f ca="1">(G73-G74-L71)/I75</f>
        <v>1.862632845309534</v>
      </c>
      <c r="K75" s="72">
        <f ca="1">F75-1</f>
        <v>14</v>
      </c>
      <c r="L75" s="72">
        <f ca="1">ABS(G73-G74-L71)/H75</f>
        <v>0.48092973266551736</v>
      </c>
      <c r="M75" s="72">
        <f ca="1">SQRT(J75^2/(J75^2+K75))</f>
        <v>0.44564418966993197</v>
      </c>
      <c r="N75" s="61"/>
      <c r="O75" s="60" t="s">
        <v>278</v>
      </c>
      <c r="P75" s="73">
        <f ca="1">SUMPRODUCT(--ISNUMBER(A25:A39),--ISNUMBER(A47:A61),--(A25:A39&lt;&gt;A47:A61))</f>
        <v>15</v>
      </c>
      <c r="Q75" s="60"/>
      <c r="R75" s="60"/>
      <c r="S75" s="61"/>
      <c r="T75" s="74" t="s">
        <v>277</v>
      </c>
      <c r="U75" s="72">
        <f ca="1">U74</f>
        <v>15</v>
      </c>
      <c r="V75" s="72">
        <f ca="1">V73-V74</f>
        <v>7.0222222222222214E-3</v>
      </c>
      <c r="W75" s="72">
        <f t="array" ref="W75" ca="1">_xlfn.STDEV.S(B25:B39-B47:B61)</f>
        <v>3.0349985835443818E-2</v>
      </c>
      <c r="X75" s="72">
        <f ca="1">W75/SQRT(U75)</f>
        <v>7.8363326465536592E-3</v>
      </c>
      <c r="Y75" s="72">
        <f ca="1">(V73-V74-AA71)/X75</f>
        <v>0.89611078790925558</v>
      </c>
      <c r="Z75" s="34">
        <f ca="1">U75-1</f>
        <v>14</v>
      </c>
      <c r="AA75" s="34">
        <f ca="1">ABS(V73-V74-AA71)/W75</f>
        <v>0.23137481052862352</v>
      </c>
      <c r="AB75" s="34">
        <f ca="1">SQRT(Y75^2/(Y75^2+Z75))</f>
        <v>0.23290918877026154</v>
      </c>
      <c r="AD75" t="s">
        <v>278</v>
      </c>
      <c r="AE75" s="56">
        <f ca="1">SUMPRODUCT(--ISNUMBER(B25:B39),--ISNUMBER(B47:B61),--(B25:B39&lt;&gt;B47:B61))</f>
        <v>15</v>
      </c>
      <c r="AH75" s="37"/>
      <c r="AI75" s="75" t="s">
        <v>277</v>
      </c>
      <c r="AJ75" s="34">
        <f ca="1">AJ74</f>
        <v>15</v>
      </c>
      <c r="AK75" s="34">
        <f ca="1">AK73-AK74</f>
        <v>2.7118518518518542E-3</v>
      </c>
      <c r="AL75" s="34">
        <f t="array" ref="AL75" ca="1">_xlfn.STDEV.S(C25:C39-C47:C61)</f>
        <v>3.7049340395622903E-2</v>
      </c>
      <c r="AM75" s="34">
        <f ca="1">AL75/SQRT(AJ75)</f>
        <v>9.5660985560144813E-3</v>
      </c>
      <c r="AN75" s="34">
        <f ca="1">(AK73-AK74-AP71)/AM75</f>
        <v>0.28348566931153296</v>
      </c>
      <c r="AO75" s="34">
        <f ca="1">AJ75-1</f>
        <v>14</v>
      </c>
      <c r="AP75" s="34">
        <f ca="1">ABS(AK73-AK74-AP71)/AL75</f>
        <v>7.3195685075468683E-2</v>
      </c>
      <c r="AQ75" s="34">
        <f ca="1">SQRT(AN75^2/(AN75^2+AO75))</f>
        <v>7.5548207842528706E-2</v>
      </c>
      <c r="AS75" t="s">
        <v>278</v>
      </c>
      <c r="AT75" s="56">
        <f ca="1">SUMPRODUCT(--ISNUMBER(C25:C39),--ISNUMBER(C47:C61),--(C25:C39&lt;&gt;C47:C61))</f>
        <v>15</v>
      </c>
      <c r="AW75" s="37"/>
    </row>
    <row r="76" spans="1:49" x14ac:dyDescent="0.25">
      <c r="A76">
        <f ca="1">Performances!H15</f>
        <v>0.84240000000000004</v>
      </c>
      <c r="B76">
        <f ca="1">Performances!H39</f>
        <v>1.6133333333333333E-2</v>
      </c>
      <c r="C76">
        <f ca="1">Performances!H63</f>
        <v>4.7755555555555551E-2</v>
      </c>
      <c r="E76" s="60"/>
      <c r="F76" s="60"/>
      <c r="G76" s="60"/>
      <c r="H76" s="60"/>
      <c r="I76" s="60"/>
      <c r="J76" s="60"/>
      <c r="K76" s="60"/>
      <c r="L76" s="60"/>
      <c r="M76" s="60"/>
      <c r="N76" s="61"/>
      <c r="O76" s="60" t="s">
        <v>279</v>
      </c>
      <c r="P76" s="73">
        <f ca="1">IF(P78&lt;=P81,P78,P75*(P75+1)/2)</f>
        <v>26</v>
      </c>
      <c r="Q76" s="60"/>
      <c r="R76" s="60"/>
      <c r="S76" s="61"/>
      <c r="T76" s="60"/>
      <c r="U76" s="60"/>
      <c r="V76" s="60"/>
      <c r="W76" s="60"/>
      <c r="X76" s="60"/>
      <c r="Y76" s="60"/>
      <c r="Z76" s="30"/>
      <c r="AA76" s="30"/>
      <c r="AB76" s="30"/>
      <c r="AD76" t="s">
        <v>279</v>
      </c>
      <c r="AE76" s="56">
        <f ca="1">IF(AE78&lt;=AE81,AE78,AE75*(AE75+1)/2)</f>
        <v>48</v>
      </c>
      <c r="AH76" s="37"/>
      <c r="AS76" t="s">
        <v>279</v>
      </c>
      <c r="AT76" s="56">
        <f ca="1">IF(AT78&lt;=AT81,AT78,AT75*(AT75+1)/2)</f>
        <v>41</v>
      </c>
      <c r="AW76" s="37"/>
    </row>
    <row r="77" spans="1:49" ht="13.8" thickBot="1" x14ac:dyDescent="0.3">
      <c r="A77">
        <f ca="1">Performances!H16</f>
        <v>0.90927777777777785</v>
      </c>
      <c r="B77">
        <f ca="1">Performances!H40</f>
        <v>6.4711111111111108E-2</v>
      </c>
      <c r="C77">
        <f ca="1">Performances!H64</f>
        <v>4.5422222222222225E-2</v>
      </c>
      <c r="E77" s="60" t="s">
        <v>280</v>
      </c>
      <c r="F77" s="60"/>
      <c r="G77" s="60"/>
      <c r="H77" s="60"/>
      <c r="I77" s="60"/>
      <c r="J77" s="60"/>
      <c r="K77" s="60"/>
      <c r="L77" s="60"/>
      <c r="M77" s="60"/>
      <c r="N77" s="61"/>
      <c r="O77" s="60" t="s">
        <v>281</v>
      </c>
      <c r="P77" s="73">
        <f ca="1">P75*(P75+1)/2-P76</f>
        <v>94</v>
      </c>
      <c r="Q77" s="60"/>
      <c r="R77" s="60"/>
      <c r="S77" s="61"/>
      <c r="T77" s="60" t="s">
        <v>280</v>
      </c>
      <c r="U77" s="60"/>
      <c r="V77" s="60"/>
      <c r="W77" s="60"/>
      <c r="X77" s="60"/>
      <c r="Y77" s="60"/>
      <c r="Z77" s="30"/>
      <c r="AA77" s="30"/>
      <c r="AB77" s="30"/>
      <c r="AD77" t="s">
        <v>281</v>
      </c>
      <c r="AE77" s="77">
        <f ca="1">AE75*(AE75+1)/2-AE76</f>
        <v>72</v>
      </c>
      <c r="AH77" s="37"/>
      <c r="AI77" t="s">
        <v>280</v>
      </c>
      <c r="AS77" t="s">
        <v>281</v>
      </c>
      <c r="AT77" s="56">
        <f ca="1">AT75*(AT75+1)/2-AT76</f>
        <v>79</v>
      </c>
      <c r="AW77" s="37"/>
    </row>
    <row r="78" spans="1:49" ht="13.8" thickTop="1" x14ac:dyDescent="0.25">
      <c r="A78">
        <f ca="1">Performances!H17</f>
        <v>0.72295555555555557</v>
      </c>
      <c r="B78">
        <f ca="1">Performances!H41</f>
        <v>1.8355555555555556E-2</v>
      </c>
      <c r="C78">
        <f ca="1">Performances!H65</f>
        <v>3.3633333333333335E-2</v>
      </c>
      <c r="E78" s="62" t="s">
        <v>133</v>
      </c>
      <c r="F78" s="62" t="s">
        <v>211</v>
      </c>
      <c r="G78" s="62" t="s">
        <v>282</v>
      </c>
      <c r="H78" s="62" t="s">
        <v>283</v>
      </c>
      <c r="I78" s="62" t="s">
        <v>284</v>
      </c>
      <c r="J78" s="62" t="s">
        <v>259</v>
      </c>
      <c r="K78" s="60"/>
      <c r="L78" s="60"/>
      <c r="M78" s="60"/>
      <c r="N78" s="63"/>
      <c r="O78" s="64" t="s">
        <v>285</v>
      </c>
      <c r="P78" s="76">
        <f ca="1">[1]!SRANK(A25:A39,A47:A61)</f>
        <v>26</v>
      </c>
      <c r="Q78" s="64"/>
      <c r="R78" s="64"/>
      <c r="S78" s="61"/>
      <c r="T78" s="67" t="s">
        <v>133</v>
      </c>
      <c r="U78" s="62" t="s">
        <v>211</v>
      </c>
      <c r="V78" s="62" t="s">
        <v>282</v>
      </c>
      <c r="W78" s="62" t="s">
        <v>283</v>
      </c>
      <c r="X78" s="62" t="s">
        <v>284</v>
      </c>
      <c r="Y78" s="62" t="s">
        <v>259</v>
      </c>
      <c r="Z78" s="30"/>
      <c r="AA78" s="30"/>
      <c r="AB78" s="30"/>
      <c r="AD78" t="s">
        <v>285</v>
      </c>
      <c r="AE78" s="77">
        <f ca="1">[1]!SRANK(B25:B39,B47:B61)</f>
        <v>48</v>
      </c>
      <c r="AH78" s="37"/>
      <c r="AI78" s="70" t="s">
        <v>133</v>
      </c>
      <c r="AJ78" s="39" t="s">
        <v>211</v>
      </c>
      <c r="AK78" s="39" t="s">
        <v>282</v>
      </c>
      <c r="AL78" s="39" t="s">
        <v>283</v>
      </c>
      <c r="AM78" s="39" t="s">
        <v>284</v>
      </c>
      <c r="AN78" s="39" t="s">
        <v>259</v>
      </c>
      <c r="AS78" t="s">
        <v>285</v>
      </c>
      <c r="AT78" s="77">
        <f ca="1">[1]!SRANK(C25:C39,C47:C61)</f>
        <v>41</v>
      </c>
      <c r="AW78" s="37"/>
    </row>
    <row r="79" spans="1:49" x14ac:dyDescent="0.25">
      <c r="A79">
        <f ca="1">Performances!H18</f>
        <v>1.0563444444444443</v>
      </c>
      <c r="B79">
        <f ca="1">Performances!H42</f>
        <v>3.344444444444445E-2</v>
      </c>
      <c r="C79">
        <f ca="1">Performances!H66</f>
        <v>0.14478888888888891</v>
      </c>
      <c r="E79" s="60" t="s">
        <v>286</v>
      </c>
      <c r="F79" s="88">
        <f ca="1">_xlfn.T.DIST.RT(ABS(J75),K75)</f>
        <v>4.1815374493788672E-2</v>
      </c>
      <c r="G79" s="60">
        <f ca="1">_xlfn.T.INV.2T(I71*2,K75)</f>
        <v>1.7613101357748921</v>
      </c>
      <c r="H79" s="60"/>
      <c r="I79" s="60"/>
      <c r="J79" s="79" t="str">
        <f ca="1">IF(F79&lt;I71,"yes","no")</f>
        <v>yes</v>
      </c>
      <c r="K79" s="60"/>
      <c r="L79" s="60"/>
      <c r="M79" s="60"/>
      <c r="N79" s="61"/>
      <c r="O79" s="78"/>
      <c r="P79" s="60"/>
      <c r="Q79" s="60"/>
      <c r="R79" s="60"/>
      <c r="S79" s="61"/>
      <c r="T79" s="60" t="s">
        <v>286</v>
      </c>
      <c r="U79" s="78">
        <f ca="1">_xlfn.T.DIST.RT(ABS(Y75),Z75)</f>
        <v>0.19267153430278683</v>
      </c>
      <c r="V79" s="60">
        <f ca="1">_xlfn.T.INV.2T(X71*2,Z75)</f>
        <v>1.7613101357748921</v>
      </c>
      <c r="W79" s="60"/>
      <c r="X79" s="60"/>
      <c r="Y79" s="79" t="str">
        <f ca="1">IF(U79&lt;X71,"yes","no")</f>
        <v>no</v>
      </c>
      <c r="Z79" s="30"/>
      <c r="AA79" s="30"/>
      <c r="AB79" s="30"/>
      <c r="AE79" s="80" t="s">
        <v>288</v>
      </c>
      <c r="AF79" s="80" t="s">
        <v>289</v>
      </c>
      <c r="AH79" s="37"/>
      <c r="AI79" t="s">
        <v>286</v>
      </c>
      <c r="AJ79" s="100">
        <f ca="1">_xlfn.T.DIST.RT(ABS(AN75),AO75)</f>
        <v>0.3904767725885403</v>
      </c>
      <c r="AK79">
        <f ca="1">_xlfn.T.INV.2T(AM71*2,AO75)</f>
        <v>1.7613101357748921</v>
      </c>
      <c r="AN79" s="80" t="str">
        <f ca="1">IF(AJ79&lt;AM71,"yes","no")</f>
        <v>no</v>
      </c>
      <c r="AW79" s="37"/>
    </row>
    <row r="80" spans="1:49" x14ac:dyDescent="0.25">
      <c r="E80" s="60" t="s">
        <v>287</v>
      </c>
      <c r="F80" s="111">
        <f ca="1">_xlfn.T.DIST.2T(ABS(J75),K75)</f>
        <v>8.3630748987577344E-2</v>
      </c>
      <c r="G80" s="79">
        <f ca="1">_xlfn.T.INV.2T(I71,K75)</f>
        <v>2.1447866879178044</v>
      </c>
      <c r="H80" s="60">
        <f ca="1">(G73-G74)-I75*G80</f>
        <v>-1.3870627762143414E-2</v>
      </c>
      <c r="I80" s="60">
        <f ca="1">(G73-G74)+I75*G80</f>
        <v>0.19700396109547658</v>
      </c>
      <c r="J80" s="79" t="str">
        <f ca="1">IF(F80&lt;I71,"yes","no")</f>
        <v>no</v>
      </c>
      <c r="K80" s="60"/>
      <c r="L80" s="60"/>
      <c r="M80" s="60"/>
      <c r="N80" s="61"/>
      <c r="O80" s="78"/>
      <c r="P80" s="79" t="s">
        <v>288</v>
      </c>
      <c r="Q80" s="79" t="s">
        <v>289</v>
      </c>
      <c r="R80" s="60"/>
      <c r="S80" s="61"/>
      <c r="T80" s="60" t="s">
        <v>287</v>
      </c>
      <c r="U80" s="105">
        <f ca="1">_xlfn.T.DIST.2T(ABS(Y75),Z75)</f>
        <v>0.38534306860557366</v>
      </c>
      <c r="V80" s="79">
        <f ca="1">_xlfn.T.INV.2T(X71,Z75)</f>
        <v>2.1447866879178044</v>
      </c>
      <c r="W80" s="60">
        <f ca="1">(V73-V74)-X75*V80</f>
        <v>-9.7850397202017651E-3</v>
      </c>
      <c r="X80" s="60">
        <f ca="1">(V73-V74)+X75*V80</f>
        <v>2.3829484164646208E-2</v>
      </c>
      <c r="Y80" s="79" t="str">
        <f ca="1">IF(U80&lt;X71,"yes","no")</f>
        <v>no</v>
      </c>
      <c r="Z80" s="30"/>
      <c r="AA80" s="30"/>
      <c r="AB80" s="30"/>
      <c r="AD80" t="s">
        <v>226</v>
      </c>
      <c r="AE80" s="90" t="s">
        <v>288</v>
      </c>
      <c r="AF80" s="80" t="s">
        <v>289</v>
      </c>
      <c r="AH80" s="37"/>
      <c r="AI80" t="s">
        <v>287</v>
      </c>
      <c r="AJ80" s="100">
        <f ca="1">_xlfn.T.DIST.2T(ABS(AN75),AO75)</f>
        <v>0.7809535451770806</v>
      </c>
      <c r="AK80">
        <f ca="1">_xlfn.T.INV.2T(AM71,AO75)</f>
        <v>2.1447866879178044</v>
      </c>
      <c r="AL80">
        <f ca="1">(AK73-AK74)-AM75*AK80</f>
        <v>-1.7805388986397736E-2</v>
      </c>
      <c r="AM80">
        <f ca="1">(AK73-AK74)+AM75*AK80</f>
        <v>2.3229092690101445E-2</v>
      </c>
      <c r="AN80" s="80" t="str">
        <f ca="1">IF(AJ80&lt;AM71,"yes","no")</f>
        <v>no</v>
      </c>
      <c r="AT80" s="80" t="s">
        <v>288</v>
      </c>
      <c r="AU80" s="80" t="s">
        <v>289</v>
      </c>
      <c r="AW80" s="37"/>
    </row>
    <row r="81" spans="5:49" x14ac:dyDescent="0.25">
      <c r="E81" s="72"/>
      <c r="F81" s="72"/>
      <c r="G81" s="72"/>
      <c r="H81" s="72"/>
      <c r="I81" s="72"/>
      <c r="J81" s="72"/>
      <c r="K81" s="60"/>
      <c r="L81" s="60"/>
      <c r="M81" s="60"/>
      <c r="N81" s="61"/>
      <c r="O81" s="60" t="s">
        <v>226</v>
      </c>
      <c r="P81" s="71">
        <f ca="1">P75*(P75+1)/4</f>
        <v>60</v>
      </c>
      <c r="Q81" s="60"/>
      <c r="R81" s="60"/>
      <c r="S81" s="61"/>
      <c r="T81" s="74"/>
      <c r="U81" s="72"/>
      <c r="V81" s="72"/>
      <c r="W81" s="72"/>
      <c r="X81" s="72"/>
      <c r="Y81" s="72"/>
      <c r="Z81" s="30"/>
      <c r="AA81" s="30"/>
      <c r="AB81" s="30"/>
      <c r="AD81" t="s">
        <v>226</v>
      </c>
      <c r="AE81" s="49">
        <f ca="1">AE75*(AE75+1)/4</f>
        <v>60</v>
      </c>
      <c r="AF81" t="s">
        <v>291</v>
      </c>
      <c r="AH81" s="37"/>
      <c r="AI81" s="75"/>
      <c r="AJ81" s="34"/>
      <c r="AK81" s="34"/>
      <c r="AL81" s="34"/>
      <c r="AM81" s="34"/>
      <c r="AN81" s="34"/>
      <c r="AS81" t="s">
        <v>226</v>
      </c>
      <c r="AT81" s="49">
        <f ca="1">AT75*(AT75+1)/4</f>
        <v>60</v>
      </c>
      <c r="AW81" s="37"/>
    </row>
    <row r="82" spans="5:49" x14ac:dyDescent="0.25">
      <c r="E82" s="60"/>
      <c r="F82" s="60"/>
      <c r="G82" s="60"/>
      <c r="H82" s="60"/>
      <c r="I82" s="60"/>
      <c r="J82" s="60"/>
      <c r="K82" s="60"/>
      <c r="L82" s="60"/>
      <c r="M82" s="60"/>
      <c r="N82" s="61"/>
      <c r="O82" s="60" t="s">
        <v>290</v>
      </c>
      <c r="P82" s="73">
        <f ca="1">SQRT(P81*(2*P75+1)/6-[1]!TiesCorrection(A25:A39,A47:A61,1)/48)</f>
        <v>17.606816861659009</v>
      </c>
      <c r="Q82" s="60" t="s">
        <v>291</v>
      </c>
      <c r="R82" s="60"/>
      <c r="S82" s="61"/>
      <c r="T82" s="60"/>
      <c r="U82" s="60"/>
      <c r="V82" s="60"/>
      <c r="W82" s="60"/>
      <c r="X82" s="60"/>
      <c r="Y82" s="60"/>
      <c r="Z82" s="30"/>
      <c r="AA82" s="30"/>
      <c r="AB82" s="30"/>
      <c r="AD82" t="s">
        <v>290</v>
      </c>
      <c r="AE82" s="56">
        <f ca="1">SQRT(AE81*(2*AE75+1)/6-[1]!TiesCorrection(B25:B39,B47:B61,1)/48)</f>
        <v>17.606816861659009</v>
      </c>
      <c r="AF82" t="s">
        <v>291</v>
      </c>
      <c r="AH82" s="37"/>
      <c r="AS82" t="s">
        <v>290</v>
      </c>
      <c r="AT82" s="56">
        <f ca="1">SQRT(AT81*(2*AT75+1)/6-[1]!TiesCorrection(C25:C39,C47:C61,1)/48)</f>
        <v>17.606816861659009</v>
      </c>
      <c r="AU82" t="s">
        <v>291</v>
      </c>
      <c r="AW82" s="37"/>
    </row>
    <row r="83" spans="5:49" x14ac:dyDescent="0.25">
      <c r="E83" s="60"/>
      <c r="F83" s="60"/>
      <c r="G83" s="60"/>
      <c r="H83" s="60"/>
      <c r="I83" s="60"/>
      <c r="J83" s="60"/>
      <c r="K83" s="60"/>
      <c r="L83" s="60"/>
      <c r="M83" s="60"/>
      <c r="N83" s="61"/>
      <c r="O83" s="60" t="s">
        <v>292</v>
      </c>
      <c r="P83" s="73">
        <f ca="1">ABS(ABS(P78-P81)-1/2)/P82</f>
        <v>1.9026721447276671</v>
      </c>
      <c r="Q83" s="60" t="s">
        <v>293</v>
      </c>
      <c r="R83" s="60"/>
      <c r="S83" s="61"/>
      <c r="T83" s="60"/>
      <c r="U83" s="60"/>
      <c r="V83" s="60"/>
      <c r="W83" s="60"/>
      <c r="X83" s="60"/>
      <c r="Y83" s="60"/>
      <c r="Z83" s="30"/>
      <c r="AA83" s="30"/>
      <c r="AB83" s="30"/>
      <c r="AD83" t="s">
        <v>292</v>
      </c>
      <c r="AE83" s="56">
        <f ca="1">ABS(ABS(AE78-AE81)-1/2)/AE82</f>
        <v>0.65315610938412449</v>
      </c>
      <c r="AF83" t="s">
        <v>293</v>
      </c>
      <c r="AH83" s="37"/>
      <c r="AS83" t="s">
        <v>292</v>
      </c>
      <c r="AT83" s="56">
        <f ca="1">ABS(ABS(AT78-AT81)-1/2)/AT82</f>
        <v>1.0507293933570698</v>
      </c>
      <c r="AU83" t="s">
        <v>293</v>
      </c>
      <c r="AW83" s="37"/>
    </row>
    <row r="84" spans="5:49" x14ac:dyDescent="0.25">
      <c r="E84" s="60"/>
      <c r="F84" s="60"/>
      <c r="G84" s="60"/>
      <c r="H84" s="60"/>
      <c r="I84" s="60"/>
      <c r="J84" s="60"/>
      <c r="K84" s="60"/>
      <c r="L84" s="60"/>
      <c r="M84" s="60"/>
      <c r="N84" s="61"/>
      <c r="O84" s="60" t="s">
        <v>294</v>
      </c>
      <c r="P84" s="73">
        <f ca="1">P83/SQRT(2*P74)</f>
        <v>0.34737881773469248</v>
      </c>
      <c r="Q84" s="60"/>
      <c r="R84" s="60"/>
      <c r="S84" s="61"/>
      <c r="T84" s="60"/>
      <c r="U84" s="60"/>
      <c r="V84" s="60"/>
      <c r="W84" s="60"/>
      <c r="X84" s="60"/>
      <c r="Y84" s="60"/>
      <c r="Z84" s="30"/>
      <c r="AA84" s="30"/>
      <c r="AB84" s="30"/>
      <c r="AD84" t="s">
        <v>294</v>
      </c>
      <c r="AE84" s="91">
        <f ca="1">AE83/SQRT(2*AE74)</f>
        <v>0.1192494448939989</v>
      </c>
      <c r="AF84" s="92">
        <f ca="1">2*AE84</f>
        <v>0.2384988897879978</v>
      </c>
      <c r="AH84" s="37"/>
      <c r="AS84" t="s">
        <v>294</v>
      </c>
      <c r="AT84" s="56">
        <f ca="1">AT83/SQRT(2*AT74)</f>
        <v>0.19183606352512866</v>
      </c>
      <c r="AW84" s="37"/>
    </row>
    <row r="85" spans="5:49" x14ac:dyDescent="0.25">
      <c r="E85" s="78"/>
      <c r="F85" s="78"/>
      <c r="G85" s="60"/>
      <c r="H85" s="60"/>
      <c r="I85" s="60"/>
      <c r="J85" s="60"/>
      <c r="K85" s="60"/>
      <c r="L85" s="60"/>
      <c r="M85" s="60"/>
      <c r="N85" s="61"/>
      <c r="O85" s="60" t="s">
        <v>295</v>
      </c>
      <c r="P85" s="101">
        <f ca="1">1-_xlfn.NORM.S.DIST(P83,TRUE)</f>
        <v>2.8541669412414983E-2</v>
      </c>
      <c r="Q85" s="102">
        <f ca="1">2*P85</f>
        <v>5.7083338824829966E-2</v>
      </c>
      <c r="R85" s="60"/>
      <c r="S85" s="61"/>
      <c r="T85" s="60"/>
      <c r="U85" s="78"/>
      <c r="V85" s="60"/>
      <c r="W85" s="60"/>
      <c r="X85" s="60"/>
      <c r="Y85" s="60"/>
      <c r="Z85" s="30"/>
      <c r="AA85" s="30"/>
      <c r="AB85" s="30"/>
      <c r="AD85" t="s">
        <v>295</v>
      </c>
      <c r="AE85" s="81">
        <f ca="1">1-_xlfn.NORM.S.DIST(AE83,TRUE)</f>
        <v>0.25682782125502368</v>
      </c>
      <c r="AF85" s="82">
        <f ca="1">2*AE85</f>
        <v>0.51365564251004736</v>
      </c>
      <c r="AH85" s="37"/>
      <c r="AS85" t="s">
        <v>295</v>
      </c>
      <c r="AT85" s="101">
        <f ca="1">1-_xlfn.NORM.S.DIST(AT83,TRUE)</f>
        <v>0.1466914460758949</v>
      </c>
      <c r="AU85" s="102">
        <f ca="1">2*AT85</f>
        <v>0.29338289215178981</v>
      </c>
      <c r="AW85" s="37"/>
    </row>
    <row r="86" spans="5:49" x14ac:dyDescent="0.25">
      <c r="E86" s="78"/>
      <c r="F86" s="78"/>
      <c r="G86" s="60"/>
      <c r="H86" s="60"/>
      <c r="I86" s="60"/>
      <c r="J86" s="60"/>
      <c r="K86" s="60"/>
      <c r="L86" s="60"/>
      <c r="M86" s="60"/>
      <c r="N86" s="61"/>
      <c r="O86" s="60" t="s">
        <v>296</v>
      </c>
      <c r="P86" s="103">
        <f ca="1">[1]!SRDIST(P78,P75,1)</f>
        <v>2.7679443359375E-2</v>
      </c>
      <c r="Q86" s="104">
        <f ca="1">2*P86</f>
        <v>5.535888671875E-2</v>
      </c>
      <c r="R86" s="60"/>
      <c r="S86" s="61"/>
      <c r="T86" s="60"/>
      <c r="U86" s="78"/>
      <c r="V86" s="60"/>
      <c r="W86" s="60"/>
      <c r="X86" s="60"/>
      <c r="Y86" s="60"/>
      <c r="Z86" s="30"/>
      <c r="AA86" s="30"/>
      <c r="AB86" s="30"/>
      <c r="AD86" t="s">
        <v>296</v>
      </c>
      <c r="AE86" s="112">
        <f ca="1">[1]!SRDIST(AE78,AE75,1)</f>
        <v>0.262237548828125</v>
      </c>
      <c r="AF86" s="97">
        <f ca="1">2*AE86</f>
        <v>0.52447509765625</v>
      </c>
      <c r="AH86" s="37"/>
      <c r="AS86" t="s">
        <v>296</v>
      </c>
      <c r="AT86" s="103">
        <f ca="1">[1]!SRDIST(AT78,AT75,1)</f>
        <v>0.151397705078125</v>
      </c>
      <c r="AU86" s="104">
        <f ca="1">2*AT86</f>
        <v>0.30279541015625</v>
      </c>
      <c r="AW86" s="37"/>
    </row>
    <row r="87" spans="5:49" x14ac:dyDescent="0.25">
      <c r="E87" s="60"/>
      <c r="F87" s="60"/>
      <c r="G87" s="60"/>
      <c r="H87" s="60"/>
      <c r="I87" s="60"/>
      <c r="J87" s="60"/>
      <c r="K87" s="60"/>
      <c r="L87" s="60"/>
      <c r="M87" s="60"/>
      <c r="N87" s="61"/>
      <c r="O87" s="60" t="s">
        <v>297</v>
      </c>
      <c r="P87" s="85" t="s">
        <v>298</v>
      </c>
      <c r="Q87" s="86" t="s">
        <v>298</v>
      </c>
      <c r="R87" s="60"/>
      <c r="S87" s="61"/>
      <c r="T87" s="60"/>
      <c r="U87" s="60"/>
      <c r="V87" s="60"/>
      <c r="W87" s="60"/>
      <c r="X87" s="60"/>
      <c r="Y87" s="60"/>
      <c r="Z87" s="30"/>
      <c r="AA87" s="30"/>
      <c r="AB87" s="30"/>
      <c r="AD87" t="s">
        <v>297</v>
      </c>
      <c r="AE87" s="77" t="s">
        <v>298</v>
      </c>
      <c r="AF87" s="55" t="s">
        <v>298</v>
      </c>
      <c r="AH87" s="37"/>
      <c r="AS87" t="s">
        <v>297</v>
      </c>
      <c r="AT87" s="77" t="s">
        <v>298</v>
      </c>
      <c r="AU87" s="55" t="s">
        <v>298</v>
      </c>
      <c r="AW87" s="37"/>
    </row>
    <row r="88" spans="5:49" x14ac:dyDescent="0.25">
      <c r="N88" s="37"/>
    </row>
    <row r="89" spans="5:49" x14ac:dyDescent="0.25">
      <c r="E89" s="147" t="s">
        <v>302</v>
      </c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8"/>
      <c r="AM89" s="148"/>
      <c r="AN89" s="148"/>
      <c r="AO89" s="148"/>
      <c r="AP89" s="148"/>
      <c r="AQ89" s="148"/>
      <c r="AR89" s="148"/>
      <c r="AS89" s="148"/>
      <c r="AT89" s="148"/>
      <c r="AU89" s="148"/>
      <c r="AV89" s="148"/>
      <c r="AW89" s="149"/>
    </row>
    <row r="90" spans="5:49" x14ac:dyDescent="0.25">
      <c r="E90" s="150" t="s">
        <v>184</v>
      </c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47" t="s">
        <v>204</v>
      </c>
      <c r="U90" s="148"/>
      <c r="V90" s="148"/>
      <c r="W90" s="148"/>
      <c r="X90" s="148"/>
      <c r="Y90" s="148"/>
      <c r="Z90" s="148"/>
      <c r="AA90" s="148"/>
      <c r="AB90" s="148"/>
      <c r="AC90" s="148"/>
      <c r="AD90" s="148"/>
      <c r="AE90" s="148"/>
      <c r="AF90" s="148"/>
      <c r="AG90" s="148"/>
      <c r="AH90" s="149"/>
      <c r="AI90" s="150" t="s">
        <v>205</v>
      </c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</row>
    <row r="91" spans="5:49" x14ac:dyDescent="0.25">
      <c r="E91" s="151" t="s">
        <v>268</v>
      </c>
      <c r="F91" s="151"/>
      <c r="G91" s="151"/>
      <c r="H91" s="151"/>
      <c r="I91" s="151"/>
      <c r="J91" s="151"/>
      <c r="K91" s="151"/>
      <c r="L91" s="151"/>
      <c r="M91" s="151"/>
      <c r="N91" s="152"/>
      <c r="O91" s="157" t="s">
        <v>269</v>
      </c>
      <c r="P91" s="158"/>
      <c r="Q91" s="158"/>
      <c r="R91" s="158"/>
      <c r="S91" s="159"/>
      <c r="T91" s="154" t="s">
        <v>268</v>
      </c>
      <c r="U91" s="154"/>
      <c r="V91" s="154"/>
      <c r="W91" s="154"/>
      <c r="X91" s="154"/>
      <c r="Y91" s="154"/>
      <c r="Z91" s="154"/>
      <c r="AA91" s="154"/>
      <c r="AB91" s="154"/>
      <c r="AC91" s="155"/>
      <c r="AD91" s="156" t="s">
        <v>269</v>
      </c>
      <c r="AE91" s="151"/>
      <c r="AF91" s="151"/>
      <c r="AG91" s="151"/>
      <c r="AH91" s="152"/>
      <c r="AI91" s="154" t="s">
        <v>268</v>
      </c>
      <c r="AJ91" s="154"/>
      <c r="AK91" s="154"/>
      <c r="AL91" s="154"/>
      <c r="AM91" s="154"/>
      <c r="AN91" s="154"/>
      <c r="AO91" s="154"/>
      <c r="AP91" s="154"/>
      <c r="AQ91" s="154"/>
      <c r="AR91" s="155"/>
      <c r="AS91" s="156" t="s">
        <v>269</v>
      </c>
      <c r="AT91" s="151"/>
      <c r="AU91" s="151"/>
      <c r="AV91" s="151"/>
      <c r="AW91" s="152"/>
    </row>
    <row r="92" spans="5:49" x14ac:dyDescent="0.25">
      <c r="E92" s="60"/>
      <c r="F92" s="60"/>
      <c r="G92" s="60"/>
      <c r="H92" s="60"/>
      <c r="I92" s="60"/>
      <c r="J92" s="60"/>
      <c r="K92" s="60"/>
      <c r="L92" s="60"/>
      <c r="M92" s="60"/>
      <c r="N92" s="61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30"/>
      <c r="AA92" s="30"/>
      <c r="AB92" s="30"/>
      <c r="AH92" s="37"/>
      <c r="AW92" s="37"/>
    </row>
    <row r="93" spans="5:49" ht="13.8" thickBot="1" x14ac:dyDescent="0.3">
      <c r="E93" s="60" t="s">
        <v>270</v>
      </c>
      <c r="F93" s="60"/>
      <c r="G93" s="60"/>
      <c r="H93" s="60" t="s">
        <v>222</v>
      </c>
      <c r="I93" s="60">
        <v>0.05</v>
      </c>
      <c r="J93" s="60"/>
      <c r="K93" s="60" t="s">
        <v>271</v>
      </c>
      <c r="L93" s="60">
        <v>0</v>
      </c>
      <c r="M93" s="60"/>
      <c r="N93" s="61"/>
      <c r="O93" s="60"/>
      <c r="P93" s="60" t="str">
        <f>A24</f>
        <v>Groupe 1</v>
      </c>
      <c r="Q93" s="60" t="str">
        <f>A64</f>
        <v>Groupe 1</v>
      </c>
      <c r="R93" s="60"/>
      <c r="S93" s="61"/>
      <c r="T93" s="60" t="s">
        <v>270</v>
      </c>
      <c r="U93" s="60"/>
      <c r="V93" s="60"/>
      <c r="W93" s="60" t="s">
        <v>222</v>
      </c>
      <c r="X93" s="60">
        <v>0.05</v>
      </c>
      <c r="Y93" s="60"/>
      <c r="Z93" s="30" t="s">
        <v>271</v>
      </c>
      <c r="AA93" s="30">
        <v>0</v>
      </c>
      <c r="AB93" s="30"/>
      <c r="AE93" s="68" t="str">
        <f>B24</f>
        <v>Groupe 2</v>
      </c>
      <c r="AF93" s="69" t="str">
        <f>B64</f>
        <v>Groupe 2</v>
      </c>
      <c r="AH93" s="37"/>
      <c r="AI93" t="s">
        <v>270</v>
      </c>
      <c r="AL93" t="s">
        <v>222</v>
      </c>
      <c r="AM93">
        <v>0.05</v>
      </c>
      <c r="AO93" t="s">
        <v>271</v>
      </c>
      <c r="AP93">
        <v>0</v>
      </c>
      <c r="AT93" t="str">
        <f>C24</f>
        <v>Groupe 3</v>
      </c>
      <c r="AU93" t="str">
        <f>C64</f>
        <v>Groupe 3</v>
      </c>
      <c r="AW93" s="37"/>
    </row>
    <row r="94" spans="5:49" ht="13.8" thickTop="1" x14ac:dyDescent="0.25">
      <c r="E94" s="62" t="s">
        <v>272</v>
      </c>
      <c r="F94" s="62" t="s">
        <v>228</v>
      </c>
      <c r="G94" s="62" t="s">
        <v>230</v>
      </c>
      <c r="H94" s="62" t="s">
        <v>273</v>
      </c>
      <c r="I94" s="62" t="s">
        <v>233</v>
      </c>
      <c r="J94" s="62" t="s">
        <v>274</v>
      </c>
      <c r="K94" s="62" t="s">
        <v>249</v>
      </c>
      <c r="L94" s="62" t="s">
        <v>275</v>
      </c>
      <c r="M94" s="62" t="s">
        <v>276</v>
      </c>
      <c r="N94" s="63"/>
      <c r="O94" s="64" t="s">
        <v>236</v>
      </c>
      <c r="P94" s="65">
        <f ca="1">MEDIAN(A25:A39)</f>
        <v>0.92013333333333336</v>
      </c>
      <c r="Q94" s="66">
        <f ca="1">MEDIAN(A65:A79)</f>
        <v>0.8851</v>
      </c>
      <c r="R94" s="64"/>
      <c r="S94" s="63"/>
      <c r="T94" s="67" t="s">
        <v>272</v>
      </c>
      <c r="U94" s="62" t="s">
        <v>228</v>
      </c>
      <c r="V94" s="62" t="s">
        <v>230</v>
      </c>
      <c r="W94" s="62" t="s">
        <v>273</v>
      </c>
      <c r="X94" s="62" t="s">
        <v>233</v>
      </c>
      <c r="Y94" s="62" t="s">
        <v>274</v>
      </c>
      <c r="Z94" s="39" t="s">
        <v>249</v>
      </c>
      <c r="AA94" s="39" t="s">
        <v>275</v>
      </c>
      <c r="AB94" s="39" t="s">
        <v>276</v>
      </c>
      <c r="AD94" t="s">
        <v>236</v>
      </c>
      <c r="AE94" s="68">
        <f ca="1">MEDIAN(B25:B39)</f>
        <v>4.4933333333333339E-2</v>
      </c>
      <c r="AF94" s="69">
        <f ca="1">MEDIAN(B65:B79)</f>
        <v>4.1822222222222219E-2</v>
      </c>
      <c r="AH94" s="37"/>
      <c r="AI94" s="70" t="s">
        <v>272</v>
      </c>
      <c r="AJ94" s="39" t="s">
        <v>228</v>
      </c>
      <c r="AK94" s="39" t="s">
        <v>230</v>
      </c>
      <c r="AL94" s="39" t="s">
        <v>273</v>
      </c>
      <c r="AM94" s="39" t="s">
        <v>233</v>
      </c>
      <c r="AN94" s="39" t="s">
        <v>274</v>
      </c>
      <c r="AO94" s="39" t="s">
        <v>249</v>
      </c>
      <c r="AP94" s="39" t="s">
        <v>275</v>
      </c>
      <c r="AQ94" s="39" t="s">
        <v>276</v>
      </c>
      <c r="AS94" t="s">
        <v>236</v>
      </c>
      <c r="AT94" s="68">
        <f ca="1">MEDIAN(C25:C39)</f>
        <v>6.2311111111111109E-2</v>
      </c>
      <c r="AU94" s="69">
        <f ca="1">MEDIAN(C65:C79)</f>
        <v>4.7755555555555551E-2</v>
      </c>
      <c r="AW94" s="37"/>
    </row>
    <row r="95" spans="5:49" x14ac:dyDescent="0.25">
      <c r="E95" s="60" t="str">
        <f>A24</f>
        <v>Groupe 1</v>
      </c>
      <c r="F95" s="60">
        <f ca="1">COUNT(A25:A39)</f>
        <v>15</v>
      </c>
      <c r="G95" s="60">
        <f ca="1">AVERAGE(A25:A39)</f>
        <v>0.92535111111111112</v>
      </c>
      <c r="H95" s="60">
        <f ca="1">_xlfn.STDEV.S(A25:A39)</f>
        <v>0.18983150766294621</v>
      </c>
      <c r="I95" s="60"/>
      <c r="J95" s="60"/>
      <c r="K95" s="60"/>
      <c r="L95" s="60"/>
      <c r="M95" s="60"/>
      <c r="N95" s="61"/>
      <c r="O95" s="60"/>
      <c r="P95" s="60"/>
      <c r="Q95" s="60"/>
      <c r="R95" s="60"/>
      <c r="S95" s="61"/>
      <c r="T95" s="60" t="str">
        <f>B24</f>
        <v>Groupe 2</v>
      </c>
      <c r="U95" s="60">
        <f ca="1">COUNT(B25:B39)</f>
        <v>15</v>
      </c>
      <c r="V95" s="60">
        <f ca="1">AVERAGE(B25:B39)</f>
        <v>5.6729629629629637E-2</v>
      </c>
      <c r="W95" s="60">
        <f ca="1">_xlfn.STDEV.S(B25:B39)</f>
        <v>3.8840769019632591E-2</v>
      </c>
      <c r="X95" s="60"/>
      <c r="Y95" s="60"/>
      <c r="Z95" s="30"/>
      <c r="AA95" s="30"/>
      <c r="AB95" s="30"/>
      <c r="AD95" t="s">
        <v>240</v>
      </c>
      <c r="AE95" s="49">
        <f ca="1">SUMPRODUCT(--ISNUMBER(B69:B83),--ISNUMBER(B88:B102))</f>
        <v>0</v>
      </c>
      <c r="AH95" s="37"/>
      <c r="AI95" t="str">
        <f>C24</f>
        <v>Groupe 3</v>
      </c>
      <c r="AJ95">
        <f ca="1">COUNT(C25:C39)</f>
        <v>15</v>
      </c>
      <c r="AK95">
        <f ca="1">AVERAGE(C25:C39)</f>
        <v>6.0559259259259264E-2</v>
      </c>
      <c r="AL95">
        <f ca="1">_xlfn.STDEV.S(C25:C39)</f>
        <v>2.9280852122153356E-2</v>
      </c>
      <c r="AW95" s="37"/>
    </row>
    <row r="96" spans="5:49" x14ac:dyDescent="0.25">
      <c r="E96" s="60" t="str">
        <f>A64</f>
        <v>Groupe 1</v>
      </c>
      <c r="F96" s="60">
        <f ca="1">COUNT(A65:A79)</f>
        <v>15</v>
      </c>
      <c r="G96" s="60">
        <f ca="1">AVERAGE(A65:A79)</f>
        <v>0.94264444444444451</v>
      </c>
      <c r="H96" s="60">
        <f ca="1">_xlfn.STDEV.S(A65:A79)</f>
        <v>0.25568376987279956</v>
      </c>
      <c r="I96" s="60"/>
      <c r="J96" s="60"/>
      <c r="K96" s="60"/>
      <c r="L96" s="60"/>
      <c r="M96" s="60"/>
      <c r="N96" s="61"/>
      <c r="O96" s="60" t="s">
        <v>240</v>
      </c>
      <c r="P96" s="71">
        <f ca="1">SUMPRODUCT(--ISNUMBER(A25:A39),--ISNUMBER(A65:A79))</f>
        <v>15</v>
      </c>
      <c r="Q96" s="60"/>
      <c r="R96" s="60"/>
      <c r="S96" s="61"/>
      <c r="T96" s="60" t="str">
        <f>B64</f>
        <v>Groupe 2</v>
      </c>
      <c r="U96" s="60">
        <f ca="1">COUNT(B65:B79)</f>
        <v>15</v>
      </c>
      <c r="V96" s="60">
        <f ca="1">AVERAGE(B65:B79)</f>
        <v>4.9025925925925924E-2</v>
      </c>
      <c r="W96" s="60">
        <f ca="1">_xlfn.STDEV.S(B65:B79)</f>
        <v>4.0519187360874537E-2</v>
      </c>
      <c r="X96" s="60"/>
      <c r="Y96" s="60"/>
      <c r="Z96" s="30"/>
      <c r="AA96" s="30"/>
      <c r="AB96" s="30"/>
      <c r="AD96" t="s">
        <v>240</v>
      </c>
      <c r="AE96" s="49">
        <f ca="1">SUMPRODUCT(--ISNUMBER(B25:B39),--ISNUMBER(B65:B79))</f>
        <v>15</v>
      </c>
      <c r="AH96" s="37"/>
      <c r="AI96" t="str">
        <f>C64</f>
        <v>Groupe 3</v>
      </c>
      <c r="AJ96">
        <f ca="1">COUNT(C65:C79)</f>
        <v>15</v>
      </c>
      <c r="AK96">
        <f ca="1">AVERAGE(C65:C79)</f>
        <v>5.9216296296296295E-2</v>
      </c>
      <c r="AL96">
        <f ca="1">_xlfn.STDEV.S(C65:C79)</f>
        <v>3.688800555135411E-2</v>
      </c>
      <c r="AS96" t="s">
        <v>240</v>
      </c>
      <c r="AT96" s="49">
        <f ca="1">SUMPRODUCT(--ISNUMBER(C25:C39),--ISNUMBER(C65:C79))</f>
        <v>15</v>
      </c>
      <c r="AW96" s="37"/>
    </row>
    <row r="97" spans="5:49" x14ac:dyDescent="0.25">
      <c r="E97" s="72" t="s">
        <v>277</v>
      </c>
      <c r="F97" s="72">
        <f ca="1">F96</f>
        <v>15</v>
      </c>
      <c r="G97" s="72">
        <f ca="1">G95-G96</f>
        <v>-1.7293333333333383E-2</v>
      </c>
      <c r="H97" s="72">
        <f t="array" ref="H97" ca="1">_xlfn.STDEV.S(A25:A39-A65:A79)</f>
        <v>0.19824818819716056</v>
      </c>
      <c r="I97" s="72">
        <f ca="1">H97/SQRT(F97)</f>
        <v>5.1187462086893107E-2</v>
      </c>
      <c r="J97" s="72">
        <f ca="1">(G95-G96-L93)/I97</f>
        <v>-0.33784314807358767</v>
      </c>
      <c r="K97" s="72">
        <f ca="1">F97-1</f>
        <v>14</v>
      </c>
      <c r="L97" s="72">
        <f ca="1">ABS(G95-G96-L93)/H97</f>
        <v>8.7230725741286097E-2</v>
      </c>
      <c r="M97" s="72">
        <f ca="1">SQRT(J97^2/(J97^2+K97))</f>
        <v>8.9926550722246854E-2</v>
      </c>
      <c r="N97" s="61"/>
      <c r="O97" s="60" t="s">
        <v>278</v>
      </c>
      <c r="P97" s="73">
        <f ca="1">SUMPRODUCT(--ISNUMBER(A25:A39),--ISNUMBER(A65:A79),--(A25:A39&lt;&gt;A65:A79))</f>
        <v>15</v>
      </c>
      <c r="Q97" s="60"/>
      <c r="R97" s="60"/>
      <c r="S97" s="61"/>
      <c r="T97" s="74" t="s">
        <v>277</v>
      </c>
      <c r="U97" s="72">
        <f ca="1">U96</f>
        <v>15</v>
      </c>
      <c r="V97" s="72">
        <f ca="1">V95-V96</f>
        <v>7.7037037037037126E-3</v>
      </c>
      <c r="W97" s="72">
        <f t="array" ref="W97" ca="1">_xlfn.STDEV.S(B25:B39-B65:B79)</f>
        <v>2.8400091184823516E-2</v>
      </c>
      <c r="X97" s="72">
        <f ca="1">W97/SQRT(U97)</f>
        <v>7.3328720126395698E-3</v>
      </c>
      <c r="Y97" s="72">
        <f ca="1">(V95-V96-AA93)/X97</f>
        <v>1.0505711391696113</v>
      </c>
      <c r="Z97" s="34">
        <f ca="1">U97-1</f>
        <v>14</v>
      </c>
      <c r="AA97" s="34">
        <f ca="1">ABS(V95-V96-AA93)/W97</f>
        <v>0.27125630173400389</v>
      </c>
      <c r="AB97" s="34">
        <f ca="1">SQRT(Y97^2/(Y97^2+Z97))</f>
        <v>0.27032349547387524</v>
      </c>
      <c r="AD97" t="s">
        <v>278</v>
      </c>
      <c r="AE97" s="56">
        <f ca="1">SUMPRODUCT(--ISNUMBER(B25:B39),--ISNUMBER(B65:B79),--(B25:B39&lt;&gt;B65:B79))</f>
        <v>15</v>
      </c>
      <c r="AH97" s="37"/>
      <c r="AI97" s="75" t="s">
        <v>277</v>
      </c>
      <c r="AJ97" s="34">
        <f ca="1">AJ96</f>
        <v>15</v>
      </c>
      <c r="AK97" s="34">
        <f ca="1">AK95-AK96</f>
        <v>1.3429629629629694E-3</v>
      </c>
      <c r="AL97" s="34">
        <f t="array" ref="AL97" ca="1">_xlfn.STDEV.S(C25:C39-C65:C79)</f>
        <v>2.7982363703312422E-2</v>
      </c>
      <c r="AM97" s="34">
        <f ca="1">AL97/SQRT(AJ97)</f>
        <v>7.2250152406965274E-3</v>
      </c>
      <c r="AN97" s="34">
        <f ca="1">(AK95-AK96-AP93)/AM97</f>
        <v>0.18587683461183968</v>
      </c>
      <c r="AO97" s="34">
        <f ca="1">AJ97-1</f>
        <v>14</v>
      </c>
      <c r="AP97" s="34">
        <f ca="1">ABS(AK95-AK96-AP93)/AL97</f>
        <v>4.7993192326493697E-2</v>
      </c>
      <c r="AQ97" s="34">
        <f ca="1">SQRT(AN97^2/(AN97^2+AO97))</f>
        <v>4.9616487835349249E-2</v>
      </c>
      <c r="AS97" t="s">
        <v>278</v>
      </c>
      <c r="AT97" s="56">
        <f ca="1">SUMPRODUCT(--ISNUMBER(C25:C39),--ISNUMBER(C65:C79),--(C25:C39&lt;&gt;C65:C79))</f>
        <v>15</v>
      </c>
      <c r="AW97" s="37"/>
    </row>
    <row r="98" spans="5:49" x14ac:dyDescent="0.25">
      <c r="E98" s="60"/>
      <c r="F98" s="60"/>
      <c r="G98" s="60"/>
      <c r="H98" s="60"/>
      <c r="I98" s="60"/>
      <c r="J98" s="60"/>
      <c r="K98" s="60"/>
      <c r="L98" s="60"/>
      <c r="M98" s="60"/>
      <c r="N98" s="61"/>
      <c r="O98" s="60" t="s">
        <v>279</v>
      </c>
      <c r="P98" s="73">
        <f ca="1">IF(P100&lt;=P103,P100,P97*(P97+1)/2)</f>
        <v>51</v>
      </c>
      <c r="Q98" s="60"/>
      <c r="R98" s="60"/>
      <c r="S98" s="61"/>
      <c r="T98" s="60"/>
      <c r="U98" s="60"/>
      <c r="V98" s="60"/>
      <c r="W98" s="60"/>
      <c r="X98" s="60"/>
      <c r="Y98" s="60"/>
      <c r="Z98" s="30"/>
      <c r="AA98" s="30"/>
      <c r="AB98" s="30"/>
      <c r="AD98" t="s">
        <v>279</v>
      </c>
      <c r="AE98" s="56">
        <f ca="1">IF(AE100&lt;=AE103,AE100,AE97*(AE97+1)/2)</f>
        <v>47</v>
      </c>
      <c r="AH98" s="37"/>
      <c r="AS98" t="s">
        <v>279</v>
      </c>
      <c r="AT98" s="56">
        <f ca="1">IF(AT100&lt;=AT103,AT100,AT97*(AT97+1)/2)</f>
        <v>46</v>
      </c>
      <c r="AW98" s="37"/>
    </row>
    <row r="99" spans="5:49" ht="13.8" thickBot="1" x14ac:dyDescent="0.3">
      <c r="E99" s="60" t="s">
        <v>280</v>
      </c>
      <c r="F99" s="60"/>
      <c r="G99" s="60"/>
      <c r="H99" s="60"/>
      <c r="I99" s="60"/>
      <c r="J99" s="60"/>
      <c r="K99" s="60"/>
      <c r="L99" s="60"/>
      <c r="M99" s="60"/>
      <c r="N99" s="61"/>
      <c r="O99" s="60" t="s">
        <v>281</v>
      </c>
      <c r="P99" s="73">
        <f ca="1">P97*(P97+1)/2-P98</f>
        <v>69</v>
      </c>
      <c r="Q99" s="60"/>
      <c r="R99" s="60"/>
      <c r="S99" s="61"/>
      <c r="T99" s="60" t="s">
        <v>280</v>
      </c>
      <c r="U99" s="60"/>
      <c r="V99" s="60"/>
      <c r="W99" s="60"/>
      <c r="X99" s="60"/>
      <c r="Y99" s="60"/>
      <c r="Z99" s="30"/>
      <c r="AA99" s="30"/>
      <c r="AB99" s="30"/>
      <c r="AD99" t="s">
        <v>281</v>
      </c>
      <c r="AE99" s="77">
        <f ca="1">AE97*(AE97+1)/2-AE98</f>
        <v>73</v>
      </c>
      <c r="AH99" s="37"/>
      <c r="AI99" t="s">
        <v>280</v>
      </c>
      <c r="AS99" t="s">
        <v>281</v>
      </c>
      <c r="AT99" s="56">
        <f ca="1">AT97*(AT97+1)/2-AT98</f>
        <v>74</v>
      </c>
      <c r="AW99" s="37"/>
    </row>
    <row r="100" spans="5:49" ht="13.8" thickTop="1" x14ac:dyDescent="0.25">
      <c r="E100" s="62" t="s">
        <v>133</v>
      </c>
      <c r="F100" s="62" t="s">
        <v>211</v>
      </c>
      <c r="G100" s="62" t="s">
        <v>282</v>
      </c>
      <c r="H100" s="62" t="s">
        <v>283</v>
      </c>
      <c r="I100" s="62" t="s">
        <v>284</v>
      </c>
      <c r="J100" s="62" t="s">
        <v>259</v>
      </c>
      <c r="K100" s="60"/>
      <c r="L100" s="60"/>
      <c r="M100" s="60"/>
      <c r="N100" s="63"/>
      <c r="O100" s="64" t="s">
        <v>285</v>
      </c>
      <c r="P100" s="76">
        <f ca="1">[1]!SRANK(A25:A39,A65:A79)</f>
        <v>51</v>
      </c>
      <c r="Q100" s="64"/>
      <c r="R100" s="64"/>
      <c r="S100" s="61"/>
      <c r="T100" s="67" t="s">
        <v>133</v>
      </c>
      <c r="U100" s="62" t="s">
        <v>211</v>
      </c>
      <c r="V100" s="62" t="s">
        <v>282</v>
      </c>
      <c r="W100" s="62" t="s">
        <v>283</v>
      </c>
      <c r="X100" s="62" t="s">
        <v>284</v>
      </c>
      <c r="Y100" s="62" t="s">
        <v>259</v>
      </c>
      <c r="Z100" s="30"/>
      <c r="AA100" s="30"/>
      <c r="AB100" s="30"/>
      <c r="AD100" t="s">
        <v>285</v>
      </c>
      <c r="AE100" s="77">
        <f ca="1">[1]!SRANK(B25:B39,B65:B79)</f>
        <v>47</v>
      </c>
      <c r="AH100" s="37"/>
      <c r="AI100" s="70" t="s">
        <v>133</v>
      </c>
      <c r="AJ100" s="39" t="s">
        <v>211</v>
      </c>
      <c r="AK100" s="39" t="s">
        <v>282</v>
      </c>
      <c r="AL100" s="39" t="s">
        <v>283</v>
      </c>
      <c r="AM100" s="39" t="s">
        <v>284</v>
      </c>
      <c r="AN100" s="39" t="s">
        <v>259</v>
      </c>
      <c r="AS100" t="s">
        <v>285</v>
      </c>
      <c r="AT100" s="77">
        <f ca="1">[1]!SRANK(C25:C39,C65:C79)</f>
        <v>46</v>
      </c>
      <c r="AW100" s="37"/>
    </row>
    <row r="101" spans="5:49" x14ac:dyDescent="0.25">
      <c r="E101" s="60" t="s">
        <v>286</v>
      </c>
      <c r="F101" s="98">
        <f ca="1">_xlfn.T.DIST.RT(ABS(J97),K97)</f>
        <v>0.37024690278701983</v>
      </c>
      <c r="G101" s="60">
        <f ca="1">_xlfn.T.INV.2T(I93*2,K97)</f>
        <v>1.7613101357748921</v>
      </c>
      <c r="H101" s="60"/>
      <c r="I101" s="60"/>
      <c r="J101" s="79" t="str">
        <f ca="1">IF(F101&lt;I93,"yes","no")</f>
        <v>no</v>
      </c>
      <c r="K101" s="60"/>
      <c r="L101" s="60"/>
      <c r="M101" s="60"/>
      <c r="N101" s="61"/>
      <c r="O101" s="78"/>
      <c r="P101" s="60"/>
      <c r="Q101" s="60"/>
      <c r="R101" s="60"/>
      <c r="S101" s="61"/>
      <c r="T101" s="60" t="s">
        <v>286</v>
      </c>
      <c r="U101" s="78">
        <f ca="1">_xlfn.T.DIST.RT(ABS(Y97),Z97)</f>
        <v>0.15562641352228954</v>
      </c>
      <c r="V101" s="60">
        <f ca="1">_xlfn.T.INV.2T(X93*2,Z97)</f>
        <v>1.7613101357748921</v>
      </c>
      <c r="W101" s="60"/>
      <c r="X101" s="60"/>
      <c r="Y101" s="79" t="str">
        <f ca="1">IF(U101&lt;X93,"yes","no")</f>
        <v>no</v>
      </c>
      <c r="Z101" s="30"/>
      <c r="AA101" s="30"/>
      <c r="AB101" s="30"/>
      <c r="AE101" s="80" t="s">
        <v>288</v>
      </c>
      <c r="AF101" s="80" t="s">
        <v>289</v>
      </c>
      <c r="AH101" s="37"/>
      <c r="AI101" t="s">
        <v>286</v>
      </c>
      <c r="AJ101" s="100">
        <f ca="1">_xlfn.T.DIST.RT(ABS(AN97),AO97)</f>
        <v>0.42760380432069311</v>
      </c>
      <c r="AK101">
        <f ca="1">_xlfn.T.INV.2T(AM93*2,AO97)</f>
        <v>1.7613101357748921</v>
      </c>
      <c r="AN101" s="80" t="str">
        <f ca="1">IF(AJ101&lt;AM93,"yes","no")</f>
        <v>no</v>
      </c>
      <c r="AW101" s="37"/>
    </row>
    <row r="102" spans="5:49" x14ac:dyDescent="0.25">
      <c r="E102" s="60" t="s">
        <v>287</v>
      </c>
      <c r="F102" s="99">
        <f ca="1">_xlfn.T.DIST.2T(ABS(J97),K97)</f>
        <v>0.74049380557403965</v>
      </c>
      <c r="G102" s="79">
        <f ca="1">_xlfn.T.INV.2T(I93,K97)</f>
        <v>2.1447866879178044</v>
      </c>
      <c r="H102" s="60">
        <f ca="1">(G95-G96)-I97*G102</f>
        <v>-0.12707952060559902</v>
      </c>
      <c r="I102" s="60">
        <f ca="1">(G95-G96)+I97*G102</f>
        <v>9.2492853938932265E-2</v>
      </c>
      <c r="J102" s="79" t="str">
        <f ca="1">IF(F102&lt;I93,"yes","no")</f>
        <v>no</v>
      </c>
      <c r="K102" s="60"/>
      <c r="L102" s="60"/>
      <c r="M102" s="60"/>
      <c r="N102" s="61"/>
      <c r="O102" s="78"/>
      <c r="P102" s="79" t="s">
        <v>288</v>
      </c>
      <c r="Q102" s="79" t="s">
        <v>289</v>
      </c>
      <c r="R102" s="60"/>
      <c r="S102" s="61"/>
      <c r="T102" s="60" t="s">
        <v>287</v>
      </c>
      <c r="U102" s="105">
        <f ca="1">_xlfn.T.DIST.2T(ABS(Y97),Z97)</f>
        <v>0.31125282704457907</v>
      </c>
      <c r="V102" s="79">
        <f ca="1">_xlfn.T.INV.2T(X93,Z97)</f>
        <v>2.1447866879178044</v>
      </c>
      <c r="W102" s="60">
        <f ca="1">(V95-V96)-X97*V102</f>
        <v>-8.0237425732106737E-3</v>
      </c>
      <c r="X102" s="60">
        <f ca="1">(V95-V96)+X97*V102</f>
        <v>2.3431149980618099E-2</v>
      </c>
      <c r="Y102" s="79" t="str">
        <f ca="1">IF(U102&lt;X93,"yes","no")</f>
        <v>no</v>
      </c>
      <c r="Z102" s="30"/>
      <c r="AA102" s="30"/>
      <c r="AB102" s="30"/>
      <c r="AD102" t="s">
        <v>226</v>
      </c>
      <c r="AE102" s="90" t="s">
        <v>288</v>
      </c>
      <c r="AF102" s="80" t="s">
        <v>289</v>
      </c>
      <c r="AH102" s="37"/>
      <c r="AI102" t="s">
        <v>287</v>
      </c>
      <c r="AJ102" s="100">
        <f ca="1">_xlfn.T.DIST.2T(ABS(AN97),AO97)</f>
        <v>0.85520760864138623</v>
      </c>
      <c r="AK102">
        <f ca="1">_xlfn.T.INV.2T(AM93,AO97)</f>
        <v>2.1447866879178044</v>
      </c>
      <c r="AL102">
        <f ca="1">(AK95-AK96)-AM97*AK102</f>
        <v>-1.4153153545286193E-2</v>
      </c>
      <c r="AM102">
        <f ca="1">(AK95-AK96)+AM97*AK102</f>
        <v>1.6839079471212132E-2</v>
      </c>
      <c r="AN102" s="80" t="str">
        <f ca="1">IF(AJ102&lt;AM93,"yes","no")</f>
        <v>no</v>
      </c>
      <c r="AT102" s="80" t="s">
        <v>288</v>
      </c>
      <c r="AU102" s="80" t="s">
        <v>289</v>
      </c>
      <c r="AW102" s="37"/>
    </row>
    <row r="103" spans="5:49" x14ac:dyDescent="0.25">
      <c r="E103" s="72"/>
      <c r="F103" s="72"/>
      <c r="G103" s="72"/>
      <c r="H103" s="72"/>
      <c r="I103" s="72"/>
      <c r="J103" s="72"/>
      <c r="K103" s="60"/>
      <c r="L103" s="60"/>
      <c r="M103" s="60"/>
      <c r="N103" s="61"/>
      <c r="O103" s="60" t="s">
        <v>226</v>
      </c>
      <c r="P103" s="71">
        <f ca="1">P97*(P97+1)/4</f>
        <v>60</v>
      </c>
      <c r="Q103" s="60"/>
      <c r="R103" s="60"/>
      <c r="S103" s="61"/>
      <c r="T103" s="74"/>
      <c r="U103" s="72"/>
      <c r="V103" s="72"/>
      <c r="W103" s="72"/>
      <c r="X103" s="72"/>
      <c r="Y103" s="72"/>
      <c r="Z103" s="30"/>
      <c r="AA103" s="30"/>
      <c r="AB103" s="30"/>
      <c r="AD103" t="s">
        <v>226</v>
      </c>
      <c r="AE103" s="49">
        <f ca="1">AE97*(AE97+1)/4</f>
        <v>60</v>
      </c>
      <c r="AF103" t="s">
        <v>291</v>
      </c>
      <c r="AH103" s="37"/>
      <c r="AI103" s="75"/>
      <c r="AJ103" s="34"/>
      <c r="AK103" s="34"/>
      <c r="AL103" s="34"/>
      <c r="AM103" s="34"/>
      <c r="AN103" s="34"/>
      <c r="AS103" t="s">
        <v>226</v>
      </c>
      <c r="AT103" s="49">
        <f ca="1">AT97*(AT97+1)/4</f>
        <v>60</v>
      </c>
      <c r="AW103" s="37"/>
    </row>
    <row r="104" spans="5:49" x14ac:dyDescent="0.25">
      <c r="E104" s="60"/>
      <c r="F104" s="60"/>
      <c r="G104" s="60"/>
      <c r="H104" s="60"/>
      <c r="I104" s="60"/>
      <c r="J104" s="60"/>
      <c r="K104" s="60"/>
      <c r="L104" s="60"/>
      <c r="M104" s="60"/>
      <c r="N104" s="61"/>
      <c r="O104" s="60" t="s">
        <v>290</v>
      </c>
      <c r="P104" s="73">
        <f ca="1">SQRT(P103*(2*P97+1)/6-[1]!TiesCorrection(A25:A39,A65:A79,1)/48)</f>
        <v>17.606816861659009</v>
      </c>
      <c r="Q104" s="60" t="s">
        <v>291</v>
      </c>
      <c r="R104" s="60"/>
      <c r="S104" s="61"/>
      <c r="T104" s="60"/>
      <c r="U104" s="60"/>
      <c r="V104" s="60"/>
      <c r="W104" s="60"/>
      <c r="X104" s="60"/>
      <c r="Y104" s="60"/>
      <c r="Z104" s="30"/>
      <c r="AA104" s="30"/>
      <c r="AB104" s="30"/>
      <c r="AD104" t="s">
        <v>290</v>
      </c>
      <c r="AE104" s="56">
        <f ca="1">SQRT(AE103*(2*AE97+1)/6-[1]!TiesCorrection(B25:B39,B65:B79,1)/48)</f>
        <v>17.606816861659009</v>
      </c>
      <c r="AF104" t="s">
        <v>291</v>
      </c>
      <c r="AH104" s="37"/>
      <c r="AS104" t="s">
        <v>290</v>
      </c>
      <c r="AT104" s="56">
        <f ca="1">SQRT(AT103*(2*AT97+1)/6-[1]!TiesCorrection(C25:C39,C65:C79,1)/48)</f>
        <v>17.606816861659009</v>
      </c>
      <c r="AU104" t="s">
        <v>291</v>
      </c>
      <c r="AW104" s="37"/>
    </row>
    <row r="105" spans="5:49" x14ac:dyDescent="0.25">
      <c r="E105" s="60"/>
      <c r="F105" s="60"/>
      <c r="G105" s="60"/>
      <c r="H105" s="60"/>
      <c r="I105" s="60"/>
      <c r="J105" s="60"/>
      <c r="K105" s="60"/>
      <c r="L105" s="60"/>
      <c r="M105" s="60"/>
      <c r="N105" s="61"/>
      <c r="O105" s="60" t="s">
        <v>292</v>
      </c>
      <c r="P105" s="73">
        <f ca="1">ABS(ABS(P100-P103)-1/2)/P104</f>
        <v>0.48276755911000507</v>
      </c>
      <c r="Q105" s="60" t="s">
        <v>293</v>
      </c>
      <c r="R105" s="60"/>
      <c r="S105" s="61"/>
      <c r="T105" s="60"/>
      <c r="U105" s="60"/>
      <c r="V105" s="60"/>
      <c r="W105" s="60"/>
      <c r="X105" s="60"/>
      <c r="Y105" s="60"/>
      <c r="Z105" s="30"/>
      <c r="AA105" s="30"/>
      <c r="AB105" s="30"/>
      <c r="AD105" t="s">
        <v>292</v>
      </c>
      <c r="AE105" s="56">
        <f ca="1">ABS(ABS(AE100-AE103)-1/2)/AE104</f>
        <v>0.70995229280883099</v>
      </c>
      <c r="AF105" t="s">
        <v>293</v>
      </c>
      <c r="AH105" s="37"/>
      <c r="AS105" t="s">
        <v>292</v>
      </c>
      <c r="AT105" s="56">
        <f ca="1">ABS(ABS(AT100-AT103)-1/2)/AT104</f>
        <v>0.76674847623353748</v>
      </c>
      <c r="AU105" t="s">
        <v>293</v>
      </c>
      <c r="AW105" s="37"/>
    </row>
    <row r="106" spans="5:49" x14ac:dyDescent="0.25">
      <c r="E106" s="60"/>
      <c r="F106" s="60"/>
      <c r="G106" s="60"/>
      <c r="H106" s="60"/>
      <c r="I106" s="60"/>
      <c r="J106" s="60"/>
      <c r="K106" s="60"/>
      <c r="L106" s="60"/>
      <c r="M106" s="60"/>
      <c r="N106" s="61"/>
      <c r="O106" s="60" t="s">
        <v>294</v>
      </c>
      <c r="P106" s="73">
        <f ca="1">P105/SQRT(2*P96)</f>
        <v>8.8140894052086138E-2</v>
      </c>
      <c r="Q106" s="60"/>
      <c r="R106" s="60"/>
      <c r="S106" s="61"/>
      <c r="T106" s="60"/>
      <c r="U106" s="60"/>
      <c r="V106" s="60"/>
      <c r="W106" s="60"/>
      <c r="X106" s="60"/>
      <c r="Y106" s="60"/>
      <c r="Z106" s="30"/>
      <c r="AA106" s="30"/>
      <c r="AB106" s="30"/>
      <c r="AD106" t="s">
        <v>294</v>
      </c>
      <c r="AE106" s="91">
        <f ca="1">AE105/SQRT(2*AE96)</f>
        <v>0.12961896184130314</v>
      </c>
      <c r="AF106" s="92">
        <f ca="1">2*AE106</f>
        <v>0.25923792368260629</v>
      </c>
      <c r="AH106" s="37"/>
      <c r="AS106" t="s">
        <v>294</v>
      </c>
      <c r="AT106" s="56">
        <f ca="1">AT105/SQRT(2*AT96)</f>
        <v>0.1399884787886074</v>
      </c>
      <c r="AW106" s="37"/>
    </row>
    <row r="107" spans="5:49" x14ac:dyDescent="0.25">
      <c r="E107" s="78"/>
      <c r="F107" s="78"/>
      <c r="G107" s="60"/>
      <c r="H107" s="60"/>
      <c r="I107" s="60"/>
      <c r="J107" s="60"/>
      <c r="K107" s="60"/>
      <c r="L107" s="60"/>
      <c r="M107" s="60"/>
      <c r="N107" s="61"/>
      <c r="O107" s="60" t="s">
        <v>295</v>
      </c>
      <c r="P107" s="101">
        <f ca="1">1-_xlfn.NORM.S.DIST(P105,TRUE)</f>
        <v>0.31463039375196866</v>
      </c>
      <c r="Q107" s="102">
        <f ca="1">2*P107</f>
        <v>0.62926078750393732</v>
      </c>
      <c r="R107" s="60"/>
      <c r="S107" s="61"/>
      <c r="T107" s="60"/>
      <c r="U107" s="78"/>
      <c r="V107" s="60"/>
      <c r="W107" s="60"/>
      <c r="X107" s="60"/>
      <c r="Y107" s="60"/>
      <c r="Z107" s="30"/>
      <c r="AA107" s="30"/>
      <c r="AB107" s="30"/>
      <c r="AD107" t="s">
        <v>295</v>
      </c>
      <c r="AE107" s="81">
        <f ca="1">1-_xlfn.NORM.S.DIST(AE105,TRUE)</f>
        <v>0.23886686044578631</v>
      </c>
      <c r="AF107" s="82">
        <f ca="1">2*AE107</f>
        <v>0.47773372089157262</v>
      </c>
      <c r="AH107" s="37"/>
      <c r="AS107" t="s">
        <v>295</v>
      </c>
      <c r="AT107" s="101">
        <f ca="1">1-_xlfn.NORM.S.DIST(AT105,TRUE)</f>
        <v>0.22161553779552612</v>
      </c>
      <c r="AU107" s="102">
        <f ca="1">2*AT107</f>
        <v>0.44323107559105224</v>
      </c>
      <c r="AW107" s="37"/>
    </row>
    <row r="108" spans="5:49" x14ac:dyDescent="0.25">
      <c r="E108" s="78"/>
      <c r="F108" s="78"/>
      <c r="G108" s="60"/>
      <c r="H108" s="60"/>
      <c r="I108" s="60"/>
      <c r="J108" s="60"/>
      <c r="K108" s="60"/>
      <c r="L108" s="60"/>
      <c r="M108" s="60"/>
      <c r="N108" s="61"/>
      <c r="O108" s="60" t="s">
        <v>296</v>
      </c>
      <c r="P108" s="103">
        <f ca="1">[1]!SRDIST(P100,P97,1)</f>
        <v>0.3193359375</v>
      </c>
      <c r="Q108" s="104">
        <f ca="1">2*P108</f>
        <v>0.638671875</v>
      </c>
      <c r="R108" s="60"/>
      <c r="S108" s="61"/>
      <c r="T108" s="60"/>
      <c r="U108" s="78"/>
      <c r="V108" s="60"/>
      <c r="W108" s="60"/>
      <c r="X108" s="60"/>
      <c r="Y108" s="60"/>
      <c r="Z108" s="30"/>
      <c r="AA108" s="30"/>
      <c r="AB108" s="30"/>
      <c r="AD108" t="s">
        <v>296</v>
      </c>
      <c r="AE108" s="112">
        <f ca="1">[1]!SRDIST(AE100,AE97,1)</f>
        <v>0.244354248046875</v>
      </c>
      <c r="AF108" s="97">
        <f ca="1">2*AE108</f>
        <v>0.48870849609375</v>
      </c>
      <c r="AH108" s="37"/>
      <c r="AS108" t="s">
        <v>296</v>
      </c>
      <c r="AT108" s="103">
        <f ca="1">[1]!SRDIST(AT100,AT97,1)</f>
        <v>0.227142333984375</v>
      </c>
      <c r="AU108" s="104">
        <f ca="1">2*AT108</f>
        <v>0.45428466796875</v>
      </c>
      <c r="AW108" s="37"/>
    </row>
    <row r="109" spans="5:49" x14ac:dyDescent="0.25">
      <c r="E109" s="60"/>
      <c r="F109" s="60"/>
      <c r="G109" s="60"/>
      <c r="H109" s="60"/>
      <c r="I109" s="60"/>
      <c r="J109" s="60"/>
      <c r="K109" s="60"/>
      <c r="L109" s="60"/>
      <c r="M109" s="60"/>
      <c r="N109" s="61"/>
      <c r="O109" s="60" t="s">
        <v>297</v>
      </c>
      <c r="P109" s="85" t="s">
        <v>298</v>
      </c>
      <c r="Q109" s="86" t="s">
        <v>298</v>
      </c>
      <c r="R109" s="60"/>
      <c r="S109" s="61"/>
      <c r="T109" s="60"/>
      <c r="U109" s="60"/>
      <c r="V109" s="60"/>
      <c r="W109" s="60"/>
      <c r="X109" s="60"/>
      <c r="Y109" s="60"/>
      <c r="Z109" s="30"/>
      <c r="AA109" s="30"/>
      <c r="AB109" s="30"/>
      <c r="AD109" t="s">
        <v>297</v>
      </c>
      <c r="AE109" s="77" t="s">
        <v>298</v>
      </c>
      <c r="AF109" s="55" t="s">
        <v>298</v>
      </c>
      <c r="AH109" s="37"/>
      <c r="AS109" t="s">
        <v>297</v>
      </c>
      <c r="AT109" s="77" t="s">
        <v>298</v>
      </c>
      <c r="AU109" s="55" t="s">
        <v>298</v>
      </c>
      <c r="AW109" s="37"/>
    </row>
    <row r="110" spans="5:49" x14ac:dyDescent="0.25">
      <c r="N110" s="37"/>
    </row>
    <row r="111" spans="5:49" x14ac:dyDescent="0.25">
      <c r="E111" s="147" t="s">
        <v>303</v>
      </c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9"/>
    </row>
    <row r="112" spans="5:49" x14ac:dyDescent="0.25">
      <c r="E112" s="150" t="s">
        <v>184</v>
      </c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47" t="s">
        <v>204</v>
      </c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  <c r="AE112" s="148"/>
      <c r="AF112" s="148"/>
      <c r="AG112" s="148"/>
      <c r="AH112" s="149"/>
      <c r="AI112" s="150" t="s">
        <v>205</v>
      </c>
      <c r="AJ112" s="150"/>
      <c r="AK112" s="150"/>
      <c r="AL112" s="150"/>
      <c r="AM112" s="150"/>
      <c r="AN112" s="150"/>
      <c r="AO112" s="150"/>
      <c r="AP112" s="150"/>
      <c r="AQ112" s="150"/>
      <c r="AR112" s="150"/>
      <c r="AS112" s="150"/>
      <c r="AT112" s="150"/>
      <c r="AU112" s="150"/>
      <c r="AV112" s="150"/>
      <c r="AW112" s="150"/>
    </row>
    <row r="113" spans="5:49" x14ac:dyDescent="0.25">
      <c r="E113" s="151" t="s">
        <v>268</v>
      </c>
      <c r="F113" s="151"/>
      <c r="G113" s="151"/>
      <c r="H113" s="151"/>
      <c r="I113" s="151"/>
      <c r="J113" s="151"/>
      <c r="K113" s="151"/>
      <c r="L113" s="151"/>
      <c r="M113" s="151"/>
      <c r="N113" s="152"/>
      <c r="O113" s="153" t="s">
        <v>269</v>
      </c>
      <c r="P113" s="154"/>
      <c r="Q113" s="154"/>
      <c r="R113" s="154"/>
      <c r="S113" s="155"/>
      <c r="T113" s="154" t="s">
        <v>268</v>
      </c>
      <c r="U113" s="154"/>
      <c r="V113" s="154"/>
      <c r="W113" s="154"/>
      <c r="X113" s="154"/>
      <c r="Y113" s="154"/>
      <c r="Z113" s="154"/>
      <c r="AA113" s="154"/>
      <c r="AB113" s="154"/>
      <c r="AC113" s="155"/>
      <c r="AD113" s="156" t="s">
        <v>269</v>
      </c>
      <c r="AE113" s="151"/>
      <c r="AF113" s="151"/>
      <c r="AG113" s="151"/>
      <c r="AH113" s="152"/>
      <c r="AI113" s="154" t="s">
        <v>268</v>
      </c>
      <c r="AJ113" s="154"/>
      <c r="AK113" s="154"/>
      <c r="AL113" s="154"/>
      <c r="AM113" s="154"/>
      <c r="AN113" s="154"/>
      <c r="AO113" s="154"/>
      <c r="AP113" s="154"/>
      <c r="AQ113" s="154"/>
      <c r="AR113" s="155"/>
      <c r="AS113" s="156" t="s">
        <v>269</v>
      </c>
      <c r="AT113" s="151"/>
      <c r="AU113" s="151"/>
      <c r="AV113" s="151"/>
      <c r="AW113" s="152"/>
    </row>
    <row r="114" spans="5:49" x14ac:dyDescent="0.25">
      <c r="E114" s="60"/>
      <c r="F114" s="60"/>
      <c r="G114" s="60"/>
      <c r="H114" s="60"/>
      <c r="I114" s="60"/>
      <c r="J114" s="60"/>
      <c r="K114" s="60"/>
      <c r="L114" s="60"/>
      <c r="M114" s="60"/>
      <c r="N114" s="61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30"/>
      <c r="AA114" s="30"/>
      <c r="AB114" s="30"/>
      <c r="AH114" s="37"/>
      <c r="AW114" s="37"/>
    </row>
    <row r="115" spans="5:49" ht="13.8" thickBot="1" x14ac:dyDescent="0.3">
      <c r="E115" s="60" t="s">
        <v>270</v>
      </c>
      <c r="F115" s="60"/>
      <c r="G115" s="60"/>
      <c r="H115" s="60" t="s">
        <v>222</v>
      </c>
      <c r="I115" s="60">
        <v>0.05</v>
      </c>
      <c r="J115" s="60"/>
      <c r="K115" s="60" t="s">
        <v>271</v>
      </c>
      <c r="L115" s="60">
        <v>0</v>
      </c>
      <c r="M115" s="60"/>
      <c r="N115" s="61"/>
      <c r="O115" s="60"/>
      <c r="P115" s="60" t="str">
        <f>A46</f>
        <v>Groupe 1</v>
      </c>
      <c r="Q115" s="60" t="str">
        <f>A64</f>
        <v>Groupe 1</v>
      </c>
      <c r="R115" s="60"/>
      <c r="S115" s="61"/>
      <c r="T115" s="60" t="s">
        <v>270</v>
      </c>
      <c r="U115" s="60"/>
      <c r="V115" s="60"/>
      <c r="W115" s="60" t="s">
        <v>222</v>
      </c>
      <c r="X115" s="60">
        <v>0.05</v>
      </c>
      <c r="Y115" s="60"/>
      <c r="Z115" s="30" t="s">
        <v>271</v>
      </c>
      <c r="AA115" s="30">
        <v>0</v>
      </c>
      <c r="AB115" s="30"/>
      <c r="AE115" s="68" t="str">
        <f>B46</f>
        <v>Groupe 2</v>
      </c>
      <c r="AF115" s="69" t="str">
        <f>B64</f>
        <v>Groupe 2</v>
      </c>
      <c r="AH115" s="37"/>
      <c r="AI115" t="s">
        <v>270</v>
      </c>
      <c r="AL115" t="s">
        <v>222</v>
      </c>
      <c r="AM115">
        <v>0.05</v>
      </c>
      <c r="AO115" t="s">
        <v>271</v>
      </c>
      <c r="AP115">
        <v>0</v>
      </c>
      <c r="AT115" t="str">
        <f>C46</f>
        <v>Groupe 3</v>
      </c>
      <c r="AU115" t="str">
        <f>C64</f>
        <v>Groupe 3</v>
      </c>
      <c r="AW115" s="37"/>
    </row>
    <row r="116" spans="5:49" ht="13.8" thickTop="1" x14ac:dyDescent="0.25">
      <c r="E116" s="62" t="s">
        <v>272</v>
      </c>
      <c r="F116" s="62" t="s">
        <v>228</v>
      </c>
      <c r="G116" s="62" t="s">
        <v>230</v>
      </c>
      <c r="H116" s="62" t="s">
        <v>273</v>
      </c>
      <c r="I116" s="62" t="s">
        <v>233</v>
      </c>
      <c r="J116" s="62" t="s">
        <v>274</v>
      </c>
      <c r="K116" s="62" t="s">
        <v>249</v>
      </c>
      <c r="L116" s="62" t="s">
        <v>275</v>
      </c>
      <c r="M116" s="62" t="s">
        <v>276</v>
      </c>
      <c r="N116" s="63"/>
      <c r="O116" s="64" t="s">
        <v>236</v>
      </c>
      <c r="P116" s="65">
        <f ca="1">MEDIAN(A47:A61)</f>
        <v>0.8893888888888889</v>
      </c>
      <c r="Q116" s="66">
        <f ca="1">MEDIAN(A65:A79)</f>
        <v>0.8851</v>
      </c>
      <c r="R116" s="64"/>
      <c r="S116" s="63"/>
      <c r="T116" s="67" t="s">
        <v>272</v>
      </c>
      <c r="U116" s="62" t="s">
        <v>228</v>
      </c>
      <c r="V116" s="62" t="s">
        <v>230</v>
      </c>
      <c r="W116" s="62" t="s">
        <v>273</v>
      </c>
      <c r="X116" s="62" t="s">
        <v>233</v>
      </c>
      <c r="Y116" s="62" t="s">
        <v>274</v>
      </c>
      <c r="Z116" s="39" t="s">
        <v>249</v>
      </c>
      <c r="AA116" s="39" t="s">
        <v>275</v>
      </c>
      <c r="AB116" s="39" t="s">
        <v>276</v>
      </c>
      <c r="AD116" t="s">
        <v>236</v>
      </c>
      <c r="AE116" s="68">
        <f ca="1">MEDIAN(B47:B61)</f>
        <v>3.4033333333333332E-2</v>
      </c>
      <c r="AF116" s="69">
        <f ca="1">MEDIAN(B65:B79)</f>
        <v>4.1822222222222219E-2</v>
      </c>
      <c r="AH116" s="37"/>
      <c r="AI116" s="70" t="s">
        <v>272</v>
      </c>
      <c r="AJ116" s="39" t="s">
        <v>228</v>
      </c>
      <c r="AK116" s="39" t="s">
        <v>230</v>
      </c>
      <c r="AL116" s="39" t="s">
        <v>273</v>
      </c>
      <c r="AM116" s="39" t="s">
        <v>233</v>
      </c>
      <c r="AN116" s="39" t="s">
        <v>274</v>
      </c>
      <c r="AO116" s="39" t="s">
        <v>249</v>
      </c>
      <c r="AP116" s="39" t="s">
        <v>275</v>
      </c>
      <c r="AQ116" s="39" t="s">
        <v>276</v>
      </c>
      <c r="AS116" t="s">
        <v>236</v>
      </c>
      <c r="AT116" s="68">
        <f ca="1">MEDIAN(C47:C61)</f>
        <v>5.1655555555555566E-2</v>
      </c>
      <c r="AU116" s="69">
        <f ca="1">MEDIAN(C65:C79)</f>
        <v>4.7755555555555551E-2</v>
      </c>
      <c r="AW116" s="37"/>
    </row>
    <row r="117" spans="5:49" x14ac:dyDescent="0.25">
      <c r="E117" s="60" t="str">
        <f>A46</f>
        <v>Groupe 1</v>
      </c>
      <c r="F117" s="60">
        <f ca="1">COUNT(A47:A61)</f>
        <v>15</v>
      </c>
      <c r="G117" s="60">
        <f ca="1">AVERAGE(A47:A61)</f>
        <v>0.83378444444444455</v>
      </c>
      <c r="H117" s="60">
        <f ca="1">_xlfn.STDEV.S(A47:A61)</f>
        <v>0.19454379945988814</v>
      </c>
      <c r="I117" s="60"/>
      <c r="J117" s="60"/>
      <c r="K117" s="60"/>
      <c r="L117" s="60"/>
      <c r="M117" s="60"/>
      <c r="N117" s="61"/>
      <c r="O117" s="60"/>
      <c r="P117" s="60"/>
      <c r="Q117" s="60"/>
      <c r="R117" s="60"/>
      <c r="S117" s="61"/>
      <c r="T117" s="60" t="str">
        <f>B46</f>
        <v>Groupe 2</v>
      </c>
      <c r="U117" s="60">
        <f ca="1">COUNT(B47:B61)</f>
        <v>15</v>
      </c>
      <c r="V117" s="60">
        <f ca="1">AVERAGE(B47:B61)</f>
        <v>4.9707407407407415E-2</v>
      </c>
      <c r="W117" s="60">
        <f ca="1">_xlfn.STDEV.S(B47:B61)</f>
        <v>4.6756796498610365E-2</v>
      </c>
      <c r="X117" s="60"/>
      <c r="Y117" s="60"/>
      <c r="Z117" s="30"/>
      <c r="AA117" s="30"/>
      <c r="AB117" s="30"/>
      <c r="AD117" t="s">
        <v>240</v>
      </c>
      <c r="AE117" s="49">
        <f>SUMPRODUCT(--ISNUMBER(B91:B105),--ISNUMBER(B110:B124))</f>
        <v>0</v>
      </c>
      <c r="AH117" s="37"/>
      <c r="AI117" t="str">
        <f>C46</f>
        <v>Groupe 3</v>
      </c>
      <c r="AJ117">
        <f ca="1">COUNT(C47:C61)</f>
        <v>15</v>
      </c>
      <c r="AK117">
        <f ca="1">AVERAGE(C47:C61)</f>
        <v>5.784740740740741E-2</v>
      </c>
      <c r="AL117">
        <f ca="1">_xlfn.STDEV.S(C47:C61)</f>
        <v>3.2694524474734941E-2</v>
      </c>
      <c r="AW117" s="37"/>
    </row>
    <row r="118" spans="5:49" x14ac:dyDescent="0.25">
      <c r="E118" s="60" t="str">
        <f>A64</f>
        <v>Groupe 1</v>
      </c>
      <c r="F118" s="60">
        <f ca="1">COUNT(A65:A79)</f>
        <v>15</v>
      </c>
      <c r="G118" s="60">
        <f ca="1">AVERAGE(A65:A79)</f>
        <v>0.94264444444444451</v>
      </c>
      <c r="H118" s="60">
        <f ca="1">_xlfn.STDEV.S(A65:A79)</f>
        <v>0.25568376987279956</v>
      </c>
      <c r="I118" s="60"/>
      <c r="J118" s="60"/>
      <c r="K118" s="60"/>
      <c r="L118" s="60"/>
      <c r="M118" s="60"/>
      <c r="N118" s="61"/>
      <c r="O118" s="60" t="s">
        <v>240</v>
      </c>
      <c r="P118" s="71">
        <f ca="1">SUMPRODUCT(--ISNUMBER(A47:A61),--ISNUMBER(A65:A79))</f>
        <v>15</v>
      </c>
      <c r="Q118" s="60"/>
      <c r="R118" s="60"/>
      <c r="S118" s="61"/>
      <c r="T118" s="60" t="str">
        <f>B64</f>
        <v>Groupe 2</v>
      </c>
      <c r="U118" s="60">
        <f ca="1">COUNT(B65:B79)</f>
        <v>15</v>
      </c>
      <c r="V118" s="60">
        <f ca="1">AVERAGE(B65:B79)</f>
        <v>4.9025925925925924E-2</v>
      </c>
      <c r="W118" s="60">
        <f ca="1">_xlfn.STDEV.S(B65:B79)</f>
        <v>4.0519187360874537E-2</v>
      </c>
      <c r="X118" s="60"/>
      <c r="Y118" s="60"/>
      <c r="Z118" s="30"/>
      <c r="AA118" s="30"/>
      <c r="AB118" s="30"/>
      <c r="AD118" t="s">
        <v>240</v>
      </c>
      <c r="AE118" s="49">
        <f ca="1">SUMPRODUCT(--ISNUMBER(B47:B61),--ISNUMBER(B65:B79))</f>
        <v>15</v>
      </c>
      <c r="AH118" s="37"/>
      <c r="AI118" t="str">
        <f>C64</f>
        <v>Groupe 3</v>
      </c>
      <c r="AJ118">
        <f ca="1">COUNT(C65:C79)</f>
        <v>15</v>
      </c>
      <c r="AK118">
        <f ca="1">AVERAGE(C65:C79)</f>
        <v>5.9216296296296295E-2</v>
      </c>
      <c r="AL118">
        <f ca="1">_xlfn.STDEV.S(C65:C79)</f>
        <v>3.688800555135411E-2</v>
      </c>
      <c r="AS118" t="s">
        <v>240</v>
      </c>
      <c r="AT118" s="49">
        <f ca="1">SUMPRODUCT(--ISNUMBER(C47:C61),--ISNUMBER(C65:C79))</f>
        <v>15</v>
      </c>
      <c r="AW118" s="37"/>
    </row>
    <row r="119" spans="5:49" x14ac:dyDescent="0.25">
      <c r="E119" s="72" t="s">
        <v>277</v>
      </c>
      <c r="F119" s="72">
        <f ca="1">F118</f>
        <v>15</v>
      </c>
      <c r="G119" s="72">
        <f ca="1">G117-G118</f>
        <v>-0.10885999999999996</v>
      </c>
      <c r="H119" s="72">
        <f t="array" ref="H119" ca="1">_xlfn.STDEV.S(A47:A61-A65:A79)</f>
        <v>0.15670342312260496</v>
      </c>
      <c r="I119" s="72">
        <f ca="1">H119/SQRT(F119)</f>
        <v>4.0460649869836218E-2</v>
      </c>
      <c r="J119" s="72">
        <f ca="1">(G117-G118-L115)/I119</f>
        <v>-2.6905153612264661</v>
      </c>
      <c r="K119" s="72">
        <f ca="1">F119-1</f>
        <v>14</v>
      </c>
      <c r="L119" s="72">
        <f ca="1">ABS(G117-G118-L115)/H119</f>
        <v>0.69468807911635566</v>
      </c>
      <c r="M119" s="72">
        <f ca="1">SQRT(J119^2/(J119^2+K119))</f>
        <v>0.58380759804080229</v>
      </c>
      <c r="N119" s="61"/>
      <c r="O119" s="60" t="s">
        <v>278</v>
      </c>
      <c r="P119" s="73">
        <f ca="1">SUMPRODUCT(--ISNUMBER(A47:A61),--ISNUMBER(A65:A79),--(A47:A61&lt;&gt;A65:A79))</f>
        <v>15</v>
      </c>
      <c r="Q119" s="60"/>
      <c r="R119" s="60"/>
      <c r="S119" s="61"/>
      <c r="T119" s="74" t="s">
        <v>277</v>
      </c>
      <c r="U119" s="72">
        <f ca="1">U118</f>
        <v>15</v>
      </c>
      <c r="V119" s="72">
        <f ca="1">V117-V118</f>
        <v>6.8148148148149124E-4</v>
      </c>
      <c r="W119" s="72">
        <f t="array" ref="W119" ca="1">_xlfn.STDEV.S(B47:B61-B65:B79)</f>
        <v>2.1523500411384015E-2</v>
      </c>
      <c r="X119" s="72">
        <f ca="1">W119/SQRT(U119)</f>
        <v>5.5573439096919183E-3</v>
      </c>
      <c r="Y119" s="72">
        <f ca="1">(V117-V118-AA115)/X119</f>
        <v>0.12262719251421501</v>
      </c>
      <c r="Z119" s="34">
        <f ca="1">U119-1</f>
        <v>14</v>
      </c>
      <c r="AA119" s="34">
        <f ca="1">ABS(V117-V118-AA115)/W119</f>
        <v>3.1662204959981705E-2</v>
      </c>
      <c r="AB119" s="34">
        <f ca="1">SQRT(Y119^2/(Y119^2+Z119))</f>
        <v>3.275590889081148E-2</v>
      </c>
      <c r="AD119" t="s">
        <v>278</v>
      </c>
      <c r="AE119" s="56">
        <f ca="1">SUMPRODUCT(--ISNUMBER(B47:B61),--ISNUMBER(B65:B79),--(B47:B61&lt;&gt;B65:B79))</f>
        <v>15</v>
      </c>
      <c r="AH119" s="37"/>
      <c r="AI119" s="75" t="s">
        <v>277</v>
      </c>
      <c r="AJ119" s="34">
        <f ca="1">AJ118</f>
        <v>15</v>
      </c>
      <c r="AK119" s="34">
        <f ca="1">AK117-AK118</f>
        <v>-1.3688888888888848E-3</v>
      </c>
      <c r="AL119" s="34">
        <f t="array" ref="AL119" ca="1">_xlfn.STDEV.S(C47:C61-C65:C79)</f>
        <v>2.7633207025451533E-2</v>
      </c>
      <c r="AM119" s="34">
        <f ca="1">AL119/SQRT(AJ119)</f>
        <v>7.1348633741250382E-3</v>
      </c>
      <c r="AN119" s="34">
        <f ca="1">(AK117-AK118-AP115)/AM119</f>
        <v>-0.19185915932927786</v>
      </c>
      <c r="AO119" s="34">
        <f ca="1">AJ119-1</f>
        <v>14</v>
      </c>
      <c r="AP119" s="34">
        <f ca="1">ABS(AK117-AK118-AP115)/AL119</f>
        <v>4.953782192664323E-2</v>
      </c>
      <c r="AQ119" s="34">
        <f ca="1">SQRT(AN119^2/(AN119^2+AO119))</f>
        <v>5.1209239642558087E-2</v>
      </c>
      <c r="AS119" t="s">
        <v>278</v>
      </c>
      <c r="AT119" s="56">
        <f ca="1">SUMPRODUCT(--ISNUMBER(C47:C61),--ISNUMBER(C65:C79),--(C47:C61&lt;&gt;C65:C79))</f>
        <v>15</v>
      </c>
      <c r="AW119" s="37"/>
    </row>
    <row r="120" spans="5:49" x14ac:dyDescent="0.25">
      <c r="E120" s="60"/>
      <c r="F120" s="60"/>
      <c r="G120" s="60"/>
      <c r="H120" s="60"/>
      <c r="I120" s="60"/>
      <c r="J120" s="60"/>
      <c r="K120" s="60"/>
      <c r="L120" s="60"/>
      <c r="M120" s="60"/>
      <c r="N120" s="61"/>
      <c r="O120" s="60" t="s">
        <v>279</v>
      </c>
      <c r="P120" s="73">
        <f ca="1">IF(P122&lt;=P125,P122,P119*(P119+1)/2)</f>
        <v>19</v>
      </c>
      <c r="Q120" s="60"/>
      <c r="R120" s="60"/>
      <c r="S120" s="61"/>
      <c r="T120" s="60"/>
      <c r="U120" s="60"/>
      <c r="V120" s="60"/>
      <c r="W120" s="60"/>
      <c r="X120" s="60"/>
      <c r="Y120" s="60"/>
      <c r="Z120" s="30"/>
      <c r="AA120" s="30"/>
      <c r="AB120" s="30"/>
      <c r="AD120" t="s">
        <v>279</v>
      </c>
      <c r="AE120" s="56">
        <f ca="1">IF(AE122&lt;=AE125,AE122,AE119*(AE119+1)/2)</f>
        <v>58</v>
      </c>
      <c r="AH120" s="37"/>
      <c r="AS120" t="s">
        <v>279</v>
      </c>
      <c r="AT120" s="56">
        <f ca="1">IF(AT122&lt;=AT125,AT122,AT119*(AT119+1)/2)</f>
        <v>54</v>
      </c>
      <c r="AW120" s="37"/>
    </row>
    <row r="121" spans="5:49" ht="13.8" thickBot="1" x14ac:dyDescent="0.3">
      <c r="E121" s="60" t="s">
        <v>280</v>
      </c>
      <c r="F121" s="60"/>
      <c r="G121" s="60"/>
      <c r="H121" s="60"/>
      <c r="I121" s="60"/>
      <c r="J121" s="60"/>
      <c r="K121" s="60"/>
      <c r="L121" s="60"/>
      <c r="M121" s="60"/>
      <c r="N121" s="61"/>
      <c r="O121" s="60" t="s">
        <v>281</v>
      </c>
      <c r="P121" s="73">
        <f ca="1">P119*(P119+1)/2-P120</f>
        <v>101</v>
      </c>
      <c r="Q121" s="60"/>
      <c r="R121" s="60"/>
      <c r="S121" s="61"/>
      <c r="T121" s="60" t="s">
        <v>280</v>
      </c>
      <c r="U121" s="60"/>
      <c r="V121" s="60"/>
      <c r="W121" s="60"/>
      <c r="X121" s="60"/>
      <c r="Y121" s="60"/>
      <c r="Z121" s="30"/>
      <c r="AA121" s="30"/>
      <c r="AB121" s="30"/>
      <c r="AD121" t="s">
        <v>281</v>
      </c>
      <c r="AE121" s="77">
        <f ca="1">AE119*(AE119+1)/2-AE120</f>
        <v>62</v>
      </c>
      <c r="AH121" s="37"/>
      <c r="AI121" t="s">
        <v>280</v>
      </c>
      <c r="AS121" t="s">
        <v>281</v>
      </c>
      <c r="AT121" s="56">
        <f ca="1">AT119*(AT119+1)/2-AT120</f>
        <v>66</v>
      </c>
      <c r="AW121" s="37"/>
    </row>
    <row r="122" spans="5:49" ht="13.8" thickTop="1" x14ac:dyDescent="0.25">
      <c r="E122" s="62" t="s">
        <v>133</v>
      </c>
      <c r="F122" s="62" t="s">
        <v>211</v>
      </c>
      <c r="G122" s="62" t="s">
        <v>282</v>
      </c>
      <c r="H122" s="62" t="s">
        <v>283</v>
      </c>
      <c r="I122" s="62" t="s">
        <v>284</v>
      </c>
      <c r="J122" s="62" t="s">
        <v>259</v>
      </c>
      <c r="K122" s="60"/>
      <c r="L122" s="60"/>
      <c r="M122" s="60"/>
      <c r="N122" s="63"/>
      <c r="O122" s="64" t="s">
        <v>285</v>
      </c>
      <c r="P122" s="76">
        <f ca="1">[1]!SRANK(A47:A61,A65:A79)</f>
        <v>19</v>
      </c>
      <c r="Q122" s="64"/>
      <c r="R122" s="64"/>
      <c r="S122" s="61"/>
      <c r="T122" s="67" t="s">
        <v>133</v>
      </c>
      <c r="U122" s="62" t="s">
        <v>211</v>
      </c>
      <c r="V122" s="62" t="s">
        <v>282</v>
      </c>
      <c r="W122" s="62" t="s">
        <v>283</v>
      </c>
      <c r="X122" s="62" t="s">
        <v>284</v>
      </c>
      <c r="Y122" s="62" t="s">
        <v>259</v>
      </c>
      <c r="Z122" s="30"/>
      <c r="AA122" s="30"/>
      <c r="AB122" s="30"/>
      <c r="AD122" t="s">
        <v>285</v>
      </c>
      <c r="AE122" s="77">
        <f ca="1">[1]!SRANK(B47:B61,B65:B79)</f>
        <v>58</v>
      </c>
      <c r="AH122" s="37"/>
      <c r="AI122" s="70" t="s">
        <v>133</v>
      </c>
      <c r="AJ122" s="39" t="s">
        <v>211</v>
      </c>
      <c r="AK122" s="39" t="s">
        <v>282</v>
      </c>
      <c r="AL122" s="39" t="s">
        <v>283</v>
      </c>
      <c r="AM122" s="39" t="s">
        <v>284</v>
      </c>
      <c r="AN122" s="39" t="s">
        <v>259</v>
      </c>
      <c r="AS122" t="s">
        <v>285</v>
      </c>
      <c r="AT122" s="77">
        <f ca="1">[1]!SRANK(C47:C61,C65:C79)</f>
        <v>54</v>
      </c>
      <c r="AW122" s="37"/>
    </row>
    <row r="123" spans="5:49" x14ac:dyDescent="0.25">
      <c r="E123" s="60" t="s">
        <v>286</v>
      </c>
      <c r="F123" s="88">
        <f ca="1">_xlfn.T.DIST.RT(ABS(J119),K119)</f>
        <v>8.7900391241592917E-3</v>
      </c>
      <c r="G123" s="60">
        <f ca="1">_xlfn.T.INV.2T(I115*2,K119)</f>
        <v>1.7613101357748921</v>
      </c>
      <c r="H123" s="60"/>
      <c r="I123" s="60"/>
      <c r="J123" s="79" t="str">
        <f ca="1">IF(F123&lt;I115,"yes","no")</f>
        <v>yes</v>
      </c>
      <c r="K123" s="60"/>
      <c r="L123" s="60"/>
      <c r="M123" s="60"/>
      <c r="N123" s="61"/>
      <c r="O123" s="78"/>
      <c r="P123" s="60"/>
      <c r="Q123" s="60"/>
      <c r="R123" s="60"/>
      <c r="S123" s="61"/>
      <c r="T123" s="60" t="s">
        <v>286</v>
      </c>
      <c r="U123" s="98">
        <f ca="1">_xlfn.T.DIST.RT(ABS(Y119),Z119)</f>
        <v>0.45207263170270673</v>
      </c>
      <c r="V123" s="60">
        <f ca="1">_xlfn.T.INV.2T(X115*2,Z119)</f>
        <v>1.7613101357748921</v>
      </c>
      <c r="W123" s="60"/>
      <c r="X123" s="60"/>
      <c r="Y123" s="79" t="str">
        <f ca="1">IF(U123&lt;X115,"yes","no")</f>
        <v>no</v>
      </c>
      <c r="Z123" s="30"/>
      <c r="AA123" s="30"/>
      <c r="AB123" s="30"/>
      <c r="AE123" s="80" t="s">
        <v>288</v>
      </c>
      <c r="AF123" s="80" t="s">
        <v>289</v>
      </c>
      <c r="AH123" s="37"/>
      <c r="AI123" t="s">
        <v>286</v>
      </c>
      <c r="AJ123" s="96">
        <f ca="1">_xlfn.T.DIST.RT(ABS(AN119),AO119)</f>
        <v>0.42530372891302309</v>
      </c>
      <c r="AK123">
        <f ca="1">_xlfn.T.INV.2T(AM115*2,AO119)</f>
        <v>1.7613101357748921</v>
      </c>
      <c r="AN123" s="80" t="str">
        <f ca="1">IF(AJ123&lt;AM115,"yes","no")</f>
        <v>no</v>
      </c>
      <c r="AW123" s="37"/>
    </row>
    <row r="124" spans="5:49" x14ac:dyDescent="0.25">
      <c r="E124" s="60" t="s">
        <v>287</v>
      </c>
      <c r="F124" s="109">
        <f ca="1">_xlfn.T.DIST.2T(ABS(J119),K119)</f>
        <v>1.7580078248318583E-2</v>
      </c>
      <c r="G124" s="79">
        <f ca="1">_xlfn.T.INV.2T(I115,K119)</f>
        <v>2.1447866879178044</v>
      </c>
      <c r="H124" s="60">
        <f ca="1">(G117-G118)-I119*G124</f>
        <v>-0.19563946322532794</v>
      </c>
      <c r="I124" s="60">
        <f ca="1">(G117-G118)+I119*G124</f>
        <v>-2.2080536774671991E-2</v>
      </c>
      <c r="J124" s="79" t="str">
        <f ca="1">IF(F124&lt;I115,"yes","no")</f>
        <v>yes</v>
      </c>
      <c r="K124" s="60"/>
      <c r="L124" s="60"/>
      <c r="M124" s="60"/>
      <c r="N124" s="61"/>
      <c r="O124" s="78"/>
      <c r="P124" s="79" t="s">
        <v>288</v>
      </c>
      <c r="Q124" s="79" t="s">
        <v>289</v>
      </c>
      <c r="R124" s="60"/>
      <c r="S124" s="61"/>
      <c r="T124" s="60" t="s">
        <v>287</v>
      </c>
      <c r="U124" s="105">
        <f ca="1">_xlfn.T.DIST.2T(ABS(Y119),Z119)</f>
        <v>0.90414526340541346</v>
      </c>
      <c r="V124" s="79">
        <f ca="1">_xlfn.T.INV.2T(X115,Z119)</f>
        <v>2.1447866879178044</v>
      </c>
      <c r="W124" s="60">
        <f ca="1">(V117-V118)-X119*V124</f>
        <v>-1.1237835756206819E-2</v>
      </c>
      <c r="X124" s="60">
        <f ca="1">(V117-V118)+X119*V124</f>
        <v>1.2600798719169802E-2</v>
      </c>
      <c r="Y124" s="79" t="str">
        <f ca="1">IF(U124&lt;X115,"yes","no")</f>
        <v>no</v>
      </c>
      <c r="Z124" s="30"/>
      <c r="AA124" s="30"/>
      <c r="AB124" s="30"/>
      <c r="AD124" t="s">
        <v>226</v>
      </c>
      <c r="AE124" s="90" t="s">
        <v>288</v>
      </c>
      <c r="AF124" s="80" t="s">
        <v>289</v>
      </c>
      <c r="AH124" s="37"/>
      <c r="AI124" t="s">
        <v>287</v>
      </c>
      <c r="AJ124" s="96">
        <f ca="1">_xlfn.T.DIST.2T(ABS(AN119),AO119)</f>
        <v>0.85060745782604619</v>
      </c>
      <c r="AK124">
        <f ca="1">_xlfn.T.INV.2T(AM115,AO119)</f>
        <v>2.1447866879178044</v>
      </c>
      <c r="AL124">
        <f ca="1">(AK117-AK118)-AM119*AK124</f>
        <v>-1.6671648873824576E-2</v>
      </c>
      <c r="AM124">
        <f ca="1">(AK117-AK118)+AM119*AK124</f>
        <v>1.3933871096046806E-2</v>
      </c>
      <c r="AN124" s="80" t="str">
        <f ca="1">IF(AJ124&lt;AM115,"yes","no")</f>
        <v>no</v>
      </c>
      <c r="AT124" s="80" t="s">
        <v>288</v>
      </c>
      <c r="AU124" s="80" t="s">
        <v>289</v>
      </c>
      <c r="AW124" s="37"/>
    </row>
    <row r="125" spans="5:49" x14ac:dyDescent="0.25">
      <c r="E125" s="72"/>
      <c r="F125" s="72"/>
      <c r="G125" s="72"/>
      <c r="H125" s="72"/>
      <c r="I125" s="72"/>
      <c r="J125" s="72"/>
      <c r="K125" s="60"/>
      <c r="L125" s="60"/>
      <c r="M125" s="60"/>
      <c r="N125" s="61"/>
      <c r="O125" s="60" t="s">
        <v>226</v>
      </c>
      <c r="P125" s="71">
        <f ca="1">P119*(P119+1)/4</f>
        <v>60</v>
      </c>
      <c r="Q125" s="60"/>
      <c r="R125" s="60"/>
      <c r="S125" s="61"/>
      <c r="T125" s="74"/>
      <c r="U125" s="72"/>
      <c r="V125" s="72"/>
      <c r="W125" s="72"/>
      <c r="X125" s="72"/>
      <c r="Y125" s="72"/>
      <c r="Z125" s="30"/>
      <c r="AA125" s="30"/>
      <c r="AB125" s="30"/>
      <c r="AD125" t="s">
        <v>226</v>
      </c>
      <c r="AE125" s="49">
        <f ca="1">AE119*(AE119+1)/4</f>
        <v>60</v>
      </c>
      <c r="AF125" t="s">
        <v>291</v>
      </c>
      <c r="AH125" s="37"/>
      <c r="AI125" s="75"/>
      <c r="AJ125" s="34"/>
      <c r="AK125" s="34"/>
      <c r="AL125" s="34"/>
      <c r="AM125" s="34"/>
      <c r="AN125" s="34"/>
      <c r="AS125" t="s">
        <v>226</v>
      </c>
      <c r="AT125" s="49">
        <f ca="1">AT119*(AT119+1)/4</f>
        <v>60</v>
      </c>
      <c r="AW125" s="37"/>
    </row>
    <row r="126" spans="5:49" x14ac:dyDescent="0.25">
      <c r="E126" s="60"/>
      <c r="F126" s="60"/>
      <c r="G126" s="60"/>
      <c r="H126" s="60"/>
      <c r="I126" s="60"/>
      <c r="J126" s="60"/>
      <c r="K126" s="60"/>
      <c r="L126" s="60"/>
      <c r="M126" s="60"/>
      <c r="N126" s="61"/>
      <c r="O126" s="60" t="s">
        <v>290</v>
      </c>
      <c r="P126" s="73">
        <f ca="1">SQRT(P125*(2*P119+1)/6-[1]!TiesCorrection(A47:A61,A65:A79,1)/48)</f>
        <v>17.606816861659009</v>
      </c>
      <c r="Q126" s="60" t="s">
        <v>291</v>
      </c>
      <c r="R126" s="60"/>
      <c r="S126" s="61"/>
      <c r="T126" s="60"/>
      <c r="U126" s="60"/>
      <c r="V126" s="60"/>
      <c r="W126" s="60"/>
      <c r="X126" s="60"/>
      <c r="Y126" s="60"/>
      <c r="Z126" s="30"/>
      <c r="AA126" s="30"/>
      <c r="AB126" s="30"/>
      <c r="AD126" t="s">
        <v>290</v>
      </c>
      <c r="AE126" s="56">
        <f ca="1">SQRT(AE125*(2*AE119+1)/6-[1]!TiesCorrection(B47:B61,B65:B79,1)/48)</f>
        <v>17.606816861659009</v>
      </c>
      <c r="AF126" t="s">
        <v>291</v>
      </c>
      <c r="AH126" s="37"/>
      <c r="AS126" t="s">
        <v>290</v>
      </c>
      <c r="AT126" s="56">
        <f ca="1">SQRT(AT125*(2*AT119+1)/6-[1]!TiesCorrection(C47:C61,C65:C79,1)/48)</f>
        <v>17.606816861659009</v>
      </c>
      <c r="AU126" t="s">
        <v>291</v>
      </c>
      <c r="AW126" s="37"/>
    </row>
    <row r="127" spans="5:49" x14ac:dyDescent="0.25">
      <c r="E127" s="60"/>
      <c r="F127" s="60"/>
      <c r="G127" s="60"/>
      <c r="H127" s="60"/>
      <c r="I127" s="60"/>
      <c r="J127" s="60"/>
      <c r="K127" s="60"/>
      <c r="L127" s="60"/>
      <c r="M127" s="60"/>
      <c r="N127" s="61"/>
      <c r="O127" s="60" t="s">
        <v>292</v>
      </c>
      <c r="P127" s="73">
        <f ca="1">ABS(ABS(P122-P125)-1/2)/P126</f>
        <v>2.3002454287006127</v>
      </c>
      <c r="Q127" s="60" t="s">
        <v>293</v>
      </c>
      <c r="R127" s="60"/>
      <c r="S127" s="61"/>
      <c r="T127" s="60"/>
      <c r="U127" s="60"/>
      <c r="V127" s="60"/>
      <c r="W127" s="60"/>
      <c r="X127" s="60"/>
      <c r="Y127" s="60"/>
      <c r="Z127" s="30"/>
      <c r="AA127" s="30"/>
      <c r="AB127" s="30"/>
      <c r="AD127" t="s">
        <v>292</v>
      </c>
      <c r="AE127" s="56">
        <f ca="1">ABS(ABS(AE122-AE125)-1/2)/AE126</f>
        <v>8.5194275137059725E-2</v>
      </c>
      <c r="AF127" t="s">
        <v>293</v>
      </c>
      <c r="AH127" s="37"/>
      <c r="AS127" t="s">
        <v>292</v>
      </c>
      <c r="AT127" s="56">
        <f ca="1">ABS(ABS(AT122-AT125)-1/2)/AT126</f>
        <v>0.31237900883588565</v>
      </c>
      <c r="AU127" t="s">
        <v>293</v>
      </c>
      <c r="AW127" s="37"/>
    </row>
    <row r="128" spans="5:49" x14ac:dyDescent="0.25">
      <c r="E128" s="60"/>
      <c r="F128" s="60"/>
      <c r="G128" s="60"/>
      <c r="H128" s="60"/>
      <c r="I128" s="60"/>
      <c r="J128" s="60"/>
      <c r="K128" s="60"/>
      <c r="L128" s="60"/>
      <c r="M128" s="60"/>
      <c r="N128" s="61"/>
      <c r="O128" s="60" t="s">
        <v>294</v>
      </c>
      <c r="P128" s="73">
        <f ca="1">P127/SQRT(2*P118)</f>
        <v>0.41996543636582229</v>
      </c>
      <c r="Q128" s="60"/>
      <c r="R128" s="60"/>
      <c r="S128" s="61"/>
      <c r="T128" s="60"/>
      <c r="U128" s="60"/>
      <c r="V128" s="60"/>
      <c r="W128" s="60"/>
      <c r="X128" s="60"/>
      <c r="Y128" s="60"/>
      <c r="Z128" s="30"/>
      <c r="AA128" s="30"/>
      <c r="AB128" s="30"/>
      <c r="AD128" t="s">
        <v>294</v>
      </c>
      <c r="AE128" s="91">
        <f ca="1">AE127/SQRT(2*AE118)</f>
        <v>1.555427542095638E-2</v>
      </c>
      <c r="AF128" s="92">
        <f ca="1">2*AE128</f>
        <v>3.110855084191276E-2</v>
      </c>
      <c r="AH128" s="37"/>
      <c r="AS128" t="s">
        <v>294</v>
      </c>
      <c r="AT128" s="56">
        <f ca="1">AT127/SQRT(2*AT118)</f>
        <v>5.7032343210173392E-2</v>
      </c>
      <c r="AW128" s="37"/>
    </row>
    <row r="129" spans="5:49" x14ac:dyDescent="0.25">
      <c r="E129" s="78"/>
      <c r="F129" s="78"/>
      <c r="G129" s="60"/>
      <c r="H129" s="60"/>
      <c r="I129" s="60"/>
      <c r="J129" s="60"/>
      <c r="K129" s="60"/>
      <c r="L129" s="60"/>
      <c r="M129" s="60"/>
      <c r="N129" s="61"/>
      <c r="O129" s="60" t="s">
        <v>295</v>
      </c>
      <c r="P129" s="81">
        <f ca="1">1-_xlfn.NORM.S.DIST(P127,TRUE)</f>
        <v>1.0717159715540325E-2</v>
      </c>
      <c r="Q129" s="82">
        <f ca="1">2*P129</f>
        <v>2.1434319431080651E-2</v>
      </c>
      <c r="R129" s="60"/>
      <c r="S129" s="61"/>
      <c r="T129" s="60"/>
      <c r="U129" s="78"/>
      <c r="V129" s="60"/>
      <c r="W129" s="60"/>
      <c r="X129" s="60"/>
      <c r="Y129" s="60"/>
      <c r="Z129" s="30"/>
      <c r="AA129" s="30"/>
      <c r="AB129" s="30"/>
      <c r="AD129" t="s">
        <v>295</v>
      </c>
      <c r="AE129" s="101">
        <f ca="1">1-_xlfn.NORM.S.DIST(AE127,TRUE)</f>
        <v>0.46605347090740357</v>
      </c>
      <c r="AF129" s="82">
        <f ca="1">2*AE129</f>
        <v>0.93210694181480713</v>
      </c>
      <c r="AH129" s="37"/>
      <c r="AS129" t="s">
        <v>295</v>
      </c>
      <c r="AT129" s="81">
        <f ca="1">1-_xlfn.NORM.S.DIST(AT127,TRUE)</f>
        <v>0.37737625064509195</v>
      </c>
      <c r="AU129" s="82">
        <f ca="1">2*AT129</f>
        <v>0.7547525012901839</v>
      </c>
      <c r="AW129" s="37"/>
    </row>
    <row r="130" spans="5:49" x14ac:dyDescent="0.25">
      <c r="E130" s="78"/>
      <c r="F130" s="78"/>
      <c r="G130" s="60"/>
      <c r="H130" s="60"/>
      <c r="I130" s="60"/>
      <c r="J130" s="60"/>
      <c r="K130" s="60"/>
      <c r="L130" s="60"/>
      <c r="M130" s="60"/>
      <c r="N130" s="61"/>
      <c r="O130" s="60" t="s">
        <v>296</v>
      </c>
      <c r="P130" s="83">
        <f ca="1">[1]!SRDIST(P122,P119,1)</f>
        <v>9.033203125E-3</v>
      </c>
      <c r="Q130" s="84">
        <f ca="1">2*P130</f>
        <v>1.806640625E-2</v>
      </c>
      <c r="R130" s="60"/>
      <c r="S130" s="61"/>
      <c r="T130" s="60"/>
      <c r="U130" s="78"/>
      <c r="V130" s="60"/>
      <c r="W130" s="60"/>
      <c r="X130" s="60"/>
      <c r="Y130" s="60"/>
      <c r="Z130" s="30"/>
      <c r="AA130" s="30"/>
      <c r="AB130" s="30"/>
      <c r="AD130" t="s">
        <v>296</v>
      </c>
      <c r="AE130" s="110">
        <f ca="1">[1]!SRDIST(AE122,AE119,1)</f>
        <v>0.467041015625</v>
      </c>
      <c r="AF130" s="97">
        <f ca="1">2*AE130</f>
        <v>0.93408203125</v>
      </c>
      <c r="AH130" s="37"/>
      <c r="AS130" t="s">
        <v>296</v>
      </c>
      <c r="AT130" s="83">
        <f ca="1">[1]!SRDIST(AT122,AT119,1)</f>
        <v>0.380767822265625</v>
      </c>
      <c r="AU130" s="84">
        <f ca="1">2*AT130</f>
        <v>0.76153564453125</v>
      </c>
      <c r="AW130" s="37"/>
    </row>
    <row r="131" spans="5:49" x14ac:dyDescent="0.25">
      <c r="E131" s="60"/>
      <c r="F131" s="60"/>
      <c r="G131" s="60"/>
      <c r="H131" s="60"/>
      <c r="I131" s="60"/>
      <c r="J131" s="60"/>
      <c r="K131" s="60"/>
      <c r="L131" s="60"/>
      <c r="M131" s="60"/>
      <c r="N131" s="61"/>
      <c r="O131" s="60" t="s">
        <v>297</v>
      </c>
      <c r="P131" s="85" t="s">
        <v>298</v>
      </c>
      <c r="Q131" s="86" t="s">
        <v>298</v>
      </c>
      <c r="R131" s="60"/>
      <c r="S131" s="61"/>
      <c r="T131" s="60"/>
      <c r="U131" s="60"/>
      <c r="V131" s="60"/>
      <c r="W131" s="60"/>
      <c r="X131" s="60"/>
      <c r="Y131" s="60"/>
      <c r="Z131" s="30"/>
      <c r="AA131" s="30"/>
      <c r="AB131" s="30"/>
      <c r="AD131" t="s">
        <v>297</v>
      </c>
      <c r="AE131" s="77" t="s">
        <v>298</v>
      </c>
      <c r="AF131" s="55" t="s">
        <v>298</v>
      </c>
      <c r="AH131" s="37"/>
      <c r="AS131" t="s">
        <v>297</v>
      </c>
      <c r="AT131" s="77" t="s">
        <v>298</v>
      </c>
      <c r="AU131" s="55" t="s">
        <v>298</v>
      </c>
      <c r="AW131" s="37"/>
    </row>
    <row r="132" spans="5:49" x14ac:dyDescent="0.25">
      <c r="N132" s="37"/>
    </row>
  </sheetData>
  <mergeCells count="60"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K4" sqref="K4"/>
    </sheetView>
  </sheetViews>
  <sheetFormatPr baseColWidth="10" defaultColWidth="11.5546875" defaultRowHeight="13.2" x14ac:dyDescent="0.25"/>
  <cols>
    <col min="2" max="2" width="18.21875" customWidth="1"/>
    <col min="3" max="3" width="10.5546875" customWidth="1"/>
    <col min="4" max="4" width="17.44140625" customWidth="1"/>
    <col min="5" max="5" width="21.7773437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62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62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62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62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62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62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62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62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66"/>
      <c r="B13" s="166"/>
      <c r="C13" s="166"/>
      <c r="D13" s="166"/>
      <c r="E13" s="5" t="s">
        <v>22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62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62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62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62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62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62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62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62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66"/>
      <c r="B23" s="166"/>
      <c r="C23" s="166"/>
      <c r="D23" s="166"/>
      <c r="E23" s="5" t="s">
        <v>22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62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62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62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62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62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62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62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62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66"/>
      <c r="B33" s="166"/>
      <c r="C33" s="166"/>
      <c r="D33" s="166"/>
      <c r="E33" s="5" t="s">
        <v>22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62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62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62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62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62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62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62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62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66"/>
      <c r="B43" s="166"/>
      <c r="C43" s="166"/>
      <c r="D43" s="166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5" sqref="B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62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62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62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62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62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62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62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62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66"/>
      <c r="B13" s="166"/>
      <c r="C13" s="166"/>
      <c r="D13" s="166"/>
      <c r="E13" s="5" t="s">
        <v>47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62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62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62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62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62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62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62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62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66"/>
      <c r="B23" s="166"/>
      <c r="C23" s="166"/>
      <c r="D23" s="166"/>
      <c r="E23" s="5" t="s">
        <v>52</v>
      </c>
      <c r="F23" s="5" t="s">
        <v>53</v>
      </c>
    </row>
    <row r="24" spans="1:14" ht="15" x14ac:dyDescent="0.25">
      <c r="A24" s="162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62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62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62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62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62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62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62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62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66"/>
      <c r="B33" s="166"/>
      <c r="C33" s="166"/>
      <c r="D33" s="166"/>
      <c r="E33" s="5" t="s">
        <v>56</v>
      </c>
      <c r="F33" s="5" t="s">
        <v>57</v>
      </c>
    </row>
    <row r="34" spans="1:14" ht="15" x14ac:dyDescent="0.25">
      <c r="A34" s="162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62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62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62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62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62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62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62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62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66"/>
      <c r="B43" s="166"/>
      <c r="C43" s="166"/>
      <c r="D43" s="166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1.7773437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62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62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62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62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62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62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62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62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66"/>
      <c r="B13" s="166"/>
      <c r="C13" s="166"/>
      <c r="D13" s="166"/>
      <c r="E13" s="5" t="s">
        <v>61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62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62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62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62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62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62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62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62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66"/>
      <c r="B23" s="166"/>
      <c r="C23" s="166"/>
      <c r="D23" s="166"/>
      <c r="E23" s="5" t="s">
        <v>61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62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62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62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62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62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62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62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62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66"/>
      <c r="B33" s="166"/>
      <c r="C33" s="166"/>
      <c r="D33" s="166"/>
      <c r="E33" s="5" t="s">
        <v>67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62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62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62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62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62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62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62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62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66"/>
      <c r="B43" s="166"/>
      <c r="C43" s="166"/>
      <c r="D43" s="166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62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62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62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62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62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62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62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62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66"/>
      <c r="B13" s="166"/>
      <c r="C13" s="166"/>
      <c r="D13" s="166"/>
      <c r="E13" s="5" t="s">
        <v>73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62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62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62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62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62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62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62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62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66"/>
      <c r="B23" s="166"/>
      <c r="C23" s="166"/>
      <c r="D23" s="166"/>
      <c r="E23" s="5" t="s">
        <v>73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62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62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62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62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62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62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62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62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66"/>
      <c r="B33" s="166"/>
      <c r="C33" s="166"/>
      <c r="D33" s="166"/>
      <c r="E33" s="5" t="s">
        <v>73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62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62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62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62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62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62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62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62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66"/>
      <c r="B43" s="166"/>
      <c r="C43" s="166"/>
      <c r="D43" s="166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62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62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62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62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62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62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62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62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62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62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62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62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62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62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62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62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66"/>
      <c r="B23" s="166"/>
      <c r="C23" s="166"/>
      <c r="D23" s="166"/>
      <c r="E23" s="5" t="s">
        <v>84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62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62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62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62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62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62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62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62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66"/>
      <c r="B33" s="166"/>
      <c r="C33" s="166"/>
      <c r="D33" s="166"/>
      <c r="E33" s="5" t="s">
        <v>82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62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62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62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62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62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62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62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62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66"/>
      <c r="B43" s="166"/>
      <c r="C43" s="166"/>
      <c r="D43" s="166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62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62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62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62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62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62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62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62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62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62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62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62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62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62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62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62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66"/>
      <c r="B23" s="166"/>
      <c r="C23" s="166"/>
      <c r="D23" s="166"/>
      <c r="E23" s="5" t="s">
        <v>92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62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62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62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62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62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62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62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62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66"/>
      <c r="B33" s="166"/>
      <c r="C33" s="166"/>
      <c r="D33" s="166"/>
      <c r="E33" s="5" t="s">
        <v>47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62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62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62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62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62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62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62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62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66"/>
      <c r="B43" s="166"/>
      <c r="C43" s="166"/>
      <c r="D43" s="166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62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62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62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62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62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62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62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62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66"/>
      <c r="B13" s="166"/>
      <c r="C13" s="166"/>
      <c r="D13" s="166"/>
      <c r="E13" s="5" t="s">
        <v>97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62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62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62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62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62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62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62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62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66"/>
      <c r="B23" s="166"/>
      <c r="C23" s="166"/>
      <c r="D23" s="166"/>
      <c r="E23" s="5" t="s">
        <v>97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62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62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62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62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62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62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62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62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66"/>
      <c r="B33" s="166"/>
      <c r="C33" s="166"/>
      <c r="D33" s="166"/>
      <c r="E33" s="5" t="s">
        <v>47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62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62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62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62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62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62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62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62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66"/>
      <c r="B43" s="166"/>
      <c r="C43" s="166"/>
      <c r="D43" s="166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62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62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62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62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62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62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62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62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62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62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62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62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62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62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62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62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66"/>
      <c r="B23" s="166"/>
      <c r="C23" s="166"/>
      <c r="D23" s="166"/>
      <c r="E23" s="5" t="s">
        <v>84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62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62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62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62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62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62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62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62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66"/>
      <c r="B33" s="166"/>
      <c r="C33" s="166"/>
      <c r="D33" s="166"/>
      <c r="E33" s="5" t="s">
        <v>102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62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62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62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62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62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62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62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62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66"/>
      <c r="B43" s="166"/>
      <c r="C43" s="166"/>
      <c r="D43" s="166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62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62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62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62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62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62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62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62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66"/>
      <c r="B13" s="166"/>
      <c r="C13" s="166"/>
      <c r="D13" s="166"/>
      <c r="E13" s="5" t="s">
        <v>73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62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62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62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62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62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62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62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62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66"/>
      <c r="B23" s="166"/>
      <c r="C23" s="166"/>
      <c r="D23" s="166"/>
      <c r="E23" s="5" t="s">
        <v>47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62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62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62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62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62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62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62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62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66"/>
      <c r="B33" s="166"/>
      <c r="C33" s="166"/>
      <c r="D33" s="166"/>
      <c r="E33" s="5" t="s">
        <v>73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62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62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62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62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62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62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62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62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66"/>
      <c r="B43" s="166"/>
      <c r="C43" s="166"/>
      <c r="D43" s="166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62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62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62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62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62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62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62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62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62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62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62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62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62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62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62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62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66"/>
      <c r="B23" s="166"/>
      <c r="C23" s="166"/>
      <c r="D23" s="166"/>
      <c r="E23" s="5" t="s">
        <v>83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62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62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62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62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62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62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62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62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66"/>
      <c r="B33" s="166"/>
      <c r="C33" s="166"/>
      <c r="D33" s="166"/>
      <c r="E33" s="5" t="s">
        <v>47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62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62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62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62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62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62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62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62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66"/>
      <c r="B43" s="166"/>
      <c r="C43" s="166"/>
      <c r="D43" s="166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62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62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62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62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62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62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62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62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62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62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62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62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62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62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62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62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66"/>
      <c r="B23" s="166"/>
      <c r="C23" s="166"/>
      <c r="D23" s="166"/>
      <c r="E23" s="5" t="s">
        <v>83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62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62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62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62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62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62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62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62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66"/>
      <c r="B33" s="166"/>
      <c r="C33" s="166"/>
      <c r="D33" s="166"/>
      <c r="E33" s="5" t="s">
        <v>83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62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62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62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62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62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62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62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62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66"/>
      <c r="B43" s="166"/>
      <c r="C43" s="166"/>
      <c r="D43" s="166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1" sqref="E41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62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62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62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62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62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62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62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62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66"/>
      <c r="B13" s="166"/>
      <c r="C13" s="166"/>
      <c r="D13" s="166"/>
      <c r="E13" s="5" t="s">
        <v>117</v>
      </c>
      <c r="F13" s="5" t="s">
        <v>118</v>
      </c>
    </row>
    <row r="14" spans="1:14" ht="15" x14ac:dyDescent="0.25">
      <c r="A14" s="162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62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62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62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62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62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62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62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62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66"/>
      <c r="B23" s="166"/>
      <c r="C23" s="166"/>
      <c r="D23" s="166"/>
      <c r="E23" s="5" t="s">
        <v>117</v>
      </c>
      <c r="F23" s="5" t="s">
        <v>120</v>
      </c>
    </row>
    <row r="24" spans="1:14" ht="15" x14ac:dyDescent="0.25">
      <c r="A24" s="162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62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62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62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62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62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62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62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62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66"/>
      <c r="B33" s="166"/>
      <c r="C33" s="166"/>
      <c r="D33" s="166"/>
      <c r="E33" s="5" t="s">
        <v>84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62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62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62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62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62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62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62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62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66"/>
      <c r="B43" s="166"/>
      <c r="C43" s="166"/>
      <c r="D43" s="166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62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62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62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62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62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62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62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62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62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62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62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62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62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62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62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62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66"/>
      <c r="B23" s="166"/>
      <c r="C23" s="166"/>
      <c r="D23" s="166"/>
      <c r="E23" s="5" t="s">
        <v>83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62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62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62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62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62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62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62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62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66"/>
      <c r="B33" s="166"/>
      <c r="C33" s="166"/>
      <c r="D33" s="166"/>
      <c r="E33" s="5" t="s">
        <v>97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62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62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62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62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62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62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62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62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62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62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62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62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62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62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62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62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62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62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62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62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62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62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62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62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66"/>
      <c r="B23" s="166"/>
      <c r="C23" s="166"/>
      <c r="D23" s="166"/>
      <c r="E23" s="5" t="s">
        <v>83</v>
      </c>
      <c r="F23" s="5"/>
    </row>
    <row r="24" spans="1:14" ht="15" x14ac:dyDescent="0.25">
      <c r="A24" s="162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62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62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62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62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62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62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62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62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66"/>
      <c r="B33" s="166"/>
      <c r="C33" s="166"/>
      <c r="D33" s="166"/>
      <c r="E33" s="5" t="s">
        <v>84</v>
      </c>
      <c r="F33" s="5"/>
    </row>
    <row r="34" spans="1:14" ht="15" x14ac:dyDescent="0.25">
      <c r="A34" s="162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62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62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62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62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62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62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62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62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66"/>
      <c r="B43" s="166"/>
      <c r="C43" s="166"/>
      <c r="D43" s="166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27" workbookViewId="0">
      <selection activeCell="E45" sqref="E4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62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62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62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62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62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62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62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62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62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.6" customHeight="1" x14ac:dyDescent="0.25">
      <c r="A14" s="162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62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62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62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62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62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62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62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62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66"/>
      <c r="B23" s="166"/>
      <c r="C23" s="166"/>
      <c r="D23" s="166"/>
      <c r="E23" s="5" t="s">
        <v>83</v>
      </c>
      <c r="F23" s="5"/>
    </row>
    <row r="24" spans="1:14" ht="15.6" customHeight="1" x14ac:dyDescent="0.25">
      <c r="A24" s="162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62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62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62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62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62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62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62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62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66"/>
      <c r="B33" s="166"/>
      <c r="C33" s="166"/>
      <c r="D33" s="166"/>
      <c r="E33" s="5" t="s">
        <v>83</v>
      </c>
      <c r="F33" s="5"/>
    </row>
    <row r="34" spans="1:14" ht="15.6" customHeight="1" x14ac:dyDescent="0.25">
      <c r="A34" s="162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62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62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62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62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62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62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62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62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4" sqref="B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62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62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62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62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62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62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62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62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66"/>
      <c r="B13" s="166"/>
      <c r="C13" s="166"/>
      <c r="D13" s="166"/>
      <c r="E13" s="5" t="s">
        <v>56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62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62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62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62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62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62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62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62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66"/>
      <c r="B23" s="166"/>
      <c r="C23" s="166"/>
      <c r="D23" s="166"/>
      <c r="E23" s="5" t="s">
        <v>124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62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62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62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62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62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62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62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62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66"/>
      <c r="B33" s="166"/>
      <c r="C33" s="166"/>
      <c r="D33" s="166"/>
      <c r="E33" s="5" t="s">
        <v>124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62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62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62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62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62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62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62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62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62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62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62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62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62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62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62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62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66"/>
      <c r="B13" s="166"/>
      <c r="C13" s="166"/>
      <c r="D13" s="166"/>
      <c r="E13" s="5" t="s">
        <v>56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62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62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62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62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62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62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62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62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66"/>
      <c r="B23" s="166"/>
      <c r="C23" s="166"/>
      <c r="D23" s="166"/>
      <c r="E23" s="5" t="s">
        <v>92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62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62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62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62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62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62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62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62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66"/>
      <c r="B33" s="166"/>
      <c r="C33" s="166"/>
      <c r="D33" s="166"/>
      <c r="E33" s="5" t="s">
        <v>82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62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62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62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62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62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62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62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62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62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62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62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62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62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62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62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62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66"/>
      <c r="B13" s="166"/>
      <c r="C13" s="166"/>
      <c r="D13" s="166"/>
      <c r="E13" s="5" t="s">
        <v>117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62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62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62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62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62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62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62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62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66"/>
      <c r="B23" s="166"/>
      <c r="C23" s="166"/>
      <c r="D23" s="166"/>
      <c r="E23" s="5" t="s">
        <v>92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62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62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62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62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62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62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62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62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66"/>
      <c r="B33" s="166"/>
      <c r="C33" s="166"/>
      <c r="D33" s="166"/>
      <c r="E33" s="5" t="s">
        <v>92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62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62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62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62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62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62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62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62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62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62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62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62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62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62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62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62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62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62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62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62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62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62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62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62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66"/>
      <c r="B23" s="166"/>
      <c r="C23" s="166"/>
      <c r="D23" s="166"/>
      <c r="E23" s="5" t="s">
        <v>128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62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62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62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62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62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62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62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62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66"/>
      <c r="B33" s="166"/>
      <c r="C33" s="166"/>
      <c r="D33" s="166"/>
      <c r="E33" s="5" t="s">
        <v>117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62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62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62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62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62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62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62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62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62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62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62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62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62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62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62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62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62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62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62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62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62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62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62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62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66"/>
      <c r="B23" s="166"/>
      <c r="C23" s="166"/>
      <c r="D23" s="166"/>
      <c r="E23" s="5" t="s">
        <v>84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62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62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62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62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62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62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62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62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66"/>
      <c r="B33" s="166"/>
      <c r="C33" s="166"/>
      <c r="D33" s="166"/>
      <c r="E33" s="5" t="s">
        <v>83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62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62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62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62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62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62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62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62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62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62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62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62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62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62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62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62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66"/>
      <c r="B13" s="166"/>
      <c r="C13" s="166"/>
      <c r="D13" s="166"/>
      <c r="E13" s="5" t="s">
        <v>56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62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62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62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62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62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62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62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62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66"/>
      <c r="B23" s="166"/>
      <c r="C23" s="166"/>
      <c r="D23" s="166"/>
      <c r="E23" s="5" t="s">
        <v>124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62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62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62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62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62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62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62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62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66"/>
      <c r="B33" s="166"/>
      <c r="C33" s="166"/>
      <c r="D33" s="166"/>
      <c r="E33" s="5" t="s">
        <v>102</v>
      </c>
      <c r="F33" s="5" t="s">
        <v>137</v>
      </c>
      <c r="G33" t="s">
        <v>133</v>
      </c>
    </row>
    <row r="34" spans="1:14" ht="15" x14ac:dyDescent="0.25">
      <c r="A34" s="162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62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62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62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62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62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62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62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62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9" sqref="H39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62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62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62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62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62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62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62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62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66"/>
      <c r="B13" s="166"/>
      <c r="C13" s="166"/>
      <c r="D13" s="166"/>
      <c r="E13" s="5" t="s">
        <v>83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62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62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62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62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62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62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62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62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66"/>
      <c r="B23" s="166"/>
      <c r="C23" s="166"/>
      <c r="D23" s="166"/>
      <c r="E23" s="5" t="s">
        <v>84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62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62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62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62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62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62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62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62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66"/>
      <c r="B33" s="166"/>
      <c r="C33" s="166"/>
      <c r="D33" s="166"/>
      <c r="E33" s="5" t="s">
        <v>84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62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62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62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62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62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62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62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62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62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62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62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62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62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62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62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62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66"/>
      <c r="B13" s="166"/>
      <c r="C13" s="166"/>
      <c r="D13" s="166"/>
      <c r="E13" s="5" t="s">
        <v>112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62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62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62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62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62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62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62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62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66"/>
      <c r="B23" s="166"/>
      <c r="C23" s="166"/>
      <c r="D23" s="166"/>
      <c r="E23" s="5" t="s">
        <v>101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62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62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62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62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62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62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62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62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66"/>
      <c r="B33" s="166"/>
      <c r="C33" s="166"/>
      <c r="D33" s="166"/>
      <c r="E33" s="5" t="s">
        <v>92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62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62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62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62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62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62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62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62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62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62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62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62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62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62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62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62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66"/>
      <c r="B13" s="166"/>
      <c r="C13" s="166"/>
      <c r="D13" s="166"/>
      <c r="E13" s="5" t="s">
        <v>139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62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62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62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62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62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62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62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62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66"/>
      <c r="B23" s="166"/>
      <c r="C23" s="166"/>
      <c r="D23" s="166"/>
      <c r="E23" s="5" t="s">
        <v>84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62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62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62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62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62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62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62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62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66"/>
      <c r="B33" s="166"/>
      <c r="C33" s="166"/>
      <c r="D33" s="166"/>
      <c r="E33" s="5" t="s">
        <v>112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62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62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62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62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62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62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62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62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62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62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62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62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62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62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62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62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66"/>
      <c r="B13" s="166"/>
      <c r="C13" s="166"/>
      <c r="D13" s="166"/>
      <c r="E13" s="5" t="s">
        <v>117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62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62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62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62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62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62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62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62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66"/>
      <c r="B23" s="166"/>
      <c r="C23" s="166"/>
      <c r="D23" s="166"/>
      <c r="E23" s="5" t="s">
        <v>97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62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62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62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62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62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62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62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62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66"/>
      <c r="B33" s="166"/>
      <c r="C33" s="166"/>
      <c r="D33" s="166"/>
      <c r="E33" s="5" t="s">
        <v>102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62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62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62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62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62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62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62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62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62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62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62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62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62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62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62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62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66"/>
      <c r="B13" s="166"/>
      <c r="C13" s="166"/>
      <c r="D13" s="166"/>
      <c r="E13" s="5" t="s">
        <v>84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62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62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62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62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62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62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62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62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66"/>
      <c r="B23" s="166"/>
      <c r="C23" s="166"/>
      <c r="D23" s="166"/>
      <c r="E23" s="5" t="s">
        <v>144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62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62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62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62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62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62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62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62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66"/>
      <c r="B33" s="166"/>
      <c r="C33" s="166"/>
      <c r="D33" s="166"/>
      <c r="E33" s="5" t="s">
        <v>82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62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62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62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62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62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62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62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62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62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62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62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62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62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62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62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62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66"/>
      <c r="B13" s="166"/>
      <c r="C13" s="166"/>
      <c r="D13" s="166"/>
      <c r="E13" s="5" t="s">
        <v>84</v>
      </c>
      <c r="F13" s="5" t="s">
        <v>145</v>
      </c>
    </row>
    <row r="14" spans="1:14" ht="15" x14ac:dyDescent="0.25">
      <c r="A14" s="162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62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62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62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62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62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62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62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62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66"/>
      <c r="B23" s="166"/>
      <c r="C23" s="166"/>
      <c r="D23" s="166"/>
      <c r="E23" s="5" t="s">
        <v>97</v>
      </c>
      <c r="F23" s="5" t="s">
        <v>146</v>
      </c>
    </row>
    <row r="24" spans="1:14" ht="15" x14ac:dyDescent="0.25">
      <c r="A24" s="162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62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62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62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62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62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62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62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62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66"/>
      <c r="B33" s="166"/>
      <c r="C33" s="166"/>
      <c r="D33" s="166"/>
      <c r="E33" s="5" t="s">
        <v>84</v>
      </c>
      <c r="F33" s="5" t="s">
        <v>147</v>
      </c>
    </row>
    <row r="34" spans="1:14" ht="15" x14ac:dyDescent="0.25">
      <c r="A34" s="162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62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62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62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62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62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62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62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62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62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62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62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62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62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62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62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62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66"/>
      <c r="B13" s="166"/>
      <c r="C13" s="166"/>
      <c r="D13" s="166"/>
      <c r="E13" s="5" t="s">
        <v>117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62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62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62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62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62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62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62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62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66"/>
      <c r="B23" s="166"/>
      <c r="C23" s="166"/>
      <c r="D23" s="166"/>
      <c r="E23" s="5" t="s">
        <v>41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62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62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62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62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62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62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62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62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66"/>
      <c r="B33" s="166"/>
      <c r="C33" s="166"/>
      <c r="D33" s="166"/>
      <c r="E33" s="5" t="s">
        <v>149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62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62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62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62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62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62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62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62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62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62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62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62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62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62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62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62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66"/>
      <c r="B13" s="166"/>
      <c r="C13" s="166"/>
      <c r="D13" s="166"/>
      <c r="E13" s="5" t="s">
        <v>149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62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62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62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62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62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62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62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62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66"/>
      <c r="B23" s="166"/>
      <c r="C23" s="166"/>
      <c r="D23" s="166"/>
      <c r="E23" s="5" t="s">
        <v>149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62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62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62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62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62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62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62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62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66"/>
      <c r="B33" s="166"/>
      <c r="C33" s="166"/>
      <c r="D33" s="166"/>
      <c r="E33" s="5" t="s">
        <v>41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62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62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62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62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62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62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62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62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62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62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62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62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62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62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62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62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66"/>
      <c r="B13" s="166"/>
      <c r="C13" s="166"/>
      <c r="D13" s="166"/>
      <c r="E13" s="5" t="s">
        <v>150</v>
      </c>
      <c r="F13" s="5"/>
    </row>
    <row r="14" spans="1:14" ht="15" x14ac:dyDescent="0.25">
      <c r="A14" s="162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62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62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62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62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62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62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62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62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66"/>
      <c r="B23" s="166"/>
      <c r="C23" s="166"/>
      <c r="D23" s="166"/>
      <c r="E23" s="5" t="s">
        <v>102</v>
      </c>
      <c r="F23" s="5"/>
    </row>
    <row r="24" spans="1:14" ht="15" x14ac:dyDescent="0.25">
      <c r="A24" s="162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62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62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62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62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62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62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62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62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66"/>
      <c r="B33" s="166"/>
      <c r="C33" s="166"/>
      <c r="D33" s="166"/>
      <c r="E33" s="5" t="s">
        <v>102</v>
      </c>
      <c r="F33" s="5"/>
    </row>
    <row r="34" spans="1:14" ht="15" x14ac:dyDescent="0.25">
      <c r="A34" s="162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62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62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62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62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62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62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62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62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6" sqref="B6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62</v>
      </c>
      <c r="D4" s="3">
        <v>6.5</v>
      </c>
      <c r="E4" s="3"/>
      <c r="F4" s="3"/>
      <c r="G4">
        <v>4.8399999999999999E-2</v>
      </c>
      <c r="H4">
        <v>0.1197</v>
      </c>
      <c r="I4">
        <v>5.4600000000000003E-2</v>
      </c>
      <c r="J4">
        <v>9.7999999999999997E-3</v>
      </c>
      <c r="K4">
        <v>8.3699999999999997E-2</v>
      </c>
      <c r="L4">
        <v>0.43659999999999999</v>
      </c>
      <c r="M4">
        <v>0.57799999999999996</v>
      </c>
      <c r="N4">
        <v>0.98109999999999997</v>
      </c>
    </row>
    <row r="5" spans="1:14" ht="15" x14ac:dyDescent="0.25">
      <c r="A5" s="162"/>
      <c r="B5" s="3">
        <f t="shared" ref="B5:B12" si="0">B4+1</f>
        <v>2</v>
      </c>
      <c r="C5" s="14" t="s">
        <v>45</v>
      </c>
      <c r="D5" s="3">
        <v>6.5</v>
      </c>
      <c r="E5" s="3"/>
      <c r="F5" s="3"/>
      <c r="G5">
        <v>8.4099999999999994E-2</v>
      </c>
      <c r="H5">
        <v>8.4000000000000005E-2</v>
      </c>
      <c r="I5">
        <v>0.1119</v>
      </c>
      <c r="J5">
        <v>6.7400000000000002E-2</v>
      </c>
      <c r="K5">
        <v>0.14349999999999999</v>
      </c>
      <c r="L5">
        <v>0.43509999999999999</v>
      </c>
      <c r="M5">
        <v>0.56859999999999999</v>
      </c>
      <c r="N5">
        <v>0.9909</v>
      </c>
    </row>
    <row r="6" spans="1:14" ht="15" x14ac:dyDescent="0.25">
      <c r="A6" s="162"/>
      <c r="B6" s="3">
        <f t="shared" si="0"/>
        <v>3</v>
      </c>
      <c r="C6" s="3" t="s">
        <v>35</v>
      </c>
      <c r="D6" s="3">
        <v>3.5</v>
      </c>
      <c r="E6" s="3"/>
      <c r="F6" s="3"/>
      <c r="G6">
        <v>5.8799999999999998E-2</v>
      </c>
      <c r="H6">
        <v>0.10929999999999999</v>
      </c>
      <c r="I6">
        <v>7.4399999999999994E-2</v>
      </c>
      <c r="J6">
        <v>2.9899999999999999E-2</v>
      </c>
      <c r="K6">
        <v>0.1096</v>
      </c>
      <c r="L6">
        <v>0.40200000000000002</v>
      </c>
      <c r="M6">
        <v>0.64759999999999995</v>
      </c>
      <c r="N6">
        <v>0.91100000000000003</v>
      </c>
    </row>
    <row r="7" spans="1:14" ht="15" x14ac:dyDescent="0.25">
      <c r="A7" s="162"/>
      <c r="B7" s="3">
        <f t="shared" si="0"/>
        <v>4</v>
      </c>
      <c r="C7" s="3" t="s">
        <v>43</v>
      </c>
      <c r="D7" s="3">
        <v>19</v>
      </c>
      <c r="E7" s="3"/>
      <c r="F7" s="3"/>
      <c r="G7">
        <v>5.96E-2</v>
      </c>
      <c r="H7">
        <v>0.1084</v>
      </c>
      <c r="I7">
        <v>7.8100000000000003E-2</v>
      </c>
      <c r="J7">
        <v>3.39E-2</v>
      </c>
      <c r="K7">
        <v>0.4446</v>
      </c>
      <c r="L7">
        <v>0.58609999999999995</v>
      </c>
      <c r="M7">
        <v>0.60660000000000003</v>
      </c>
      <c r="N7">
        <v>0.99339999999999995</v>
      </c>
    </row>
    <row r="8" spans="1:14" ht="15" x14ac:dyDescent="0.25">
      <c r="A8" s="162"/>
      <c r="B8" s="3">
        <f t="shared" si="0"/>
        <v>5</v>
      </c>
      <c r="C8" s="3" t="s">
        <v>20</v>
      </c>
      <c r="D8" s="3">
        <v>5.5</v>
      </c>
      <c r="E8" s="3"/>
      <c r="F8" s="3"/>
      <c r="G8">
        <v>5.8900000000000001E-2</v>
      </c>
      <c r="H8">
        <v>0.1095</v>
      </c>
      <c r="I8">
        <v>6.5699999999999995E-2</v>
      </c>
      <c r="J8">
        <v>2.1000000000000001E-2</v>
      </c>
      <c r="K8">
        <v>0.2001</v>
      </c>
      <c r="L8">
        <v>0.43180000000000002</v>
      </c>
      <c r="M8">
        <v>0.63560000000000005</v>
      </c>
      <c r="N8">
        <v>0.93130000000000002</v>
      </c>
    </row>
    <row r="9" spans="1:14" ht="15" x14ac:dyDescent="0.25">
      <c r="A9" s="162"/>
      <c r="B9" s="3">
        <f t="shared" si="0"/>
        <v>6</v>
      </c>
      <c r="C9" s="3" t="s">
        <v>77</v>
      </c>
      <c r="D9" s="3">
        <v>5</v>
      </c>
      <c r="E9" s="3"/>
      <c r="F9" s="3"/>
      <c r="G9">
        <v>8.5999999999999993E-2</v>
      </c>
      <c r="H9">
        <v>8.2100000000000006E-2</v>
      </c>
      <c r="I9">
        <v>0.1062</v>
      </c>
      <c r="J9">
        <v>6.1499999999999999E-2</v>
      </c>
      <c r="K9">
        <v>0.24590000000000001</v>
      </c>
      <c r="L9">
        <v>0.46660000000000001</v>
      </c>
      <c r="M9">
        <v>0.59509999999999996</v>
      </c>
      <c r="N9">
        <v>0.9708</v>
      </c>
    </row>
    <row r="10" spans="1:14" ht="15" x14ac:dyDescent="0.25">
      <c r="A10" s="162"/>
      <c r="B10" s="3">
        <f t="shared" si="0"/>
        <v>7</v>
      </c>
      <c r="C10" s="3" t="s">
        <v>18</v>
      </c>
      <c r="D10" s="3">
        <v>12</v>
      </c>
      <c r="E10" s="3"/>
      <c r="F10" s="3"/>
      <c r="G10">
        <v>6.9400000000000003E-2</v>
      </c>
      <c r="H10">
        <v>9.8599999999999993E-2</v>
      </c>
      <c r="I10">
        <v>8.1900000000000001E-2</v>
      </c>
      <c r="J10">
        <v>3.7100000000000001E-2</v>
      </c>
      <c r="K10">
        <v>0.45950000000000002</v>
      </c>
      <c r="L10">
        <v>0.62790000000000001</v>
      </c>
      <c r="M10">
        <v>0.59160000000000001</v>
      </c>
      <c r="N10">
        <v>1.0317000000000001</v>
      </c>
    </row>
    <row r="11" spans="1:14" ht="15" x14ac:dyDescent="0.25">
      <c r="A11" s="162"/>
      <c r="B11" s="3">
        <f t="shared" si="0"/>
        <v>8</v>
      </c>
      <c r="C11" s="3" t="s">
        <v>35</v>
      </c>
      <c r="D11" s="3">
        <v>8</v>
      </c>
      <c r="E11" s="3"/>
      <c r="F11" s="3"/>
      <c r="G11">
        <v>0.12570000000000001</v>
      </c>
      <c r="H11">
        <v>4.2500000000000003E-2</v>
      </c>
      <c r="I11">
        <v>0.16339999999999999</v>
      </c>
      <c r="J11">
        <v>0.1186</v>
      </c>
      <c r="K11">
        <v>0.38240000000000002</v>
      </c>
      <c r="L11">
        <v>0.56320000000000003</v>
      </c>
      <c r="M11">
        <v>0.58640000000000003</v>
      </c>
      <c r="N11">
        <v>1.0186999999999999</v>
      </c>
    </row>
    <row r="12" spans="1:14" ht="15" x14ac:dyDescent="0.25">
      <c r="A12" s="162"/>
      <c r="B12" s="3">
        <f t="shared" si="0"/>
        <v>9</v>
      </c>
      <c r="C12" s="3" t="s">
        <v>55</v>
      </c>
      <c r="D12" s="3">
        <v>11</v>
      </c>
      <c r="E12" s="3"/>
      <c r="F12" s="3"/>
      <c r="G12">
        <v>9.2600000000000002E-2</v>
      </c>
      <c r="H12">
        <v>7.5499999999999998E-2</v>
      </c>
      <c r="I12">
        <v>0.1128</v>
      </c>
      <c r="J12">
        <v>6.8000000000000005E-2</v>
      </c>
      <c r="K12">
        <v>0.1719</v>
      </c>
      <c r="L12">
        <v>0.44879999999999998</v>
      </c>
      <c r="M12">
        <v>0.54900000000000004</v>
      </c>
      <c r="N12">
        <v>1.0137</v>
      </c>
    </row>
    <row r="13" spans="1:14" ht="15" x14ac:dyDescent="0.25">
      <c r="A13" s="166"/>
      <c r="B13" s="166"/>
      <c r="C13" s="166"/>
      <c r="D13" s="166"/>
      <c r="E13" s="5" t="s">
        <v>153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103</v>
      </c>
      <c r="D14" s="3">
        <v>47</v>
      </c>
      <c r="E14" s="3"/>
      <c r="F14" s="3"/>
      <c r="G14">
        <v>8.6999999999999994E-3</v>
      </c>
      <c r="H14">
        <v>0.1595</v>
      </c>
      <c r="I14">
        <v>1.23E-2</v>
      </c>
      <c r="J14">
        <v>3.4200000000000001E-2</v>
      </c>
      <c r="K14">
        <v>0.59360000000000002</v>
      </c>
      <c r="L14">
        <v>0.55869999999999997</v>
      </c>
      <c r="M14">
        <v>0.86209999999999998</v>
      </c>
      <c r="N14">
        <v>0.70909999999999995</v>
      </c>
    </row>
    <row r="15" spans="1:14" ht="15" x14ac:dyDescent="0.25">
      <c r="A15" s="162"/>
      <c r="B15" s="3">
        <f t="shared" ref="B15:B22" si="1">B14+1</f>
        <v>11</v>
      </c>
      <c r="C15" s="3" t="s">
        <v>27</v>
      </c>
      <c r="D15" s="3">
        <v>12.5</v>
      </c>
      <c r="E15" s="3"/>
      <c r="F15" s="3"/>
      <c r="G15">
        <v>1.4800000000000001E-2</v>
      </c>
      <c r="H15">
        <v>0.15329999999999999</v>
      </c>
      <c r="I15">
        <v>1.7000000000000001E-2</v>
      </c>
      <c r="J15">
        <v>2.8400000000000002E-2</v>
      </c>
      <c r="K15">
        <v>0.40679999999999999</v>
      </c>
      <c r="L15">
        <v>0.36349999999999999</v>
      </c>
      <c r="M15">
        <v>0.91520000000000001</v>
      </c>
      <c r="N15">
        <v>0.68559999999999999</v>
      </c>
    </row>
    <row r="16" spans="1:14" ht="15" x14ac:dyDescent="0.25">
      <c r="A16" s="162"/>
      <c r="B16" s="3">
        <f t="shared" si="1"/>
        <v>12</v>
      </c>
      <c r="C16" s="3" t="s">
        <v>89</v>
      </c>
      <c r="D16" s="3">
        <v>14.5</v>
      </c>
      <c r="E16" s="3"/>
      <c r="F16" s="3"/>
      <c r="G16">
        <v>7.0699999999999999E-2</v>
      </c>
      <c r="H16">
        <v>9.74E-2</v>
      </c>
      <c r="I16">
        <v>8.5000000000000006E-2</v>
      </c>
      <c r="J16">
        <v>4.02E-2</v>
      </c>
      <c r="K16">
        <v>0.35599999999999998</v>
      </c>
      <c r="L16">
        <v>0.29699999999999999</v>
      </c>
      <c r="M16">
        <v>0.93500000000000005</v>
      </c>
      <c r="N16">
        <v>0.68600000000000005</v>
      </c>
    </row>
    <row r="17" spans="1:14" ht="15" x14ac:dyDescent="0.25">
      <c r="A17" s="162"/>
      <c r="B17" s="3">
        <f t="shared" si="1"/>
        <v>13</v>
      </c>
      <c r="C17" s="3" t="s">
        <v>80</v>
      </c>
      <c r="D17" s="3">
        <v>9</v>
      </c>
      <c r="E17" s="3"/>
      <c r="F17" s="3"/>
      <c r="G17">
        <v>8.2699999999999996E-2</v>
      </c>
      <c r="H17">
        <v>8.5300000000000001E-2</v>
      </c>
      <c r="I17">
        <v>9.0499999999999997E-2</v>
      </c>
      <c r="J17">
        <v>4.5600000000000002E-2</v>
      </c>
      <c r="K17">
        <v>0.3881</v>
      </c>
      <c r="L17">
        <v>0.4022</v>
      </c>
      <c r="M17">
        <v>0.84640000000000004</v>
      </c>
      <c r="N17">
        <v>0.71960000000000002</v>
      </c>
    </row>
    <row r="18" spans="1:14" ht="15" x14ac:dyDescent="0.25">
      <c r="A18" s="162"/>
      <c r="B18" s="3">
        <f t="shared" si="1"/>
        <v>14</v>
      </c>
      <c r="C18" s="3" t="s">
        <v>96</v>
      </c>
      <c r="D18" s="3">
        <v>10</v>
      </c>
      <c r="E18" s="3"/>
      <c r="F18" s="3"/>
      <c r="G18">
        <v>0.10390000000000001</v>
      </c>
      <c r="H18">
        <v>6.4199999999999993E-2</v>
      </c>
      <c r="I18">
        <v>0.1031</v>
      </c>
      <c r="J18">
        <v>5.8700000000000002E-2</v>
      </c>
      <c r="K18">
        <v>0.40179999999999999</v>
      </c>
      <c r="L18">
        <v>0.38429999999999997</v>
      </c>
      <c r="M18">
        <v>0.92010000000000003</v>
      </c>
      <c r="N18">
        <v>0.66639999999999999</v>
      </c>
    </row>
    <row r="19" spans="1:14" ht="15" x14ac:dyDescent="0.25">
      <c r="A19" s="162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6.5699999999999995E-2</v>
      </c>
      <c r="H19">
        <v>0.10249999999999999</v>
      </c>
      <c r="I19">
        <v>7.22E-2</v>
      </c>
      <c r="J19">
        <v>2.7300000000000001E-2</v>
      </c>
      <c r="K19">
        <v>0.48349999999999999</v>
      </c>
      <c r="L19">
        <v>0.44159999999999999</v>
      </c>
      <c r="M19">
        <v>0.92710000000000004</v>
      </c>
      <c r="N19">
        <v>0.63680000000000003</v>
      </c>
    </row>
    <row r="20" spans="1:14" ht="15" x14ac:dyDescent="0.25">
      <c r="A20" s="162"/>
      <c r="B20" s="3">
        <f t="shared" si="1"/>
        <v>16</v>
      </c>
      <c r="C20" s="3" t="s">
        <v>19</v>
      </c>
      <c r="D20" s="3">
        <v>12.5</v>
      </c>
      <c r="E20" s="3"/>
      <c r="F20" s="3"/>
      <c r="G20">
        <v>5.04E-2</v>
      </c>
      <c r="H20">
        <v>0.1177</v>
      </c>
      <c r="I20">
        <v>5.9400000000000001E-2</v>
      </c>
      <c r="J20">
        <v>1.47E-2</v>
      </c>
      <c r="K20">
        <v>0.37540000000000001</v>
      </c>
      <c r="L20">
        <v>0.42870000000000003</v>
      </c>
      <c r="M20">
        <v>0.79420000000000002</v>
      </c>
      <c r="N20">
        <v>0.76519999999999999</v>
      </c>
    </row>
    <row r="21" spans="1:14" ht="15" x14ac:dyDescent="0.25">
      <c r="A21" s="162"/>
      <c r="B21" s="3">
        <f t="shared" si="1"/>
        <v>17</v>
      </c>
      <c r="C21" s="3" t="s">
        <v>24</v>
      </c>
      <c r="D21" s="3">
        <v>6</v>
      </c>
      <c r="E21" s="3"/>
      <c r="F21" s="3"/>
      <c r="G21">
        <v>7.7399999999999997E-2</v>
      </c>
      <c r="H21">
        <v>9.06E-2</v>
      </c>
      <c r="I21">
        <v>8.4199999999999997E-2</v>
      </c>
      <c r="J21">
        <v>3.9399999999999998E-2</v>
      </c>
      <c r="K21">
        <v>0.37609999999999999</v>
      </c>
      <c r="L21">
        <v>0.41520000000000001</v>
      </c>
      <c r="M21">
        <v>0.81159999999999999</v>
      </c>
      <c r="N21">
        <v>0.747</v>
      </c>
    </row>
    <row r="22" spans="1:14" ht="15" x14ac:dyDescent="0.25">
      <c r="A22" s="162"/>
      <c r="B22" s="3">
        <f t="shared" si="1"/>
        <v>18</v>
      </c>
      <c r="C22" s="3" t="s">
        <v>24</v>
      </c>
      <c r="D22" s="3">
        <v>4</v>
      </c>
      <c r="E22" s="3"/>
      <c r="F22" s="3"/>
      <c r="G22">
        <v>4.4699999999999997E-2</v>
      </c>
      <c r="H22">
        <v>0.1235</v>
      </c>
      <c r="I22">
        <v>4.5999999999999999E-2</v>
      </c>
      <c r="J22">
        <v>1.1000000000000001E-3</v>
      </c>
      <c r="K22">
        <v>0.31419999999999998</v>
      </c>
      <c r="L22">
        <v>0.35639999999999999</v>
      </c>
      <c r="M22">
        <v>0.87409999999999999</v>
      </c>
      <c r="N22">
        <v>0.69279999999999997</v>
      </c>
    </row>
    <row r="23" spans="1:14" ht="15" x14ac:dyDescent="0.25">
      <c r="A23" s="166"/>
      <c r="B23" s="166"/>
      <c r="C23" s="166"/>
      <c r="D23" s="166"/>
      <c r="E23" s="5" t="s">
        <v>154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54</v>
      </c>
      <c r="D24" s="3">
        <v>9</v>
      </c>
      <c r="E24" s="3"/>
      <c r="F24" s="3"/>
      <c r="G24">
        <v>8.8000000000000005E-3</v>
      </c>
      <c r="H24">
        <v>0.15920000000000001</v>
      </c>
      <c r="I24">
        <v>2.1000000000000001E-2</v>
      </c>
      <c r="J24">
        <v>2.7900000000000001E-2</v>
      </c>
      <c r="K24">
        <v>0.52600000000000002</v>
      </c>
      <c r="L24">
        <v>0.48570000000000002</v>
      </c>
      <c r="M24">
        <v>0.90210000000000001</v>
      </c>
      <c r="N24">
        <v>0.7157</v>
      </c>
    </row>
    <row r="25" spans="1:14" ht="15" x14ac:dyDescent="0.25">
      <c r="A25" s="162"/>
      <c r="B25" s="3">
        <f t="shared" ref="B25:B32" si="2">B24+1</f>
        <v>20</v>
      </c>
      <c r="C25" s="3" t="s">
        <v>70</v>
      </c>
      <c r="D25" s="3">
        <v>4.5</v>
      </c>
      <c r="E25" s="3"/>
      <c r="F25" s="3"/>
      <c r="G25">
        <v>8.4199999999999997E-2</v>
      </c>
      <c r="H25">
        <v>8.4000000000000005E-2</v>
      </c>
      <c r="I25">
        <v>8.7499999999999994E-2</v>
      </c>
      <c r="J25">
        <v>4.2700000000000002E-2</v>
      </c>
      <c r="K25">
        <v>0.46300000000000002</v>
      </c>
      <c r="L25">
        <v>0.42420000000000002</v>
      </c>
      <c r="M25">
        <v>0.89149999999999996</v>
      </c>
      <c r="N25">
        <v>0.73570000000000002</v>
      </c>
    </row>
    <row r="26" spans="1:14" ht="15" x14ac:dyDescent="0.25">
      <c r="A26" s="162"/>
      <c r="B26" s="3">
        <f t="shared" si="2"/>
        <v>21</v>
      </c>
      <c r="C26" s="3" t="s">
        <v>151</v>
      </c>
      <c r="D26" s="3">
        <v>16.5</v>
      </c>
      <c r="E26" s="3"/>
      <c r="F26" s="3"/>
      <c r="G26">
        <v>7.3200000000000001E-2</v>
      </c>
      <c r="H26">
        <v>9.4899999999999998E-2</v>
      </c>
      <c r="I26">
        <v>9.0200000000000002E-2</v>
      </c>
      <c r="J26">
        <v>4.5400000000000003E-2</v>
      </c>
      <c r="K26">
        <v>0.52159999999999995</v>
      </c>
      <c r="L26">
        <v>0.42809999999999998</v>
      </c>
      <c r="M26">
        <v>0.94010000000000005</v>
      </c>
      <c r="N26">
        <v>0.66200000000000003</v>
      </c>
    </row>
    <row r="27" spans="1:14" ht="15" x14ac:dyDescent="0.25">
      <c r="A27" s="162"/>
      <c r="B27" s="3">
        <f t="shared" si="2"/>
        <v>22</v>
      </c>
      <c r="C27" s="3" t="s">
        <v>15</v>
      </c>
      <c r="D27" s="3">
        <v>2</v>
      </c>
      <c r="E27" s="3"/>
      <c r="F27" s="3"/>
      <c r="G27">
        <v>7.0000000000000007E-2</v>
      </c>
      <c r="H27">
        <v>9.8100000000000007E-2</v>
      </c>
      <c r="I27">
        <v>8.9399999999999993E-2</v>
      </c>
      <c r="J27">
        <v>4.4900000000000002E-2</v>
      </c>
      <c r="K27">
        <v>0.47749999999999998</v>
      </c>
      <c r="L27">
        <v>0.51780000000000004</v>
      </c>
      <c r="M27">
        <v>0.75439999999999996</v>
      </c>
      <c r="N27">
        <v>0.80669999999999997</v>
      </c>
    </row>
    <row r="28" spans="1:14" ht="15" x14ac:dyDescent="0.25">
      <c r="A28" s="162"/>
      <c r="B28" s="3">
        <f t="shared" si="2"/>
        <v>23</v>
      </c>
      <c r="C28" s="3" t="s">
        <v>93</v>
      </c>
      <c r="D28" s="3">
        <v>9.5</v>
      </c>
      <c r="E28" s="3"/>
      <c r="F28" s="3"/>
      <c r="G28">
        <v>8.2000000000000003E-2</v>
      </c>
      <c r="H28">
        <v>8.6199999999999999E-2</v>
      </c>
      <c r="I28">
        <v>0.1057</v>
      </c>
      <c r="J28">
        <v>6.1199999999999997E-2</v>
      </c>
      <c r="K28">
        <v>0.45739999999999997</v>
      </c>
      <c r="L28">
        <v>0.4622</v>
      </c>
      <c r="M28">
        <v>0.79190000000000005</v>
      </c>
      <c r="N28">
        <v>0.76790000000000003</v>
      </c>
    </row>
    <row r="29" spans="1:14" ht="15" x14ac:dyDescent="0.25">
      <c r="A29" s="162"/>
      <c r="B29" s="3">
        <f t="shared" si="2"/>
        <v>24</v>
      </c>
      <c r="C29" s="3" t="s">
        <v>70</v>
      </c>
      <c r="D29" s="3">
        <v>4.5</v>
      </c>
      <c r="E29" s="3"/>
      <c r="F29" s="3"/>
      <c r="G29">
        <v>9.5000000000000001E-2</v>
      </c>
      <c r="H29">
        <v>7.3099999999999998E-2</v>
      </c>
      <c r="I29">
        <v>0.1241</v>
      </c>
      <c r="J29">
        <v>7.9500000000000001E-2</v>
      </c>
      <c r="K29">
        <v>0.41749999999999998</v>
      </c>
      <c r="L29">
        <v>0.4103</v>
      </c>
      <c r="M29">
        <v>0.80110000000000003</v>
      </c>
      <c r="N29">
        <v>0.75800000000000001</v>
      </c>
    </row>
    <row r="30" spans="1:14" ht="15" x14ac:dyDescent="0.25">
      <c r="A30" s="162"/>
      <c r="B30" s="3">
        <f t="shared" si="2"/>
        <v>25</v>
      </c>
      <c r="C30" s="3" t="s">
        <v>155</v>
      </c>
      <c r="D30" s="3">
        <v>16.5</v>
      </c>
      <c r="E30" s="3"/>
      <c r="F30" s="3"/>
      <c r="G30">
        <v>6.0499999999999998E-2</v>
      </c>
      <c r="H30">
        <v>0.1076</v>
      </c>
      <c r="I30">
        <v>7.46E-2</v>
      </c>
      <c r="J30">
        <v>0.03</v>
      </c>
      <c r="K30">
        <v>0.76119999999999999</v>
      </c>
      <c r="L30">
        <v>0.78339999999999999</v>
      </c>
      <c r="M30">
        <v>0.79079999999999995</v>
      </c>
      <c r="N30">
        <v>0.85370000000000001</v>
      </c>
    </row>
    <row r="31" spans="1:14" ht="15" x14ac:dyDescent="0.25">
      <c r="A31" s="162"/>
      <c r="B31" s="3">
        <f t="shared" si="2"/>
        <v>26</v>
      </c>
      <c r="C31" s="3" t="s">
        <v>19</v>
      </c>
      <c r="D31" s="3">
        <v>14</v>
      </c>
      <c r="E31" s="3"/>
      <c r="F31" s="3"/>
      <c r="G31">
        <v>0.108</v>
      </c>
      <c r="H31">
        <v>0.06</v>
      </c>
      <c r="I31">
        <v>0.1104</v>
      </c>
      <c r="J31">
        <v>6.59E-2</v>
      </c>
      <c r="K31">
        <v>0.38679999999999998</v>
      </c>
      <c r="L31">
        <v>0.48770000000000002</v>
      </c>
      <c r="M31">
        <v>0.72750000000000004</v>
      </c>
      <c r="N31">
        <v>0.90010000000000001</v>
      </c>
    </row>
    <row r="32" spans="1:14" ht="15" x14ac:dyDescent="0.25">
      <c r="A32" s="162"/>
      <c r="B32" s="3">
        <f t="shared" si="2"/>
        <v>27</v>
      </c>
      <c r="C32" s="3" t="s">
        <v>77</v>
      </c>
      <c r="D32" s="3">
        <v>3</v>
      </c>
      <c r="E32" s="3"/>
      <c r="F32" s="3"/>
      <c r="G32">
        <v>9.1300000000000006E-2</v>
      </c>
      <c r="H32">
        <v>7.6799999999999993E-2</v>
      </c>
      <c r="I32">
        <v>0.10390000000000001</v>
      </c>
      <c r="J32">
        <v>5.8999999999999997E-2</v>
      </c>
      <c r="K32">
        <v>0.23780000000000001</v>
      </c>
      <c r="L32">
        <v>0.36530000000000001</v>
      </c>
      <c r="M32">
        <v>0.78769999999999996</v>
      </c>
      <c r="N32">
        <v>0.86350000000000005</v>
      </c>
    </row>
    <row r="33" spans="1:14" ht="15" x14ac:dyDescent="0.25">
      <c r="A33" s="166"/>
      <c r="B33" s="166"/>
      <c r="C33" s="166"/>
      <c r="D33" s="166"/>
      <c r="E33" s="5" t="s">
        <v>156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46</v>
      </c>
      <c r="D34" s="3">
        <v>10.5</v>
      </c>
      <c r="E34" s="3"/>
      <c r="F34" s="3"/>
      <c r="G34">
        <v>3.3799999999999997E-2</v>
      </c>
      <c r="H34">
        <v>0.1343</v>
      </c>
      <c r="I34">
        <v>5.0500000000000003E-2</v>
      </c>
      <c r="J34">
        <v>0.01</v>
      </c>
      <c r="K34">
        <v>0.89059999999999995</v>
      </c>
      <c r="L34">
        <v>0.83320000000000005</v>
      </c>
      <c r="M34">
        <v>0.92620000000000002</v>
      </c>
      <c r="N34">
        <v>0.6643</v>
      </c>
    </row>
    <row r="35" spans="1:14" ht="15" x14ac:dyDescent="0.25">
      <c r="A35" s="162"/>
      <c r="B35" s="3">
        <f t="shared" ref="B35:B42" si="3">B34+1</f>
        <v>29</v>
      </c>
      <c r="C35" s="3" t="s">
        <v>37</v>
      </c>
      <c r="D35" s="3">
        <v>9</v>
      </c>
      <c r="E35" s="3"/>
      <c r="F35" s="3"/>
      <c r="G35">
        <v>4.2599999999999999E-2</v>
      </c>
      <c r="H35">
        <v>0.12540000000000001</v>
      </c>
      <c r="I35">
        <v>6.4899999999999999E-2</v>
      </c>
      <c r="J35">
        <v>2.2100000000000002E-2</v>
      </c>
      <c r="K35">
        <v>0.40079999999999999</v>
      </c>
      <c r="L35">
        <v>0.36120000000000002</v>
      </c>
      <c r="M35">
        <v>0.87990000000000002</v>
      </c>
      <c r="N35">
        <v>0.72219999999999995</v>
      </c>
    </row>
    <row r="36" spans="1:14" ht="15" x14ac:dyDescent="0.25">
      <c r="A36" s="162"/>
      <c r="B36" s="3">
        <f t="shared" si="3"/>
        <v>30</v>
      </c>
      <c r="C36" s="3" t="s">
        <v>18</v>
      </c>
      <c r="D36" s="3">
        <v>14</v>
      </c>
      <c r="E36" s="3"/>
      <c r="F36" s="3"/>
      <c r="G36">
        <v>5.4100000000000002E-2</v>
      </c>
      <c r="H36">
        <v>0.114</v>
      </c>
      <c r="I36">
        <v>6.6400000000000001E-2</v>
      </c>
      <c r="J36">
        <v>2.1999999999999999E-2</v>
      </c>
      <c r="K36">
        <v>0.68479999999999996</v>
      </c>
      <c r="L36">
        <v>0.61739999999999995</v>
      </c>
      <c r="M36">
        <v>0.90369999999999995</v>
      </c>
      <c r="N36">
        <v>0.65669999999999995</v>
      </c>
    </row>
    <row r="37" spans="1:14" ht="15" x14ac:dyDescent="0.25">
      <c r="A37" s="162"/>
      <c r="B37" s="3">
        <f t="shared" si="3"/>
        <v>31</v>
      </c>
      <c r="C37" s="3" t="s">
        <v>36</v>
      </c>
      <c r="D37" s="3">
        <v>6</v>
      </c>
      <c r="E37" s="3"/>
      <c r="F37" s="3"/>
      <c r="G37">
        <v>5.96E-2</v>
      </c>
      <c r="H37">
        <v>0.10879999999999999</v>
      </c>
      <c r="I37">
        <v>7.85E-2</v>
      </c>
      <c r="J37">
        <v>3.4799999999999998E-2</v>
      </c>
      <c r="K37">
        <v>0.32569999999999999</v>
      </c>
      <c r="L37">
        <v>0.48139999999999999</v>
      </c>
      <c r="M37">
        <v>0.60680000000000001</v>
      </c>
      <c r="N37">
        <v>0.95399999999999996</v>
      </c>
    </row>
    <row r="38" spans="1:14" ht="15" x14ac:dyDescent="0.25">
      <c r="A38" s="162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7.2499999999999995E-2</v>
      </c>
      <c r="H38">
        <v>9.5699999999999993E-2</v>
      </c>
      <c r="I38">
        <v>8.3699999999999997E-2</v>
      </c>
      <c r="J38">
        <v>3.8899999999999997E-2</v>
      </c>
      <c r="K38">
        <v>0.33800000000000002</v>
      </c>
      <c r="L38">
        <v>0.42920000000000003</v>
      </c>
      <c r="M38">
        <v>0.6956</v>
      </c>
      <c r="N38">
        <v>0.86299999999999999</v>
      </c>
    </row>
    <row r="39" spans="1:14" ht="15" x14ac:dyDescent="0.25">
      <c r="A39" s="162"/>
      <c r="B39" s="3">
        <f t="shared" si="3"/>
        <v>33</v>
      </c>
      <c r="C39" s="3" t="s">
        <v>36</v>
      </c>
      <c r="D39" s="3">
        <v>7.5</v>
      </c>
      <c r="E39" s="3"/>
      <c r="F39" s="3"/>
      <c r="G39">
        <v>7.1999999999999995E-2</v>
      </c>
      <c r="H39">
        <v>9.6699999999999994E-2</v>
      </c>
      <c r="I39">
        <v>6.9000000000000006E-2</v>
      </c>
      <c r="J39">
        <v>2.4199999999999999E-2</v>
      </c>
      <c r="K39">
        <v>0.25950000000000001</v>
      </c>
      <c r="L39">
        <v>0.3821</v>
      </c>
      <c r="M39">
        <v>0.68989999999999996</v>
      </c>
      <c r="N39">
        <v>0.87250000000000005</v>
      </c>
    </row>
    <row r="40" spans="1:14" ht="15" x14ac:dyDescent="0.25">
      <c r="A40" s="162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3.2599999999999997E-2</v>
      </c>
      <c r="H40">
        <v>0.13569999999999999</v>
      </c>
      <c r="I40">
        <v>4.6199999999999998E-2</v>
      </c>
      <c r="J40">
        <v>1.0699999999999999E-2</v>
      </c>
      <c r="K40">
        <v>0.49280000000000002</v>
      </c>
      <c r="L40">
        <v>0.67330000000000001</v>
      </c>
      <c r="M40">
        <v>0.64949999999999997</v>
      </c>
      <c r="N40">
        <v>1.1509</v>
      </c>
    </row>
    <row r="41" spans="1:14" ht="15" x14ac:dyDescent="0.25">
      <c r="A41" s="162"/>
      <c r="B41" s="3">
        <f t="shared" si="3"/>
        <v>35</v>
      </c>
      <c r="C41" s="3" t="s">
        <v>37</v>
      </c>
      <c r="D41" s="3">
        <v>5.5</v>
      </c>
      <c r="E41" s="6"/>
      <c r="F41" s="6"/>
      <c r="G41">
        <v>2.0299999999999999E-2</v>
      </c>
      <c r="H41">
        <v>0.1477</v>
      </c>
      <c r="I41">
        <v>1.6299999999999999E-2</v>
      </c>
      <c r="J41">
        <v>2.8899999999999999E-2</v>
      </c>
      <c r="K41">
        <v>0.21679999999999999</v>
      </c>
      <c r="L41">
        <v>0.47299999999999998</v>
      </c>
      <c r="M41">
        <v>0.64570000000000005</v>
      </c>
      <c r="N41">
        <v>1.0415000000000001</v>
      </c>
    </row>
    <row r="42" spans="1:14" ht="15" x14ac:dyDescent="0.25">
      <c r="A42" s="162"/>
      <c r="B42" s="7">
        <f t="shared" si="3"/>
        <v>36</v>
      </c>
      <c r="C42" s="7" t="s">
        <v>80</v>
      </c>
      <c r="D42" s="7">
        <v>7</v>
      </c>
      <c r="E42" s="8"/>
      <c r="F42" s="8"/>
      <c r="G42">
        <v>4.5400000000000003E-2</v>
      </c>
      <c r="H42">
        <v>0.1232</v>
      </c>
      <c r="I42">
        <v>6.4100000000000004E-2</v>
      </c>
      <c r="J42">
        <v>2.2700000000000001E-2</v>
      </c>
      <c r="K42">
        <v>0.23910000000000001</v>
      </c>
      <c r="L42">
        <v>0.48099999999999998</v>
      </c>
      <c r="M42">
        <v>0.64119999999999999</v>
      </c>
      <c r="N42">
        <v>1.0956999999999999</v>
      </c>
    </row>
    <row r="43" spans="1:14" ht="15" x14ac:dyDescent="0.25">
      <c r="A43" s="166"/>
      <c r="B43" s="166"/>
      <c r="C43" s="166"/>
      <c r="D43" s="166"/>
      <c r="E43" s="5" t="s">
        <v>157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10" sqref="H10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38</v>
      </c>
      <c r="D4" s="3">
        <v>8</v>
      </c>
      <c r="E4" s="3"/>
      <c r="F4" s="3"/>
      <c r="G4">
        <v>8.0299999999999996E-2</v>
      </c>
      <c r="H4">
        <v>8.7800000000000003E-2</v>
      </c>
      <c r="I4">
        <v>0.1174</v>
      </c>
      <c r="J4">
        <v>7.3099999999999998E-2</v>
      </c>
      <c r="K4">
        <v>8.3799999999999999E-2</v>
      </c>
      <c r="L4">
        <v>0.40400000000000003</v>
      </c>
      <c r="M4">
        <v>0.64070000000000005</v>
      </c>
      <c r="N4">
        <v>1.1605000000000001</v>
      </c>
    </row>
    <row r="5" spans="1:14" ht="15" x14ac:dyDescent="0.25">
      <c r="A5" s="162"/>
      <c r="B5" s="3">
        <f t="shared" ref="B5:B12" si="0">B4+1</f>
        <v>2</v>
      </c>
      <c r="C5" s="14" t="s">
        <v>55</v>
      </c>
      <c r="D5" s="3">
        <v>13</v>
      </c>
      <c r="E5" s="3"/>
      <c r="F5" s="3"/>
      <c r="G5">
        <v>7.8700000000000006E-2</v>
      </c>
      <c r="H5">
        <v>8.9700000000000002E-2</v>
      </c>
      <c r="I5">
        <v>0.13189999999999999</v>
      </c>
      <c r="J5">
        <v>8.8099999999999998E-2</v>
      </c>
      <c r="K5">
        <v>0.1072</v>
      </c>
      <c r="L5">
        <v>0.3952</v>
      </c>
      <c r="M5">
        <v>0.64480000000000004</v>
      </c>
      <c r="N5">
        <v>1.1895</v>
      </c>
    </row>
    <row r="6" spans="1:14" ht="15" x14ac:dyDescent="0.25">
      <c r="A6" s="162"/>
      <c r="B6" s="3">
        <f t="shared" si="0"/>
        <v>3</v>
      </c>
      <c r="C6" s="3" t="s">
        <v>148</v>
      </c>
      <c r="D6" s="3">
        <v>10</v>
      </c>
      <c r="E6" s="3"/>
      <c r="F6" s="3"/>
      <c r="G6">
        <v>0.12039999999999999</v>
      </c>
      <c r="H6">
        <v>4.7800000000000002E-2</v>
      </c>
      <c r="I6">
        <v>0.18540000000000001</v>
      </c>
      <c r="J6">
        <v>0.1411</v>
      </c>
      <c r="K6">
        <v>9.1200000000000003E-2</v>
      </c>
      <c r="L6">
        <v>0.39860000000000001</v>
      </c>
      <c r="M6">
        <v>0.63360000000000005</v>
      </c>
      <c r="N6">
        <v>1.2256</v>
      </c>
    </row>
    <row r="7" spans="1:14" ht="15" x14ac:dyDescent="0.25">
      <c r="A7" s="162"/>
      <c r="B7" s="3">
        <f t="shared" si="0"/>
        <v>4</v>
      </c>
      <c r="C7" s="3" t="s">
        <v>76</v>
      </c>
      <c r="D7" s="3">
        <v>12</v>
      </c>
      <c r="E7" s="3"/>
      <c r="F7" s="3"/>
      <c r="G7">
        <v>0.1128</v>
      </c>
      <c r="H7">
        <v>5.5199999999999999E-2</v>
      </c>
      <c r="I7">
        <v>0.1487</v>
      </c>
      <c r="J7">
        <v>0.104</v>
      </c>
      <c r="K7">
        <v>0.1181</v>
      </c>
      <c r="L7">
        <v>0.38500000000000001</v>
      </c>
      <c r="M7">
        <v>0.74709999999999999</v>
      </c>
      <c r="N7">
        <v>1.1879999999999999</v>
      </c>
    </row>
    <row r="8" spans="1:14" ht="15" x14ac:dyDescent="0.25">
      <c r="A8" s="162"/>
      <c r="B8" s="3">
        <f t="shared" si="0"/>
        <v>5</v>
      </c>
      <c r="C8" s="3" t="s">
        <v>38</v>
      </c>
      <c r="D8" s="3">
        <v>5</v>
      </c>
      <c r="E8" s="3"/>
      <c r="F8" s="3"/>
      <c r="G8">
        <v>7.2300000000000003E-2</v>
      </c>
      <c r="H8">
        <v>9.6199999999999994E-2</v>
      </c>
      <c r="I8">
        <v>0.1318</v>
      </c>
      <c r="J8">
        <v>8.8400000000000006E-2</v>
      </c>
      <c r="K8">
        <v>0.13739999999999999</v>
      </c>
      <c r="L8">
        <v>0.35809999999999997</v>
      </c>
      <c r="M8">
        <v>0.74060000000000004</v>
      </c>
      <c r="N8">
        <v>1.1778</v>
      </c>
    </row>
    <row r="9" spans="1:14" ht="15" x14ac:dyDescent="0.25">
      <c r="A9" s="162"/>
      <c r="B9" s="3">
        <f t="shared" si="0"/>
        <v>6</v>
      </c>
      <c r="C9" s="3" t="s">
        <v>115</v>
      </c>
      <c r="D9" s="3">
        <v>0</v>
      </c>
      <c r="E9" s="3"/>
      <c r="F9" s="3"/>
      <c r="G9">
        <v>5.4300000000000001E-2</v>
      </c>
      <c r="H9">
        <v>0.1139</v>
      </c>
      <c r="I9">
        <v>0.1009</v>
      </c>
      <c r="J9">
        <v>5.8200000000000002E-2</v>
      </c>
      <c r="K9">
        <v>0.30030000000000001</v>
      </c>
      <c r="L9">
        <v>0.4466</v>
      </c>
      <c r="M9">
        <v>0.71299999999999997</v>
      </c>
      <c r="N9">
        <v>1.1953</v>
      </c>
    </row>
    <row r="10" spans="1:14" ht="15" x14ac:dyDescent="0.25">
      <c r="A10" s="162"/>
      <c r="B10" s="3">
        <f t="shared" si="0"/>
        <v>7</v>
      </c>
      <c r="C10" s="3" t="s">
        <v>21</v>
      </c>
      <c r="D10" s="3">
        <v>5</v>
      </c>
      <c r="E10" s="3"/>
      <c r="F10" s="3"/>
      <c r="G10">
        <v>6.5299999999999997E-2</v>
      </c>
      <c r="H10">
        <v>0.1027</v>
      </c>
      <c r="I10">
        <v>0.1124</v>
      </c>
      <c r="J10">
        <v>6.93E-2</v>
      </c>
      <c r="K10">
        <v>0.1123</v>
      </c>
      <c r="L10">
        <v>0.40029999999999999</v>
      </c>
      <c r="M10">
        <v>0.72150000000000003</v>
      </c>
      <c r="N10">
        <v>1.2333000000000001</v>
      </c>
    </row>
    <row r="11" spans="1:14" ht="15" x14ac:dyDescent="0.25">
      <c r="A11" s="162"/>
      <c r="B11" s="3">
        <f t="shared" si="0"/>
        <v>8</v>
      </c>
      <c r="C11" s="3" t="s">
        <v>21</v>
      </c>
      <c r="D11" s="3">
        <v>8.5</v>
      </c>
      <c r="E11" s="3"/>
      <c r="F11" s="3"/>
      <c r="G11">
        <v>5.6500000000000002E-2</v>
      </c>
      <c r="H11">
        <v>0.1115</v>
      </c>
      <c r="I11">
        <v>0.10009999999999999</v>
      </c>
      <c r="J11">
        <v>5.7599999999999998E-2</v>
      </c>
      <c r="K11">
        <v>9.6600000000000005E-2</v>
      </c>
      <c r="L11">
        <v>0.39639999999999997</v>
      </c>
      <c r="M11">
        <v>0.69069999999999998</v>
      </c>
      <c r="N11">
        <v>1.1998</v>
      </c>
    </row>
    <row r="12" spans="1:14" ht="15" x14ac:dyDescent="0.25">
      <c r="A12" s="162"/>
      <c r="B12" s="3">
        <f t="shared" si="0"/>
        <v>9</v>
      </c>
      <c r="C12" s="3" t="s">
        <v>59</v>
      </c>
      <c r="D12" s="3">
        <v>11</v>
      </c>
      <c r="E12" s="3"/>
      <c r="F12" s="3"/>
      <c r="G12">
        <v>7.1300000000000002E-2</v>
      </c>
      <c r="H12">
        <v>9.6799999999999997E-2</v>
      </c>
      <c r="I12">
        <v>0.12609999999999999</v>
      </c>
      <c r="J12">
        <v>8.2900000000000001E-2</v>
      </c>
      <c r="K12">
        <v>0.10929999999999999</v>
      </c>
      <c r="L12">
        <v>0.37890000000000001</v>
      </c>
      <c r="M12">
        <v>0.70479999999999998</v>
      </c>
      <c r="N12">
        <v>1.2179</v>
      </c>
    </row>
    <row r="13" spans="1:14" ht="15" x14ac:dyDescent="0.25">
      <c r="A13" s="166"/>
      <c r="B13" s="166"/>
      <c r="C13" s="166"/>
      <c r="D13" s="166"/>
      <c r="E13" s="5" t="s">
        <v>153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19</v>
      </c>
      <c r="D14" s="3">
        <v>14.8</v>
      </c>
      <c r="E14" s="3"/>
      <c r="F14" s="3"/>
      <c r="G14">
        <v>3.49E-2</v>
      </c>
      <c r="H14">
        <v>0.1331</v>
      </c>
      <c r="I14">
        <v>5.9299999999999999E-2</v>
      </c>
      <c r="J14">
        <v>1.89E-2</v>
      </c>
      <c r="K14">
        <v>0.25729999999999997</v>
      </c>
      <c r="L14">
        <v>0.2341</v>
      </c>
      <c r="M14">
        <v>0.87270000000000003</v>
      </c>
      <c r="N14">
        <v>0.84260000000000002</v>
      </c>
    </row>
    <row r="15" spans="1:14" ht="15" x14ac:dyDescent="0.25">
      <c r="A15" s="162"/>
      <c r="B15" s="3">
        <f t="shared" ref="B15:B22" si="1">B14+1</f>
        <v>11</v>
      </c>
      <c r="C15" s="3" t="s">
        <v>40</v>
      </c>
      <c r="D15" s="3">
        <v>18</v>
      </c>
      <c r="E15" s="3"/>
      <c r="F15" s="3"/>
      <c r="G15">
        <v>2.8500000000000001E-2</v>
      </c>
      <c r="H15">
        <v>0.13950000000000001</v>
      </c>
      <c r="I15">
        <v>5.74E-2</v>
      </c>
      <c r="J15">
        <v>1.9800000000000002E-2</v>
      </c>
      <c r="K15">
        <v>0.26</v>
      </c>
      <c r="L15">
        <v>0.2253</v>
      </c>
      <c r="M15">
        <v>0.89510000000000001</v>
      </c>
      <c r="N15">
        <v>0.82930000000000004</v>
      </c>
    </row>
    <row r="16" spans="1:14" ht="15" x14ac:dyDescent="0.25">
      <c r="A16" s="162"/>
      <c r="B16" s="3">
        <f t="shared" si="1"/>
        <v>12</v>
      </c>
      <c r="C16" s="3" t="s">
        <v>38</v>
      </c>
      <c r="D16" s="3">
        <v>7</v>
      </c>
      <c r="E16" s="3"/>
      <c r="F16" s="3"/>
      <c r="G16">
        <v>2.7099999999999999E-2</v>
      </c>
      <c r="H16">
        <v>0.1409</v>
      </c>
      <c r="I16">
        <v>5.7599999999999998E-2</v>
      </c>
      <c r="J16">
        <v>2.1000000000000001E-2</v>
      </c>
      <c r="K16">
        <v>0.2482</v>
      </c>
      <c r="L16">
        <v>0.24759999999999999</v>
      </c>
      <c r="M16">
        <v>0.9073</v>
      </c>
      <c r="N16">
        <v>0.85299999999999998</v>
      </c>
    </row>
    <row r="17" spans="1:14" ht="15" x14ac:dyDescent="0.25">
      <c r="A17" s="162"/>
      <c r="B17" s="3">
        <f t="shared" si="1"/>
        <v>13</v>
      </c>
      <c r="C17" s="3" t="s">
        <v>38</v>
      </c>
      <c r="D17" s="3">
        <v>7</v>
      </c>
      <c r="E17" s="3"/>
      <c r="F17" s="3"/>
      <c r="G17">
        <v>4.4600000000000001E-2</v>
      </c>
      <c r="H17">
        <v>0.1234</v>
      </c>
      <c r="I17">
        <v>8.7900000000000006E-2</v>
      </c>
      <c r="J17">
        <v>4.6399999999999997E-2</v>
      </c>
      <c r="K17">
        <v>0.21779999999999999</v>
      </c>
      <c r="L17">
        <v>0.26819999999999999</v>
      </c>
      <c r="M17">
        <v>0.90459999999999996</v>
      </c>
      <c r="N17">
        <v>1.0461</v>
      </c>
    </row>
    <row r="18" spans="1:14" ht="15" x14ac:dyDescent="0.25">
      <c r="A18" s="162"/>
      <c r="B18" s="3">
        <f t="shared" si="1"/>
        <v>14</v>
      </c>
      <c r="C18" s="3" t="s">
        <v>76</v>
      </c>
      <c r="D18" s="3">
        <v>14.5</v>
      </c>
      <c r="E18" s="3"/>
      <c r="F18" s="3"/>
      <c r="G18">
        <v>2.3699999999999999E-2</v>
      </c>
      <c r="H18">
        <v>0.1444</v>
      </c>
      <c r="I18">
        <v>4.8800000000000003E-2</v>
      </c>
      <c r="J18">
        <v>1.6299999999999999E-2</v>
      </c>
      <c r="K18">
        <v>0.2366</v>
      </c>
      <c r="L18">
        <v>0.26529999999999998</v>
      </c>
      <c r="M18">
        <v>0.93410000000000004</v>
      </c>
      <c r="N18">
        <v>1.0263</v>
      </c>
    </row>
    <row r="19" spans="1:14" ht="15" x14ac:dyDescent="0.25">
      <c r="A19" s="162"/>
      <c r="B19" s="3">
        <f t="shared" si="1"/>
        <v>15</v>
      </c>
      <c r="C19" s="3" t="s">
        <v>77</v>
      </c>
      <c r="D19" s="3">
        <v>6</v>
      </c>
      <c r="E19" s="3"/>
      <c r="F19" s="3"/>
      <c r="G19">
        <v>4.0500000000000001E-2</v>
      </c>
      <c r="H19">
        <v>0.1275</v>
      </c>
      <c r="I19">
        <v>7.4399999999999994E-2</v>
      </c>
      <c r="J19">
        <v>3.3599999999999998E-2</v>
      </c>
      <c r="K19">
        <v>0.26319999999999999</v>
      </c>
      <c r="L19">
        <v>0.23619999999999999</v>
      </c>
      <c r="M19">
        <v>0.90310000000000001</v>
      </c>
      <c r="N19">
        <v>1.0043</v>
      </c>
    </row>
    <row r="20" spans="1:14" ht="15" x14ac:dyDescent="0.25">
      <c r="A20" s="162"/>
      <c r="B20" s="3">
        <f t="shared" si="1"/>
        <v>16</v>
      </c>
      <c r="C20" s="3" t="s">
        <v>45</v>
      </c>
      <c r="D20" s="3">
        <v>5.5</v>
      </c>
      <c r="E20" s="3"/>
      <c r="F20" s="3"/>
      <c r="G20">
        <v>2.4E-2</v>
      </c>
      <c r="H20">
        <v>0.14419999999999999</v>
      </c>
      <c r="I20">
        <v>7.4300000000000005E-2</v>
      </c>
      <c r="J20">
        <v>3.9399999999999998E-2</v>
      </c>
      <c r="K20">
        <v>0.25619999999999998</v>
      </c>
      <c r="L20">
        <v>0.22950000000000001</v>
      </c>
      <c r="M20">
        <v>0.98480000000000001</v>
      </c>
      <c r="N20">
        <v>1.0165999999999999</v>
      </c>
    </row>
    <row r="21" spans="1:14" ht="15" x14ac:dyDescent="0.25">
      <c r="A21" s="162"/>
      <c r="B21" s="3">
        <f t="shared" si="1"/>
        <v>17</v>
      </c>
      <c r="C21" s="3" t="s">
        <v>21</v>
      </c>
      <c r="D21" s="3">
        <v>6.5</v>
      </c>
      <c r="E21" s="3"/>
      <c r="F21" s="3"/>
      <c r="G21">
        <v>8.8800000000000004E-2</v>
      </c>
      <c r="H21">
        <v>7.9200000000000007E-2</v>
      </c>
      <c r="I21">
        <v>0.1343</v>
      </c>
      <c r="J21">
        <v>9.0200000000000002E-2</v>
      </c>
      <c r="K21">
        <v>0.29580000000000001</v>
      </c>
      <c r="L21">
        <v>0.249</v>
      </c>
      <c r="M21">
        <v>0.92359999999999998</v>
      </c>
      <c r="N21">
        <v>1.0885</v>
      </c>
    </row>
    <row r="22" spans="1:14" ht="15" x14ac:dyDescent="0.25">
      <c r="A22" s="162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6.8400000000000002E-2</v>
      </c>
      <c r="H22">
        <v>9.9699999999999997E-2</v>
      </c>
      <c r="I22">
        <v>0.1212</v>
      </c>
      <c r="J22">
        <v>7.8399999999999997E-2</v>
      </c>
      <c r="K22">
        <v>0.2777</v>
      </c>
      <c r="L22">
        <v>0.221</v>
      </c>
      <c r="M22">
        <v>0.95589999999999997</v>
      </c>
      <c r="N22">
        <v>1.0656000000000001</v>
      </c>
    </row>
    <row r="23" spans="1:14" ht="15" x14ac:dyDescent="0.25">
      <c r="A23" s="166"/>
      <c r="B23" s="166"/>
      <c r="C23" s="166"/>
      <c r="D23" s="166"/>
      <c r="E23" s="5" t="s">
        <v>158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62</v>
      </c>
      <c r="D24" s="3">
        <v>9.5</v>
      </c>
      <c r="E24" s="3"/>
      <c r="F24" s="3"/>
      <c r="G24">
        <v>1.5100000000000001E-2</v>
      </c>
      <c r="H24">
        <v>0.153</v>
      </c>
      <c r="I24">
        <v>3.4799999999999998E-2</v>
      </c>
      <c r="J24">
        <v>1.9E-2</v>
      </c>
      <c r="K24">
        <v>0.37</v>
      </c>
      <c r="L24">
        <v>0.27910000000000001</v>
      </c>
      <c r="M24">
        <v>0.96699999999999997</v>
      </c>
      <c r="N24">
        <v>0.73770000000000002</v>
      </c>
    </row>
    <row r="25" spans="1:14" ht="15" x14ac:dyDescent="0.25">
      <c r="A25" s="162"/>
      <c r="B25" s="3">
        <f t="shared" ref="B25:B32" si="2">B24+1</f>
        <v>20</v>
      </c>
      <c r="C25" s="3" t="s">
        <v>45</v>
      </c>
      <c r="D25" s="3">
        <v>6.5</v>
      </c>
      <c r="E25" s="3"/>
      <c r="F25" s="3"/>
      <c r="G25">
        <v>4.7300000000000002E-2</v>
      </c>
      <c r="H25">
        <v>0.12089999999999999</v>
      </c>
      <c r="I25">
        <v>7.1900000000000006E-2</v>
      </c>
      <c r="J25">
        <v>2.9600000000000001E-2</v>
      </c>
      <c r="K25">
        <v>0.28249999999999997</v>
      </c>
      <c r="L25">
        <v>0.21029999999999999</v>
      </c>
      <c r="M25">
        <v>0.94320000000000004</v>
      </c>
      <c r="N25">
        <v>0.7792</v>
      </c>
    </row>
    <row r="26" spans="1:14" ht="15" x14ac:dyDescent="0.25">
      <c r="A26" s="162"/>
      <c r="B26" s="3">
        <f t="shared" si="2"/>
        <v>21</v>
      </c>
      <c r="C26" s="3" t="s">
        <v>39</v>
      </c>
      <c r="D26" s="3">
        <v>10.5</v>
      </c>
      <c r="E26" s="3"/>
      <c r="F26" s="3"/>
      <c r="G26">
        <v>3.8600000000000002E-2</v>
      </c>
      <c r="H26">
        <v>0.12939999999999999</v>
      </c>
      <c r="I26">
        <v>6.6799999999999998E-2</v>
      </c>
      <c r="J26">
        <v>2.5399999999999999E-2</v>
      </c>
      <c r="K26">
        <v>0.31469999999999998</v>
      </c>
      <c r="L26">
        <v>0.22109999999999999</v>
      </c>
      <c r="M26">
        <v>0.92849999999999999</v>
      </c>
      <c r="N26">
        <v>0.75739999999999996</v>
      </c>
    </row>
    <row r="27" spans="1:14" ht="15" x14ac:dyDescent="0.25">
      <c r="A27" s="162"/>
      <c r="B27" s="3">
        <f t="shared" si="2"/>
        <v>22</v>
      </c>
      <c r="C27" s="3" t="s">
        <v>28</v>
      </c>
      <c r="D27" s="3">
        <v>12.5</v>
      </c>
      <c r="E27" s="3"/>
      <c r="F27" s="3"/>
      <c r="G27">
        <v>3.9600000000000003E-2</v>
      </c>
      <c r="H27">
        <v>0.12839999999999999</v>
      </c>
      <c r="I27">
        <v>7.3099999999999998E-2</v>
      </c>
      <c r="J27">
        <v>3.1899999999999998E-2</v>
      </c>
      <c r="K27">
        <v>0.24909999999999999</v>
      </c>
      <c r="L27">
        <v>0.23810000000000001</v>
      </c>
      <c r="M27">
        <v>0.99619999999999997</v>
      </c>
      <c r="N27">
        <v>0.81989999999999996</v>
      </c>
    </row>
    <row r="28" spans="1:14" ht="15" x14ac:dyDescent="0.25">
      <c r="A28" s="162"/>
      <c r="B28" s="3">
        <f t="shared" si="2"/>
        <v>23</v>
      </c>
      <c r="C28" s="3" t="s">
        <v>70</v>
      </c>
      <c r="D28" s="3">
        <v>7</v>
      </c>
      <c r="E28" s="3"/>
      <c r="F28" s="3"/>
      <c r="G28">
        <v>4.1300000000000003E-2</v>
      </c>
      <c r="H28">
        <v>0.1268</v>
      </c>
      <c r="I28">
        <v>8.2000000000000003E-2</v>
      </c>
      <c r="J28">
        <v>4.1000000000000002E-2</v>
      </c>
      <c r="K28">
        <v>0.247</v>
      </c>
      <c r="L28">
        <v>0.23810000000000001</v>
      </c>
      <c r="M28">
        <v>0.95789999999999997</v>
      </c>
      <c r="N28">
        <v>0.82179999999999997</v>
      </c>
    </row>
    <row r="29" spans="1:14" ht="15" x14ac:dyDescent="0.25">
      <c r="A29" s="162"/>
      <c r="B29" s="3">
        <f t="shared" si="2"/>
        <v>24</v>
      </c>
      <c r="C29" s="3" t="s">
        <v>89</v>
      </c>
      <c r="D29" s="3">
        <v>12</v>
      </c>
      <c r="E29" s="3"/>
      <c r="F29" s="3"/>
      <c r="G29">
        <v>1.5900000000000001E-2</v>
      </c>
      <c r="H29">
        <v>0.15210000000000001</v>
      </c>
      <c r="I29">
        <v>5.8400000000000001E-2</v>
      </c>
      <c r="J29">
        <v>2.8199999999999999E-2</v>
      </c>
      <c r="K29">
        <v>0.26390000000000002</v>
      </c>
      <c r="L29">
        <v>0.22389999999999999</v>
      </c>
      <c r="M29">
        <v>0.94650000000000001</v>
      </c>
      <c r="N29">
        <v>0.83460000000000001</v>
      </c>
    </row>
    <row r="30" spans="1:14" ht="15" x14ac:dyDescent="0.25">
      <c r="A30" s="162"/>
      <c r="B30" s="3">
        <f t="shared" si="2"/>
        <v>25</v>
      </c>
      <c r="C30" s="3" t="s">
        <v>76</v>
      </c>
      <c r="D30" s="3">
        <v>13</v>
      </c>
      <c r="E30" s="3"/>
      <c r="F30" s="3"/>
      <c r="G30">
        <v>7.0900000000000005E-2</v>
      </c>
      <c r="H30">
        <v>9.7199999999999995E-2</v>
      </c>
      <c r="I30">
        <v>0.11219999999999999</v>
      </c>
      <c r="J30">
        <v>6.8400000000000002E-2</v>
      </c>
      <c r="K30">
        <v>0.23219999999999999</v>
      </c>
      <c r="L30">
        <v>0.25330000000000003</v>
      </c>
      <c r="M30">
        <v>0.81850000000000001</v>
      </c>
      <c r="N30">
        <v>0.90359999999999996</v>
      </c>
    </row>
    <row r="31" spans="1:14" ht="15" x14ac:dyDescent="0.25">
      <c r="A31" s="162"/>
      <c r="B31" s="3">
        <f t="shared" si="2"/>
        <v>26</v>
      </c>
      <c r="C31" s="3" t="s">
        <v>105</v>
      </c>
      <c r="D31" s="3">
        <v>19.5</v>
      </c>
      <c r="E31" s="3"/>
      <c r="F31" s="3"/>
      <c r="G31">
        <v>3.6499999999999998E-2</v>
      </c>
      <c r="H31">
        <v>0.13150000000000001</v>
      </c>
      <c r="I31">
        <v>7.7399999999999997E-2</v>
      </c>
      <c r="J31">
        <v>3.7499999999999999E-2</v>
      </c>
      <c r="K31">
        <v>0.23699999999999999</v>
      </c>
      <c r="L31">
        <v>0.26419999999999999</v>
      </c>
      <c r="M31">
        <v>0.82099999999999995</v>
      </c>
      <c r="N31">
        <v>0.89080000000000004</v>
      </c>
    </row>
    <row r="32" spans="1:14" ht="15" x14ac:dyDescent="0.25">
      <c r="A32" s="162"/>
      <c r="B32" s="3">
        <f t="shared" si="2"/>
        <v>27</v>
      </c>
      <c r="C32" s="3" t="s">
        <v>50</v>
      </c>
      <c r="D32" s="3">
        <v>5.5</v>
      </c>
      <c r="E32" s="3"/>
      <c r="F32" s="3"/>
      <c r="G32">
        <v>6.4699999999999994E-2</v>
      </c>
      <c r="H32">
        <v>0.10340000000000001</v>
      </c>
      <c r="I32">
        <v>0.1196</v>
      </c>
      <c r="J32">
        <v>7.6999999999999999E-2</v>
      </c>
      <c r="K32">
        <v>0.24540000000000001</v>
      </c>
      <c r="L32">
        <v>0.28389999999999999</v>
      </c>
      <c r="M32">
        <v>0.87909999999999999</v>
      </c>
      <c r="N32">
        <v>0.86750000000000005</v>
      </c>
    </row>
    <row r="33" spans="1:14" ht="15" x14ac:dyDescent="0.25">
      <c r="A33" s="166"/>
      <c r="B33" s="166"/>
      <c r="C33" s="166"/>
      <c r="D33" s="166"/>
      <c r="E33" s="5" t="s">
        <v>158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3.5999999999999999E-3</v>
      </c>
      <c r="H34">
        <v>0.16739999999999999</v>
      </c>
      <c r="I34">
        <v>1.5299999999999999E-2</v>
      </c>
      <c r="J34">
        <v>3.3399999999999999E-2</v>
      </c>
      <c r="K34">
        <v>0.22370000000000001</v>
      </c>
      <c r="L34">
        <v>0.28370000000000001</v>
      </c>
      <c r="M34">
        <v>0.83530000000000004</v>
      </c>
      <c r="N34">
        <v>0.75990000000000002</v>
      </c>
    </row>
    <row r="35" spans="1:14" ht="15" x14ac:dyDescent="0.25">
      <c r="A35" s="162"/>
      <c r="B35" s="3">
        <f t="shared" ref="B35:B42" si="3">B34+1</f>
        <v>29</v>
      </c>
      <c r="C35" s="3" t="s">
        <v>43</v>
      </c>
      <c r="D35" s="3">
        <v>19.5</v>
      </c>
      <c r="E35" s="3"/>
      <c r="F35" s="3"/>
      <c r="G35">
        <v>3.0999999999999999E-3</v>
      </c>
      <c r="H35">
        <v>0.17069999999999999</v>
      </c>
      <c r="I35">
        <v>1.41E-2</v>
      </c>
      <c r="J35">
        <v>3.7400000000000003E-2</v>
      </c>
      <c r="K35">
        <v>0.2266</v>
      </c>
      <c r="L35">
        <v>0.2903</v>
      </c>
      <c r="M35">
        <v>0.81379999999999997</v>
      </c>
      <c r="N35">
        <v>0.76539999999999997</v>
      </c>
    </row>
    <row r="36" spans="1:14" ht="15" x14ac:dyDescent="0.25">
      <c r="A36" s="162"/>
      <c r="B36" s="3">
        <f t="shared" si="3"/>
        <v>30</v>
      </c>
      <c r="C36" s="3" t="s">
        <v>24</v>
      </c>
      <c r="D36" s="3">
        <v>4.5</v>
      </c>
      <c r="E36" s="3"/>
      <c r="F36" s="3"/>
      <c r="G36">
        <v>2.58E-2</v>
      </c>
      <c r="H36">
        <v>0.14230000000000001</v>
      </c>
      <c r="I36">
        <v>4.3499999999999997E-2</v>
      </c>
      <c r="J36">
        <v>0.01</v>
      </c>
      <c r="K36">
        <v>0.27389999999999998</v>
      </c>
      <c r="L36">
        <v>0.30199999999999999</v>
      </c>
      <c r="M36">
        <v>0.83540000000000003</v>
      </c>
      <c r="N36">
        <v>0.74219999999999997</v>
      </c>
    </row>
    <row r="37" spans="1:14" ht="15" x14ac:dyDescent="0.25">
      <c r="A37" s="162"/>
      <c r="B37" s="3">
        <f t="shared" si="3"/>
        <v>31</v>
      </c>
      <c r="C37" s="3" t="s">
        <v>77</v>
      </c>
      <c r="D37" s="3">
        <v>4.5</v>
      </c>
      <c r="E37" s="3"/>
      <c r="F37" s="3"/>
      <c r="G37">
        <v>3.1899999999999998E-2</v>
      </c>
      <c r="H37">
        <v>0.13639999999999999</v>
      </c>
      <c r="I37">
        <v>6.9500000000000006E-2</v>
      </c>
      <c r="J37">
        <v>2.9600000000000001E-2</v>
      </c>
      <c r="K37">
        <v>0.20050000000000001</v>
      </c>
      <c r="L37">
        <v>0.3211</v>
      </c>
      <c r="M37">
        <v>0.74819999999999998</v>
      </c>
      <c r="N37">
        <v>0.82289999999999996</v>
      </c>
    </row>
    <row r="38" spans="1:14" ht="15" x14ac:dyDescent="0.25">
      <c r="A38" s="162"/>
      <c r="B38" s="3">
        <f t="shared" si="3"/>
        <v>32</v>
      </c>
      <c r="C38" s="3" t="s">
        <v>38</v>
      </c>
      <c r="D38" s="3">
        <v>2.5</v>
      </c>
      <c r="E38" s="3"/>
      <c r="F38" s="3"/>
      <c r="G38">
        <v>2.07E-2</v>
      </c>
      <c r="H38">
        <v>0.1474</v>
      </c>
      <c r="I38">
        <v>6.3E-2</v>
      </c>
      <c r="J38">
        <v>2.8199999999999999E-2</v>
      </c>
      <c r="K38">
        <v>0.26790000000000003</v>
      </c>
      <c r="L38">
        <v>0.3599</v>
      </c>
      <c r="M38">
        <v>0.75539999999999996</v>
      </c>
      <c r="N38">
        <v>0.82850000000000001</v>
      </c>
    </row>
    <row r="39" spans="1:14" ht="15" x14ac:dyDescent="0.25">
      <c r="A39" s="162"/>
      <c r="B39" s="3">
        <f t="shared" si="3"/>
        <v>33</v>
      </c>
      <c r="C39" s="3" t="s">
        <v>38</v>
      </c>
      <c r="D39" s="3">
        <v>3.5</v>
      </c>
      <c r="E39" s="3"/>
      <c r="F39" s="3"/>
      <c r="G39">
        <v>5.0900000000000001E-2</v>
      </c>
      <c r="H39">
        <v>0.1171</v>
      </c>
      <c r="I39">
        <v>0.1147</v>
      </c>
      <c r="J39">
        <v>7.3400000000000007E-2</v>
      </c>
      <c r="K39">
        <v>0.2462</v>
      </c>
      <c r="L39">
        <v>0.33850000000000002</v>
      </c>
      <c r="M39">
        <v>0.78139999999999998</v>
      </c>
      <c r="N39">
        <v>0.79990000000000006</v>
      </c>
    </row>
    <row r="40" spans="1:14" ht="15" x14ac:dyDescent="0.25">
      <c r="A40" s="162"/>
      <c r="B40" s="3">
        <f t="shared" si="3"/>
        <v>34</v>
      </c>
      <c r="C40" s="3" t="s">
        <v>16</v>
      </c>
      <c r="D40" s="3">
        <v>13.5</v>
      </c>
      <c r="E40" s="6"/>
      <c r="F40" s="6"/>
      <c r="G40">
        <v>6.4100000000000004E-2</v>
      </c>
      <c r="H40">
        <v>0.1042</v>
      </c>
      <c r="I40">
        <v>9.7299999999999998E-2</v>
      </c>
      <c r="J40">
        <v>5.3199999999999997E-2</v>
      </c>
      <c r="K40">
        <v>0.35349999999999998</v>
      </c>
      <c r="L40">
        <v>0.24249999999999999</v>
      </c>
      <c r="M40">
        <v>1.0406</v>
      </c>
      <c r="N40">
        <v>0.73280000000000001</v>
      </c>
    </row>
    <row r="41" spans="1:14" ht="15" x14ac:dyDescent="0.25">
      <c r="A41" s="162"/>
      <c r="B41" s="3">
        <f t="shared" si="3"/>
        <v>35</v>
      </c>
      <c r="C41" s="3" t="s">
        <v>69</v>
      </c>
      <c r="D41" s="3">
        <v>11</v>
      </c>
      <c r="E41" s="6"/>
      <c r="F41" s="6"/>
      <c r="G41">
        <v>5.1999999999999998E-3</v>
      </c>
      <c r="H41">
        <v>0.1668</v>
      </c>
      <c r="I41">
        <v>3.8199999999999998E-2</v>
      </c>
      <c r="J41">
        <v>2.4500000000000001E-2</v>
      </c>
      <c r="K41">
        <v>0.29559999999999997</v>
      </c>
      <c r="L41">
        <v>0.19109999999999999</v>
      </c>
      <c r="M41">
        <v>1.1057999999999999</v>
      </c>
      <c r="N41">
        <v>0.72509999999999997</v>
      </c>
    </row>
    <row r="42" spans="1:14" ht="15" x14ac:dyDescent="0.25">
      <c r="A42" s="162"/>
      <c r="B42" s="7">
        <f t="shared" si="3"/>
        <v>36</v>
      </c>
      <c r="C42" s="7" t="s">
        <v>34</v>
      </c>
      <c r="D42" s="7">
        <v>14</v>
      </c>
      <c r="E42" s="8"/>
      <c r="F42" s="8"/>
      <c r="G42">
        <v>4.0899999999999999E-2</v>
      </c>
      <c r="H42">
        <v>0.12720000000000001</v>
      </c>
      <c r="I42">
        <v>7.9799999999999996E-2</v>
      </c>
      <c r="J42">
        <v>3.8399999999999997E-2</v>
      </c>
      <c r="K42">
        <v>0.38779999999999998</v>
      </c>
      <c r="L42">
        <v>0.24110000000000001</v>
      </c>
      <c r="M42">
        <v>1.05</v>
      </c>
      <c r="N42">
        <v>0.76590000000000003</v>
      </c>
    </row>
    <row r="43" spans="1:14" ht="15" x14ac:dyDescent="0.25">
      <c r="A43" s="166"/>
      <c r="B43" s="166"/>
      <c r="C43" s="166"/>
      <c r="D43" s="166"/>
      <c r="E43" s="5" t="s">
        <v>158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55</v>
      </c>
      <c r="D4" s="3">
        <v>11.5</v>
      </c>
      <c r="E4" s="3"/>
      <c r="F4" s="3"/>
      <c r="G4">
        <v>6.1999999999999998E-3</v>
      </c>
      <c r="H4">
        <v>0.1623</v>
      </c>
      <c r="I4">
        <v>2.2599999999999999E-2</v>
      </c>
      <c r="J4">
        <v>2.7099999999999999E-2</v>
      </c>
      <c r="K4">
        <v>0.215</v>
      </c>
      <c r="L4">
        <v>0.3352</v>
      </c>
      <c r="M4">
        <v>0.90080000000000005</v>
      </c>
      <c r="N4">
        <v>0.67249999999999999</v>
      </c>
    </row>
    <row r="5" spans="1:14" ht="15" x14ac:dyDescent="0.25">
      <c r="A5" s="162"/>
      <c r="B5" s="3">
        <f t="shared" ref="B5:B12" si="0">B4+1</f>
        <v>2</v>
      </c>
      <c r="C5" s="14" t="s">
        <v>94</v>
      </c>
      <c r="D5" s="3">
        <v>10.5</v>
      </c>
      <c r="E5" s="3"/>
      <c r="F5" s="3"/>
      <c r="G5">
        <v>1.2800000000000001E-2</v>
      </c>
      <c r="H5">
        <v>0.15529999999999999</v>
      </c>
      <c r="I5">
        <v>2.2200000000000001E-2</v>
      </c>
      <c r="J5">
        <v>2.4400000000000002E-2</v>
      </c>
      <c r="K5">
        <v>0.18629999999999999</v>
      </c>
      <c r="L5">
        <v>0.30780000000000002</v>
      </c>
      <c r="M5">
        <v>0.82099999999999995</v>
      </c>
      <c r="N5">
        <v>0.75070000000000003</v>
      </c>
    </row>
    <row r="6" spans="1:14" ht="15" x14ac:dyDescent="0.25">
      <c r="A6" s="162"/>
      <c r="B6" s="3">
        <f t="shared" si="0"/>
        <v>3</v>
      </c>
      <c r="C6" s="3" t="s">
        <v>38</v>
      </c>
      <c r="D6" s="3">
        <v>9</v>
      </c>
      <c r="E6" s="3"/>
      <c r="F6" s="3"/>
      <c r="G6">
        <v>6.0000000000000001E-3</v>
      </c>
      <c r="H6">
        <v>0.1623</v>
      </c>
      <c r="I6">
        <v>1.9E-2</v>
      </c>
      <c r="J6">
        <v>2.9499999999999998E-2</v>
      </c>
      <c r="K6">
        <v>0.20119999999999999</v>
      </c>
      <c r="L6">
        <v>0.33929999999999999</v>
      </c>
      <c r="M6">
        <v>0.87649999999999995</v>
      </c>
      <c r="N6">
        <v>0.69430000000000003</v>
      </c>
    </row>
    <row r="7" spans="1:14" ht="15" x14ac:dyDescent="0.25">
      <c r="A7" s="162"/>
      <c r="B7" s="3">
        <f t="shared" si="0"/>
        <v>4</v>
      </c>
      <c r="C7" s="3" t="s">
        <v>21</v>
      </c>
      <c r="D7" s="3">
        <v>2.5</v>
      </c>
      <c r="E7" s="3"/>
      <c r="F7" s="3"/>
      <c r="G7">
        <v>9.2999999999999992E-3</v>
      </c>
      <c r="H7">
        <v>0.159</v>
      </c>
      <c r="I7">
        <v>3.4000000000000002E-2</v>
      </c>
      <c r="J7">
        <v>2.1100000000000001E-2</v>
      </c>
      <c r="K7">
        <v>0.1661</v>
      </c>
      <c r="L7">
        <v>0.35160000000000002</v>
      </c>
      <c r="M7">
        <v>0.71540000000000004</v>
      </c>
      <c r="N7">
        <v>0.84489999999999998</v>
      </c>
    </row>
    <row r="8" spans="1:14" ht="15" x14ac:dyDescent="0.25">
      <c r="A8" s="162"/>
      <c r="B8" s="3">
        <f t="shared" si="0"/>
        <v>5</v>
      </c>
      <c r="C8" s="3" t="s">
        <v>64</v>
      </c>
      <c r="D8" s="3">
        <v>8</v>
      </c>
      <c r="E8" s="3"/>
      <c r="F8" s="3"/>
      <c r="G8">
        <v>8.6999999999999994E-3</v>
      </c>
      <c r="H8">
        <v>0.17599999999999999</v>
      </c>
      <c r="I8">
        <v>2.8199999999999999E-2</v>
      </c>
      <c r="J8">
        <v>3.32E-2</v>
      </c>
      <c r="K8">
        <v>0.16039999999999999</v>
      </c>
      <c r="L8">
        <v>0.35799999999999998</v>
      </c>
      <c r="M8">
        <v>0.74539999999999995</v>
      </c>
      <c r="N8">
        <v>0.81320000000000003</v>
      </c>
    </row>
    <row r="9" spans="1:14" ht="15" x14ac:dyDescent="0.25">
      <c r="A9" s="162"/>
      <c r="B9" s="3">
        <f t="shared" si="0"/>
        <v>6</v>
      </c>
      <c r="C9" s="3" t="s">
        <v>64</v>
      </c>
      <c r="D9" s="3">
        <v>3.5</v>
      </c>
      <c r="E9" s="3"/>
      <c r="F9" s="3"/>
      <c r="G9">
        <v>1.43E-2</v>
      </c>
      <c r="H9">
        <v>0.1822</v>
      </c>
      <c r="I9">
        <v>1.47E-2</v>
      </c>
      <c r="J9">
        <v>4.6399999999999997E-2</v>
      </c>
      <c r="K9">
        <v>0.15629999999999999</v>
      </c>
      <c r="L9">
        <v>0.35799999999999998</v>
      </c>
      <c r="M9">
        <v>0.77790000000000004</v>
      </c>
      <c r="N9">
        <v>0.78220000000000001</v>
      </c>
    </row>
    <row r="10" spans="1:14" ht="15" x14ac:dyDescent="0.25">
      <c r="A10" s="162"/>
      <c r="B10" s="3">
        <f t="shared" si="0"/>
        <v>7</v>
      </c>
      <c r="C10" s="3" t="s">
        <v>66</v>
      </c>
      <c r="D10" s="3">
        <v>2.5</v>
      </c>
      <c r="E10" s="3"/>
      <c r="F10" s="3"/>
      <c r="G10">
        <v>5.4999999999999997E-3</v>
      </c>
      <c r="H10">
        <v>0.17299999999999999</v>
      </c>
      <c r="I10">
        <v>1.8100000000000002E-2</v>
      </c>
      <c r="J10">
        <v>3.6200000000000003E-2</v>
      </c>
      <c r="K10">
        <v>0.14860000000000001</v>
      </c>
      <c r="L10">
        <v>0.37759999999999999</v>
      </c>
      <c r="M10">
        <v>0.71550000000000002</v>
      </c>
      <c r="N10">
        <v>0.84350000000000003</v>
      </c>
    </row>
    <row r="11" spans="1:14" ht="15" x14ac:dyDescent="0.25">
      <c r="A11" s="162"/>
      <c r="B11" s="3">
        <f t="shared" si="0"/>
        <v>8</v>
      </c>
      <c r="C11" s="3" t="s">
        <v>27</v>
      </c>
      <c r="D11" s="3">
        <v>12</v>
      </c>
      <c r="E11" s="3"/>
      <c r="F11" s="3"/>
      <c r="G11">
        <v>1.95E-2</v>
      </c>
      <c r="H11">
        <v>0.1875</v>
      </c>
      <c r="I11">
        <v>1.6E-2</v>
      </c>
      <c r="J11">
        <v>5.6899999999999999E-2</v>
      </c>
      <c r="K11">
        <v>0.1225</v>
      </c>
      <c r="L11">
        <v>0.36249999999999999</v>
      </c>
      <c r="M11">
        <v>0.68289999999999995</v>
      </c>
      <c r="N11">
        <v>0.87560000000000004</v>
      </c>
    </row>
    <row r="12" spans="1:14" ht="15" x14ac:dyDescent="0.25">
      <c r="A12" s="162"/>
      <c r="B12" s="3">
        <f t="shared" si="0"/>
        <v>9</v>
      </c>
      <c r="C12" s="3" t="s">
        <v>54</v>
      </c>
      <c r="D12" s="3">
        <v>5</v>
      </c>
      <c r="E12" s="3"/>
      <c r="F12" s="3"/>
      <c r="G12">
        <v>4.7000000000000002E-3</v>
      </c>
      <c r="H12">
        <v>0.16350000000000001</v>
      </c>
      <c r="I12">
        <v>4.0000000000000001E-3</v>
      </c>
      <c r="J12">
        <v>4.1099999999999998E-2</v>
      </c>
      <c r="K12">
        <v>0.13189999999999999</v>
      </c>
      <c r="L12">
        <v>0.37259999999999999</v>
      </c>
      <c r="M12">
        <v>0.72</v>
      </c>
      <c r="N12">
        <v>0.83850000000000002</v>
      </c>
    </row>
    <row r="13" spans="1:14" ht="15" x14ac:dyDescent="0.25">
      <c r="A13" s="166"/>
      <c r="B13" s="166"/>
      <c r="C13" s="166"/>
      <c r="D13" s="166"/>
      <c r="E13" s="5" t="s">
        <v>82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3.5400000000000001E-2</v>
      </c>
      <c r="H14">
        <v>0.2034</v>
      </c>
      <c r="I14">
        <v>4.07E-2</v>
      </c>
      <c r="J14">
        <v>8.5500000000000007E-2</v>
      </c>
      <c r="K14">
        <v>0.5171</v>
      </c>
      <c r="L14">
        <v>0.1741</v>
      </c>
      <c r="M14">
        <v>1.5145999999999999</v>
      </c>
      <c r="N14">
        <v>0.25269999999999998</v>
      </c>
    </row>
    <row r="15" spans="1:14" ht="15" x14ac:dyDescent="0.25">
      <c r="A15" s="162"/>
      <c r="B15" s="3">
        <f t="shared" ref="B15:B22" si="1">B14+1</f>
        <v>11</v>
      </c>
      <c r="C15" s="3" t="s">
        <v>43</v>
      </c>
      <c r="D15" s="3">
        <v>18</v>
      </c>
      <c r="E15" s="3"/>
      <c r="F15" s="3"/>
      <c r="G15">
        <v>3.7900000000000003E-2</v>
      </c>
      <c r="H15">
        <v>0.2059</v>
      </c>
      <c r="I15">
        <v>4.1599999999999998E-2</v>
      </c>
      <c r="J15">
        <v>8.6300000000000002E-2</v>
      </c>
      <c r="K15">
        <v>0.43869999999999998</v>
      </c>
      <c r="L15">
        <v>5.6899999999999999E-2</v>
      </c>
      <c r="M15">
        <v>1.5063</v>
      </c>
      <c r="N15">
        <v>0.27900000000000003</v>
      </c>
    </row>
    <row r="16" spans="1:14" ht="15" x14ac:dyDescent="0.25">
      <c r="A16" s="162"/>
      <c r="B16" s="3">
        <f t="shared" si="1"/>
        <v>12</v>
      </c>
      <c r="C16" s="3" t="s">
        <v>19</v>
      </c>
      <c r="D16" s="3">
        <v>11</v>
      </c>
      <c r="E16" s="3"/>
      <c r="F16" s="3"/>
      <c r="G16">
        <v>3.2500000000000001E-2</v>
      </c>
      <c r="H16">
        <v>0.20050000000000001</v>
      </c>
      <c r="I16">
        <v>3.5299999999999998E-2</v>
      </c>
      <c r="J16">
        <v>7.9899999999999999E-2</v>
      </c>
      <c r="K16">
        <v>0.4249</v>
      </c>
      <c r="L16">
        <v>6.4899999999999999E-2</v>
      </c>
      <c r="M16">
        <v>1.4870000000000001</v>
      </c>
      <c r="N16">
        <v>0.29239999999999999</v>
      </c>
    </row>
    <row r="17" spans="1:14" ht="15" x14ac:dyDescent="0.25">
      <c r="A17" s="162"/>
      <c r="B17" s="3">
        <f t="shared" si="1"/>
        <v>13</v>
      </c>
      <c r="C17" s="3" t="s">
        <v>77</v>
      </c>
      <c r="D17" s="3">
        <v>2.5</v>
      </c>
      <c r="E17" s="3"/>
      <c r="F17" s="3"/>
      <c r="G17">
        <v>2.75E-2</v>
      </c>
      <c r="H17">
        <v>0.19550000000000001</v>
      </c>
      <c r="I17">
        <v>3.1099999999999999E-2</v>
      </c>
      <c r="J17">
        <v>7.5700000000000003E-2</v>
      </c>
      <c r="K17">
        <v>0.36520000000000002</v>
      </c>
      <c r="L17">
        <v>0.12230000000000001</v>
      </c>
      <c r="M17">
        <v>1.3546</v>
      </c>
      <c r="N17">
        <v>0.36499999999999999</v>
      </c>
    </row>
    <row r="18" spans="1:14" ht="15" x14ac:dyDescent="0.25">
      <c r="A18" s="162"/>
      <c r="B18" s="3">
        <f t="shared" si="1"/>
        <v>14</v>
      </c>
      <c r="C18" s="3" t="s">
        <v>19</v>
      </c>
      <c r="D18" s="3">
        <v>11.5</v>
      </c>
      <c r="E18" s="3"/>
      <c r="F18" s="3"/>
      <c r="G18">
        <v>2.5000000000000001E-2</v>
      </c>
      <c r="H18">
        <v>0.193</v>
      </c>
      <c r="I18">
        <v>2.8500000000000001E-2</v>
      </c>
      <c r="J18">
        <v>7.3099999999999998E-2</v>
      </c>
      <c r="K18">
        <v>0.38640000000000002</v>
      </c>
      <c r="L18">
        <v>9.8400000000000001E-2</v>
      </c>
      <c r="M18">
        <v>1.3777999999999999</v>
      </c>
      <c r="N18">
        <v>0.36509999999999998</v>
      </c>
    </row>
    <row r="19" spans="1:14" ht="15" x14ac:dyDescent="0.25">
      <c r="A19" s="162"/>
      <c r="B19" s="3">
        <f t="shared" si="1"/>
        <v>15</v>
      </c>
      <c r="C19" s="3" t="s">
        <v>62</v>
      </c>
      <c r="D19" s="3">
        <v>2</v>
      </c>
      <c r="E19" s="3"/>
      <c r="F19" s="3"/>
      <c r="G19">
        <v>3.2500000000000001E-2</v>
      </c>
      <c r="H19">
        <v>0.20050000000000001</v>
      </c>
      <c r="I19">
        <v>3.0200000000000001E-2</v>
      </c>
      <c r="J19">
        <v>7.4099999999999999E-2</v>
      </c>
      <c r="K19">
        <v>0.36990000000000001</v>
      </c>
      <c r="L19">
        <v>0.1351</v>
      </c>
      <c r="M19">
        <v>1.4096</v>
      </c>
      <c r="N19">
        <v>0.36059999999999998</v>
      </c>
    </row>
    <row r="20" spans="1:14" ht="15" x14ac:dyDescent="0.25">
      <c r="A20" s="162"/>
      <c r="B20" s="3">
        <f t="shared" si="1"/>
        <v>16</v>
      </c>
      <c r="C20" s="3" t="s">
        <v>37</v>
      </c>
      <c r="D20" s="3">
        <v>5.5</v>
      </c>
      <c r="E20" s="3"/>
      <c r="F20" s="3"/>
      <c r="G20">
        <v>2.5399999999999999E-2</v>
      </c>
      <c r="H20">
        <v>0.1933</v>
      </c>
      <c r="I20">
        <v>2.35E-2</v>
      </c>
      <c r="J20">
        <v>6.7599999999999993E-2</v>
      </c>
      <c r="K20">
        <v>0.37809999999999999</v>
      </c>
      <c r="L20">
        <v>0.1076</v>
      </c>
      <c r="M20">
        <v>1.3520000000000001</v>
      </c>
      <c r="N20">
        <v>0.3085</v>
      </c>
    </row>
    <row r="21" spans="1:14" ht="15" x14ac:dyDescent="0.25">
      <c r="A21" s="162"/>
      <c r="B21" s="3">
        <f t="shared" si="1"/>
        <v>17</v>
      </c>
      <c r="C21" s="3" t="s">
        <v>18</v>
      </c>
      <c r="D21" s="3">
        <v>12</v>
      </c>
      <c r="E21" s="3"/>
      <c r="F21" s="3"/>
      <c r="G21">
        <v>1.8599999999999998E-2</v>
      </c>
      <c r="H21">
        <v>0.18629999999999999</v>
      </c>
      <c r="I21">
        <v>1.2999999999999999E-2</v>
      </c>
      <c r="J21">
        <v>5.4600000000000003E-2</v>
      </c>
      <c r="K21">
        <v>0.36449999999999999</v>
      </c>
      <c r="L21">
        <v>0.13320000000000001</v>
      </c>
      <c r="M21">
        <v>1.3221000000000001</v>
      </c>
      <c r="N21">
        <v>0.3644</v>
      </c>
    </row>
    <row r="22" spans="1:14" ht="15" x14ac:dyDescent="0.25">
      <c r="A22" s="162"/>
      <c r="B22" s="3">
        <f t="shared" si="1"/>
        <v>18</v>
      </c>
      <c r="C22" s="3" t="s">
        <v>66</v>
      </c>
      <c r="D22" s="3">
        <v>3.5</v>
      </c>
      <c r="E22" s="3"/>
      <c r="F22" s="3"/>
      <c r="G22">
        <v>3.2099999999999997E-2</v>
      </c>
      <c r="H22">
        <v>0.2001</v>
      </c>
      <c r="I22">
        <v>0.03</v>
      </c>
      <c r="J22">
        <v>7.3899999999999993E-2</v>
      </c>
      <c r="K22">
        <v>0.35920000000000002</v>
      </c>
      <c r="L22">
        <v>0.1416</v>
      </c>
      <c r="M22">
        <v>1.38</v>
      </c>
      <c r="N22">
        <v>0.3029</v>
      </c>
    </row>
    <row r="23" spans="1:14" ht="15" x14ac:dyDescent="0.25">
      <c r="A23" s="166"/>
      <c r="B23" s="166"/>
      <c r="C23" s="166"/>
      <c r="D23" s="166"/>
      <c r="E23" s="5" t="s">
        <v>92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27</v>
      </c>
      <c r="D24" s="3">
        <v>13.5</v>
      </c>
      <c r="E24" s="3"/>
      <c r="F24" s="3"/>
      <c r="G24">
        <v>2.46E-2</v>
      </c>
      <c r="H24">
        <v>0.19259999999999999</v>
      </c>
      <c r="I24">
        <v>2.5499999999999998E-2</v>
      </c>
      <c r="J24">
        <v>7.0000000000000007E-2</v>
      </c>
      <c r="K24">
        <v>0.39939999999999998</v>
      </c>
      <c r="L24">
        <v>0.15540000000000001</v>
      </c>
      <c r="M24">
        <v>1.3069999999999999</v>
      </c>
      <c r="N24">
        <v>0.33689999999999998</v>
      </c>
    </row>
    <row r="25" spans="1:14" ht="15" x14ac:dyDescent="0.25">
      <c r="A25" s="162"/>
      <c r="B25" s="3">
        <f t="shared" ref="B25:B32" si="2">B24+1</f>
        <v>20</v>
      </c>
      <c r="C25" s="3" t="s">
        <v>80</v>
      </c>
      <c r="D25" s="3">
        <v>5.5</v>
      </c>
      <c r="E25" s="3"/>
      <c r="F25" s="3"/>
      <c r="G25">
        <v>2.7699999999999999E-2</v>
      </c>
      <c r="H25">
        <v>0.19570000000000001</v>
      </c>
      <c r="I25">
        <v>2.6499999999999999E-2</v>
      </c>
      <c r="J25">
        <v>7.0699999999999999E-2</v>
      </c>
      <c r="K25">
        <v>0.35539999999999999</v>
      </c>
      <c r="L25">
        <v>0.13569999999999999</v>
      </c>
      <c r="M25">
        <v>1.3072999999999999</v>
      </c>
      <c r="N25">
        <v>0.35859999999999997</v>
      </c>
    </row>
    <row r="26" spans="1:14" ht="15" x14ac:dyDescent="0.25">
      <c r="A26" s="162"/>
      <c r="B26" s="3">
        <f t="shared" si="2"/>
        <v>21</v>
      </c>
      <c r="C26" s="3" t="s">
        <v>66</v>
      </c>
      <c r="D26" s="3">
        <v>7</v>
      </c>
      <c r="E26" s="3"/>
      <c r="F26" s="3"/>
      <c r="G26">
        <v>2.5499999999999998E-2</v>
      </c>
      <c r="H26">
        <v>0.19339999999999999</v>
      </c>
      <c r="I26">
        <v>2.3199999999999998E-2</v>
      </c>
      <c r="J26">
        <v>6.7100000000000007E-2</v>
      </c>
      <c r="K26">
        <v>0.3382</v>
      </c>
      <c r="L26">
        <v>0.16370000000000001</v>
      </c>
      <c r="M26">
        <v>1.3139000000000001</v>
      </c>
      <c r="N26">
        <v>0.36520000000000002</v>
      </c>
    </row>
    <row r="27" spans="1:14" ht="15" x14ac:dyDescent="0.25">
      <c r="A27" s="162"/>
      <c r="B27" s="3">
        <f t="shared" si="2"/>
        <v>22</v>
      </c>
      <c r="C27" s="3" t="s">
        <v>24</v>
      </c>
      <c r="D27" s="3">
        <v>8</v>
      </c>
      <c r="E27" s="3"/>
      <c r="F27" s="3"/>
      <c r="G27">
        <v>2.8299999999999999E-2</v>
      </c>
      <c r="H27">
        <v>0.1963</v>
      </c>
      <c r="I27">
        <v>3.3799999999999997E-2</v>
      </c>
      <c r="J27">
        <v>7.8600000000000003E-2</v>
      </c>
      <c r="K27">
        <v>0.26790000000000003</v>
      </c>
      <c r="L27">
        <v>0.21829999999999999</v>
      </c>
      <c r="M27">
        <v>1.1200000000000001</v>
      </c>
      <c r="N27">
        <v>0.52859999999999996</v>
      </c>
    </row>
    <row r="28" spans="1:14" ht="15" x14ac:dyDescent="0.25">
      <c r="A28" s="162"/>
      <c r="B28" s="3">
        <f t="shared" si="2"/>
        <v>23</v>
      </c>
      <c r="C28" s="3" t="s">
        <v>21</v>
      </c>
      <c r="D28" s="3">
        <v>6.5</v>
      </c>
      <c r="E28" s="3"/>
      <c r="F28" s="3"/>
      <c r="G28">
        <v>2.6700000000000002E-2</v>
      </c>
      <c r="H28">
        <v>0.19470000000000001</v>
      </c>
      <c r="I28">
        <v>3.0700000000000002E-2</v>
      </c>
      <c r="J28">
        <v>7.5399999999999995E-2</v>
      </c>
      <c r="K28">
        <v>0.27829999999999999</v>
      </c>
      <c r="L28">
        <v>0.20649999999999999</v>
      </c>
      <c r="M28">
        <v>1.1497999999999999</v>
      </c>
      <c r="N28">
        <v>0.50419999999999998</v>
      </c>
    </row>
    <row r="29" spans="1:14" ht="15" x14ac:dyDescent="0.25">
      <c r="A29" s="162"/>
      <c r="B29" s="3">
        <f t="shared" si="2"/>
        <v>24</v>
      </c>
      <c r="C29" s="3" t="s">
        <v>80</v>
      </c>
      <c r="D29" s="3">
        <v>6</v>
      </c>
      <c r="E29" s="3"/>
      <c r="F29" s="3"/>
      <c r="G29">
        <v>1.37E-2</v>
      </c>
      <c r="H29">
        <v>0.1817</v>
      </c>
      <c r="I29">
        <v>1.78E-2</v>
      </c>
      <c r="J29">
        <v>6.2600000000000003E-2</v>
      </c>
      <c r="K29">
        <v>0.28670000000000001</v>
      </c>
      <c r="L29">
        <v>0.2014</v>
      </c>
      <c r="M29">
        <v>1.137</v>
      </c>
      <c r="N29">
        <v>0.52700000000000002</v>
      </c>
    </row>
    <row r="30" spans="1:14" ht="15" x14ac:dyDescent="0.25">
      <c r="A30" s="162"/>
      <c r="B30" s="3">
        <f t="shared" si="2"/>
        <v>25</v>
      </c>
      <c r="C30" s="3" t="s">
        <v>16</v>
      </c>
      <c r="D30" s="3">
        <v>11</v>
      </c>
      <c r="E30" s="3"/>
      <c r="F30" s="3"/>
      <c r="G30">
        <v>1.3899999999999999E-2</v>
      </c>
      <c r="H30">
        <v>0.18190000000000001</v>
      </c>
      <c r="I30">
        <v>1.49E-2</v>
      </c>
      <c r="J30">
        <v>5.9400000000000001E-2</v>
      </c>
      <c r="K30">
        <v>0.28910000000000002</v>
      </c>
      <c r="L30">
        <v>0.1991</v>
      </c>
      <c r="M30">
        <v>1.1571</v>
      </c>
      <c r="N30">
        <v>0.4345</v>
      </c>
    </row>
    <row r="31" spans="1:14" ht="15" x14ac:dyDescent="0.25">
      <c r="A31" s="162"/>
      <c r="B31" s="3">
        <f t="shared" si="2"/>
        <v>26</v>
      </c>
      <c r="C31" s="3" t="s">
        <v>50</v>
      </c>
      <c r="D31" s="3">
        <v>7</v>
      </c>
      <c r="E31" s="3"/>
      <c r="F31" s="3"/>
      <c r="G31">
        <v>2.58E-2</v>
      </c>
      <c r="H31">
        <v>0.1938</v>
      </c>
      <c r="I31">
        <v>2.6800000000000001E-2</v>
      </c>
      <c r="J31">
        <v>7.1300000000000002E-2</v>
      </c>
      <c r="K31">
        <v>0.28170000000000001</v>
      </c>
      <c r="L31">
        <v>0.2351</v>
      </c>
      <c r="M31">
        <v>1.0946</v>
      </c>
      <c r="N31">
        <v>0.50449999999999995</v>
      </c>
    </row>
    <row r="32" spans="1:14" ht="15" x14ac:dyDescent="0.25">
      <c r="A32" s="162"/>
      <c r="B32" s="3">
        <f t="shared" si="2"/>
        <v>27</v>
      </c>
      <c r="C32" s="3" t="s">
        <v>46</v>
      </c>
      <c r="D32" s="3">
        <v>10.5</v>
      </c>
      <c r="E32" s="3"/>
      <c r="F32" s="3"/>
      <c r="G32">
        <v>1.8200000000000001E-2</v>
      </c>
      <c r="H32">
        <v>0.1862</v>
      </c>
      <c r="I32">
        <v>1.8100000000000002E-2</v>
      </c>
      <c r="J32">
        <v>6.2100000000000002E-2</v>
      </c>
      <c r="K32">
        <v>0.28299999999999997</v>
      </c>
      <c r="L32">
        <v>0.20180000000000001</v>
      </c>
      <c r="M32">
        <v>1.0891999999999999</v>
      </c>
      <c r="N32">
        <v>0.52739999999999998</v>
      </c>
    </row>
    <row r="33" spans="1:14" ht="15" x14ac:dyDescent="0.25">
      <c r="A33" s="166"/>
      <c r="B33" s="166"/>
      <c r="C33" s="166"/>
      <c r="D33" s="166"/>
      <c r="E33" s="5" t="s">
        <v>159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18</v>
      </c>
      <c r="D34" s="3">
        <v>14</v>
      </c>
      <c r="E34" s="3"/>
      <c r="F34" s="3"/>
      <c r="G34">
        <v>1.3899999999999999E-2</v>
      </c>
      <c r="H34">
        <v>0.18190000000000001</v>
      </c>
      <c r="I34">
        <v>1.49E-2</v>
      </c>
      <c r="J34">
        <v>5.9200000000000003E-2</v>
      </c>
      <c r="K34">
        <v>0.40920000000000001</v>
      </c>
      <c r="L34">
        <v>7.9899999999999999E-2</v>
      </c>
      <c r="M34">
        <v>1.4719</v>
      </c>
      <c r="N34">
        <v>9.0700000000000003E-2</v>
      </c>
    </row>
    <row r="35" spans="1:14" ht="15" x14ac:dyDescent="0.25">
      <c r="A35" s="162"/>
      <c r="B35" s="3">
        <f t="shared" ref="B35:B42" si="3">B34+1</f>
        <v>29</v>
      </c>
      <c r="C35" s="3" t="s">
        <v>59</v>
      </c>
      <c r="D35" s="3">
        <v>12.5</v>
      </c>
      <c r="E35" s="3"/>
      <c r="F35" s="3"/>
      <c r="G35">
        <v>1.15E-2</v>
      </c>
      <c r="H35">
        <v>0.17949999999999999</v>
      </c>
      <c r="I35">
        <v>1.34E-2</v>
      </c>
      <c r="J35">
        <v>5.7799999999999997E-2</v>
      </c>
      <c r="K35">
        <v>0.40579999999999999</v>
      </c>
      <c r="L35">
        <v>8.7099999999999997E-2</v>
      </c>
      <c r="M35">
        <v>1.4532</v>
      </c>
      <c r="N35">
        <v>0.1178</v>
      </c>
    </row>
    <row r="36" spans="1:14" ht="15" x14ac:dyDescent="0.25">
      <c r="A36" s="162"/>
      <c r="B36" s="3">
        <f t="shared" si="3"/>
        <v>30</v>
      </c>
      <c r="C36" s="3" t="s">
        <v>23</v>
      </c>
      <c r="D36" s="3">
        <v>27</v>
      </c>
      <c r="E36" s="3"/>
      <c r="F36" s="3"/>
      <c r="G36">
        <v>1.15E-2</v>
      </c>
      <c r="H36">
        <v>0.17949999999999999</v>
      </c>
      <c r="I36">
        <v>1.2699999999999999E-2</v>
      </c>
      <c r="J36">
        <v>5.7000000000000002E-2</v>
      </c>
      <c r="K36">
        <v>0.4355</v>
      </c>
      <c r="L36">
        <v>7.9500000000000001E-2</v>
      </c>
      <c r="M36">
        <v>1.4744999999999999</v>
      </c>
      <c r="N36">
        <v>9.7500000000000003E-2</v>
      </c>
    </row>
    <row r="37" spans="1:14" ht="15" x14ac:dyDescent="0.25">
      <c r="A37" s="162"/>
      <c r="B37" s="3">
        <f t="shared" si="3"/>
        <v>31</v>
      </c>
      <c r="C37" s="3" t="s">
        <v>24</v>
      </c>
      <c r="D37" s="3">
        <v>4.5</v>
      </c>
      <c r="E37" s="3"/>
      <c r="F37" s="3"/>
      <c r="G37">
        <v>3.39E-2</v>
      </c>
      <c r="H37">
        <v>0.20180000000000001</v>
      </c>
      <c r="I37">
        <v>3.1300000000000001E-2</v>
      </c>
      <c r="J37">
        <v>7.5499999999999998E-2</v>
      </c>
      <c r="K37">
        <v>0.42080000000000001</v>
      </c>
      <c r="L37">
        <v>6.5699999999999995E-2</v>
      </c>
      <c r="M37">
        <v>1.5061</v>
      </c>
      <c r="N37">
        <v>5.5199999999999999E-2</v>
      </c>
    </row>
    <row r="38" spans="1:14" ht="15" x14ac:dyDescent="0.25">
      <c r="A38" s="162"/>
      <c r="B38" s="3">
        <f t="shared" si="3"/>
        <v>32</v>
      </c>
      <c r="C38" s="3" t="s">
        <v>70</v>
      </c>
      <c r="D38" s="3">
        <v>4</v>
      </c>
      <c r="E38" s="3"/>
      <c r="F38" s="3"/>
      <c r="G38">
        <v>2.46E-2</v>
      </c>
      <c r="H38">
        <v>0.19259999999999999</v>
      </c>
      <c r="I38">
        <v>2.35E-2</v>
      </c>
      <c r="J38">
        <v>6.7400000000000002E-2</v>
      </c>
      <c r="K38">
        <v>0.4022</v>
      </c>
      <c r="L38">
        <v>0.1038</v>
      </c>
      <c r="M38">
        <v>1.5036</v>
      </c>
      <c r="N38">
        <v>7.9600000000000004E-2</v>
      </c>
    </row>
    <row r="39" spans="1:14" ht="15" x14ac:dyDescent="0.25">
      <c r="A39" s="162"/>
      <c r="B39" s="3">
        <f t="shared" si="3"/>
        <v>33</v>
      </c>
      <c r="C39" s="3" t="s">
        <v>38</v>
      </c>
      <c r="D39" s="3">
        <v>7.5</v>
      </c>
      <c r="E39" s="3"/>
      <c r="F39" s="3"/>
      <c r="G39">
        <v>1.9E-2</v>
      </c>
      <c r="H39">
        <v>0.18690000000000001</v>
      </c>
      <c r="I39">
        <v>1.83E-2</v>
      </c>
      <c r="J39">
        <v>6.2600000000000003E-2</v>
      </c>
      <c r="K39">
        <v>0.39900000000000002</v>
      </c>
      <c r="L39">
        <v>0.107</v>
      </c>
      <c r="M39">
        <v>1.5068999999999999</v>
      </c>
      <c r="N39">
        <v>0.10539999999999999</v>
      </c>
    </row>
    <row r="40" spans="1:14" ht="15" x14ac:dyDescent="0.25">
      <c r="A40" s="162"/>
      <c r="B40" s="3">
        <f t="shared" si="3"/>
        <v>34</v>
      </c>
      <c r="C40" s="3" t="s">
        <v>16</v>
      </c>
      <c r="D40" s="3">
        <v>10.5</v>
      </c>
      <c r="E40" s="6"/>
      <c r="F40" s="6"/>
      <c r="G40">
        <v>2.69E-2</v>
      </c>
      <c r="H40">
        <v>0.19489999999999999</v>
      </c>
      <c r="I40">
        <v>2.5000000000000001E-2</v>
      </c>
      <c r="J40">
        <v>6.83E-2</v>
      </c>
      <c r="K40">
        <v>0.41320000000000001</v>
      </c>
      <c r="L40">
        <v>7.22E-2</v>
      </c>
      <c r="M40">
        <v>1.5219</v>
      </c>
      <c r="N40">
        <v>3.9300000000000002E-2</v>
      </c>
    </row>
    <row r="41" spans="1:14" ht="15" x14ac:dyDescent="0.25">
      <c r="A41" s="162"/>
      <c r="B41" s="3">
        <f t="shared" si="3"/>
        <v>35</v>
      </c>
      <c r="C41" s="3" t="s">
        <v>70</v>
      </c>
      <c r="D41" s="3">
        <v>4</v>
      </c>
      <c r="E41" s="6"/>
      <c r="F41" s="6"/>
      <c r="G41">
        <v>2.4299999999999999E-2</v>
      </c>
      <c r="H41">
        <v>0.1923</v>
      </c>
      <c r="I41">
        <v>2.4E-2</v>
      </c>
      <c r="J41">
        <v>6.83E-2</v>
      </c>
      <c r="K41">
        <v>0.4103</v>
      </c>
      <c r="L41">
        <v>7.4999999999999997E-2</v>
      </c>
      <c r="M41">
        <v>1.5004999999999999</v>
      </c>
      <c r="N41">
        <v>8.6599999999999996E-2</v>
      </c>
    </row>
    <row r="42" spans="1:14" ht="15" x14ac:dyDescent="0.25">
      <c r="A42" s="162"/>
      <c r="B42" s="7">
        <f t="shared" si="3"/>
        <v>36</v>
      </c>
      <c r="C42" s="7" t="s">
        <v>14</v>
      </c>
      <c r="D42" s="7">
        <v>20</v>
      </c>
      <c r="E42" s="8"/>
      <c r="F42" s="8"/>
      <c r="G42">
        <v>8.5000000000000006E-3</v>
      </c>
      <c r="H42">
        <v>0.17649999999999999</v>
      </c>
      <c r="I42">
        <v>1.5299999999999999E-2</v>
      </c>
      <c r="J42">
        <v>6.0199999999999997E-2</v>
      </c>
      <c r="K42">
        <v>0.4627</v>
      </c>
      <c r="L42">
        <v>0.1157</v>
      </c>
      <c r="M42">
        <v>1.5052000000000001</v>
      </c>
      <c r="N42">
        <v>7.1099999999999997E-2</v>
      </c>
    </row>
    <row r="43" spans="1:14" ht="15" x14ac:dyDescent="0.25">
      <c r="A43" s="166"/>
      <c r="B43" s="166"/>
      <c r="C43" s="166"/>
      <c r="D43" s="166"/>
      <c r="E43" s="5" t="s">
        <v>92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25</v>
      </c>
      <c r="D4" s="3">
        <v>10.5</v>
      </c>
      <c r="E4" s="3" t="s">
        <v>133</v>
      </c>
      <c r="F4" s="3" t="s">
        <v>160</v>
      </c>
      <c r="G4">
        <v>0.13220000000000001</v>
      </c>
      <c r="H4">
        <v>3.6499999999999998E-2</v>
      </c>
      <c r="I4">
        <v>0.13589999999999999</v>
      </c>
      <c r="J4">
        <v>9.11E-2</v>
      </c>
      <c r="K4">
        <v>0.4294</v>
      </c>
      <c r="L4">
        <v>0.21229999999999999</v>
      </c>
      <c r="M4">
        <v>1.2712000000000001</v>
      </c>
      <c r="N4">
        <v>0.56399999999999995</v>
      </c>
    </row>
    <row r="5" spans="1:14" ht="15" x14ac:dyDescent="0.25">
      <c r="A5" s="162"/>
      <c r="B5" s="3">
        <f t="shared" ref="B5:B12" si="0">B4+1</f>
        <v>2</v>
      </c>
      <c r="C5" s="14" t="s">
        <v>26</v>
      </c>
      <c r="D5" s="3">
        <v>13.5</v>
      </c>
      <c r="E5" s="3"/>
      <c r="F5" s="3"/>
      <c r="G5">
        <v>0.15210000000000001</v>
      </c>
      <c r="H5">
        <v>1.6400000000000001E-2</v>
      </c>
      <c r="I5">
        <v>0.14510000000000001</v>
      </c>
      <c r="J5">
        <v>0.1011</v>
      </c>
      <c r="K5">
        <v>0.39529999999999998</v>
      </c>
      <c r="L5">
        <v>0.15179999999999999</v>
      </c>
      <c r="M5">
        <v>1.3138000000000001</v>
      </c>
      <c r="N5">
        <v>0.54190000000000005</v>
      </c>
    </row>
    <row r="6" spans="1:14" ht="15" x14ac:dyDescent="0.25">
      <c r="A6" s="162"/>
      <c r="B6" s="3">
        <f t="shared" si="0"/>
        <v>3</v>
      </c>
      <c r="C6" s="3" t="s">
        <v>106</v>
      </c>
      <c r="D6" s="3">
        <v>11</v>
      </c>
      <c r="E6" s="3"/>
      <c r="F6" s="3"/>
      <c r="G6">
        <v>0.16139999999999999</v>
      </c>
      <c r="H6">
        <v>7.4999999999999997E-3</v>
      </c>
      <c r="I6">
        <v>0.15709999999999999</v>
      </c>
      <c r="J6">
        <v>0.1129</v>
      </c>
      <c r="K6">
        <v>0.39579999999999999</v>
      </c>
      <c r="L6">
        <v>0.1419</v>
      </c>
      <c r="M6">
        <v>1.3301000000000001</v>
      </c>
      <c r="N6">
        <v>0.54679999999999995</v>
      </c>
    </row>
    <row r="7" spans="1:14" ht="15" x14ac:dyDescent="0.25">
      <c r="A7" s="162"/>
      <c r="B7" s="3">
        <f t="shared" si="0"/>
        <v>4</v>
      </c>
      <c r="C7" s="3" t="s">
        <v>80</v>
      </c>
      <c r="D7" s="3">
        <v>5.5</v>
      </c>
      <c r="E7" s="3"/>
      <c r="F7" s="3"/>
      <c r="G7">
        <v>7.3400000000000007E-2</v>
      </c>
      <c r="H7">
        <v>9.4700000000000006E-2</v>
      </c>
      <c r="I7">
        <v>8.09E-2</v>
      </c>
      <c r="J7">
        <v>3.61E-2</v>
      </c>
      <c r="K7">
        <v>0.36599999999999999</v>
      </c>
      <c r="L7">
        <v>0.1515</v>
      </c>
      <c r="M7">
        <v>1.2982</v>
      </c>
      <c r="N7">
        <v>0.62119999999999997</v>
      </c>
    </row>
    <row r="8" spans="1:14" ht="15" x14ac:dyDescent="0.25">
      <c r="A8" s="162"/>
      <c r="B8" s="3">
        <f t="shared" si="0"/>
        <v>5</v>
      </c>
      <c r="C8" s="3" t="s">
        <v>106</v>
      </c>
      <c r="D8" s="3">
        <v>11</v>
      </c>
      <c r="E8" s="3"/>
      <c r="F8" s="3"/>
      <c r="G8">
        <v>0.1149</v>
      </c>
      <c r="H8">
        <v>5.3199999999999997E-2</v>
      </c>
      <c r="I8">
        <v>0.13439999999999999</v>
      </c>
      <c r="J8">
        <v>8.9499999999999996E-2</v>
      </c>
      <c r="K8">
        <v>0.38829999999999998</v>
      </c>
      <c r="L8">
        <v>0.13789999999999999</v>
      </c>
      <c r="M8">
        <v>1.2779</v>
      </c>
      <c r="N8">
        <v>0.61399999999999999</v>
      </c>
    </row>
    <row r="9" spans="1:14" ht="15" x14ac:dyDescent="0.25">
      <c r="A9" s="162"/>
      <c r="B9" s="3">
        <f t="shared" si="0"/>
        <v>6</v>
      </c>
      <c r="C9" s="3" t="s">
        <v>21</v>
      </c>
      <c r="D9" s="3">
        <v>5</v>
      </c>
      <c r="E9" s="3"/>
      <c r="F9" s="3"/>
      <c r="G9">
        <v>0.1285</v>
      </c>
      <c r="H9">
        <v>3.9699999999999999E-2</v>
      </c>
      <c r="I9">
        <v>0.13769999999999999</v>
      </c>
      <c r="J9">
        <v>9.2899999999999996E-2</v>
      </c>
      <c r="K9">
        <v>0.38869999999999999</v>
      </c>
      <c r="L9">
        <v>0.1537</v>
      </c>
      <c r="M9">
        <v>1.2992999999999999</v>
      </c>
      <c r="N9">
        <v>0.60740000000000005</v>
      </c>
    </row>
    <row r="10" spans="1:14" ht="15" x14ac:dyDescent="0.25">
      <c r="A10" s="162"/>
      <c r="B10" s="3">
        <f t="shared" si="0"/>
        <v>7</v>
      </c>
      <c r="C10" s="3" t="s">
        <v>45</v>
      </c>
      <c r="D10" s="3">
        <v>8.5</v>
      </c>
      <c r="E10" s="3"/>
      <c r="F10" s="3"/>
      <c r="G10">
        <v>9.7199999999999995E-2</v>
      </c>
      <c r="H10">
        <v>7.0900000000000005E-2</v>
      </c>
      <c r="I10">
        <v>8.6300000000000002E-2</v>
      </c>
      <c r="J10">
        <v>4.3700000000000003E-2</v>
      </c>
      <c r="K10">
        <v>0.3579</v>
      </c>
      <c r="L10">
        <v>0.1527</v>
      </c>
      <c r="M10">
        <v>1.3093999999999999</v>
      </c>
      <c r="N10">
        <v>0.66020000000000001</v>
      </c>
    </row>
    <row r="11" spans="1:14" ht="15" x14ac:dyDescent="0.25">
      <c r="A11" s="162"/>
      <c r="B11" s="3">
        <f t="shared" si="0"/>
        <v>8</v>
      </c>
      <c r="C11" s="3" t="s">
        <v>21</v>
      </c>
      <c r="D11" s="3">
        <v>3</v>
      </c>
      <c r="E11" s="3"/>
      <c r="F11" s="3"/>
      <c r="G11">
        <v>0.1424</v>
      </c>
      <c r="H11">
        <v>2.5700000000000001E-2</v>
      </c>
      <c r="I11">
        <v>0.1447</v>
      </c>
      <c r="J11">
        <v>0.1002</v>
      </c>
      <c r="K11">
        <v>0.39029999999999998</v>
      </c>
      <c r="L11">
        <v>0.1832</v>
      </c>
      <c r="M11">
        <v>1.2847999999999999</v>
      </c>
      <c r="N11">
        <v>0.67210000000000003</v>
      </c>
    </row>
    <row r="12" spans="1:14" ht="15" x14ac:dyDescent="0.25">
      <c r="A12" s="162"/>
      <c r="B12" s="3">
        <f t="shared" si="0"/>
        <v>9</v>
      </c>
      <c r="C12" s="3" t="s">
        <v>24</v>
      </c>
      <c r="D12" s="3">
        <v>2</v>
      </c>
      <c r="E12" s="3"/>
      <c r="F12" s="3"/>
      <c r="G12">
        <v>0.12640000000000001</v>
      </c>
      <c r="H12">
        <v>4.1599999999999998E-2</v>
      </c>
      <c r="I12">
        <v>0.13519999999999999</v>
      </c>
      <c r="J12">
        <v>9.0499999999999997E-2</v>
      </c>
      <c r="K12">
        <v>0.37640000000000001</v>
      </c>
      <c r="L12">
        <v>0.16189999999999999</v>
      </c>
      <c r="M12">
        <v>1.2947</v>
      </c>
      <c r="N12">
        <v>0.65839999999999999</v>
      </c>
    </row>
    <row r="13" spans="1:14" ht="15" x14ac:dyDescent="0.25">
      <c r="A13" s="166"/>
      <c r="B13" s="166"/>
      <c r="C13" s="166"/>
      <c r="D13" s="166"/>
      <c r="E13" s="5" t="s">
        <v>92</v>
      </c>
      <c r="F13" s="5" t="s">
        <v>22</v>
      </c>
    </row>
    <row r="14" spans="1:14" ht="15" x14ac:dyDescent="0.25">
      <c r="A14" s="162" t="s">
        <v>152</v>
      </c>
      <c r="B14" s="3">
        <f>B12+1</f>
        <v>10</v>
      </c>
      <c r="C14" s="3" t="s">
        <v>33</v>
      </c>
      <c r="D14" s="3">
        <v>22.5</v>
      </c>
      <c r="E14" s="3"/>
      <c r="F14" s="3" t="s">
        <v>161</v>
      </c>
      <c r="G14">
        <v>0.33579999999999999</v>
      </c>
      <c r="H14">
        <v>0.1678</v>
      </c>
      <c r="I14">
        <v>0.36549999999999999</v>
      </c>
      <c r="J14">
        <v>0.32079999999999997</v>
      </c>
      <c r="K14">
        <v>0.33500000000000002</v>
      </c>
      <c r="L14">
        <v>0.21440000000000001</v>
      </c>
      <c r="M14">
        <v>1.0992</v>
      </c>
      <c r="N14">
        <v>0.52459999999999996</v>
      </c>
    </row>
    <row r="15" spans="1:14" ht="15" x14ac:dyDescent="0.25">
      <c r="A15" s="162"/>
      <c r="B15" s="3">
        <f t="shared" ref="B15:B22" si="1">B14+1</f>
        <v>11</v>
      </c>
      <c r="C15" s="3" t="s">
        <v>80</v>
      </c>
      <c r="D15" s="3">
        <v>6.5</v>
      </c>
      <c r="E15" s="3"/>
      <c r="F15" s="3"/>
      <c r="G15">
        <v>2.5600000000000001E-2</v>
      </c>
      <c r="H15">
        <v>0.1424</v>
      </c>
      <c r="I15">
        <v>3.5200000000000002E-2</v>
      </c>
      <c r="J15">
        <v>1.2E-2</v>
      </c>
      <c r="K15">
        <v>0.37969999999999998</v>
      </c>
      <c r="L15">
        <v>0.27350000000000002</v>
      </c>
      <c r="M15">
        <v>1.0726</v>
      </c>
      <c r="N15">
        <v>0.54149999999999998</v>
      </c>
    </row>
    <row r="16" spans="1:14" ht="15" x14ac:dyDescent="0.25">
      <c r="A16" s="162"/>
      <c r="B16" s="3">
        <f t="shared" si="1"/>
        <v>12</v>
      </c>
      <c r="C16" s="3" t="s">
        <v>43</v>
      </c>
      <c r="D16" s="3">
        <v>18</v>
      </c>
      <c r="E16" s="3"/>
      <c r="F16" s="15"/>
      <c r="G16">
        <v>4.7600000000000003E-2</v>
      </c>
      <c r="H16">
        <v>0.12039999999999999</v>
      </c>
      <c r="I16">
        <v>5.3100000000000001E-2</v>
      </c>
      <c r="J16">
        <v>8.2000000000000007E-3</v>
      </c>
      <c r="K16">
        <v>0.37390000000000001</v>
      </c>
      <c r="L16">
        <v>0.26889999999999997</v>
      </c>
      <c r="M16">
        <v>1.0644</v>
      </c>
      <c r="N16">
        <v>0.53569999999999995</v>
      </c>
    </row>
    <row r="17" spans="1:14" ht="15" x14ac:dyDescent="0.25">
      <c r="A17" s="162"/>
      <c r="B17" s="3">
        <f t="shared" si="1"/>
        <v>13</v>
      </c>
      <c r="C17" s="3" t="s">
        <v>43</v>
      </c>
      <c r="D17" s="3">
        <v>25</v>
      </c>
      <c r="E17" s="3"/>
      <c r="F17" s="3"/>
      <c r="G17">
        <v>5.1499999999999997E-2</v>
      </c>
      <c r="H17">
        <v>0.11650000000000001</v>
      </c>
      <c r="I17">
        <v>6.9699999999999998E-2</v>
      </c>
      <c r="J17">
        <v>2.5700000000000001E-2</v>
      </c>
      <c r="K17">
        <v>0.31469999999999998</v>
      </c>
      <c r="L17">
        <v>0.28389999999999999</v>
      </c>
      <c r="M17">
        <v>0.99519999999999997</v>
      </c>
      <c r="N17">
        <v>0.62439999999999996</v>
      </c>
    </row>
    <row r="18" spans="1:14" ht="15" x14ac:dyDescent="0.25">
      <c r="A18" s="162"/>
      <c r="B18" s="3">
        <f t="shared" si="1"/>
        <v>14</v>
      </c>
      <c r="C18" s="3" t="s">
        <v>18</v>
      </c>
      <c r="D18" s="3">
        <v>12.5</v>
      </c>
      <c r="E18" s="3"/>
      <c r="F18" s="3" t="s">
        <v>162</v>
      </c>
      <c r="G18">
        <v>2.7300000000000001E-2</v>
      </c>
      <c r="H18">
        <v>0.14080000000000001</v>
      </c>
      <c r="I18">
        <v>2.9399999999999999E-2</v>
      </c>
      <c r="J18">
        <v>1.55E-2</v>
      </c>
      <c r="K18">
        <v>0.29449999999999998</v>
      </c>
      <c r="L18">
        <v>0.25530000000000003</v>
      </c>
      <c r="M18">
        <v>1.0551999999999999</v>
      </c>
      <c r="N18">
        <v>0.53879999999999995</v>
      </c>
    </row>
    <row r="19" spans="1:14" ht="15" x14ac:dyDescent="0.25">
      <c r="A19" s="162"/>
      <c r="B19" s="3">
        <f t="shared" si="1"/>
        <v>15</v>
      </c>
      <c r="C19" s="3" t="s">
        <v>45</v>
      </c>
      <c r="D19" s="3">
        <v>9</v>
      </c>
      <c r="E19" s="3"/>
      <c r="F19" s="3"/>
      <c r="G19">
        <v>9.1000000000000004E-3</v>
      </c>
      <c r="H19">
        <v>0.159</v>
      </c>
      <c r="I19">
        <v>9.5999999999999992E-3</v>
      </c>
      <c r="J19">
        <v>3.5400000000000001E-2</v>
      </c>
      <c r="K19">
        <v>0.29580000000000001</v>
      </c>
      <c r="L19">
        <v>0.24399999999999999</v>
      </c>
      <c r="M19">
        <v>1.0432999999999999</v>
      </c>
      <c r="N19">
        <v>0.57950000000000002</v>
      </c>
    </row>
    <row r="20" spans="1:14" ht="15" x14ac:dyDescent="0.25">
      <c r="A20" s="162"/>
      <c r="B20" s="3">
        <f t="shared" si="1"/>
        <v>16</v>
      </c>
      <c r="C20" s="3" t="s">
        <v>16</v>
      </c>
      <c r="D20" s="3">
        <v>15.5</v>
      </c>
      <c r="E20" s="3"/>
      <c r="F20" s="3"/>
      <c r="G20">
        <v>2.8000000000000001E-2</v>
      </c>
      <c r="H20">
        <v>0.1404</v>
      </c>
      <c r="I20">
        <v>3.9300000000000002E-2</v>
      </c>
      <c r="J20">
        <v>6.7999999999999996E-3</v>
      </c>
      <c r="K20">
        <v>0.25080000000000002</v>
      </c>
      <c r="L20">
        <v>0.2823</v>
      </c>
      <c r="M20">
        <v>0.95250000000000001</v>
      </c>
      <c r="N20">
        <v>0.68389999999999995</v>
      </c>
    </row>
    <row r="21" spans="1:14" ht="15" x14ac:dyDescent="0.25">
      <c r="A21" s="162"/>
      <c r="B21" s="3">
        <f t="shared" si="1"/>
        <v>17</v>
      </c>
      <c r="C21" s="3" t="s">
        <v>43</v>
      </c>
      <c r="D21" s="3">
        <v>28</v>
      </c>
      <c r="E21" s="3"/>
      <c r="F21" s="3"/>
      <c r="G21">
        <v>4.4499999999999998E-2</v>
      </c>
      <c r="H21">
        <v>0.1237</v>
      </c>
      <c r="I21">
        <v>6.6600000000000006E-2</v>
      </c>
      <c r="J21">
        <v>2.29E-2</v>
      </c>
      <c r="K21">
        <v>0.2475</v>
      </c>
      <c r="L21">
        <v>0.28689999999999999</v>
      </c>
      <c r="M21">
        <v>0.92530000000000001</v>
      </c>
      <c r="N21">
        <v>0.71189999999999998</v>
      </c>
    </row>
    <row r="22" spans="1:14" ht="15" x14ac:dyDescent="0.25">
      <c r="A22" s="162"/>
      <c r="B22" s="3">
        <f t="shared" si="1"/>
        <v>18</v>
      </c>
      <c r="C22" s="3" t="s">
        <v>28</v>
      </c>
      <c r="D22" s="3">
        <v>16</v>
      </c>
      <c r="E22" s="3"/>
      <c r="F22" s="3"/>
      <c r="G22">
        <v>0.1308</v>
      </c>
      <c r="H22">
        <v>3.7199999999999997E-2</v>
      </c>
      <c r="I22">
        <v>0.1293</v>
      </c>
      <c r="J22">
        <v>8.5300000000000001E-2</v>
      </c>
      <c r="K22">
        <v>0.24060000000000001</v>
      </c>
      <c r="L22">
        <v>0.27839999999999998</v>
      </c>
      <c r="M22">
        <v>0.93069999999999997</v>
      </c>
      <c r="N22">
        <v>0.6794</v>
      </c>
    </row>
    <row r="23" spans="1:14" ht="15" x14ac:dyDescent="0.25">
      <c r="A23" s="166"/>
      <c r="B23" s="166"/>
      <c r="C23" s="166"/>
      <c r="D23" s="166"/>
      <c r="E23" s="5" t="s">
        <v>101</v>
      </c>
      <c r="F23" s="5" t="s">
        <v>22</v>
      </c>
    </row>
    <row r="24" spans="1:14" ht="15" x14ac:dyDescent="0.25">
      <c r="A24" s="162" t="s">
        <v>152</v>
      </c>
      <c r="B24" s="3">
        <f>B22+1</f>
        <v>19</v>
      </c>
      <c r="C24" s="3" t="s">
        <v>54</v>
      </c>
      <c r="D24" s="3">
        <v>4</v>
      </c>
      <c r="E24" s="3"/>
      <c r="F24" s="3"/>
      <c r="G24">
        <v>5.1299999999999998E-2</v>
      </c>
      <c r="H24">
        <v>0.1167</v>
      </c>
      <c r="I24">
        <v>5.62E-2</v>
      </c>
      <c r="J24">
        <v>1.1299999999999999E-2</v>
      </c>
      <c r="K24">
        <v>0.40300000000000002</v>
      </c>
      <c r="L24">
        <v>0.27989999999999998</v>
      </c>
      <c r="M24">
        <v>1.1393</v>
      </c>
      <c r="N24">
        <v>0.43530000000000002</v>
      </c>
    </row>
    <row r="25" spans="1:14" ht="15" x14ac:dyDescent="0.25">
      <c r="A25" s="162"/>
      <c r="B25" s="3">
        <f t="shared" ref="B25:B32" si="2">B24+1</f>
        <v>20</v>
      </c>
      <c r="C25" s="3" t="s">
        <v>96</v>
      </c>
      <c r="D25" s="3">
        <v>10</v>
      </c>
      <c r="E25" s="3"/>
      <c r="F25" s="3"/>
      <c r="G25">
        <v>4.0099999999999997E-2</v>
      </c>
      <c r="H25">
        <v>0.12790000000000001</v>
      </c>
      <c r="I25">
        <v>3.5900000000000001E-2</v>
      </c>
      <c r="J25">
        <v>1.15E-2</v>
      </c>
      <c r="K25">
        <v>0.40229999999999999</v>
      </c>
      <c r="L25">
        <v>0.29670000000000002</v>
      </c>
      <c r="M25">
        <v>1.1383000000000001</v>
      </c>
      <c r="N25">
        <v>0.42649999999999999</v>
      </c>
    </row>
    <row r="26" spans="1:14" ht="15" x14ac:dyDescent="0.25">
      <c r="A26" s="162"/>
      <c r="B26" s="3">
        <f t="shared" si="2"/>
        <v>21</v>
      </c>
      <c r="C26" s="3" t="s">
        <v>125</v>
      </c>
      <c r="D26" s="3">
        <v>9.5</v>
      </c>
      <c r="E26" s="3"/>
      <c r="F26" s="3"/>
      <c r="G26">
        <v>8.8599999999999998E-2</v>
      </c>
      <c r="H26">
        <v>7.9399999999999998E-2</v>
      </c>
      <c r="I26">
        <v>8.2799999999999999E-2</v>
      </c>
      <c r="J26">
        <v>3.9899999999999998E-2</v>
      </c>
      <c r="K26">
        <v>0.4733</v>
      </c>
      <c r="L26">
        <v>0.35659999999999997</v>
      </c>
      <c r="M26">
        <v>1.1004</v>
      </c>
      <c r="N26">
        <v>0.46100000000000002</v>
      </c>
    </row>
    <row r="27" spans="1:14" ht="15" x14ac:dyDescent="0.25">
      <c r="A27" s="162"/>
      <c r="B27" s="3">
        <f t="shared" si="2"/>
        <v>22</v>
      </c>
      <c r="C27" s="3" t="s">
        <v>76</v>
      </c>
      <c r="D27" s="3">
        <v>13</v>
      </c>
      <c r="E27" s="3"/>
      <c r="F27" s="3"/>
      <c r="G27">
        <v>4.1000000000000002E-2</v>
      </c>
      <c r="H27">
        <v>0.12709999999999999</v>
      </c>
      <c r="I27">
        <v>4.0800000000000003E-2</v>
      </c>
      <c r="J27">
        <v>7.6E-3</v>
      </c>
      <c r="K27">
        <v>0.35160000000000002</v>
      </c>
      <c r="L27">
        <v>0.28720000000000001</v>
      </c>
      <c r="M27">
        <v>1.0456000000000001</v>
      </c>
      <c r="N27">
        <v>0.53220000000000001</v>
      </c>
    </row>
    <row r="28" spans="1:14" ht="15" x14ac:dyDescent="0.25">
      <c r="A28" s="162"/>
      <c r="B28" s="3">
        <f t="shared" si="2"/>
        <v>23</v>
      </c>
      <c r="C28" s="3" t="s">
        <v>64</v>
      </c>
      <c r="D28" s="3">
        <v>5.5</v>
      </c>
      <c r="E28" s="3"/>
      <c r="F28" s="3"/>
      <c r="G28">
        <v>5.0599999999999999E-2</v>
      </c>
      <c r="H28">
        <v>0.11749999999999999</v>
      </c>
      <c r="I28">
        <v>5.4699999999999999E-2</v>
      </c>
      <c r="J28">
        <v>1.0200000000000001E-2</v>
      </c>
      <c r="K28">
        <v>0.37169999999999997</v>
      </c>
      <c r="L28">
        <v>0.33260000000000001</v>
      </c>
      <c r="M28">
        <v>1.0034000000000001</v>
      </c>
      <c r="N28">
        <v>0.57030000000000003</v>
      </c>
    </row>
    <row r="29" spans="1:14" ht="15" x14ac:dyDescent="0.25">
      <c r="A29" s="162"/>
      <c r="B29" s="3">
        <f t="shared" si="2"/>
        <v>24</v>
      </c>
      <c r="C29" s="3" t="s">
        <v>64</v>
      </c>
      <c r="D29" s="3">
        <v>8</v>
      </c>
      <c r="E29" s="3"/>
      <c r="F29" s="3"/>
      <c r="G29">
        <v>2.8500000000000001E-2</v>
      </c>
      <c r="H29">
        <v>0.1396</v>
      </c>
      <c r="I29">
        <v>4.24E-2</v>
      </c>
      <c r="J29">
        <v>7.4999999999999997E-3</v>
      </c>
      <c r="K29">
        <v>0.34360000000000002</v>
      </c>
      <c r="L29">
        <v>0.30159999999999998</v>
      </c>
      <c r="M29">
        <v>1.02</v>
      </c>
      <c r="N29">
        <v>0.56330000000000002</v>
      </c>
    </row>
    <row r="30" spans="1:14" ht="15" x14ac:dyDescent="0.25">
      <c r="A30" s="162"/>
      <c r="B30" s="3">
        <f t="shared" si="2"/>
        <v>25</v>
      </c>
      <c r="C30" s="3" t="s">
        <v>81</v>
      </c>
      <c r="D30" s="3">
        <v>19</v>
      </c>
      <c r="E30" s="3"/>
      <c r="F30" s="3"/>
      <c r="G30">
        <v>3.8899999999999997E-2</v>
      </c>
      <c r="H30">
        <v>0.1293</v>
      </c>
      <c r="I30">
        <v>3.8399999999999997E-2</v>
      </c>
      <c r="J30">
        <v>9.2999999999999992E-3</v>
      </c>
      <c r="K30">
        <v>0.35549999999999998</v>
      </c>
      <c r="L30">
        <v>0.32919999999999999</v>
      </c>
      <c r="M30">
        <v>0.98870000000000002</v>
      </c>
      <c r="N30">
        <v>0.59599999999999997</v>
      </c>
    </row>
    <row r="31" spans="1:14" ht="15" x14ac:dyDescent="0.25">
      <c r="A31" s="162"/>
      <c r="B31" s="3">
        <f t="shared" si="2"/>
        <v>26</v>
      </c>
      <c r="C31" s="3" t="s">
        <v>17</v>
      </c>
      <c r="D31" s="3">
        <v>5</v>
      </c>
      <c r="E31" s="3"/>
      <c r="F31" s="3"/>
      <c r="G31">
        <v>7.7999999999999996E-3</v>
      </c>
      <c r="H31">
        <v>0.16059999999999999</v>
      </c>
      <c r="I31">
        <v>8.0999999999999996E-3</v>
      </c>
      <c r="J31">
        <v>3.6799999999999999E-2</v>
      </c>
      <c r="K31">
        <v>0.3916</v>
      </c>
      <c r="L31">
        <v>0.35780000000000001</v>
      </c>
      <c r="M31">
        <v>0.98299999999999998</v>
      </c>
      <c r="N31">
        <v>0.6</v>
      </c>
    </row>
    <row r="32" spans="1:14" ht="15" x14ac:dyDescent="0.25">
      <c r="A32" s="162"/>
      <c r="B32" s="3">
        <f t="shared" si="2"/>
        <v>27</v>
      </c>
      <c r="C32" s="3" t="s">
        <v>70</v>
      </c>
      <c r="D32" s="3">
        <v>5.5</v>
      </c>
      <c r="E32" s="3"/>
      <c r="F32" s="3"/>
      <c r="G32">
        <v>1.8700000000000001E-2</v>
      </c>
      <c r="H32">
        <v>0.14940000000000001</v>
      </c>
      <c r="I32">
        <v>1.7999999999999999E-2</v>
      </c>
      <c r="J32">
        <v>2.69E-2</v>
      </c>
      <c r="K32">
        <v>0.35730000000000001</v>
      </c>
      <c r="L32">
        <v>0.33829999999999999</v>
      </c>
      <c r="M32">
        <v>0.98380000000000001</v>
      </c>
      <c r="N32">
        <v>0.59709999999999996</v>
      </c>
    </row>
    <row r="33" spans="1:14" ht="15" x14ac:dyDescent="0.25">
      <c r="A33" s="166"/>
      <c r="B33" s="166"/>
      <c r="C33" s="166"/>
      <c r="D33" s="166"/>
      <c r="E33" s="5" t="s">
        <v>163</v>
      </c>
      <c r="F33" s="5" t="s">
        <v>163</v>
      </c>
    </row>
    <row r="34" spans="1:14" ht="15" x14ac:dyDescent="0.25">
      <c r="A34" s="162" t="s">
        <v>152</v>
      </c>
      <c r="B34" s="3">
        <f>B32+1</f>
        <v>28</v>
      </c>
      <c r="C34" s="3" t="s">
        <v>37</v>
      </c>
      <c r="D34" s="3">
        <v>3.5</v>
      </c>
      <c r="E34" s="3"/>
      <c r="F34" s="3"/>
      <c r="G34">
        <v>8.2000000000000007E-3</v>
      </c>
      <c r="H34">
        <v>0.16020000000000001</v>
      </c>
      <c r="I34">
        <v>1.26E-2</v>
      </c>
      <c r="J34">
        <v>3.2800000000000003E-2</v>
      </c>
      <c r="K34">
        <v>0.45860000000000001</v>
      </c>
      <c r="L34">
        <v>0.2545</v>
      </c>
      <c r="M34">
        <v>1.2729999999999999</v>
      </c>
      <c r="N34">
        <v>0.29039999999999999</v>
      </c>
    </row>
    <row r="35" spans="1:14" ht="15" x14ac:dyDescent="0.25">
      <c r="A35" s="162"/>
      <c r="B35" s="3">
        <f t="shared" ref="B35:B42" si="3">B34+1</f>
        <v>29</v>
      </c>
      <c r="C35" s="3" t="s">
        <v>29</v>
      </c>
      <c r="D35" s="3">
        <v>17</v>
      </c>
      <c r="E35" s="3"/>
      <c r="F35" s="3"/>
      <c r="G35">
        <v>6.3E-3</v>
      </c>
      <c r="H35">
        <v>0.1618</v>
      </c>
      <c r="I35">
        <v>2.5999999999999999E-3</v>
      </c>
      <c r="J35">
        <v>4.3799999999999999E-2</v>
      </c>
      <c r="K35">
        <v>0.52339999999999998</v>
      </c>
      <c r="L35">
        <v>0.31640000000000001</v>
      </c>
      <c r="M35">
        <v>1.2916000000000001</v>
      </c>
      <c r="N35">
        <v>0.2722</v>
      </c>
    </row>
    <row r="36" spans="1:14" ht="15" x14ac:dyDescent="0.25">
      <c r="A36" s="162"/>
      <c r="B36" s="3">
        <f t="shared" si="3"/>
        <v>30</v>
      </c>
      <c r="C36" s="3" t="s">
        <v>59</v>
      </c>
      <c r="D36" s="3">
        <v>12.5</v>
      </c>
      <c r="E36" s="3"/>
      <c r="F36" s="3"/>
      <c r="G36">
        <v>4.7E-2</v>
      </c>
      <c r="H36">
        <v>0.1211</v>
      </c>
      <c r="I36">
        <v>4.6800000000000001E-2</v>
      </c>
      <c r="J36">
        <v>6.8999999999999999E-3</v>
      </c>
      <c r="K36">
        <v>0.55130000000000001</v>
      </c>
      <c r="L36">
        <v>0.34989999999999999</v>
      </c>
      <c r="M36">
        <v>1.302</v>
      </c>
      <c r="N36">
        <v>0.25990000000000002</v>
      </c>
    </row>
    <row r="37" spans="1:14" ht="15" x14ac:dyDescent="0.25">
      <c r="A37" s="162"/>
      <c r="B37" s="3">
        <f t="shared" si="3"/>
        <v>31</v>
      </c>
      <c r="C37" s="3" t="s">
        <v>21</v>
      </c>
      <c r="D37" s="3">
        <v>7</v>
      </c>
      <c r="E37" s="3"/>
      <c r="F37" s="3"/>
      <c r="G37">
        <v>8.9999999999999993E-3</v>
      </c>
      <c r="H37">
        <v>0.15909999999999999</v>
      </c>
      <c r="I37">
        <v>7.1000000000000004E-3</v>
      </c>
      <c r="J37">
        <v>3.78E-2</v>
      </c>
      <c r="K37">
        <v>0.42370000000000002</v>
      </c>
      <c r="L37">
        <v>0.2346</v>
      </c>
      <c r="M37">
        <v>1.2538</v>
      </c>
      <c r="N37">
        <v>0.31940000000000002</v>
      </c>
    </row>
    <row r="38" spans="1:14" ht="15" x14ac:dyDescent="0.25">
      <c r="A38" s="162"/>
      <c r="B38" s="3">
        <f t="shared" si="3"/>
        <v>32</v>
      </c>
      <c r="C38" s="3" t="s">
        <v>34</v>
      </c>
      <c r="D38" s="3">
        <v>11.5</v>
      </c>
      <c r="E38" s="3"/>
      <c r="F38" s="3"/>
      <c r="G38">
        <v>4.4000000000000003E-3</v>
      </c>
      <c r="H38">
        <v>0.17119999999999999</v>
      </c>
      <c r="I38">
        <v>3.5000000000000001E-3</v>
      </c>
      <c r="J38">
        <v>4.4900000000000002E-2</v>
      </c>
      <c r="K38">
        <v>0.44180000000000003</v>
      </c>
      <c r="L38">
        <v>0.27529999999999999</v>
      </c>
      <c r="M38">
        <v>1.2377</v>
      </c>
      <c r="N38">
        <v>0.32590000000000002</v>
      </c>
    </row>
    <row r="39" spans="1:14" ht="15" x14ac:dyDescent="0.25">
      <c r="A39" s="162"/>
      <c r="B39" s="3">
        <f t="shared" si="3"/>
        <v>33</v>
      </c>
      <c r="C39" s="3" t="s">
        <v>34</v>
      </c>
      <c r="D39" s="3">
        <v>14</v>
      </c>
      <c r="E39" s="3"/>
      <c r="F39" s="3"/>
      <c r="G39">
        <v>3.3399999999999999E-2</v>
      </c>
      <c r="H39">
        <v>0.13469999999999999</v>
      </c>
      <c r="I39">
        <v>3.4799999999999998E-2</v>
      </c>
      <c r="J39">
        <v>1.06E-2</v>
      </c>
      <c r="K39">
        <v>0.54149999999999998</v>
      </c>
      <c r="L39">
        <v>0.38100000000000001</v>
      </c>
      <c r="M39">
        <v>1.2403999999999999</v>
      </c>
      <c r="N39">
        <v>0.31909999999999999</v>
      </c>
    </row>
    <row r="40" spans="1:14" ht="15" x14ac:dyDescent="0.25">
      <c r="A40" s="162"/>
      <c r="B40" s="3">
        <f t="shared" si="3"/>
        <v>34</v>
      </c>
      <c r="C40" s="3" t="s">
        <v>141</v>
      </c>
      <c r="D40" s="3">
        <v>10</v>
      </c>
      <c r="E40" s="6"/>
      <c r="F40" s="6"/>
      <c r="G40">
        <v>8.8000000000000005E-3</v>
      </c>
      <c r="H40">
        <v>0.15939999999999999</v>
      </c>
      <c r="I40">
        <v>1.8700000000000001E-2</v>
      </c>
      <c r="J40">
        <v>2.81E-2</v>
      </c>
      <c r="K40">
        <v>0.46860000000000002</v>
      </c>
      <c r="L40">
        <v>0.32429999999999998</v>
      </c>
      <c r="M40">
        <v>1.1809000000000001</v>
      </c>
      <c r="N40">
        <v>0.3997</v>
      </c>
    </row>
    <row r="41" spans="1:14" ht="15" x14ac:dyDescent="0.25">
      <c r="A41" s="162"/>
      <c r="B41" s="3">
        <f t="shared" si="3"/>
        <v>35</v>
      </c>
      <c r="C41" s="3" t="s">
        <v>34</v>
      </c>
      <c r="D41" s="3">
        <v>12.5</v>
      </c>
      <c r="E41" s="6"/>
      <c r="F41" s="6"/>
      <c r="G41">
        <v>2.2499999999999999E-2</v>
      </c>
      <c r="H41">
        <v>0.14560000000000001</v>
      </c>
      <c r="I41">
        <v>1.84E-2</v>
      </c>
      <c r="J41">
        <v>2.76E-2</v>
      </c>
      <c r="K41">
        <v>0.5171</v>
      </c>
      <c r="L41">
        <v>0.38550000000000001</v>
      </c>
      <c r="M41">
        <v>1.1471</v>
      </c>
      <c r="N41">
        <v>0.42280000000000001</v>
      </c>
    </row>
    <row r="42" spans="1:14" ht="15" x14ac:dyDescent="0.25">
      <c r="A42" s="162"/>
      <c r="B42" s="7">
        <f t="shared" si="3"/>
        <v>36</v>
      </c>
      <c r="C42" s="7" t="s">
        <v>24</v>
      </c>
      <c r="D42" s="7">
        <v>5</v>
      </c>
      <c r="E42" s="8"/>
      <c r="F42" s="8"/>
      <c r="G42">
        <v>2.3300000000000001E-2</v>
      </c>
      <c r="H42">
        <v>0.1447</v>
      </c>
      <c r="I42">
        <v>1.8599999999999998E-2</v>
      </c>
      <c r="J42">
        <v>2.7E-2</v>
      </c>
      <c r="K42">
        <v>0.40839999999999999</v>
      </c>
      <c r="L42">
        <v>0.30520000000000003</v>
      </c>
      <c r="M42">
        <v>1.1429</v>
      </c>
      <c r="N42">
        <v>0.45619999999999999</v>
      </c>
    </row>
    <row r="43" spans="1:14" ht="15" x14ac:dyDescent="0.25">
      <c r="A43" s="166"/>
      <c r="B43" s="166"/>
      <c r="C43" s="166"/>
      <c r="D43" s="166"/>
      <c r="E43" s="5" t="s">
        <v>164</v>
      </c>
      <c r="F43" s="9" t="s">
        <v>165</v>
      </c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64</v>
      </c>
      <c r="D4" s="3">
        <v>5.5</v>
      </c>
      <c r="E4" s="3" t="s">
        <v>133</v>
      </c>
      <c r="F4" s="3"/>
      <c r="G4">
        <v>6.4199999999999993E-2</v>
      </c>
      <c r="H4">
        <v>0.10390000000000001</v>
      </c>
      <c r="I4">
        <v>7.5999999999999998E-2</v>
      </c>
      <c r="J4">
        <v>3.1099999999999999E-2</v>
      </c>
      <c r="K4">
        <v>0.27150000000000002</v>
      </c>
      <c r="L4">
        <v>0.29580000000000001</v>
      </c>
      <c r="M4">
        <v>0.85719999999999996</v>
      </c>
      <c r="N4">
        <v>0.84350000000000003</v>
      </c>
    </row>
    <row r="5" spans="1:14" ht="15" x14ac:dyDescent="0.25">
      <c r="A5" s="162"/>
      <c r="B5" s="3">
        <f t="shared" ref="B5:B12" si="0">B4+1</f>
        <v>2</v>
      </c>
      <c r="C5" s="14" t="s">
        <v>50</v>
      </c>
      <c r="D5" s="3">
        <v>6.5</v>
      </c>
      <c r="E5" s="3"/>
      <c r="F5" s="3"/>
      <c r="G5">
        <v>6.93E-2</v>
      </c>
      <c r="H5">
        <v>9.8699999999999996E-2</v>
      </c>
      <c r="I5">
        <v>9.4799999999999995E-2</v>
      </c>
      <c r="J5">
        <v>5.0299999999999997E-2</v>
      </c>
      <c r="K5">
        <v>0.43319999999999997</v>
      </c>
      <c r="L5">
        <v>0.41489999999999999</v>
      </c>
      <c r="M5">
        <v>0.83399999999999996</v>
      </c>
      <c r="N5">
        <v>0.79590000000000005</v>
      </c>
    </row>
    <row r="6" spans="1:14" ht="15" x14ac:dyDescent="0.25">
      <c r="A6" s="162"/>
      <c r="B6" s="3">
        <f t="shared" si="0"/>
        <v>3</v>
      </c>
      <c r="C6" s="3" t="s">
        <v>25</v>
      </c>
      <c r="D6" s="3">
        <v>15.5</v>
      </c>
      <c r="E6" s="3"/>
      <c r="F6" s="3"/>
      <c r="G6">
        <v>9.4E-2</v>
      </c>
      <c r="H6">
        <v>7.3999999999999996E-2</v>
      </c>
      <c r="I6">
        <v>0.1171</v>
      </c>
      <c r="J6">
        <v>7.2300000000000003E-2</v>
      </c>
      <c r="K6">
        <v>0.54869999999999997</v>
      </c>
      <c r="L6">
        <v>0.54139999999999999</v>
      </c>
      <c r="M6">
        <v>0.7742</v>
      </c>
      <c r="N6">
        <v>0.86199999999999999</v>
      </c>
    </row>
    <row r="7" spans="1:14" ht="15" x14ac:dyDescent="0.25">
      <c r="A7" s="162"/>
      <c r="B7" s="3">
        <f t="shared" si="0"/>
        <v>4</v>
      </c>
      <c r="C7" s="3" t="s">
        <v>20</v>
      </c>
      <c r="D7" s="3">
        <v>5.5</v>
      </c>
      <c r="E7" s="3"/>
      <c r="F7" s="3"/>
      <c r="G7">
        <v>6.5799999999999997E-2</v>
      </c>
      <c r="H7">
        <v>0.1022</v>
      </c>
      <c r="I7">
        <v>8.2500000000000004E-2</v>
      </c>
      <c r="J7">
        <v>3.7699999999999997E-2</v>
      </c>
      <c r="K7">
        <v>0.53690000000000004</v>
      </c>
      <c r="L7">
        <v>0.55259999999999998</v>
      </c>
      <c r="M7">
        <v>0.7157</v>
      </c>
      <c r="N7">
        <v>0.91769999999999996</v>
      </c>
    </row>
    <row r="8" spans="1:14" ht="15" x14ac:dyDescent="0.25">
      <c r="A8" s="162"/>
      <c r="B8" s="3">
        <f t="shared" si="0"/>
        <v>5</v>
      </c>
      <c r="C8" s="3" t="s">
        <v>39</v>
      </c>
      <c r="D8" s="3">
        <v>9.5</v>
      </c>
      <c r="E8" s="3"/>
      <c r="F8" s="3"/>
      <c r="G8">
        <v>0.08</v>
      </c>
      <c r="H8">
        <v>8.7999999999999995E-2</v>
      </c>
      <c r="I8">
        <v>9.4799999999999995E-2</v>
      </c>
      <c r="J8">
        <v>4.99E-2</v>
      </c>
      <c r="K8">
        <v>0.51970000000000005</v>
      </c>
      <c r="L8">
        <v>0.54810000000000003</v>
      </c>
      <c r="M8">
        <v>0.72899999999999998</v>
      </c>
      <c r="N8">
        <v>0.90690000000000004</v>
      </c>
    </row>
    <row r="9" spans="1:14" ht="15" x14ac:dyDescent="0.25">
      <c r="A9" s="162"/>
      <c r="B9" s="3">
        <f t="shared" si="0"/>
        <v>6</v>
      </c>
      <c r="C9" s="3" t="s">
        <v>166</v>
      </c>
      <c r="D9" s="3">
        <v>10</v>
      </c>
      <c r="E9" s="3"/>
      <c r="F9" s="3"/>
      <c r="G9">
        <v>9.0800000000000006E-2</v>
      </c>
      <c r="H9">
        <v>7.7299999999999994E-2</v>
      </c>
      <c r="I9">
        <v>0.11</v>
      </c>
      <c r="J9">
        <v>6.5100000000000005E-2</v>
      </c>
      <c r="K9">
        <v>0.54420000000000002</v>
      </c>
      <c r="L9">
        <v>0.5847</v>
      </c>
      <c r="M9">
        <v>0.68100000000000005</v>
      </c>
      <c r="N9">
        <v>0.95340000000000003</v>
      </c>
    </row>
    <row r="10" spans="1:14" ht="15" x14ac:dyDescent="0.25">
      <c r="A10" s="162"/>
      <c r="B10" s="3">
        <f t="shared" si="0"/>
        <v>7</v>
      </c>
      <c r="C10" s="3" t="s">
        <v>62</v>
      </c>
      <c r="D10" s="3">
        <v>7</v>
      </c>
      <c r="E10" s="3"/>
      <c r="F10" s="3"/>
      <c r="G10">
        <v>3.2899999999999999E-2</v>
      </c>
      <c r="H10">
        <v>0.1351</v>
      </c>
      <c r="I10">
        <v>5.1499999999999997E-2</v>
      </c>
      <c r="J10">
        <v>1.18E-2</v>
      </c>
      <c r="K10">
        <v>0.3881</v>
      </c>
      <c r="L10">
        <v>0.48470000000000002</v>
      </c>
      <c r="M10">
        <v>0.70620000000000005</v>
      </c>
      <c r="N10">
        <v>0.97470000000000001</v>
      </c>
    </row>
    <row r="11" spans="1:14" ht="15" x14ac:dyDescent="0.25">
      <c r="A11" s="162"/>
      <c r="B11" s="3">
        <f t="shared" si="0"/>
        <v>8</v>
      </c>
      <c r="C11" s="3" t="s">
        <v>36</v>
      </c>
      <c r="D11" s="3">
        <v>7</v>
      </c>
      <c r="E11" s="3"/>
      <c r="F11" s="3"/>
      <c r="G11">
        <v>3.5499999999999997E-2</v>
      </c>
      <c r="H11">
        <v>0.13250000000000001</v>
      </c>
      <c r="I11">
        <v>5.0599999999999999E-2</v>
      </c>
      <c r="J11">
        <v>9.1000000000000004E-3</v>
      </c>
      <c r="K11">
        <v>0.24759999999999999</v>
      </c>
      <c r="L11">
        <v>0.4073</v>
      </c>
      <c r="M11">
        <v>0.68979999999999997</v>
      </c>
      <c r="N11">
        <v>1.0222</v>
      </c>
    </row>
    <row r="12" spans="1:14" ht="15" x14ac:dyDescent="0.25">
      <c r="A12" s="162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7.0300000000000001E-2</v>
      </c>
      <c r="H12">
        <v>9.7699999999999995E-2</v>
      </c>
      <c r="I12">
        <v>8.77E-2</v>
      </c>
      <c r="J12">
        <v>4.2900000000000001E-2</v>
      </c>
      <c r="K12">
        <v>0.45400000000000001</v>
      </c>
      <c r="L12">
        <v>0.53920000000000001</v>
      </c>
      <c r="M12">
        <v>0.63360000000000005</v>
      </c>
      <c r="N12">
        <v>1.0311999999999999</v>
      </c>
    </row>
    <row r="13" spans="1:14" ht="15" x14ac:dyDescent="0.25">
      <c r="A13" s="166"/>
      <c r="B13" s="166"/>
      <c r="C13" s="166"/>
      <c r="D13" s="166"/>
      <c r="E13" s="5" t="s">
        <v>61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45</v>
      </c>
      <c r="D14" s="3">
        <v>9.5</v>
      </c>
      <c r="E14" s="3"/>
      <c r="F14" s="3"/>
      <c r="G14">
        <v>1.3100000000000001E-2</v>
      </c>
      <c r="H14">
        <v>0.18110000000000001</v>
      </c>
      <c r="I14">
        <v>1.23E-2</v>
      </c>
      <c r="J14">
        <v>4.99E-2</v>
      </c>
      <c r="K14">
        <v>0.58589999999999998</v>
      </c>
      <c r="L14">
        <v>0.48959999999999998</v>
      </c>
      <c r="M14">
        <v>0.98470000000000002</v>
      </c>
      <c r="N14">
        <v>0.64770000000000005</v>
      </c>
    </row>
    <row r="15" spans="1:14" ht="15" x14ac:dyDescent="0.25">
      <c r="A15" s="162"/>
      <c r="B15" s="3">
        <f t="shared" ref="B15:B22" si="1">B14+1</f>
        <v>11</v>
      </c>
      <c r="C15" s="3" t="s">
        <v>148</v>
      </c>
      <c r="D15" s="3">
        <v>8.5</v>
      </c>
      <c r="E15" s="3"/>
      <c r="F15" s="3"/>
      <c r="G15">
        <v>1.9199999999999998E-2</v>
      </c>
      <c r="H15">
        <v>0.14879999999999999</v>
      </c>
      <c r="I15">
        <v>4.7500000000000001E-2</v>
      </c>
      <c r="J15">
        <v>1.77E-2</v>
      </c>
      <c r="K15">
        <v>0.67969999999999997</v>
      </c>
      <c r="L15">
        <v>0.5554</v>
      </c>
      <c r="M15">
        <v>1.0016</v>
      </c>
      <c r="N15">
        <v>0.64029999999999998</v>
      </c>
    </row>
    <row r="16" spans="1:14" ht="15" x14ac:dyDescent="0.25">
      <c r="A16" s="162"/>
      <c r="B16" s="3">
        <f t="shared" si="1"/>
        <v>12</v>
      </c>
      <c r="C16" s="3" t="s">
        <v>34</v>
      </c>
      <c r="D16" s="3">
        <v>14.5</v>
      </c>
      <c r="E16" s="3"/>
      <c r="G16">
        <v>0.01</v>
      </c>
      <c r="H16">
        <v>0.17799999999999999</v>
      </c>
      <c r="I16">
        <v>2.4199999999999999E-2</v>
      </c>
      <c r="J16">
        <v>3.7900000000000003E-2</v>
      </c>
      <c r="K16">
        <v>0.55679999999999996</v>
      </c>
      <c r="L16">
        <v>0.45140000000000002</v>
      </c>
      <c r="M16">
        <v>0.99529999999999996</v>
      </c>
      <c r="N16">
        <v>0.65349999999999997</v>
      </c>
    </row>
    <row r="17" spans="1:14" ht="15" x14ac:dyDescent="0.25">
      <c r="A17" s="162"/>
      <c r="B17" s="3">
        <f t="shared" si="1"/>
        <v>13</v>
      </c>
      <c r="C17" s="3" t="s">
        <v>125</v>
      </c>
      <c r="D17" s="3">
        <v>10</v>
      </c>
      <c r="E17" s="3"/>
      <c r="F17" s="3"/>
      <c r="G17">
        <v>4.1999999999999997E-3</v>
      </c>
      <c r="H17">
        <v>0.16389999999999999</v>
      </c>
      <c r="I17">
        <v>1.66E-2</v>
      </c>
      <c r="J17">
        <v>3.2899999999999999E-2</v>
      </c>
      <c r="K17">
        <v>0.37769999999999998</v>
      </c>
      <c r="L17">
        <v>0.3296</v>
      </c>
      <c r="M17">
        <v>0.98409999999999997</v>
      </c>
      <c r="N17">
        <v>0.66569999999999996</v>
      </c>
    </row>
    <row r="18" spans="1:14" ht="15" x14ac:dyDescent="0.25">
      <c r="A18" s="162"/>
      <c r="B18" s="3">
        <f t="shared" si="1"/>
        <v>14</v>
      </c>
      <c r="C18" s="3" t="s">
        <v>45</v>
      </c>
      <c r="D18" s="3">
        <v>8</v>
      </c>
      <c r="E18" s="3"/>
      <c r="F18" s="3"/>
      <c r="G18">
        <v>0.01</v>
      </c>
      <c r="H18">
        <v>0.17799999999999999</v>
      </c>
      <c r="I18">
        <v>2.2800000000000001E-2</v>
      </c>
      <c r="J18">
        <v>3.9100000000000003E-2</v>
      </c>
      <c r="K18">
        <v>0.50360000000000005</v>
      </c>
      <c r="L18">
        <v>0.4249</v>
      </c>
      <c r="M18">
        <v>0.98829999999999996</v>
      </c>
      <c r="N18">
        <v>0.63990000000000002</v>
      </c>
    </row>
    <row r="19" spans="1:14" ht="15" x14ac:dyDescent="0.25">
      <c r="A19" s="162"/>
      <c r="B19" s="3">
        <f t="shared" si="1"/>
        <v>15</v>
      </c>
      <c r="C19" s="3" t="s">
        <v>38</v>
      </c>
      <c r="D19" s="3">
        <v>5</v>
      </c>
      <c r="E19" s="3"/>
      <c r="F19" s="3"/>
      <c r="G19">
        <v>3.3399999999999999E-2</v>
      </c>
      <c r="H19">
        <v>0.1346</v>
      </c>
      <c r="I19">
        <v>6.6100000000000006E-2</v>
      </c>
      <c r="J19">
        <v>2.6599999999999999E-2</v>
      </c>
      <c r="K19">
        <v>0.58320000000000005</v>
      </c>
      <c r="L19">
        <v>0.4965</v>
      </c>
      <c r="M19">
        <v>0.95450000000000002</v>
      </c>
      <c r="N19">
        <v>0.64419999999999999</v>
      </c>
    </row>
    <row r="20" spans="1:14" ht="15" x14ac:dyDescent="0.25">
      <c r="A20" s="162"/>
      <c r="B20" s="3">
        <f t="shared" si="1"/>
        <v>16</v>
      </c>
      <c r="C20" s="3" t="s">
        <v>70</v>
      </c>
      <c r="D20" s="3">
        <v>4.5</v>
      </c>
      <c r="E20" s="3"/>
      <c r="F20" s="3"/>
      <c r="G20">
        <v>0.01</v>
      </c>
      <c r="H20">
        <v>0.158</v>
      </c>
      <c r="I20">
        <v>2.7199999999999998E-2</v>
      </c>
      <c r="J20">
        <v>2.3599999999999999E-2</v>
      </c>
      <c r="K20">
        <v>0.55630000000000002</v>
      </c>
      <c r="L20">
        <v>0.54649999999999999</v>
      </c>
      <c r="M20">
        <v>0.80740000000000001</v>
      </c>
      <c r="N20">
        <v>0.78600000000000003</v>
      </c>
    </row>
    <row r="21" spans="1:14" ht="15" x14ac:dyDescent="0.25">
      <c r="A21" s="162"/>
      <c r="B21" s="3">
        <f t="shared" si="1"/>
        <v>17</v>
      </c>
      <c r="C21" s="3" t="s">
        <v>54</v>
      </c>
      <c r="D21" s="3">
        <v>7</v>
      </c>
      <c r="E21" s="3"/>
      <c r="F21" s="3"/>
      <c r="G21">
        <v>2.3999999999999998E-3</v>
      </c>
      <c r="H21">
        <v>0.1658</v>
      </c>
      <c r="I21">
        <v>2.5700000000000001E-2</v>
      </c>
      <c r="J21">
        <v>2.98E-2</v>
      </c>
      <c r="K21">
        <v>0.42230000000000001</v>
      </c>
      <c r="L21">
        <v>0.44109999999999999</v>
      </c>
      <c r="M21">
        <v>0.77810000000000001</v>
      </c>
      <c r="N21">
        <v>0.82730000000000004</v>
      </c>
    </row>
    <row r="22" spans="1:14" ht="15" x14ac:dyDescent="0.25">
      <c r="A22" s="162"/>
      <c r="B22" s="3">
        <f t="shared" si="1"/>
        <v>18</v>
      </c>
      <c r="C22" s="3" t="s">
        <v>80</v>
      </c>
      <c r="D22" s="3">
        <v>6.5</v>
      </c>
      <c r="E22" s="3"/>
      <c r="F22" s="3"/>
      <c r="G22">
        <v>1.5699999999999999E-2</v>
      </c>
      <c r="H22">
        <v>0.15240000000000001</v>
      </c>
      <c r="I22">
        <v>5.2400000000000002E-2</v>
      </c>
      <c r="J22">
        <v>2.3199999999999998E-2</v>
      </c>
      <c r="K22">
        <v>0.51570000000000005</v>
      </c>
      <c r="L22">
        <v>0.49149999999999999</v>
      </c>
      <c r="M22">
        <v>0.81940000000000002</v>
      </c>
      <c r="N22">
        <v>0.78600000000000003</v>
      </c>
    </row>
    <row r="23" spans="1:14" ht="15" x14ac:dyDescent="0.25">
      <c r="A23" s="166"/>
      <c r="B23" s="166"/>
      <c r="C23" s="166"/>
      <c r="D23" s="166"/>
      <c r="E23" s="5" t="s">
        <v>159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37</v>
      </c>
      <c r="D24" s="3">
        <v>2.5</v>
      </c>
      <c r="E24" s="3"/>
      <c r="F24" s="3"/>
      <c r="G24">
        <v>4.0000000000000001E-3</v>
      </c>
      <c r="H24">
        <v>0.16420000000000001</v>
      </c>
      <c r="I24">
        <v>3.6799999999999999E-2</v>
      </c>
      <c r="J24">
        <v>2.5600000000000001E-2</v>
      </c>
      <c r="K24">
        <v>0.49730000000000002</v>
      </c>
      <c r="L24">
        <v>0.51759999999999995</v>
      </c>
      <c r="M24">
        <v>0.75270000000000004</v>
      </c>
      <c r="N24">
        <v>0.91859999999999997</v>
      </c>
    </row>
    <row r="25" spans="1:14" ht="15" x14ac:dyDescent="0.25">
      <c r="A25" s="162"/>
      <c r="B25" s="3">
        <f t="shared" ref="B25:B32" si="2">B24+1</f>
        <v>20</v>
      </c>
      <c r="C25" s="3" t="s">
        <v>38</v>
      </c>
      <c r="D25" s="3">
        <v>2.5</v>
      </c>
      <c r="E25" s="3"/>
      <c r="F25" s="3"/>
      <c r="G25">
        <v>4.7000000000000002E-3</v>
      </c>
      <c r="H25">
        <v>0.16350000000000001</v>
      </c>
      <c r="I25">
        <v>2.3599999999999999E-2</v>
      </c>
      <c r="J25">
        <v>2.8000000000000001E-2</v>
      </c>
      <c r="K25">
        <v>0.55310000000000004</v>
      </c>
      <c r="L25">
        <v>0.54379999999999995</v>
      </c>
      <c r="M25">
        <v>0.76980000000000004</v>
      </c>
      <c r="N25">
        <v>0.87109999999999999</v>
      </c>
    </row>
    <row r="26" spans="1:14" ht="15" x14ac:dyDescent="0.25">
      <c r="A26" s="162"/>
      <c r="B26" s="3">
        <f t="shared" si="2"/>
        <v>21</v>
      </c>
      <c r="C26" s="3" t="s">
        <v>45</v>
      </c>
      <c r="D26" s="3">
        <v>5</v>
      </c>
      <c r="E26" s="3"/>
      <c r="F26" s="3"/>
      <c r="G26">
        <v>1.1900000000000001E-2</v>
      </c>
      <c r="H26">
        <v>0.15609999999999999</v>
      </c>
      <c r="I26">
        <v>3.8800000000000001E-2</v>
      </c>
      <c r="J26">
        <v>2.0199999999999999E-2</v>
      </c>
      <c r="K26">
        <v>0.63739999999999997</v>
      </c>
      <c r="L26">
        <v>0.63529999999999998</v>
      </c>
      <c r="M26">
        <v>0.7419</v>
      </c>
      <c r="N26">
        <v>0.90590000000000004</v>
      </c>
    </row>
    <row r="27" spans="1:14" ht="15" x14ac:dyDescent="0.25">
      <c r="A27" s="162"/>
      <c r="B27" s="3">
        <f t="shared" si="2"/>
        <v>22</v>
      </c>
      <c r="C27" s="3" t="s">
        <v>96</v>
      </c>
      <c r="D27" s="3">
        <v>9.5</v>
      </c>
      <c r="E27" s="3"/>
      <c r="F27" s="3"/>
      <c r="G27">
        <v>2.6100000000000002E-2</v>
      </c>
      <c r="H27">
        <v>0.1419</v>
      </c>
      <c r="I27">
        <v>4.9599999999999998E-2</v>
      </c>
      <c r="J27">
        <v>1.4200000000000001E-2</v>
      </c>
      <c r="K27">
        <v>0.51500000000000001</v>
      </c>
      <c r="L27">
        <v>0.58140000000000003</v>
      </c>
      <c r="M27">
        <v>0.63670000000000004</v>
      </c>
      <c r="N27">
        <v>0.98240000000000005</v>
      </c>
    </row>
    <row r="28" spans="1:14" ht="15" x14ac:dyDescent="0.25">
      <c r="A28" s="162"/>
      <c r="B28" s="3">
        <f t="shared" si="2"/>
        <v>23</v>
      </c>
      <c r="C28" s="3" t="s">
        <v>24</v>
      </c>
      <c r="D28" s="3">
        <v>7.5</v>
      </c>
      <c r="E28" s="3"/>
      <c r="F28" s="3"/>
      <c r="G28">
        <v>1.9E-3</v>
      </c>
      <c r="H28">
        <v>0.1673</v>
      </c>
      <c r="I28">
        <v>3.6299999999999999E-2</v>
      </c>
      <c r="J28">
        <v>2.7199999999999998E-2</v>
      </c>
      <c r="K28">
        <v>0.48010000000000003</v>
      </c>
      <c r="L28">
        <v>0.55169999999999997</v>
      </c>
      <c r="M28">
        <v>0.64039999999999997</v>
      </c>
      <c r="N28">
        <v>1.0055000000000001</v>
      </c>
    </row>
    <row r="29" spans="1:14" ht="15" x14ac:dyDescent="0.25">
      <c r="A29" s="162"/>
      <c r="B29" s="3">
        <f t="shared" si="2"/>
        <v>24</v>
      </c>
      <c r="C29" s="3" t="s">
        <v>39</v>
      </c>
      <c r="D29" s="3">
        <v>10</v>
      </c>
      <c r="E29" s="3"/>
      <c r="F29" s="3"/>
      <c r="G29">
        <v>3.0999999999999999E-3</v>
      </c>
      <c r="H29">
        <v>0.17100000000000001</v>
      </c>
      <c r="I29">
        <v>7.1000000000000004E-3</v>
      </c>
      <c r="J29">
        <v>4.4699999999999997E-2</v>
      </c>
      <c r="K29">
        <v>0.38490000000000002</v>
      </c>
      <c r="L29">
        <v>0.4884</v>
      </c>
      <c r="M29">
        <v>0.66010000000000002</v>
      </c>
      <c r="N29">
        <v>0.99280000000000002</v>
      </c>
    </row>
    <row r="30" spans="1:14" ht="15" x14ac:dyDescent="0.25">
      <c r="A30" s="162"/>
      <c r="B30" s="3">
        <f t="shared" si="2"/>
        <v>25</v>
      </c>
      <c r="C30" s="3" t="s">
        <v>80</v>
      </c>
      <c r="D30" s="3">
        <v>7</v>
      </c>
      <c r="E30" s="3"/>
      <c r="F30" s="3"/>
      <c r="G30">
        <v>6.4000000000000003E-3</v>
      </c>
      <c r="H30">
        <v>0.16159999999999999</v>
      </c>
      <c r="I30">
        <v>1.83E-2</v>
      </c>
      <c r="J30">
        <v>3.04E-2</v>
      </c>
      <c r="K30">
        <v>0.4753</v>
      </c>
      <c r="L30">
        <v>0.60309999999999997</v>
      </c>
      <c r="M30">
        <v>0.54449999999999998</v>
      </c>
      <c r="N30">
        <v>1.0541</v>
      </c>
    </row>
    <row r="31" spans="1:14" ht="15" x14ac:dyDescent="0.25">
      <c r="A31" s="162"/>
      <c r="B31" s="3">
        <f t="shared" si="2"/>
        <v>26</v>
      </c>
      <c r="C31" s="3" t="s">
        <v>78</v>
      </c>
      <c r="D31" s="3">
        <v>11</v>
      </c>
      <c r="E31" s="3"/>
      <c r="F31" s="3"/>
      <c r="G31">
        <v>1.01E-2</v>
      </c>
      <c r="H31">
        <v>0.15790000000000001</v>
      </c>
      <c r="I31">
        <v>3.2399999999999998E-2</v>
      </c>
      <c r="J31">
        <v>2.1700000000000001E-2</v>
      </c>
      <c r="K31">
        <v>0.4597</v>
      </c>
      <c r="L31">
        <v>0.58520000000000005</v>
      </c>
      <c r="M31">
        <v>0.54039999999999999</v>
      </c>
      <c r="N31">
        <v>1.0768</v>
      </c>
    </row>
    <row r="32" spans="1:14" ht="15" x14ac:dyDescent="0.25">
      <c r="A32" s="162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4.0899999999999999E-2</v>
      </c>
      <c r="H32">
        <v>0.12720000000000001</v>
      </c>
      <c r="I32">
        <v>7.4499999999999997E-2</v>
      </c>
      <c r="J32">
        <v>3.32E-2</v>
      </c>
      <c r="K32">
        <v>0.37819999999999998</v>
      </c>
      <c r="L32">
        <v>0.53380000000000005</v>
      </c>
      <c r="M32">
        <v>0.52180000000000004</v>
      </c>
      <c r="N32">
        <v>1.0846</v>
      </c>
    </row>
    <row r="33" spans="1:14" ht="15" x14ac:dyDescent="0.25">
      <c r="A33" s="166"/>
      <c r="B33" s="166"/>
      <c r="C33" s="166"/>
      <c r="D33" s="166"/>
      <c r="E33" s="5" t="s">
        <v>112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30</v>
      </c>
      <c r="D34" s="3">
        <v>6</v>
      </c>
      <c r="E34" s="3"/>
      <c r="F34" s="3"/>
      <c r="G34">
        <v>2.4E-2</v>
      </c>
      <c r="H34">
        <v>0.14410000000000001</v>
      </c>
      <c r="I34">
        <v>6.1699999999999998E-2</v>
      </c>
      <c r="J34">
        <v>2.5999999999999999E-2</v>
      </c>
      <c r="K34">
        <v>0.44650000000000001</v>
      </c>
      <c r="L34">
        <v>0.43409999999999999</v>
      </c>
      <c r="M34">
        <v>0.85770000000000002</v>
      </c>
      <c r="N34">
        <v>0.75890000000000002</v>
      </c>
    </row>
    <row r="35" spans="1:14" ht="15" x14ac:dyDescent="0.25">
      <c r="A35" s="162"/>
      <c r="B35" s="3">
        <f t="shared" ref="B35:B42" si="3">B34+1</f>
        <v>29</v>
      </c>
      <c r="C35" s="3" t="s">
        <v>81</v>
      </c>
      <c r="D35" s="3">
        <v>24</v>
      </c>
      <c r="E35" s="3"/>
      <c r="F35" s="3"/>
      <c r="G35">
        <v>4.1999999999999997E-3</v>
      </c>
      <c r="H35">
        <v>0.1638</v>
      </c>
      <c r="I35">
        <v>4.07E-2</v>
      </c>
      <c r="J35">
        <v>2.64E-2</v>
      </c>
      <c r="K35">
        <v>0.48659999999999998</v>
      </c>
      <c r="L35">
        <v>0.47610000000000002</v>
      </c>
      <c r="M35">
        <v>0.79449999999999998</v>
      </c>
      <c r="N35">
        <v>0.82240000000000002</v>
      </c>
    </row>
    <row r="36" spans="1:14" ht="15" x14ac:dyDescent="0.25">
      <c r="A36" s="162"/>
      <c r="B36" s="3">
        <f t="shared" si="3"/>
        <v>30</v>
      </c>
      <c r="C36" s="3" t="s">
        <v>77</v>
      </c>
      <c r="D36" s="3">
        <v>5.5</v>
      </c>
      <c r="E36" s="3"/>
      <c r="F36" s="3"/>
      <c r="G36">
        <v>1.9E-3</v>
      </c>
      <c r="H36">
        <v>0.17</v>
      </c>
      <c r="I36">
        <v>3.0200000000000001E-2</v>
      </c>
      <c r="J36">
        <v>3.1E-2</v>
      </c>
      <c r="K36">
        <v>0.51519999999999999</v>
      </c>
      <c r="L36">
        <v>0.50929999999999997</v>
      </c>
      <c r="M36">
        <v>0.78180000000000005</v>
      </c>
      <c r="N36">
        <v>0.82050000000000001</v>
      </c>
    </row>
    <row r="37" spans="1:14" ht="15" x14ac:dyDescent="0.25">
      <c r="A37" s="162"/>
      <c r="B37" s="3">
        <f t="shared" si="3"/>
        <v>31</v>
      </c>
      <c r="C37" s="3" t="s">
        <v>66</v>
      </c>
      <c r="D37" s="3">
        <v>5.5</v>
      </c>
      <c r="E37" s="3"/>
      <c r="F37" s="3"/>
      <c r="G37">
        <v>3.0999999999999999E-3</v>
      </c>
      <c r="H37">
        <v>0.16500000000000001</v>
      </c>
      <c r="I37">
        <v>3.5099999999999999E-2</v>
      </c>
      <c r="J37">
        <v>2.6800000000000001E-2</v>
      </c>
      <c r="K37">
        <v>0.34449999999999997</v>
      </c>
      <c r="L37">
        <v>0.5474</v>
      </c>
      <c r="M37">
        <v>0.50470000000000004</v>
      </c>
      <c r="N37">
        <v>1.1465000000000001</v>
      </c>
    </row>
    <row r="38" spans="1:14" ht="15" x14ac:dyDescent="0.25">
      <c r="A38" s="162"/>
      <c r="B38" s="3">
        <f t="shared" si="3"/>
        <v>32</v>
      </c>
      <c r="C38" s="3" t="s">
        <v>71</v>
      </c>
      <c r="D38" s="3">
        <v>10</v>
      </c>
      <c r="E38" s="3"/>
      <c r="F38" s="3"/>
      <c r="G38">
        <v>1.0800000000000001E-2</v>
      </c>
      <c r="H38">
        <v>0.15720000000000001</v>
      </c>
      <c r="I38">
        <v>4.4900000000000002E-2</v>
      </c>
      <c r="J38">
        <v>2.2700000000000001E-2</v>
      </c>
      <c r="K38">
        <v>0.3473</v>
      </c>
      <c r="L38">
        <v>0.53400000000000003</v>
      </c>
      <c r="M38">
        <v>0.5161</v>
      </c>
      <c r="N38">
        <v>1.1393</v>
      </c>
    </row>
    <row r="39" spans="1:14" ht="15" x14ac:dyDescent="0.25">
      <c r="A39" s="162"/>
      <c r="B39" s="3">
        <f t="shared" si="3"/>
        <v>33</v>
      </c>
      <c r="C39" s="3" t="s">
        <v>27</v>
      </c>
      <c r="D39" s="3">
        <v>10.5</v>
      </c>
      <c r="E39" s="3"/>
      <c r="F39" s="3"/>
      <c r="G39">
        <v>4.0000000000000001E-3</v>
      </c>
      <c r="H39">
        <v>0.17199999999999999</v>
      </c>
      <c r="I39">
        <v>1.1900000000000001E-2</v>
      </c>
      <c r="J39">
        <v>4.0399999999999998E-2</v>
      </c>
      <c r="K39">
        <v>0.2903</v>
      </c>
      <c r="L39">
        <v>0.52290000000000003</v>
      </c>
      <c r="M39">
        <v>0.44700000000000001</v>
      </c>
      <c r="N39">
        <v>1.2103999999999999</v>
      </c>
    </row>
    <row r="40" spans="1:14" ht="15" x14ac:dyDescent="0.25">
      <c r="A40" s="162"/>
      <c r="B40" s="3">
        <f t="shared" si="3"/>
        <v>34</v>
      </c>
      <c r="C40" s="3" t="s">
        <v>51</v>
      </c>
      <c r="D40" s="3">
        <v>6</v>
      </c>
      <c r="E40" s="6"/>
      <c r="F40" s="6"/>
      <c r="G40">
        <v>2.2000000000000001E-3</v>
      </c>
      <c r="H40">
        <v>0.1701</v>
      </c>
      <c r="I40">
        <v>0.03</v>
      </c>
      <c r="J40">
        <v>3.15E-2</v>
      </c>
      <c r="K40">
        <v>0.35849999999999999</v>
      </c>
      <c r="L40">
        <v>0.62970000000000004</v>
      </c>
      <c r="M40">
        <v>0.27339999999999998</v>
      </c>
      <c r="N40">
        <v>1.3640000000000001</v>
      </c>
    </row>
    <row r="41" spans="1:14" ht="15" x14ac:dyDescent="0.25">
      <c r="A41" s="162"/>
      <c r="B41" s="3">
        <f t="shared" si="3"/>
        <v>35</v>
      </c>
      <c r="C41" s="3" t="s">
        <v>70</v>
      </c>
      <c r="D41" s="3">
        <v>3.5</v>
      </c>
      <c r="E41" s="6"/>
      <c r="F41" s="6"/>
      <c r="G41">
        <v>1.61E-2</v>
      </c>
      <c r="H41">
        <v>0.18410000000000001</v>
      </c>
      <c r="I41">
        <v>1.9E-2</v>
      </c>
      <c r="J41">
        <v>4.5999999999999999E-2</v>
      </c>
      <c r="K41">
        <v>0.37040000000000001</v>
      </c>
      <c r="L41">
        <v>0.64759999999999995</v>
      </c>
      <c r="M41">
        <v>0.26140000000000002</v>
      </c>
      <c r="N41">
        <v>1.3836999999999999</v>
      </c>
    </row>
    <row r="42" spans="1:14" ht="15" x14ac:dyDescent="0.25">
      <c r="A42" s="162"/>
      <c r="B42" s="7">
        <f t="shared" si="3"/>
        <v>36</v>
      </c>
      <c r="C42" s="7" t="s">
        <v>48</v>
      </c>
      <c r="D42" s="7">
        <v>1</v>
      </c>
      <c r="E42" s="8"/>
      <c r="F42" s="8"/>
      <c r="G42">
        <v>3.7000000000000002E-3</v>
      </c>
      <c r="H42">
        <v>0.17150000000000001</v>
      </c>
      <c r="I42">
        <v>2.4400000000000002E-2</v>
      </c>
      <c r="J42">
        <v>3.2899999999999999E-2</v>
      </c>
      <c r="K42">
        <v>0.3125</v>
      </c>
      <c r="L42">
        <v>0.61519999999999997</v>
      </c>
      <c r="M42">
        <v>0.2752</v>
      </c>
      <c r="N42">
        <v>1.3905000000000001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99</v>
      </c>
      <c r="D4" s="3">
        <v>21.5</v>
      </c>
      <c r="E4" s="3" t="s">
        <v>133</v>
      </c>
      <c r="F4" s="3"/>
      <c r="G4">
        <v>0.1459</v>
      </c>
      <c r="H4">
        <v>2.23E-2</v>
      </c>
      <c r="I4">
        <v>0.17249999999999999</v>
      </c>
      <c r="J4">
        <v>0.12770000000000001</v>
      </c>
      <c r="K4">
        <v>0.35949999999999999</v>
      </c>
      <c r="L4">
        <v>0.30530000000000002</v>
      </c>
      <c r="M4">
        <v>1.0919000000000001</v>
      </c>
      <c r="N4">
        <v>0.58169999999999999</v>
      </c>
    </row>
    <row r="5" spans="1:14" ht="15" x14ac:dyDescent="0.25">
      <c r="A5" s="162"/>
      <c r="B5" s="3">
        <f t="shared" ref="B5:B12" si="0">B4+1</f>
        <v>2</v>
      </c>
      <c r="C5" s="14" t="s">
        <v>25</v>
      </c>
      <c r="D5" s="3">
        <v>12</v>
      </c>
      <c r="E5" s="3"/>
      <c r="F5" s="3"/>
      <c r="G5">
        <v>0.1358</v>
      </c>
      <c r="H5">
        <v>3.32E-2</v>
      </c>
      <c r="I5">
        <v>0.17449999999999999</v>
      </c>
      <c r="J5">
        <v>0.12970000000000001</v>
      </c>
      <c r="K5">
        <v>0.37509999999999999</v>
      </c>
      <c r="L5">
        <v>0.3246</v>
      </c>
      <c r="M5">
        <v>1.0768</v>
      </c>
      <c r="N5">
        <v>0.57699999999999996</v>
      </c>
    </row>
    <row r="6" spans="1:14" ht="15" x14ac:dyDescent="0.25">
      <c r="A6" s="162"/>
      <c r="B6" s="3">
        <f t="shared" si="0"/>
        <v>3</v>
      </c>
      <c r="C6" s="3" t="s">
        <v>36</v>
      </c>
      <c r="D6" s="3">
        <v>4</v>
      </c>
      <c r="E6" s="3"/>
      <c r="F6" s="3"/>
      <c r="G6">
        <v>0.22700000000000001</v>
      </c>
      <c r="H6">
        <v>5.9499999999999997E-2</v>
      </c>
      <c r="I6">
        <v>0.29480000000000001</v>
      </c>
      <c r="J6">
        <v>0.25</v>
      </c>
      <c r="K6">
        <v>0.42470000000000002</v>
      </c>
      <c r="L6">
        <v>0.33339999999999997</v>
      </c>
      <c r="M6">
        <v>1.0597000000000001</v>
      </c>
      <c r="N6">
        <v>0.62760000000000005</v>
      </c>
    </row>
    <row r="7" spans="1:14" ht="15" x14ac:dyDescent="0.25">
      <c r="A7" s="162"/>
      <c r="B7" s="3">
        <f t="shared" si="0"/>
        <v>4</v>
      </c>
      <c r="C7" s="3" t="s">
        <v>69</v>
      </c>
      <c r="D7" s="3">
        <v>15</v>
      </c>
      <c r="E7" s="3"/>
      <c r="F7" s="3"/>
      <c r="G7">
        <v>0.1221</v>
      </c>
      <c r="H7">
        <v>4.6300000000000001E-2</v>
      </c>
      <c r="I7">
        <v>0.15190000000000001</v>
      </c>
      <c r="J7">
        <v>0.107</v>
      </c>
      <c r="K7">
        <v>0.36520000000000002</v>
      </c>
      <c r="L7">
        <v>0.38679999999999998</v>
      </c>
      <c r="M7">
        <v>0.9385</v>
      </c>
      <c r="N7">
        <v>0.66200000000000003</v>
      </c>
    </row>
    <row r="8" spans="1:14" ht="15" x14ac:dyDescent="0.25">
      <c r="A8" s="162"/>
      <c r="B8" s="3">
        <f t="shared" si="0"/>
        <v>5</v>
      </c>
      <c r="C8" s="3" t="s">
        <v>69</v>
      </c>
      <c r="D8" s="3">
        <v>16</v>
      </c>
      <c r="E8" s="3"/>
      <c r="F8" s="3"/>
      <c r="G8">
        <v>0.17080000000000001</v>
      </c>
      <c r="H8">
        <v>4.5999999999999999E-3</v>
      </c>
      <c r="I8">
        <v>0.20499999999999999</v>
      </c>
      <c r="J8">
        <v>0.16009999999999999</v>
      </c>
      <c r="K8">
        <v>0.372</v>
      </c>
      <c r="L8">
        <v>0.37609999999999999</v>
      </c>
      <c r="M8">
        <v>0.93689999999999996</v>
      </c>
      <c r="N8">
        <v>0.68100000000000005</v>
      </c>
    </row>
    <row r="9" spans="1:14" ht="15" x14ac:dyDescent="0.25">
      <c r="A9" s="162"/>
      <c r="B9" s="3">
        <f t="shared" si="0"/>
        <v>6</v>
      </c>
      <c r="C9" s="3" t="s">
        <v>77</v>
      </c>
      <c r="D9" s="3">
        <v>8</v>
      </c>
      <c r="E9" s="3"/>
      <c r="F9" s="3"/>
      <c r="G9">
        <v>0.2056</v>
      </c>
      <c r="H9">
        <v>3.8899999999999997E-2</v>
      </c>
      <c r="I9">
        <v>0.25979999999999998</v>
      </c>
      <c r="J9">
        <v>0.21490000000000001</v>
      </c>
      <c r="K9">
        <v>0.36349999999999999</v>
      </c>
      <c r="L9">
        <v>0.38979999999999998</v>
      </c>
      <c r="M9">
        <v>0.93269999999999997</v>
      </c>
      <c r="N9">
        <v>0.6502</v>
      </c>
    </row>
    <row r="10" spans="1:14" ht="15" x14ac:dyDescent="0.25">
      <c r="A10" s="162"/>
      <c r="B10" s="3">
        <f t="shared" si="0"/>
        <v>7</v>
      </c>
      <c r="C10" s="3" t="s">
        <v>99</v>
      </c>
      <c r="D10" s="3">
        <v>21</v>
      </c>
      <c r="E10" s="3"/>
      <c r="F10" s="3"/>
      <c r="G10">
        <v>8.6999999999999994E-2</v>
      </c>
      <c r="H10">
        <v>8.1000000000000003E-2</v>
      </c>
      <c r="I10">
        <v>0.12089999999999999</v>
      </c>
      <c r="J10">
        <v>7.6499999999999999E-2</v>
      </c>
      <c r="K10">
        <v>0.37909999999999999</v>
      </c>
      <c r="L10">
        <v>0.441</v>
      </c>
      <c r="M10">
        <v>0.85519999999999996</v>
      </c>
      <c r="N10">
        <v>0.71419999999999995</v>
      </c>
    </row>
    <row r="11" spans="1:14" ht="15" x14ac:dyDescent="0.25">
      <c r="A11" s="162"/>
      <c r="B11" s="3">
        <f t="shared" si="0"/>
        <v>8</v>
      </c>
      <c r="C11" s="3" t="s">
        <v>76</v>
      </c>
      <c r="D11" s="3">
        <v>11</v>
      </c>
      <c r="E11" s="3"/>
      <c r="F11" s="3"/>
      <c r="G11">
        <v>0.1409</v>
      </c>
      <c r="H11">
        <v>2.7300000000000001E-2</v>
      </c>
      <c r="I11">
        <v>0.19819999999999999</v>
      </c>
      <c r="J11">
        <v>0.15359999999999999</v>
      </c>
      <c r="K11">
        <v>0.32979999999999998</v>
      </c>
      <c r="L11">
        <v>0.3957</v>
      </c>
      <c r="M11">
        <v>0.871</v>
      </c>
      <c r="N11">
        <v>0.72</v>
      </c>
    </row>
    <row r="12" spans="1:14" ht="15" x14ac:dyDescent="0.25">
      <c r="A12" s="162"/>
      <c r="B12" s="3">
        <f t="shared" si="0"/>
        <v>9</v>
      </c>
      <c r="C12" s="3" t="s">
        <v>15</v>
      </c>
      <c r="D12" s="3">
        <v>9</v>
      </c>
      <c r="E12" s="3"/>
      <c r="F12" s="3"/>
      <c r="G12">
        <v>0.10829999999999999</v>
      </c>
      <c r="H12">
        <v>5.9799999999999999E-2</v>
      </c>
      <c r="I12">
        <v>0.12939999999999999</v>
      </c>
      <c r="J12">
        <v>8.4500000000000006E-2</v>
      </c>
      <c r="K12">
        <v>0.35599999999999998</v>
      </c>
      <c r="L12">
        <v>0.39889999999999998</v>
      </c>
      <c r="M12">
        <v>0.87050000000000005</v>
      </c>
      <c r="N12">
        <v>0.70479999999999998</v>
      </c>
    </row>
    <row r="13" spans="1:14" ht="15" x14ac:dyDescent="0.25">
      <c r="A13" s="166"/>
      <c r="B13" s="166"/>
      <c r="C13" s="166"/>
      <c r="D13" s="166"/>
      <c r="E13" s="5" t="s">
        <v>163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43</v>
      </c>
      <c r="D14" s="3">
        <v>21</v>
      </c>
      <c r="E14" s="3"/>
      <c r="F14" s="3"/>
      <c r="G14">
        <v>4.5999999999999999E-3</v>
      </c>
      <c r="H14">
        <v>0.16350000000000001</v>
      </c>
      <c r="I14">
        <v>2.1600000000000001E-2</v>
      </c>
      <c r="J14">
        <v>2.9499999999999998E-2</v>
      </c>
      <c r="K14">
        <v>0.41599999999999998</v>
      </c>
      <c r="L14">
        <v>0.49680000000000002</v>
      </c>
      <c r="M14">
        <v>0.6794</v>
      </c>
      <c r="N14">
        <v>0.95169999999999999</v>
      </c>
    </row>
    <row r="15" spans="1:14" ht="15" x14ac:dyDescent="0.25">
      <c r="A15" s="162"/>
      <c r="B15" s="3">
        <f t="shared" ref="B15:B22" si="1">B14+1</f>
        <v>11</v>
      </c>
      <c r="C15" s="3" t="s">
        <v>14</v>
      </c>
      <c r="D15" s="3">
        <v>18.5</v>
      </c>
      <c r="E15" s="3"/>
      <c r="F15" s="3"/>
      <c r="G15">
        <v>5.3E-3</v>
      </c>
      <c r="H15">
        <v>0.16300000000000001</v>
      </c>
      <c r="I15">
        <v>1.67E-2</v>
      </c>
      <c r="J15">
        <v>3.3000000000000002E-2</v>
      </c>
      <c r="K15">
        <v>0.33610000000000001</v>
      </c>
      <c r="L15">
        <v>0.44640000000000002</v>
      </c>
      <c r="M15">
        <v>0.753</v>
      </c>
      <c r="N15">
        <v>0.87960000000000005</v>
      </c>
    </row>
    <row r="16" spans="1:14" ht="15" x14ac:dyDescent="0.25">
      <c r="A16" s="162"/>
      <c r="B16" s="3">
        <f t="shared" si="1"/>
        <v>12</v>
      </c>
      <c r="C16" s="3" t="s">
        <v>23</v>
      </c>
      <c r="D16" s="3">
        <v>21</v>
      </c>
      <c r="E16" s="3"/>
      <c r="F16" s="15"/>
      <c r="G16">
        <v>4.8899999999999999E-2</v>
      </c>
      <c r="H16">
        <v>0.1192</v>
      </c>
      <c r="I16">
        <v>7.9899999999999999E-2</v>
      </c>
      <c r="J16">
        <v>3.7100000000000001E-2</v>
      </c>
      <c r="K16">
        <v>0.28970000000000001</v>
      </c>
      <c r="L16">
        <v>0.41549999999999998</v>
      </c>
      <c r="M16">
        <v>0.76429999999999998</v>
      </c>
      <c r="N16">
        <v>0.8861</v>
      </c>
    </row>
    <row r="17" spans="1:14" ht="15" x14ac:dyDescent="0.25">
      <c r="A17" s="162"/>
      <c r="B17" s="3">
        <f t="shared" si="1"/>
        <v>13</v>
      </c>
      <c r="C17" s="3" t="s">
        <v>23</v>
      </c>
      <c r="D17" s="3">
        <v>18</v>
      </c>
      <c r="E17" s="3"/>
      <c r="F17" s="3"/>
      <c r="G17">
        <v>1.3599999999999999E-2</v>
      </c>
      <c r="H17">
        <v>0.15440000000000001</v>
      </c>
      <c r="I17">
        <v>3.7499999999999999E-2</v>
      </c>
      <c r="J17">
        <v>1.9300000000000001E-2</v>
      </c>
      <c r="K17">
        <v>0.2737</v>
      </c>
      <c r="L17">
        <v>0.50190000000000001</v>
      </c>
      <c r="M17">
        <v>0.5696</v>
      </c>
      <c r="N17">
        <v>1.0216000000000001</v>
      </c>
    </row>
    <row r="18" spans="1:14" ht="15" x14ac:dyDescent="0.25">
      <c r="A18" s="162"/>
      <c r="B18" s="3">
        <f t="shared" si="1"/>
        <v>14</v>
      </c>
      <c r="C18" s="3" t="s">
        <v>69</v>
      </c>
      <c r="D18" s="3">
        <v>12</v>
      </c>
      <c r="E18" s="3"/>
      <c r="F18" s="3"/>
      <c r="G18">
        <v>0.15390000000000001</v>
      </c>
      <c r="H18">
        <v>1.4200000000000001E-2</v>
      </c>
      <c r="I18">
        <v>0.1918</v>
      </c>
      <c r="J18">
        <v>0.14699999999999999</v>
      </c>
      <c r="K18">
        <v>0.27360000000000001</v>
      </c>
      <c r="L18">
        <v>0.499</v>
      </c>
      <c r="M18">
        <v>0.59860000000000002</v>
      </c>
      <c r="N18">
        <v>1.0091000000000001</v>
      </c>
    </row>
    <row r="19" spans="1:14" ht="15" x14ac:dyDescent="0.25">
      <c r="A19" s="162"/>
      <c r="B19" s="3">
        <f t="shared" si="1"/>
        <v>15</v>
      </c>
      <c r="C19" s="3" t="s">
        <v>15</v>
      </c>
      <c r="D19" s="3">
        <v>5.5</v>
      </c>
      <c r="E19" s="3"/>
      <c r="F19" s="3"/>
      <c r="G19">
        <v>0.11409999999999999</v>
      </c>
      <c r="H19">
        <v>5.3999999999999999E-2</v>
      </c>
      <c r="I19">
        <v>0.15160000000000001</v>
      </c>
      <c r="J19">
        <v>0.1069</v>
      </c>
      <c r="K19">
        <v>0.26140000000000002</v>
      </c>
      <c r="L19">
        <v>0.47199999999999998</v>
      </c>
      <c r="M19">
        <v>0.64180000000000004</v>
      </c>
      <c r="N19">
        <v>0.96389999999999998</v>
      </c>
    </row>
    <row r="20" spans="1:14" ht="15" x14ac:dyDescent="0.25">
      <c r="A20" s="162"/>
      <c r="B20" s="3">
        <f t="shared" si="1"/>
        <v>16</v>
      </c>
      <c r="C20" s="3" t="s">
        <v>99</v>
      </c>
      <c r="D20" s="3">
        <v>19</v>
      </c>
      <c r="E20" s="3"/>
      <c r="F20" s="3"/>
      <c r="G20">
        <v>5.9400000000000001E-2</v>
      </c>
      <c r="H20">
        <v>0.1087</v>
      </c>
      <c r="I20">
        <v>8.9099999999999999E-2</v>
      </c>
      <c r="J20">
        <v>4.5100000000000001E-2</v>
      </c>
      <c r="K20">
        <v>0.26250000000000001</v>
      </c>
      <c r="L20">
        <v>0.57210000000000005</v>
      </c>
      <c r="M20">
        <v>0.40539999999999998</v>
      </c>
      <c r="N20">
        <v>1.1691</v>
      </c>
    </row>
    <row r="21" spans="1:14" ht="15" x14ac:dyDescent="0.25">
      <c r="A21" s="162"/>
      <c r="B21" s="3">
        <f t="shared" si="1"/>
        <v>17</v>
      </c>
      <c r="C21" s="3" t="s">
        <v>39</v>
      </c>
      <c r="D21" s="3">
        <v>10</v>
      </c>
      <c r="E21" s="3"/>
      <c r="F21" s="3"/>
      <c r="G21">
        <v>6.7199999999999996E-2</v>
      </c>
      <c r="H21">
        <v>0.10100000000000001</v>
      </c>
      <c r="I21">
        <v>0.113</v>
      </c>
      <c r="J21">
        <v>7.0300000000000001E-2</v>
      </c>
      <c r="K21">
        <v>0.2492</v>
      </c>
      <c r="L21">
        <v>0.5776</v>
      </c>
      <c r="M21">
        <v>0.38840000000000002</v>
      </c>
      <c r="N21">
        <v>1.1841999999999999</v>
      </c>
    </row>
    <row r="22" spans="1:14" ht="15" x14ac:dyDescent="0.25">
      <c r="A22" s="162"/>
      <c r="B22" s="3">
        <f t="shared" si="1"/>
        <v>18</v>
      </c>
      <c r="C22" s="3" t="s">
        <v>51</v>
      </c>
      <c r="D22" s="3">
        <v>3</v>
      </c>
      <c r="E22" s="3"/>
      <c r="F22" s="3"/>
      <c r="G22">
        <v>2.92E-2</v>
      </c>
      <c r="H22">
        <v>0.13919999999999999</v>
      </c>
      <c r="I22">
        <v>5.3100000000000001E-2</v>
      </c>
      <c r="J22">
        <v>1.34E-2</v>
      </c>
      <c r="K22">
        <v>0.24840000000000001</v>
      </c>
      <c r="L22">
        <v>0.59670000000000001</v>
      </c>
      <c r="M22">
        <v>0.34110000000000001</v>
      </c>
      <c r="N22">
        <v>1.2778</v>
      </c>
    </row>
    <row r="23" spans="1:14" ht="15" x14ac:dyDescent="0.25">
      <c r="A23" s="166"/>
      <c r="B23" s="166"/>
      <c r="C23" s="166"/>
      <c r="D23" s="166"/>
      <c r="E23" s="5" t="s">
        <v>52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62</v>
      </c>
      <c r="D24" s="3">
        <v>9</v>
      </c>
      <c r="E24" s="3"/>
      <c r="F24" s="3"/>
      <c r="G24">
        <v>4.48E-2</v>
      </c>
      <c r="H24">
        <v>0.1232</v>
      </c>
      <c r="I24">
        <v>6.9400000000000003E-2</v>
      </c>
      <c r="J24">
        <v>2.6800000000000001E-2</v>
      </c>
      <c r="K24">
        <v>0.43109999999999998</v>
      </c>
      <c r="L24">
        <v>0.47020000000000001</v>
      </c>
      <c r="M24">
        <v>0.79959999999999998</v>
      </c>
      <c r="N24">
        <v>0.79279999999999995</v>
      </c>
    </row>
    <row r="25" spans="1:14" ht="15" x14ac:dyDescent="0.25">
      <c r="A25" s="162"/>
      <c r="B25" s="3">
        <f t="shared" ref="B25:B32" si="2">B24+1</f>
        <v>20</v>
      </c>
      <c r="C25" s="3" t="s">
        <v>17</v>
      </c>
      <c r="D25" s="3">
        <v>8.5</v>
      </c>
      <c r="E25" s="3"/>
      <c r="F25" s="3"/>
      <c r="G25">
        <v>5.16E-2</v>
      </c>
      <c r="H25">
        <v>0.1164</v>
      </c>
      <c r="I25">
        <v>7.6700000000000004E-2</v>
      </c>
      <c r="J25">
        <v>3.3500000000000002E-2</v>
      </c>
      <c r="K25">
        <v>0.49309999999999998</v>
      </c>
      <c r="L25">
        <v>0.52370000000000005</v>
      </c>
      <c r="M25">
        <v>0.81710000000000005</v>
      </c>
      <c r="N25">
        <v>0.7762</v>
      </c>
    </row>
    <row r="26" spans="1:14" ht="15" x14ac:dyDescent="0.25">
      <c r="A26" s="162"/>
      <c r="B26" s="3">
        <f t="shared" si="2"/>
        <v>21</v>
      </c>
      <c r="C26" s="3" t="s">
        <v>62</v>
      </c>
      <c r="D26" s="3">
        <v>8.5</v>
      </c>
      <c r="E26" s="3"/>
      <c r="F26" s="3"/>
      <c r="G26">
        <v>3.0599999999999999E-2</v>
      </c>
      <c r="H26">
        <v>0.13780000000000001</v>
      </c>
      <c r="I26">
        <v>6.1899999999999997E-2</v>
      </c>
      <c r="J26">
        <v>2.5499999999999998E-2</v>
      </c>
      <c r="K26">
        <v>0.4481</v>
      </c>
      <c r="L26">
        <v>0.50029999999999997</v>
      </c>
      <c r="M26">
        <v>0.7712</v>
      </c>
      <c r="N26">
        <v>0.80010000000000003</v>
      </c>
    </row>
    <row r="27" spans="1:14" ht="15" x14ac:dyDescent="0.25">
      <c r="A27" s="162"/>
      <c r="B27" s="3">
        <f t="shared" si="2"/>
        <v>22</v>
      </c>
      <c r="C27" s="3" t="s">
        <v>93</v>
      </c>
      <c r="D27" s="3">
        <v>10</v>
      </c>
      <c r="E27" s="3"/>
      <c r="F27" s="3"/>
      <c r="G27">
        <v>3.95E-2</v>
      </c>
      <c r="H27">
        <v>0.1285</v>
      </c>
      <c r="I27">
        <v>8.2299999999999998E-2</v>
      </c>
      <c r="J27">
        <v>4.1599999999999998E-2</v>
      </c>
      <c r="K27">
        <v>0.45650000000000002</v>
      </c>
      <c r="L27">
        <v>0.46100000000000002</v>
      </c>
      <c r="M27">
        <v>0.84989999999999999</v>
      </c>
      <c r="N27">
        <v>0.80810000000000004</v>
      </c>
    </row>
    <row r="28" spans="1:14" ht="15" x14ac:dyDescent="0.25">
      <c r="A28" s="162"/>
      <c r="B28" s="3">
        <f t="shared" si="2"/>
        <v>23</v>
      </c>
      <c r="C28" s="3" t="s">
        <v>62</v>
      </c>
      <c r="D28" s="3">
        <v>5.5</v>
      </c>
      <c r="E28" s="3"/>
      <c r="F28" s="3"/>
      <c r="G28">
        <v>3.4799999999999998E-2</v>
      </c>
      <c r="H28">
        <v>0.1336</v>
      </c>
      <c r="I28">
        <v>7.3200000000000001E-2</v>
      </c>
      <c r="J28">
        <v>3.5099999999999999E-2</v>
      </c>
      <c r="K28">
        <v>0.47939999999999999</v>
      </c>
      <c r="L28">
        <v>0.47439999999999999</v>
      </c>
      <c r="M28">
        <v>0.87780000000000002</v>
      </c>
      <c r="N28">
        <v>0.75149999999999995</v>
      </c>
    </row>
    <row r="29" spans="1:14" ht="15" x14ac:dyDescent="0.25">
      <c r="A29" s="162"/>
      <c r="B29" s="3">
        <f t="shared" si="2"/>
        <v>24</v>
      </c>
      <c r="C29" s="3" t="s">
        <v>38</v>
      </c>
      <c r="D29" s="3">
        <v>5</v>
      </c>
      <c r="E29" s="3"/>
      <c r="F29" s="3"/>
      <c r="G29">
        <v>4.7600000000000003E-2</v>
      </c>
      <c r="H29">
        <v>0.1205</v>
      </c>
      <c r="I29">
        <v>7.8299999999999995E-2</v>
      </c>
      <c r="J29">
        <v>3.6200000000000003E-2</v>
      </c>
      <c r="K29">
        <v>0.4607</v>
      </c>
      <c r="L29">
        <v>0.44290000000000002</v>
      </c>
      <c r="M29">
        <v>0.89219999999999999</v>
      </c>
      <c r="N29">
        <v>0.7258</v>
      </c>
    </row>
    <row r="30" spans="1:14" ht="15" x14ac:dyDescent="0.25">
      <c r="A30" s="162"/>
      <c r="B30" s="3">
        <f t="shared" si="2"/>
        <v>25</v>
      </c>
      <c r="C30" s="3" t="s">
        <v>17</v>
      </c>
      <c r="D30" s="3">
        <v>2.5</v>
      </c>
      <c r="E30" s="3"/>
      <c r="F30" s="3"/>
      <c r="G30">
        <v>6.8199999999999997E-2</v>
      </c>
      <c r="H30">
        <v>9.9900000000000003E-2</v>
      </c>
      <c r="I30">
        <v>8.9700000000000002E-2</v>
      </c>
      <c r="J30">
        <v>4.5100000000000001E-2</v>
      </c>
      <c r="K30">
        <v>0.53549999999999998</v>
      </c>
      <c r="L30">
        <v>0.46229999999999999</v>
      </c>
      <c r="M30">
        <v>1.0185999999999999</v>
      </c>
      <c r="N30">
        <v>0.60650000000000004</v>
      </c>
    </row>
    <row r="31" spans="1:14" ht="15" x14ac:dyDescent="0.25">
      <c r="A31" s="162"/>
      <c r="B31" s="3">
        <f t="shared" si="2"/>
        <v>26</v>
      </c>
      <c r="C31" s="3" t="s">
        <v>16</v>
      </c>
      <c r="D31" s="3">
        <v>16</v>
      </c>
      <c r="E31" s="3"/>
      <c r="F31" s="3"/>
      <c r="G31">
        <v>5.8500000000000003E-2</v>
      </c>
      <c r="H31">
        <v>0.1096</v>
      </c>
      <c r="I31">
        <v>0.10680000000000001</v>
      </c>
      <c r="J31">
        <v>6.4500000000000002E-2</v>
      </c>
      <c r="K31">
        <v>0.51329999999999998</v>
      </c>
      <c r="L31">
        <v>0.44440000000000002</v>
      </c>
      <c r="M31">
        <v>0.9859</v>
      </c>
      <c r="N31">
        <v>0.65720000000000001</v>
      </c>
    </row>
    <row r="32" spans="1:14" ht="15" x14ac:dyDescent="0.25">
      <c r="A32" s="162"/>
      <c r="B32" s="3">
        <f t="shared" si="2"/>
        <v>27</v>
      </c>
      <c r="C32" s="3" t="s">
        <v>38</v>
      </c>
      <c r="D32" s="3">
        <v>8</v>
      </c>
      <c r="E32" s="3"/>
      <c r="F32" s="3"/>
      <c r="G32">
        <v>8.5999999999999993E-2</v>
      </c>
      <c r="H32">
        <v>8.2100000000000006E-2</v>
      </c>
      <c r="I32">
        <v>0.1019</v>
      </c>
      <c r="J32">
        <v>5.7000000000000002E-2</v>
      </c>
      <c r="K32">
        <v>0.40899999999999997</v>
      </c>
      <c r="L32">
        <v>0.36220000000000002</v>
      </c>
      <c r="M32">
        <v>0.99219999999999997</v>
      </c>
      <c r="N32">
        <v>0.66290000000000004</v>
      </c>
    </row>
    <row r="33" spans="1:14" ht="15" x14ac:dyDescent="0.25">
      <c r="A33" s="166"/>
      <c r="B33" s="166"/>
      <c r="C33" s="166"/>
      <c r="D33" s="166"/>
      <c r="E33" s="5" t="s">
        <v>164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30</v>
      </c>
      <c r="D34" s="3">
        <v>5</v>
      </c>
      <c r="E34" s="3"/>
      <c r="F34" s="3"/>
      <c r="G34">
        <v>3.73E-2</v>
      </c>
      <c r="H34">
        <v>0.13100000000000001</v>
      </c>
      <c r="I34">
        <v>7.2999999999999995E-2</v>
      </c>
      <c r="J34">
        <v>3.4000000000000002E-2</v>
      </c>
      <c r="K34">
        <v>0.50719999999999998</v>
      </c>
      <c r="L34">
        <v>0.45639999999999997</v>
      </c>
      <c r="M34">
        <v>0.92730000000000001</v>
      </c>
      <c r="N34">
        <v>0.66420000000000001</v>
      </c>
    </row>
    <row r="35" spans="1:14" ht="15" x14ac:dyDescent="0.25">
      <c r="A35" s="162"/>
      <c r="B35" s="3">
        <f t="shared" ref="B35:B42" si="3">B34+1</f>
        <v>29</v>
      </c>
      <c r="C35" s="3" t="s">
        <v>38</v>
      </c>
      <c r="D35" s="3">
        <v>9</v>
      </c>
      <c r="E35" s="3"/>
      <c r="F35" s="3"/>
      <c r="G35">
        <v>2.3E-3</v>
      </c>
      <c r="H35">
        <v>0.16930000000000001</v>
      </c>
      <c r="I35">
        <v>2.3400000000000001E-2</v>
      </c>
      <c r="J35">
        <v>3.39E-2</v>
      </c>
      <c r="K35">
        <v>0.54810000000000003</v>
      </c>
      <c r="L35">
        <v>0.49740000000000001</v>
      </c>
      <c r="M35">
        <v>0.91879999999999995</v>
      </c>
      <c r="N35">
        <v>0.65480000000000005</v>
      </c>
    </row>
    <row r="36" spans="1:14" ht="15" x14ac:dyDescent="0.25">
      <c r="A36" s="162"/>
      <c r="B36" s="3">
        <f t="shared" si="3"/>
        <v>30</v>
      </c>
      <c r="C36" s="3" t="s">
        <v>19</v>
      </c>
      <c r="D36" s="3">
        <v>12</v>
      </c>
      <c r="E36" s="3"/>
      <c r="F36" s="3" t="s">
        <v>167</v>
      </c>
      <c r="G36">
        <v>1.5100000000000001E-2</v>
      </c>
      <c r="H36">
        <v>0.183</v>
      </c>
      <c r="I36">
        <v>1.9E-2</v>
      </c>
      <c r="J36">
        <v>6.3600000000000004E-2</v>
      </c>
      <c r="K36">
        <v>0.52470000000000006</v>
      </c>
      <c r="L36">
        <v>0.4854</v>
      </c>
      <c r="M36">
        <v>0.84989999999999999</v>
      </c>
      <c r="N36">
        <v>0.72719999999999996</v>
      </c>
    </row>
    <row r="37" spans="1:14" ht="15" x14ac:dyDescent="0.25">
      <c r="A37" s="162"/>
      <c r="B37" s="3">
        <f t="shared" si="3"/>
        <v>31</v>
      </c>
      <c r="C37" s="3" t="s">
        <v>38</v>
      </c>
      <c r="D37" s="3">
        <v>4.5</v>
      </c>
      <c r="E37" s="3"/>
      <c r="F37" s="3"/>
      <c r="G37">
        <v>2.8799999999999999E-2</v>
      </c>
      <c r="H37">
        <v>0.13969999999999999</v>
      </c>
      <c r="I37">
        <v>4.8800000000000003E-2</v>
      </c>
      <c r="J37">
        <v>1.5800000000000002E-2</v>
      </c>
      <c r="K37">
        <v>0.46229999999999999</v>
      </c>
      <c r="L37">
        <v>0.55059999999999998</v>
      </c>
      <c r="M37">
        <v>0.66359999999999997</v>
      </c>
      <c r="N37">
        <v>0.89500000000000002</v>
      </c>
    </row>
    <row r="38" spans="1:14" ht="15" x14ac:dyDescent="0.25">
      <c r="A38" s="162"/>
      <c r="B38" s="3">
        <f t="shared" si="3"/>
        <v>32</v>
      </c>
      <c r="C38" s="3" t="s">
        <v>70</v>
      </c>
      <c r="D38" s="3">
        <v>6</v>
      </c>
      <c r="E38" s="3"/>
      <c r="F38" s="3"/>
      <c r="G38">
        <v>0.10199999999999999</v>
      </c>
      <c r="H38">
        <v>6.6000000000000003E-2</v>
      </c>
      <c r="I38">
        <v>0.1467</v>
      </c>
      <c r="J38">
        <v>0.1024</v>
      </c>
      <c r="K38">
        <v>0.47749999999999998</v>
      </c>
      <c r="L38">
        <v>0.55449999999999999</v>
      </c>
      <c r="M38">
        <v>0.66579999999999995</v>
      </c>
      <c r="N38">
        <v>0.89329999999999998</v>
      </c>
    </row>
    <row r="39" spans="1:14" ht="15" x14ac:dyDescent="0.25">
      <c r="A39" s="162"/>
      <c r="B39" s="3">
        <f t="shared" si="3"/>
        <v>33</v>
      </c>
      <c r="C39" s="3" t="s">
        <v>138</v>
      </c>
      <c r="D39" s="3">
        <v>20.5</v>
      </c>
      <c r="E39" s="3"/>
      <c r="F39" s="3"/>
      <c r="G39">
        <v>5.4399999999999997E-2</v>
      </c>
      <c r="H39">
        <v>0.1137</v>
      </c>
      <c r="I39">
        <v>7.4499999999999997E-2</v>
      </c>
      <c r="J39">
        <v>3.0800000000000001E-2</v>
      </c>
      <c r="K39">
        <v>0.50460000000000005</v>
      </c>
      <c r="L39">
        <v>0.58909999999999996</v>
      </c>
      <c r="M39">
        <v>0.68030000000000002</v>
      </c>
      <c r="N39">
        <v>0.88180000000000003</v>
      </c>
    </row>
    <row r="40" spans="1:14" ht="15" x14ac:dyDescent="0.25">
      <c r="A40" s="162"/>
      <c r="B40" s="3">
        <f t="shared" si="3"/>
        <v>34</v>
      </c>
      <c r="C40" s="3" t="s">
        <v>27</v>
      </c>
      <c r="D40" s="3">
        <v>15</v>
      </c>
      <c r="E40" s="6"/>
      <c r="F40" s="6"/>
      <c r="G40">
        <v>5.5899999999999998E-2</v>
      </c>
      <c r="H40">
        <v>0.1125</v>
      </c>
      <c r="I40">
        <v>6.7500000000000004E-2</v>
      </c>
      <c r="J40">
        <v>2.3400000000000001E-2</v>
      </c>
      <c r="K40">
        <v>0.53549999999999998</v>
      </c>
      <c r="L40">
        <v>0.51349999999999996</v>
      </c>
      <c r="M40">
        <v>0.87839999999999996</v>
      </c>
      <c r="N40">
        <v>0.68620000000000003</v>
      </c>
    </row>
    <row r="41" spans="1:14" ht="15" x14ac:dyDescent="0.25">
      <c r="A41" s="162"/>
      <c r="B41" s="3">
        <f t="shared" si="3"/>
        <v>35</v>
      </c>
      <c r="C41" s="3" t="s">
        <v>20</v>
      </c>
      <c r="D41" s="3">
        <v>8</v>
      </c>
      <c r="E41" s="6"/>
      <c r="F41" s="6"/>
      <c r="G41">
        <v>0.1249</v>
      </c>
      <c r="H41">
        <v>4.3200000000000002E-2</v>
      </c>
      <c r="I41">
        <v>0.16769999999999999</v>
      </c>
      <c r="J41">
        <v>0.123</v>
      </c>
      <c r="K41">
        <v>0.44019999999999998</v>
      </c>
      <c r="L41">
        <v>0.41849999999999998</v>
      </c>
      <c r="M41">
        <v>0.94310000000000005</v>
      </c>
      <c r="N41">
        <v>0.64839999999999998</v>
      </c>
    </row>
    <row r="42" spans="1:14" ht="15" x14ac:dyDescent="0.25">
      <c r="A42" s="162"/>
      <c r="B42" s="7">
        <f t="shared" si="3"/>
        <v>36</v>
      </c>
      <c r="C42" s="7" t="s">
        <v>25</v>
      </c>
      <c r="D42" s="7">
        <v>15</v>
      </c>
      <c r="E42" s="8"/>
      <c r="F42" s="8"/>
      <c r="G42">
        <v>7.4099999999999999E-2</v>
      </c>
      <c r="H42">
        <v>9.3899999999999997E-2</v>
      </c>
      <c r="I42">
        <v>0.12280000000000001</v>
      </c>
      <c r="J42">
        <v>7.9399999999999998E-2</v>
      </c>
      <c r="K42">
        <v>0.45590000000000003</v>
      </c>
      <c r="L42">
        <v>0.4254</v>
      </c>
      <c r="M42">
        <v>0.92889999999999995</v>
      </c>
      <c r="N42">
        <v>0.63290000000000002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28</v>
      </c>
      <c r="D4" s="3">
        <v>11</v>
      </c>
      <c r="E4" s="3" t="s">
        <v>133</v>
      </c>
      <c r="F4" s="3"/>
      <c r="G4">
        <v>3.44E-2</v>
      </c>
      <c r="H4">
        <v>0.1336</v>
      </c>
      <c r="I4">
        <v>6.5100000000000005E-2</v>
      </c>
      <c r="J4">
        <v>2.47E-2</v>
      </c>
      <c r="K4">
        <v>0.32840000000000003</v>
      </c>
      <c r="L4">
        <v>0.1898</v>
      </c>
      <c r="M4">
        <v>1.0157</v>
      </c>
      <c r="N4">
        <v>0.55459999999999998</v>
      </c>
    </row>
    <row r="5" spans="1:14" ht="15" x14ac:dyDescent="0.25">
      <c r="A5" s="162"/>
      <c r="B5" s="3">
        <f t="shared" ref="B5:B12" si="0">B4+1</f>
        <v>2</v>
      </c>
      <c r="C5" s="14" t="s">
        <v>25</v>
      </c>
      <c r="D5" s="3">
        <v>14</v>
      </c>
      <c r="E5" s="3"/>
      <c r="F5" s="3"/>
      <c r="G5">
        <v>6.7400000000000002E-2</v>
      </c>
      <c r="H5">
        <v>0.1007</v>
      </c>
      <c r="I5">
        <v>0.1246</v>
      </c>
      <c r="J5">
        <v>8.1799999999999998E-2</v>
      </c>
      <c r="K5">
        <v>0.36330000000000001</v>
      </c>
      <c r="L5">
        <v>0.22289999999999999</v>
      </c>
      <c r="M5">
        <v>0.99409999999999998</v>
      </c>
      <c r="N5">
        <v>0.57220000000000004</v>
      </c>
    </row>
    <row r="6" spans="1:14" ht="15" x14ac:dyDescent="0.25">
      <c r="A6" s="162"/>
      <c r="B6" s="3">
        <f t="shared" si="0"/>
        <v>3</v>
      </c>
      <c r="C6" s="3" t="s">
        <v>168</v>
      </c>
      <c r="D6" s="3">
        <v>16.5</v>
      </c>
      <c r="E6" s="3"/>
      <c r="F6" s="3"/>
      <c r="G6">
        <v>0.12870000000000001</v>
      </c>
      <c r="H6">
        <v>3.9800000000000002E-2</v>
      </c>
      <c r="I6">
        <v>0.19439999999999999</v>
      </c>
      <c r="J6">
        <v>0.15</v>
      </c>
      <c r="K6">
        <v>0.32129999999999997</v>
      </c>
      <c r="L6">
        <v>0.17330000000000001</v>
      </c>
      <c r="M6">
        <v>0.93710000000000004</v>
      </c>
      <c r="N6">
        <v>0.63380000000000003</v>
      </c>
    </row>
    <row r="7" spans="1:14" ht="15" x14ac:dyDescent="0.25">
      <c r="A7" s="162"/>
      <c r="B7" s="3">
        <f t="shared" si="0"/>
        <v>4</v>
      </c>
      <c r="C7" s="3" t="s">
        <v>35</v>
      </c>
      <c r="D7" s="3">
        <v>3.5</v>
      </c>
      <c r="E7" s="3"/>
      <c r="F7" s="3"/>
      <c r="G7">
        <v>8.8099999999999998E-2</v>
      </c>
      <c r="H7">
        <v>8.0299999999999996E-2</v>
      </c>
      <c r="I7">
        <v>0.15329999999999999</v>
      </c>
      <c r="J7">
        <v>0.1096</v>
      </c>
      <c r="K7">
        <v>0.31359999999999999</v>
      </c>
      <c r="L7">
        <v>0.20130000000000001</v>
      </c>
      <c r="M7">
        <v>0.95120000000000005</v>
      </c>
      <c r="N7">
        <v>0.61150000000000004</v>
      </c>
    </row>
    <row r="8" spans="1:14" ht="15" x14ac:dyDescent="0.25">
      <c r="A8" s="162"/>
      <c r="B8" s="3">
        <f t="shared" si="0"/>
        <v>5</v>
      </c>
      <c r="C8" s="3" t="s">
        <v>17</v>
      </c>
      <c r="D8" s="3">
        <v>2.5</v>
      </c>
      <c r="E8" s="3"/>
      <c r="F8" s="3"/>
      <c r="G8">
        <v>9.7299999999999998E-2</v>
      </c>
      <c r="H8">
        <v>7.0900000000000005E-2</v>
      </c>
      <c r="I8">
        <v>0.1668</v>
      </c>
      <c r="J8">
        <v>0.1231</v>
      </c>
      <c r="K8">
        <v>0.3211</v>
      </c>
      <c r="L8">
        <v>0.21759999999999999</v>
      </c>
      <c r="M8">
        <v>0.95750000000000002</v>
      </c>
      <c r="N8">
        <v>0.60289999999999999</v>
      </c>
    </row>
    <row r="9" spans="1:14" ht="15" x14ac:dyDescent="0.25">
      <c r="A9" s="162"/>
      <c r="B9" s="3">
        <f t="shared" si="0"/>
        <v>6</v>
      </c>
      <c r="C9" s="3" t="s">
        <v>14</v>
      </c>
      <c r="D9" s="3">
        <v>19</v>
      </c>
      <c r="E9" s="3"/>
      <c r="F9" s="3"/>
      <c r="G9">
        <v>7.4800000000000005E-2</v>
      </c>
      <c r="H9">
        <v>9.3200000000000005E-2</v>
      </c>
      <c r="I9">
        <v>0.1173</v>
      </c>
      <c r="J9">
        <v>7.3499999999999996E-2</v>
      </c>
      <c r="K9">
        <v>0.28910000000000002</v>
      </c>
      <c r="L9">
        <v>0.22220000000000001</v>
      </c>
      <c r="M9">
        <v>0.9506</v>
      </c>
      <c r="N9">
        <v>0.6099</v>
      </c>
    </row>
    <row r="10" spans="1:14" ht="15" x14ac:dyDescent="0.25">
      <c r="A10" s="162"/>
      <c r="B10" s="3">
        <f t="shared" si="0"/>
        <v>7</v>
      </c>
      <c r="C10" s="3" t="s">
        <v>17</v>
      </c>
      <c r="D10" s="3">
        <v>2</v>
      </c>
      <c r="E10" s="3"/>
      <c r="F10" s="3"/>
      <c r="G10">
        <v>5.0299999999999997E-2</v>
      </c>
      <c r="H10">
        <v>0.1178</v>
      </c>
      <c r="I10">
        <v>7.4399999999999994E-2</v>
      </c>
      <c r="J10">
        <v>3.0800000000000001E-2</v>
      </c>
      <c r="K10">
        <v>0.25669999999999998</v>
      </c>
      <c r="L10">
        <v>0.2311</v>
      </c>
      <c r="M10">
        <v>0.99329999999999996</v>
      </c>
      <c r="N10">
        <v>0.57920000000000005</v>
      </c>
    </row>
    <row r="11" spans="1:14" ht="15" x14ac:dyDescent="0.25">
      <c r="A11" s="162"/>
      <c r="B11" s="3">
        <f t="shared" si="0"/>
        <v>8</v>
      </c>
      <c r="C11" s="3" t="s">
        <v>21</v>
      </c>
      <c r="D11" s="3">
        <v>7.5</v>
      </c>
      <c r="E11" s="3"/>
      <c r="F11" s="3"/>
      <c r="G11">
        <v>8.0799999999999997E-2</v>
      </c>
      <c r="H11">
        <v>8.72E-2</v>
      </c>
      <c r="I11">
        <v>0.1166</v>
      </c>
      <c r="J11">
        <v>7.2300000000000003E-2</v>
      </c>
      <c r="K11">
        <v>0.28370000000000001</v>
      </c>
      <c r="L11">
        <v>0.22070000000000001</v>
      </c>
      <c r="M11">
        <v>0.96699999999999997</v>
      </c>
      <c r="N11">
        <v>0.60299999999999998</v>
      </c>
    </row>
    <row r="12" spans="1:14" ht="15" x14ac:dyDescent="0.25">
      <c r="A12" s="162"/>
      <c r="B12" s="3">
        <f t="shared" si="0"/>
        <v>9</v>
      </c>
      <c r="C12" s="3" t="s">
        <v>24</v>
      </c>
      <c r="D12" s="3">
        <v>5.5</v>
      </c>
      <c r="E12" s="3"/>
      <c r="F12" s="3"/>
      <c r="G12">
        <v>7.2999999999999995E-2</v>
      </c>
      <c r="H12">
        <v>9.5000000000000001E-2</v>
      </c>
      <c r="I12">
        <v>0.1094</v>
      </c>
      <c r="J12">
        <v>6.54E-2</v>
      </c>
      <c r="K12">
        <v>0.26619999999999999</v>
      </c>
      <c r="L12">
        <v>0.22120000000000001</v>
      </c>
      <c r="M12">
        <v>0.9415</v>
      </c>
      <c r="N12">
        <v>0.62029999999999996</v>
      </c>
    </row>
    <row r="13" spans="1:14" ht="15" x14ac:dyDescent="0.25">
      <c r="A13" s="166"/>
      <c r="B13" s="166"/>
      <c r="C13" s="166"/>
      <c r="D13" s="166"/>
      <c r="E13" s="5" t="s">
        <v>164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27</v>
      </c>
      <c r="D14" s="3">
        <v>14.5</v>
      </c>
      <c r="E14" s="3"/>
      <c r="F14" s="3"/>
      <c r="G14">
        <v>2.4500000000000001E-2</v>
      </c>
      <c r="H14">
        <v>0.1925</v>
      </c>
      <c r="I14">
        <v>2.3800000000000002E-2</v>
      </c>
      <c r="J14">
        <v>6.7900000000000002E-2</v>
      </c>
      <c r="K14">
        <v>0.33950000000000002</v>
      </c>
      <c r="L14">
        <v>0.31940000000000002</v>
      </c>
      <c r="M14">
        <v>0.83409999999999995</v>
      </c>
      <c r="N14">
        <v>0.85880000000000001</v>
      </c>
    </row>
    <row r="15" spans="1:14" ht="15" x14ac:dyDescent="0.25">
      <c r="A15" s="162"/>
      <c r="B15" s="3">
        <f t="shared" ref="B15:B22" si="1">B14+1</f>
        <v>11</v>
      </c>
      <c r="C15" s="3" t="s">
        <v>23</v>
      </c>
      <c r="D15" s="3">
        <v>32</v>
      </c>
      <c r="E15" s="3"/>
      <c r="F15" s="3"/>
      <c r="G15">
        <v>2.5499999999999998E-2</v>
      </c>
      <c r="H15">
        <v>0.19350000000000001</v>
      </c>
      <c r="I15">
        <v>2.3900000000000001E-2</v>
      </c>
      <c r="J15">
        <v>6.7699999999999996E-2</v>
      </c>
      <c r="K15">
        <v>0.2424</v>
      </c>
      <c r="L15">
        <v>0.25979999999999998</v>
      </c>
      <c r="M15">
        <v>0.90769999999999995</v>
      </c>
      <c r="N15">
        <v>0.82320000000000004</v>
      </c>
    </row>
    <row r="16" spans="1:14" ht="15" x14ac:dyDescent="0.25">
      <c r="A16" s="162"/>
      <c r="B16" s="3">
        <f t="shared" si="1"/>
        <v>12</v>
      </c>
      <c r="C16" s="3" t="s">
        <v>49</v>
      </c>
      <c r="D16" s="3">
        <v>16.5</v>
      </c>
      <c r="E16" s="3"/>
      <c r="F16" s="15"/>
      <c r="G16">
        <v>1.84E-2</v>
      </c>
      <c r="H16">
        <v>0.18640000000000001</v>
      </c>
      <c r="I16">
        <v>1.4800000000000001E-2</v>
      </c>
      <c r="J16">
        <v>5.5800000000000002E-2</v>
      </c>
      <c r="K16">
        <v>0.23350000000000001</v>
      </c>
      <c r="L16">
        <v>0.26740000000000003</v>
      </c>
      <c r="M16">
        <v>0.88039999999999996</v>
      </c>
      <c r="N16">
        <v>0.88380000000000003</v>
      </c>
    </row>
    <row r="17" spans="1:14" ht="15" x14ac:dyDescent="0.25">
      <c r="A17" s="162"/>
      <c r="B17" s="3">
        <f t="shared" si="1"/>
        <v>13</v>
      </c>
      <c r="C17" s="3" t="s">
        <v>14</v>
      </c>
      <c r="D17" s="3">
        <v>28.5</v>
      </c>
      <c r="E17" s="3"/>
      <c r="F17" s="3"/>
      <c r="G17">
        <v>1.04E-2</v>
      </c>
      <c r="H17">
        <v>0.17829999999999999</v>
      </c>
      <c r="I17">
        <v>1.32E-2</v>
      </c>
      <c r="J17">
        <v>4.4600000000000001E-2</v>
      </c>
      <c r="K17">
        <v>0.19</v>
      </c>
      <c r="L17">
        <v>0.31759999999999999</v>
      </c>
      <c r="M17">
        <v>0.74980000000000002</v>
      </c>
      <c r="N17">
        <v>0.9395</v>
      </c>
    </row>
    <row r="18" spans="1:14" ht="15" x14ac:dyDescent="0.25">
      <c r="A18" s="162"/>
      <c r="B18" s="3">
        <f t="shared" si="1"/>
        <v>14</v>
      </c>
      <c r="C18" s="3" t="s">
        <v>14</v>
      </c>
      <c r="D18" s="3">
        <v>50</v>
      </c>
      <c r="E18" s="3"/>
      <c r="F18" s="3" t="s">
        <v>169</v>
      </c>
      <c r="G18">
        <v>3.4599999999999999E-2</v>
      </c>
      <c r="H18">
        <v>0.13350000000000001</v>
      </c>
      <c r="I18">
        <v>0.05</v>
      </c>
      <c r="J18">
        <v>9.1000000000000004E-3</v>
      </c>
      <c r="K18">
        <v>0.28649999999999998</v>
      </c>
      <c r="L18">
        <v>0.34720000000000001</v>
      </c>
      <c r="M18">
        <v>0.78180000000000005</v>
      </c>
      <c r="N18">
        <v>0.9577</v>
      </c>
    </row>
    <row r="19" spans="1:14" ht="15" x14ac:dyDescent="0.25">
      <c r="A19" s="162"/>
      <c r="B19" s="3">
        <f t="shared" si="1"/>
        <v>15</v>
      </c>
      <c r="C19" s="3" t="s">
        <v>36</v>
      </c>
      <c r="D19" s="3">
        <v>2.5</v>
      </c>
      <c r="E19" s="3"/>
      <c r="F19" s="3"/>
      <c r="G19">
        <v>6.4000000000000003E-3</v>
      </c>
      <c r="H19">
        <v>0.1744</v>
      </c>
      <c r="I19">
        <v>1.3899999999999999E-2</v>
      </c>
      <c r="J19">
        <v>4.0800000000000003E-2</v>
      </c>
      <c r="K19">
        <v>0.1676</v>
      </c>
      <c r="L19">
        <v>0.32169999999999999</v>
      </c>
      <c r="M19">
        <v>0.75690000000000002</v>
      </c>
      <c r="N19">
        <v>0.98350000000000004</v>
      </c>
    </row>
    <row r="20" spans="1:14" ht="15" x14ac:dyDescent="0.25">
      <c r="A20" s="162"/>
      <c r="B20" s="3">
        <f t="shared" si="1"/>
        <v>16</v>
      </c>
      <c r="C20" s="3" t="s">
        <v>81</v>
      </c>
      <c r="D20" s="3">
        <v>19</v>
      </c>
      <c r="E20" s="3"/>
      <c r="F20" s="3"/>
      <c r="G20">
        <v>8.0000000000000002E-3</v>
      </c>
      <c r="H20">
        <v>0.16009999999999999</v>
      </c>
      <c r="I20">
        <v>2.9000000000000001E-2</v>
      </c>
      <c r="J20">
        <v>2.3900000000000001E-2</v>
      </c>
      <c r="K20">
        <v>0.14610000000000001</v>
      </c>
      <c r="L20">
        <v>0.4466</v>
      </c>
      <c r="M20">
        <v>0.47070000000000001</v>
      </c>
      <c r="N20">
        <v>1.155</v>
      </c>
    </row>
    <row r="21" spans="1:14" ht="15" x14ac:dyDescent="0.25">
      <c r="A21" s="162"/>
      <c r="B21" s="3">
        <f t="shared" si="1"/>
        <v>17</v>
      </c>
      <c r="C21" s="3" t="s">
        <v>103</v>
      </c>
      <c r="D21" s="3">
        <v>50</v>
      </c>
      <c r="E21" s="3"/>
      <c r="F21" s="3" t="s">
        <v>169</v>
      </c>
      <c r="G21">
        <v>1.5299999999999999E-2</v>
      </c>
      <c r="H21">
        <v>0.1832</v>
      </c>
      <c r="I21">
        <v>1.61E-2</v>
      </c>
      <c r="J21">
        <v>5.8999999999999997E-2</v>
      </c>
      <c r="K21">
        <v>7.1900000000000006E-2</v>
      </c>
      <c r="L21">
        <v>0.43309999999999998</v>
      </c>
      <c r="M21">
        <v>0.52790000000000004</v>
      </c>
      <c r="N21">
        <v>1.1395999999999999</v>
      </c>
    </row>
    <row r="22" spans="1:14" ht="15" x14ac:dyDescent="0.25">
      <c r="A22" s="162"/>
      <c r="B22" s="3">
        <f t="shared" si="1"/>
        <v>18</v>
      </c>
      <c r="C22" s="3" t="s">
        <v>48</v>
      </c>
      <c r="D22" s="3">
        <v>1</v>
      </c>
      <c r="E22" s="3"/>
      <c r="F22" s="3"/>
      <c r="G22">
        <v>1.2999999999999999E-3</v>
      </c>
      <c r="H22">
        <v>0.16719999999999999</v>
      </c>
      <c r="I22">
        <v>1.6400000000000001E-2</v>
      </c>
      <c r="J22">
        <v>3.4099999999999998E-2</v>
      </c>
      <c r="K22">
        <v>8.3400000000000002E-2</v>
      </c>
      <c r="L22">
        <v>0.43280000000000002</v>
      </c>
      <c r="M22">
        <v>0.49640000000000001</v>
      </c>
      <c r="N22">
        <v>1.1966000000000001</v>
      </c>
    </row>
    <row r="23" spans="1:14" ht="15" x14ac:dyDescent="0.25">
      <c r="A23" s="166"/>
      <c r="B23" s="166"/>
      <c r="C23" s="166"/>
      <c r="D23" s="166"/>
      <c r="E23" s="5" t="s">
        <v>67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3.2000000000000002E-3</v>
      </c>
      <c r="H24">
        <v>0.1709</v>
      </c>
      <c r="I24">
        <v>9.4999999999999998E-3</v>
      </c>
      <c r="J24">
        <v>4.0800000000000003E-2</v>
      </c>
      <c r="K24">
        <v>0.28420000000000001</v>
      </c>
      <c r="L24">
        <v>0.2203</v>
      </c>
      <c r="M24">
        <v>0.93289999999999995</v>
      </c>
      <c r="N24">
        <v>0.77710000000000001</v>
      </c>
    </row>
    <row r="25" spans="1:14" ht="15" x14ac:dyDescent="0.25">
      <c r="A25" s="162"/>
      <c r="B25" s="3">
        <f t="shared" ref="B25:B32" si="2">B24+1</f>
        <v>20</v>
      </c>
      <c r="C25" s="3" t="s">
        <v>18</v>
      </c>
      <c r="D25" s="3">
        <v>12</v>
      </c>
      <c r="E25" s="3"/>
      <c r="F25" s="3"/>
      <c r="G25">
        <v>1.4800000000000001E-2</v>
      </c>
      <c r="H25">
        <v>0.15340000000000001</v>
      </c>
      <c r="I25">
        <v>3.49E-2</v>
      </c>
      <c r="J25">
        <v>1.72E-2</v>
      </c>
      <c r="K25">
        <v>0.28129999999999999</v>
      </c>
      <c r="L25">
        <v>0.22739999999999999</v>
      </c>
      <c r="M25">
        <v>0.89880000000000004</v>
      </c>
      <c r="N25">
        <v>0.84219999999999995</v>
      </c>
    </row>
    <row r="26" spans="1:14" ht="15" x14ac:dyDescent="0.25">
      <c r="A26" s="162"/>
      <c r="B26" s="3">
        <f t="shared" si="2"/>
        <v>21</v>
      </c>
      <c r="C26" s="3" t="s">
        <v>45</v>
      </c>
      <c r="D26" s="3">
        <v>3.5</v>
      </c>
      <c r="E26" s="3"/>
      <c r="F26" s="3"/>
      <c r="G26">
        <v>5.3E-3</v>
      </c>
      <c r="H26">
        <v>0.16289999999999999</v>
      </c>
      <c r="I26">
        <v>3.4000000000000002E-2</v>
      </c>
      <c r="J26">
        <v>2.4400000000000002E-2</v>
      </c>
      <c r="K26">
        <v>0.28120000000000001</v>
      </c>
      <c r="L26">
        <v>0.22939999999999999</v>
      </c>
      <c r="M26">
        <v>0.89229999999999998</v>
      </c>
      <c r="N26">
        <v>0.85470000000000002</v>
      </c>
    </row>
    <row r="27" spans="1:14" ht="15" x14ac:dyDescent="0.25">
      <c r="A27" s="162"/>
      <c r="B27" s="3">
        <f t="shared" si="2"/>
        <v>22</v>
      </c>
      <c r="C27" s="3" t="s">
        <v>105</v>
      </c>
      <c r="D27" s="3">
        <v>27</v>
      </c>
      <c r="E27" s="3"/>
      <c r="F27" s="3"/>
      <c r="G27">
        <v>7.6E-3</v>
      </c>
      <c r="H27">
        <v>0.16109999999999999</v>
      </c>
      <c r="I27">
        <v>2.4500000000000001E-2</v>
      </c>
      <c r="J27">
        <v>2.5100000000000001E-2</v>
      </c>
      <c r="K27">
        <v>0.13469999999999999</v>
      </c>
      <c r="L27">
        <v>0.38829999999999998</v>
      </c>
      <c r="M27">
        <v>0.54359999999999997</v>
      </c>
      <c r="N27">
        <v>1.1776</v>
      </c>
    </row>
    <row r="28" spans="1:14" ht="15" x14ac:dyDescent="0.25">
      <c r="A28" s="162"/>
      <c r="B28" s="3">
        <f t="shared" si="2"/>
        <v>23</v>
      </c>
      <c r="C28" s="3" t="s">
        <v>33</v>
      </c>
      <c r="D28" s="3">
        <v>20</v>
      </c>
      <c r="E28" s="3"/>
      <c r="F28" s="3"/>
      <c r="G28">
        <v>7.7999999999999996E-3</v>
      </c>
      <c r="H28">
        <v>0.16109999999999999</v>
      </c>
      <c r="I28">
        <v>3.3099999999999997E-2</v>
      </c>
      <c r="J28">
        <v>2.1899999999999999E-2</v>
      </c>
      <c r="K28">
        <v>0.1449</v>
      </c>
      <c r="L28">
        <v>0.37709999999999999</v>
      </c>
      <c r="M28">
        <v>0.58220000000000005</v>
      </c>
      <c r="N28">
        <v>1.1348</v>
      </c>
    </row>
    <row r="29" spans="1:14" ht="15" x14ac:dyDescent="0.25">
      <c r="A29" s="162"/>
      <c r="B29" s="3">
        <f t="shared" si="2"/>
        <v>24</v>
      </c>
      <c r="C29" s="3" t="s">
        <v>15</v>
      </c>
      <c r="D29" s="3">
        <v>4.5</v>
      </c>
      <c r="E29" s="3"/>
      <c r="F29" s="3"/>
      <c r="G29">
        <v>1.7299999999999999E-2</v>
      </c>
      <c r="H29">
        <v>0.1507</v>
      </c>
      <c r="I29">
        <v>3.5000000000000003E-2</v>
      </c>
      <c r="J29">
        <v>1.67E-2</v>
      </c>
      <c r="K29">
        <v>0.1124</v>
      </c>
      <c r="L29">
        <v>0.38109999999999999</v>
      </c>
      <c r="M29">
        <v>0.59119999999999995</v>
      </c>
      <c r="N29">
        <v>1.1635</v>
      </c>
    </row>
    <row r="30" spans="1:14" ht="15" x14ac:dyDescent="0.25">
      <c r="A30" s="162"/>
      <c r="B30" s="3">
        <f t="shared" si="2"/>
        <v>25</v>
      </c>
      <c r="C30" s="3" t="s">
        <v>40</v>
      </c>
      <c r="D30" s="3">
        <v>19.5</v>
      </c>
      <c r="E30" s="3"/>
      <c r="F30" s="3"/>
      <c r="G30">
        <v>3.3099999999999997E-2</v>
      </c>
      <c r="H30">
        <v>0.1351</v>
      </c>
      <c r="I30">
        <v>6.8500000000000005E-2</v>
      </c>
      <c r="J30">
        <v>2.8400000000000002E-2</v>
      </c>
      <c r="K30">
        <v>0.12559999999999999</v>
      </c>
      <c r="L30">
        <v>0.49299999999999999</v>
      </c>
      <c r="M30">
        <v>0.30969999999999998</v>
      </c>
      <c r="N30">
        <v>1.3428</v>
      </c>
    </row>
    <row r="31" spans="1:14" ht="15" x14ac:dyDescent="0.25">
      <c r="A31" s="162"/>
      <c r="B31" s="3">
        <f t="shared" si="2"/>
        <v>26</v>
      </c>
      <c r="C31" s="3" t="s">
        <v>103</v>
      </c>
      <c r="D31" s="3">
        <v>30</v>
      </c>
      <c r="E31" s="3"/>
      <c r="F31" s="3"/>
      <c r="G31">
        <v>7.1499999999999994E-2</v>
      </c>
      <c r="H31">
        <v>9.6699999999999994E-2</v>
      </c>
      <c r="I31">
        <v>0.1081</v>
      </c>
      <c r="J31">
        <v>6.3899999999999998E-2</v>
      </c>
      <c r="K31">
        <v>2.23E-2</v>
      </c>
      <c r="L31">
        <v>0.47920000000000001</v>
      </c>
      <c r="M31">
        <v>0.3725</v>
      </c>
      <c r="N31">
        <v>1.3947000000000001</v>
      </c>
    </row>
    <row r="32" spans="1:14" ht="15" x14ac:dyDescent="0.25">
      <c r="A32" s="162"/>
      <c r="B32" s="3">
        <f t="shared" si="2"/>
        <v>27</v>
      </c>
      <c r="C32" s="3" t="s">
        <v>33</v>
      </c>
      <c r="D32" s="3">
        <v>17</v>
      </c>
      <c r="E32" s="3"/>
      <c r="F32" s="3"/>
      <c r="G32">
        <v>4.5499999999999999E-2</v>
      </c>
      <c r="H32">
        <v>0.1225</v>
      </c>
      <c r="I32">
        <v>8.3699999999999997E-2</v>
      </c>
      <c r="J32">
        <v>4.19E-2</v>
      </c>
      <c r="K32">
        <v>0.11990000000000001</v>
      </c>
      <c r="L32">
        <v>0.49149999999999999</v>
      </c>
      <c r="M32">
        <v>0.35639999999999999</v>
      </c>
      <c r="N32">
        <v>1.4063000000000001</v>
      </c>
    </row>
    <row r="33" spans="1:14" ht="15" x14ac:dyDescent="0.25">
      <c r="A33" s="166"/>
      <c r="B33" s="166"/>
      <c r="C33" s="166"/>
      <c r="D33" s="166"/>
      <c r="E33" s="5" t="s">
        <v>164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170</v>
      </c>
      <c r="D34" s="3">
        <v>11.5</v>
      </c>
      <c r="E34" s="3"/>
      <c r="F34" s="3"/>
      <c r="G34">
        <v>2.3599999999999999E-2</v>
      </c>
      <c r="H34">
        <v>0.19159999999999999</v>
      </c>
      <c r="I34">
        <v>2.3400000000000001E-2</v>
      </c>
      <c r="J34">
        <v>6.7299999999999999E-2</v>
      </c>
      <c r="K34">
        <v>0.25729999999999997</v>
      </c>
      <c r="L34">
        <v>0.23710000000000001</v>
      </c>
      <c r="M34">
        <v>0.92200000000000004</v>
      </c>
      <c r="N34">
        <v>0.82740000000000002</v>
      </c>
    </row>
    <row r="35" spans="1:14" ht="15" x14ac:dyDescent="0.25">
      <c r="A35" s="162"/>
      <c r="B35" s="3">
        <f t="shared" ref="B35:B42" si="3">B34+1</f>
        <v>29</v>
      </c>
      <c r="C35" s="3" t="s">
        <v>42</v>
      </c>
      <c r="D35" s="3">
        <v>25</v>
      </c>
      <c r="E35" s="3"/>
      <c r="F35" s="3"/>
      <c r="G35">
        <v>1.1299999999999999E-2</v>
      </c>
      <c r="H35">
        <v>0.15690000000000001</v>
      </c>
      <c r="I35">
        <v>4.3999999999999997E-2</v>
      </c>
      <c r="J35">
        <v>2.1100000000000001E-2</v>
      </c>
      <c r="K35">
        <v>0.28460000000000002</v>
      </c>
      <c r="L35">
        <v>0.24299999999999999</v>
      </c>
      <c r="M35">
        <v>0.88780000000000003</v>
      </c>
      <c r="N35">
        <v>0.83</v>
      </c>
    </row>
    <row r="36" spans="1:14" ht="15" x14ac:dyDescent="0.25">
      <c r="A36" s="162"/>
      <c r="B36" s="3">
        <f t="shared" si="3"/>
        <v>30</v>
      </c>
      <c r="C36" s="3" t="s">
        <v>23</v>
      </c>
      <c r="D36" s="3">
        <v>20.5</v>
      </c>
      <c r="E36" s="3"/>
      <c r="F36" s="3"/>
      <c r="G36">
        <v>4.1000000000000003E-3</v>
      </c>
      <c r="H36">
        <v>0.16420000000000001</v>
      </c>
      <c r="I36">
        <v>3.6999999999999998E-2</v>
      </c>
      <c r="J36">
        <v>2.5100000000000001E-2</v>
      </c>
      <c r="K36">
        <v>0.32479999999999998</v>
      </c>
      <c r="L36">
        <v>0.2666</v>
      </c>
      <c r="M36">
        <v>0.87609999999999999</v>
      </c>
      <c r="N36">
        <v>0.83599999999999997</v>
      </c>
    </row>
    <row r="37" spans="1:14" ht="15" x14ac:dyDescent="0.25">
      <c r="A37" s="162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2.3E-3</v>
      </c>
      <c r="H37">
        <v>0.16750000000000001</v>
      </c>
      <c r="I37">
        <v>2.23E-2</v>
      </c>
      <c r="J37">
        <v>3.04E-2</v>
      </c>
      <c r="K37">
        <v>0.23699999999999999</v>
      </c>
      <c r="L37">
        <v>0.25209999999999999</v>
      </c>
      <c r="M37">
        <v>0.87609999999999999</v>
      </c>
      <c r="N37">
        <v>0.88770000000000004</v>
      </c>
    </row>
    <row r="38" spans="1:14" ht="15" x14ac:dyDescent="0.25">
      <c r="A38" s="162"/>
      <c r="B38" s="3">
        <f t="shared" si="3"/>
        <v>32</v>
      </c>
      <c r="C38" s="3" t="s">
        <v>76</v>
      </c>
      <c r="D38" s="3">
        <v>11</v>
      </c>
      <c r="E38" s="3"/>
      <c r="F38" s="3"/>
      <c r="G38">
        <v>7.1800000000000003E-2</v>
      </c>
      <c r="H38">
        <v>9.6199999999999994E-2</v>
      </c>
      <c r="I38">
        <v>9.6500000000000002E-2</v>
      </c>
      <c r="J38">
        <v>5.1999999999999998E-2</v>
      </c>
      <c r="K38">
        <v>0.248</v>
      </c>
      <c r="L38">
        <v>0.23810000000000001</v>
      </c>
      <c r="M38">
        <v>0.91700000000000004</v>
      </c>
      <c r="N38">
        <v>0.91759999999999997</v>
      </c>
    </row>
    <row r="39" spans="1:14" ht="15" x14ac:dyDescent="0.25">
      <c r="A39" s="162"/>
      <c r="B39" s="3">
        <f t="shared" si="3"/>
        <v>33</v>
      </c>
      <c r="C39" s="3" t="s">
        <v>24</v>
      </c>
      <c r="D39" s="3">
        <v>3.5</v>
      </c>
      <c r="E39" s="3"/>
      <c r="F39" s="3"/>
      <c r="G39">
        <v>3.0800000000000001E-2</v>
      </c>
      <c r="H39">
        <v>0.13739999999999999</v>
      </c>
      <c r="I39">
        <v>5.5E-2</v>
      </c>
      <c r="J39">
        <v>1.5599999999999999E-2</v>
      </c>
      <c r="K39">
        <v>0.2354</v>
      </c>
      <c r="L39">
        <v>0.25190000000000001</v>
      </c>
      <c r="M39">
        <v>0.88949999999999996</v>
      </c>
      <c r="N39">
        <v>0.95730000000000004</v>
      </c>
    </row>
    <row r="40" spans="1:14" ht="15" x14ac:dyDescent="0.25">
      <c r="A40" s="162"/>
      <c r="B40" s="3">
        <f t="shared" si="3"/>
        <v>34</v>
      </c>
      <c r="C40" s="3" t="s">
        <v>16</v>
      </c>
      <c r="D40" s="3">
        <v>11.5</v>
      </c>
      <c r="E40" s="6"/>
      <c r="F40" s="6"/>
      <c r="G40">
        <v>6.4000000000000003E-3</v>
      </c>
      <c r="H40">
        <v>0.16220000000000001</v>
      </c>
      <c r="I40">
        <v>4.2599999999999999E-2</v>
      </c>
      <c r="J40">
        <v>2.3699999999999999E-2</v>
      </c>
      <c r="K40">
        <v>0.24590000000000001</v>
      </c>
      <c r="L40">
        <v>0.23960000000000001</v>
      </c>
      <c r="M40">
        <v>0.96130000000000004</v>
      </c>
      <c r="N40">
        <v>0.89019999999999999</v>
      </c>
    </row>
    <row r="41" spans="1:14" ht="15" x14ac:dyDescent="0.25">
      <c r="A41" s="162"/>
      <c r="B41" s="3">
        <f t="shared" si="3"/>
        <v>35</v>
      </c>
      <c r="C41" s="3" t="s">
        <v>89</v>
      </c>
      <c r="D41" s="3">
        <v>11</v>
      </c>
      <c r="E41" s="6"/>
      <c r="F41" s="6"/>
      <c r="G41">
        <v>1.0999999999999999E-2</v>
      </c>
      <c r="H41">
        <v>0.15709999999999999</v>
      </c>
      <c r="I41">
        <v>4.7199999999999999E-2</v>
      </c>
      <c r="J41">
        <v>2.3199999999999998E-2</v>
      </c>
      <c r="K41">
        <v>0.2339</v>
      </c>
      <c r="L41">
        <v>0.25309999999999999</v>
      </c>
      <c r="M41">
        <v>0.92200000000000004</v>
      </c>
      <c r="N41">
        <v>0.92469999999999997</v>
      </c>
    </row>
    <row r="42" spans="1:14" ht="15" x14ac:dyDescent="0.25">
      <c r="A42" s="162"/>
      <c r="B42" s="7">
        <f t="shared" si="3"/>
        <v>36</v>
      </c>
      <c r="C42" s="7" t="s">
        <v>34</v>
      </c>
      <c r="D42" s="7">
        <v>11.5</v>
      </c>
      <c r="E42" s="8"/>
      <c r="F42" s="8"/>
      <c r="G42">
        <v>2.93E-2</v>
      </c>
      <c r="H42">
        <v>0.1389</v>
      </c>
      <c r="I42">
        <v>5.5E-2</v>
      </c>
      <c r="J42">
        <v>1.9E-2</v>
      </c>
      <c r="K42">
        <v>0.23069999999999999</v>
      </c>
      <c r="L42">
        <v>0.25409999999999999</v>
      </c>
      <c r="M42">
        <v>0.90749999999999997</v>
      </c>
      <c r="N42">
        <v>0.99419999999999997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81</v>
      </c>
      <c r="D4" s="3">
        <v>19</v>
      </c>
      <c r="E4" s="3" t="s">
        <v>133</v>
      </c>
      <c r="F4" s="3"/>
      <c r="G4">
        <v>1.95E-2</v>
      </c>
      <c r="H4">
        <v>0.14899999999999999</v>
      </c>
      <c r="I4">
        <v>6.4299999999999996E-2</v>
      </c>
      <c r="J4">
        <v>2.9100000000000001E-2</v>
      </c>
      <c r="K4">
        <v>0.3604</v>
      </c>
      <c r="L4">
        <v>0.28110000000000002</v>
      </c>
      <c r="M4">
        <v>0.95520000000000005</v>
      </c>
      <c r="N4">
        <v>0.78749999999999998</v>
      </c>
    </row>
    <row r="5" spans="1:14" ht="15" x14ac:dyDescent="0.25">
      <c r="A5" s="162"/>
      <c r="B5" s="3">
        <f t="shared" ref="B5:B12" si="0">B4+1</f>
        <v>2</v>
      </c>
      <c r="C5" s="14" t="s">
        <v>43</v>
      </c>
      <c r="D5" s="3">
        <v>18</v>
      </c>
      <c r="E5" s="3"/>
      <c r="F5" s="3"/>
      <c r="G5">
        <v>1.38E-2</v>
      </c>
      <c r="H5">
        <v>0.1545</v>
      </c>
      <c r="I5">
        <v>6.1400000000000003E-2</v>
      </c>
      <c r="J5">
        <v>0.03</v>
      </c>
      <c r="K5">
        <v>0.49619999999999997</v>
      </c>
      <c r="L5">
        <v>0.41860000000000003</v>
      </c>
      <c r="M5">
        <v>0.81759999999999999</v>
      </c>
      <c r="N5">
        <v>0.85360000000000003</v>
      </c>
    </row>
    <row r="6" spans="1:14" ht="15" x14ac:dyDescent="0.25">
      <c r="A6" s="162"/>
      <c r="B6" s="3">
        <f t="shared" si="0"/>
        <v>3</v>
      </c>
      <c r="C6" s="3" t="s">
        <v>98</v>
      </c>
      <c r="D6" s="3">
        <v>16</v>
      </c>
      <c r="E6" s="3"/>
      <c r="F6" s="3"/>
      <c r="G6">
        <v>6.2100000000000002E-2</v>
      </c>
      <c r="H6">
        <v>0.106</v>
      </c>
      <c r="I6">
        <v>0.1149</v>
      </c>
      <c r="J6">
        <v>7.2099999999999997E-2</v>
      </c>
      <c r="K6">
        <v>0.50019999999999998</v>
      </c>
      <c r="L6">
        <v>0.40989999999999999</v>
      </c>
      <c r="M6">
        <v>0.83530000000000004</v>
      </c>
      <c r="N6">
        <v>0.86140000000000005</v>
      </c>
    </row>
    <row r="7" spans="1:14" ht="15" x14ac:dyDescent="0.25">
      <c r="A7" s="162"/>
      <c r="B7" s="3">
        <f t="shared" si="0"/>
        <v>4</v>
      </c>
      <c r="C7" s="3" t="s">
        <v>20</v>
      </c>
      <c r="D7" s="3">
        <v>9</v>
      </c>
      <c r="E7" s="3"/>
      <c r="F7" s="3"/>
      <c r="G7">
        <v>4.4299999999999999E-2</v>
      </c>
      <c r="H7">
        <v>0.1237</v>
      </c>
      <c r="I7">
        <v>7.6399999999999996E-2</v>
      </c>
      <c r="J7">
        <v>3.4500000000000003E-2</v>
      </c>
      <c r="K7">
        <v>0.37109999999999999</v>
      </c>
      <c r="L7">
        <v>0.40989999999999999</v>
      </c>
      <c r="M7">
        <v>0.67300000000000004</v>
      </c>
      <c r="N7">
        <v>0.9194</v>
      </c>
    </row>
    <row r="8" spans="1:14" ht="15" x14ac:dyDescent="0.25">
      <c r="A8" s="162"/>
      <c r="B8" s="3">
        <f t="shared" si="0"/>
        <v>5</v>
      </c>
      <c r="C8" s="3" t="s">
        <v>38</v>
      </c>
      <c r="D8" s="3">
        <v>8.5</v>
      </c>
      <c r="E8" s="3"/>
      <c r="F8" s="3"/>
      <c r="G8">
        <v>6.5799999999999997E-2</v>
      </c>
      <c r="H8">
        <v>0.1024</v>
      </c>
      <c r="I8">
        <v>0.113</v>
      </c>
      <c r="J8">
        <v>6.9599999999999995E-2</v>
      </c>
      <c r="K8">
        <v>0.40300000000000002</v>
      </c>
      <c r="L8">
        <v>0.45129999999999998</v>
      </c>
      <c r="M8">
        <v>0.63590000000000002</v>
      </c>
      <c r="N8">
        <v>0.96230000000000004</v>
      </c>
    </row>
    <row r="9" spans="1:14" ht="15" x14ac:dyDescent="0.25">
      <c r="A9" s="162"/>
      <c r="B9" s="3">
        <f t="shared" si="0"/>
        <v>6</v>
      </c>
      <c r="C9" s="3" t="s">
        <v>38</v>
      </c>
      <c r="D9" s="3">
        <v>5</v>
      </c>
      <c r="E9" s="3"/>
      <c r="F9" s="3"/>
      <c r="G9">
        <v>6.2E-2</v>
      </c>
      <c r="H9">
        <v>0.106</v>
      </c>
      <c r="I9">
        <v>0.1222</v>
      </c>
      <c r="J9">
        <v>8.0100000000000005E-2</v>
      </c>
      <c r="K9">
        <v>0.43190000000000001</v>
      </c>
      <c r="L9">
        <v>0.47499999999999998</v>
      </c>
      <c r="M9">
        <v>0.6169</v>
      </c>
      <c r="N9">
        <v>0.97870000000000001</v>
      </c>
    </row>
    <row r="10" spans="1:14" ht="15" x14ac:dyDescent="0.25">
      <c r="A10" s="162"/>
      <c r="B10" s="3">
        <f t="shared" si="0"/>
        <v>7</v>
      </c>
      <c r="C10" s="3" t="s">
        <v>31</v>
      </c>
      <c r="D10" s="3">
        <v>10</v>
      </c>
      <c r="E10" s="3"/>
      <c r="F10" s="3"/>
      <c r="G10">
        <v>5.8299999999999998E-2</v>
      </c>
      <c r="H10">
        <v>0.1101</v>
      </c>
      <c r="I10">
        <v>0.1124</v>
      </c>
      <c r="J10">
        <v>6.9599999999999995E-2</v>
      </c>
      <c r="K10">
        <v>0.35680000000000001</v>
      </c>
      <c r="L10">
        <v>0.50690000000000002</v>
      </c>
      <c r="M10">
        <v>0.4909</v>
      </c>
      <c r="N10">
        <v>1.0952</v>
      </c>
    </row>
    <row r="11" spans="1:14" ht="15" x14ac:dyDescent="0.25">
      <c r="A11" s="162"/>
      <c r="B11" s="3">
        <f t="shared" si="0"/>
        <v>8</v>
      </c>
      <c r="C11" s="3" t="s">
        <v>21</v>
      </c>
      <c r="D11" s="3">
        <v>5</v>
      </c>
      <c r="E11" s="3"/>
      <c r="F11" s="3"/>
      <c r="G11">
        <v>3.7600000000000001E-2</v>
      </c>
      <c r="H11">
        <v>0.13059999999999999</v>
      </c>
      <c r="I11">
        <v>9.0499999999999997E-2</v>
      </c>
      <c r="J11">
        <v>5.0299999999999997E-2</v>
      </c>
      <c r="K11">
        <v>0.38140000000000002</v>
      </c>
      <c r="L11">
        <v>0.52849999999999997</v>
      </c>
      <c r="M11">
        <v>0.43619999999999998</v>
      </c>
      <c r="N11">
        <v>1.1432</v>
      </c>
    </row>
    <row r="12" spans="1:14" ht="15" x14ac:dyDescent="0.25">
      <c r="A12" s="162"/>
      <c r="B12" s="3">
        <f t="shared" si="0"/>
        <v>9</v>
      </c>
      <c r="C12" s="3" t="s">
        <v>55</v>
      </c>
      <c r="D12" s="3">
        <v>12.5</v>
      </c>
      <c r="E12" s="3"/>
      <c r="F12" s="3"/>
      <c r="G12">
        <v>8.1799999999999998E-2</v>
      </c>
      <c r="H12">
        <v>8.6400000000000005E-2</v>
      </c>
      <c r="I12">
        <v>0.13780000000000001</v>
      </c>
      <c r="J12">
        <v>9.4100000000000003E-2</v>
      </c>
      <c r="K12">
        <v>0.30709999999999998</v>
      </c>
      <c r="L12">
        <v>0.48249999999999998</v>
      </c>
      <c r="M12">
        <v>0.46079999999999999</v>
      </c>
      <c r="N12">
        <v>1.1358999999999999</v>
      </c>
    </row>
    <row r="13" spans="1:14" ht="15" x14ac:dyDescent="0.25">
      <c r="A13" s="166"/>
      <c r="B13" s="166"/>
      <c r="C13" s="166"/>
      <c r="D13" s="166"/>
      <c r="E13" s="5" t="s">
        <v>128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89</v>
      </c>
      <c r="D14" s="3">
        <v>15</v>
      </c>
      <c r="E14" s="3"/>
      <c r="F14" s="3"/>
      <c r="G14">
        <v>8.8000000000000005E-3</v>
      </c>
      <c r="H14">
        <v>0.15959999999999999</v>
      </c>
      <c r="I14">
        <v>1.6899999999999998E-2</v>
      </c>
      <c r="J14">
        <v>2.93E-2</v>
      </c>
      <c r="K14">
        <v>0.29759999999999998</v>
      </c>
      <c r="L14">
        <v>0.21529999999999999</v>
      </c>
      <c r="M14">
        <v>1.0024999999999999</v>
      </c>
      <c r="N14">
        <v>0.58179999999999998</v>
      </c>
    </row>
    <row r="15" spans="1:14" ht="15" x14ac:dyDescent="0.25">
      <c r="A15" s="162"/>
      <c r="B15" s="3">
        <f t="shared" ref="B15:B22" si="1">B14+1</f>
        <v>11</v>
      </c>
      <c r="C15" s="3" t="s">
        <v>121</v>
      </c>
      <c r="D15" s="3">
        <v>21</v>
      </c>
      <c r="E15" s="3"/>
      <c r="F15" s="3"/>
      <c r="G15">
        <v>1.34E-2</v>
      </c>
      <c r="H15">
        <v>0.15459999999999999</v>
      </c>
      <c r="I15">
        <v>2.5700000000000001E-2</v>
      </c>
      <c r="J15">
        <v>2.2100000000000002E-2</v>
      </c>
      <c r="K15">
        <v>0.3649</v>
      </c>
      <c r="L15">
        <v>0.24340000000000001</v>
      </c>
      <c r="M15">
        <v>0.98060000000000003</v>
      </c>
      <c r="N15">
        <v>0.59079999999999999</v>
      </c>
    </row>
    <row r="16" spans="1:14" ht="15" x14ac:dyDescent="0.25">
      <c r="A16" s="162"/>
      <c r="B16" s="3">
        <f t="shared" si="1"/>
        <v>12</v>
      </c>
      <c r="C16" s="3" t="s">
        <v>25</v>
      </c>
      <c r="D16" s="3">
        <v>13</v>
      </c>
      <c r="E16" s="3"/>
      <c r="F16" s="15"/>
      <c r="G16">
        <v>1.44E-2</v>
      </c>
      <c r="H16">
        <v>0.1537</v>
      </c>
      <c r="I16">
        <v>2.35E-2</v>
      </c>
      <c r="J16">
        <v>2.29E-2</v>
      </c>
      <c r="K16">
        <v>0.33450000000000002</v>
      </c>
      <c r="L16">
        <v>0.23549999999999999</v>
      </c>
      <c r="M16">
        <v>0.97519999999999996</v>
      </c>
      <c r="N16">
        <v>0.60929999999999995</v>
      </c>
    </row>
    <row r="17" spans="1:14" ht="15" x14ac:dyDescent="0.25">
      <c r="A17" s="162"/>
      <c r="B17" s="3">
        <f t="shared" si="1"/>
        <v>13</v>
      </c>
      <c r="C17" s="3" t="s">
        <v>15</v>
      </c>
      <c r="D17" s="3">
        <v>9</v>
      </c>
      <c r="E17" s="3"/>
      <c r="F17" s="3"/>
      <c r="G17">
        <v>1.72E-2</v>
      </c>
      <c r="H17">
        <v>0.151</v>
      </c>
      <c r="I17">
        <v>3.15E-2</v>
      </c>
      <c r="J17">
        <v>1.66E-2</v>
      </c>
      <c r="K17">
        <v>0.41420000000000001</v>
      </c>
      <c r="L17">
        <v>0.2039</v>
      </c>
      <c r="M17">
        <v>1.1042000000000001</v>
      </c>
      <c r="N17">
        <v>0.5252</v>
      </c>
    </row>
    <row r="18" spans="1:14" ht="15" x14ac:dyDescent="0.25">
      <c r="A18" s="162"/>
      <c r="B18" s="3">
        <f t="shared" si="1"/>
        <v>14</v>
      </c>
      <c r="C18" s="3" t="s">
        <v>49</v>
      </c>
      <c r="D18" s="3">
        <v>16.5</v>
      </c>
      <c r="E18" s="3"/>
      <c r="F18" s="3"/>
      <c r="G18">
        <v>3.8399999999999997E-2</v>
      </c>
      <c r="H18">
        <v>0.12959999999999999</v>
      </c>
      <c r="I18">
        <v>4.9399999999999999E-2</v>
      </c>
      <c r="J18">
        <v>5.7000000000000002E-3</v>
      </c>
      <c r="K18">
        <v>0.4027</v>
      </c>
      <c r="L18">
        <v>0.20430000000000001</v>
      </c>
      <c r="M18">
        <v>1.1193</v>
      </c>
      <c r="N18">
        <v>0.5141</v>
      </c>
    </row>
    <row r="19" spans="1:14" ht="15" x14ac:dyDescent="0.25">
      <c r="A19" s="162"/>
      <c r="B19" s="3">
        <f t="shared" si="1"/>
        <v>15</v>
      </c>
      <c r="C19" s="3" t="s">
        <v>69</v>
      </c>
      <c r="D19" s="3">
        <v>12.5</v>
      </c>
      <c r="E19" s="3"/>
      <c r="F19" s="3"/>
      <c r="G19">
        <v>3.85E-2</v>
      </c>
      <c r="H19">
        <v>0.12959999999999999</v>
      </c>
      <c r="I19">
        <v>5.21E-2</v>
      </c>
      <c r="J19">
        <v>8.6999999999999994E-3</v>
      </c>
      <c r="K19">
        <v>0.38240000000000002</v>
      </c>
      <c r="L19">
        <v>0.161</v>
      </c>
      <c r="M19">
        <v>1.1254</v>
      </c>
      <c r="N19">
        <v>0.53410000000000002</v>
      </c>
    </row>
    <row r="20" spans="1:14" ht="15" x14ac:dyDescent="0.25">
      <c r="A20" s="162"/>
      <c r="B20" s="3">
        <f t="shared" si="1"/>
        <v>16</v>
      </c>
      <c r="C20" s="3" t="s">
        <v>141</v>
      </c>
      <c r="D20" s="3">
        <v>9.5</v>
      </c>
      <c r="E20" s="3"/>
      <c r="F20" s="3"/>
      <c r="G20">
        <v>3.7499999999999999E-2</v>
      </c>
      <c r="H20">
        <v>0.13059999999999999</v>
      </c>
      <c r="I20">
        <v>4.9799999999999997E-2</v>
      </c>
      <c r="J20">
        <v>7.0000000000000001E-3</v>
      </c>
      <c r="K20">
        <v>0.53149999999999997</v>
      </c>
      <c r="L20">
        <v>0.215</v>
      </c>
      <c r="M20">
        <v>1.3432999999999999</v>
      </c>
      <c r="N20">
        <v>0.36609999999999998</v>
      </c>
    </row>
    <row r="21" spans="1:14" ht="15" x14ac:dyDescent="0.25">
      <c r="A21" s="162"/>
      <c r="B21" s="3">
        <f t="shared" si="1"/>
        <v>17</v>
      </c>
      <c r="C21" s="3" t="s">
        <v>55</v>
      </c>
      <c r="D21" s="3">
        <v>11.5</v>
      </c>
      <c r="E21" s="3"/>
      <c r="F21" s="3"/>
      <c r="G21">
        <v>3.4500000000000003E-2</v>
      </c>
      <c r="H21">
        <v>0.1336</v>
      </c>
      <c r="I21">
        <v>5.8500000000000003E-2</v>
      </c>
      <c r="J21">
        <v>1.7600000000000001E-2</v>
      </c>
      <c r="K21">
        <v>0.56010000000000004</v>
      </c>
      <c r="L21">
        <v>0.2432</v>
      </c>
      <c r="M21">
        <v>1.3212999999999999</v>
      </c>
      <c r="N21">
        <v>0.40129999999999999</v>
      </c>
    </row>
    <row r="22" spans="1:14" ht="15" x14ac:dyDescent="0.25">
      <c r="A22" s="162"/>
      <c r="B22" s="3">
        <f t="shared" si="1"/>
        <v>18</v>
      </c>
      <c r="C22" s="3" t="s">
        <v>50</v>
      </c>
      <c r="D22" s="3">
        <v>4.5</v>
      </c>
      <c r="E22" s="3"/>
      <c r="F22" s="3"/>
      <c r="G22">
        <v>3.8399999999999997E-2</v>
      </c>
      <c r="H22">
        <v>0.1298</v>
      </c>
      <c r="I22">
        <v>4.9399999999999999E-2</v>
      </c>
      <c r="J22">
        <v>5.3E-3</v>
      </c>
      <c r="K22">
        <v>0.54879999999999995</v>
      </c>
      <c r="L22">
        <v>0.23419999999999999</v>
      </c>
      <c r="M22">
        <v>1.3275999999999999</v>
      </c>
      <c r="N22">
        <v>0.41310000000000002</v>
      </c>
    </row>
    <row r="23" spans="1:14" ht="15" x14ac:dyDescent="0.25">
      <c r="A23" s="166"/>
      <c r="B23" s="166"/>
      <c r="C23" s="166"/>
      <c r="D23" s="166"/>
      <c r="E23" s="5" t="s">
        <v>61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2.7E-2</v>
      </c>
      <c r="H24">
        <v>0.1411</v>
      </c>
      <c r="I24">
        <v>4.3400000000000001E-2</v>
      </c>
      <c r="J24">
        <v>8.8999999999999999E-3</v>
      </c>
      <c r="K24">
        <v>0.5806</v>
      </c>
      <c r="L24">
        <v>0.4476</v>
      </c>
      <c r="M24">
        <v>0.96140000000000003</v>
      </c>
      <c r="N24">
        <v>0.64280000000000004</v>
      </c>
    </row>
    <row r="25" spans="1:14" ht="15" x14ac:dyDescent="0.25">
      <c r="A25" s="162"/>
      <c r="B25" s="3">
        <f t="shared" ref="B25:B32" si="2">B24+1</f>
        <v>20</v>
      </c>
      <c r="C25" s="3" t="s">
        <v>77</v>
      </c>
      <c r="D25" s="3">
        <v>3.5</v>
      </c>
      <c r="E25" s="3"/>
      <c r="F25" s="3"/>
      <c r="G25">
        <v>3.9600000000000003E-2</v>
      </c>
      <c r="H25">
        <v>0.12839999999999999</v>
      </c>
      <c r="I25">
        <v>5.4899999999999997E-2</v>
      </c>
      <c r="J25">
        <v>1.14E-2</v>
      </c>
      <c r="K25">
        <v>0.68979999999999997</v>
      </c>
      <c r="L25">
        <v>0.53290000000000004</v>
      </c>
      <c r="M25">
        <v>1.0190999999999999</v>
      </c>
      <c r="N25">
        <v>0.57250000000000001</v>
      </c>
    </row>
    <row r="26" spans="1:14" ht="15" x14ac:dyDescent="0.25">
      <c r="A26" s="162"/>
      <c r="B26" s="3">
        <f t="shared" si="2"/>
        <v>21</v>
      </c>
      <c r="C26" s="3" t="s">
        <v>18</v>
      </c>
      <c r="D26" s="3">
        <v>14</v>
      </c>
      <c r="E26" s="3"/>
      <c r="F26" s="3"/>
      <c r="G26">
        <v>9.4000000000000004E-3</v>
      </c>
      <c r="H26">
        <v>0.1588</v>
      </c>
      <c r="I26">
        <v>1.37E-2</v>
      </c>
      <c r="J26">
        <v>3.1800000000000002E-2</v>
      </c>
      <c r="K26">
        <v>0.68989999999999996</v>
      </c>
      <c r="L26">
        <v>0.55179999999999996</v>
      </c>
      <c r="M26">
        <v>1.012</v>
      </c>
      <c r="N26">
        <v>0.56669999999999998</v>
      </c>
    </row>
    <row r="27" spans="1:14" ht="15" x14ac:dyDescent="0.25">
      <c r="A27" s="162"/>
      <c r="B27" s="3">
        <f t="shared" si="2"/>
        <v>22</v>
      </c>
      <c r="C27" s="3" t="s">
        <v>23</v>
      </c>
      <c r="D27" s="3">
        <v>2.5</v>
      </c>
      <c r="E27" s="3"/>
      <c r="F27" s="3"/>
      <c r="G27">
        <v>2.0500000000000001E-2</v>
      </c>
      <c r="H27">
        <v>0.1477</v>
      </c>
      <c r="I27">
        <v>4.07E-2</v>
      </c>
      <c r="J27">
        <v>1.2999999999999999E-2</v>
      </c>
      <c r="K27">
        <v>0.59540000000000004</v>
      </c>
      <c r="L27">
        <v>0.48949999999999999</v>
      </c>
      <c r="M27">
        <v>0.9173</v>
      </c>
      <c r="N27">
        <v>0.6764</v>
      </c>
    </row>
    <row r="28" spans="1:14" ht="15" x14ac:dyDescent="0.25">
      <c r="A28" s="162"/>
      <c r="B28" s="3">
        <f t="shared" si="2"/>
        <v>23</v>
      </c>
      <c r="C28" s="3" t="s">
        <v>34</v>
      </c>
      <c r="D28" s="3">
        <v>12</v>
      </c>
      <c r="E28" s="3"/>
      <c r="F28" s="3"/>
      <c r="G28">
        <v>8.6900000000000005E-2</v>
      </c>
      <c r="H28">
        <v>8.1100000000000005E-2</v>
      </c>
      <c r="I28">
        <v>0.1089</v>
      </c>
      <c r="J28">
        <v>6.4100000000000004E-2</v>
      </c>
      <c r="K28">
        <v>0.59379999999999999</v>
      </c>
      <c r="L28">
        <v>0.50090000000000001</v>
      </c>
      <c r="M28">
        <v>0.91369999999999996</v>
      </c>
      <c r="N28">
        <v>0.65249999999999997</v>
      </c>
    </row>
    <row r="29" spans="1:14" ht="15" x14ac:dyDescent="0.25">
      <c r="A29" s="162"/>
      <c r="B29" s="3">
        <f t="shared" si="2"/>
        <v>24</v>
      </c>
      <c r="C29" s="3" t="s">
        <v>23</v>
      </c>
      <c r="D29" s="3">
        <v>43</v>
      </c>
      <c r="E29" s="3"/>
      <c r="F29" s="3"/>
      <c r="G29">
        <v>7.1999999999999995E-2</v>
      </c>
      <c r="H29">
        <v>9.6000000000000002E-2</v>
      </c>
      <c r="I29">
        <v>9.0999999999999998E-2</v>
      </c>
      <c r="J29">
        <v>4.6300000000000001E-2</v>
      </c>
      <c r="K29">
        <v>0.65390000000000004</v>
      </c>
      <c r="L29">
        <v>0.56059999999999999</v>
      </c>
      <c r="M29">
        <v>0.96730000000000005</v>
      </c>
      <c r="N29">
        <v>0.60089999999999999</v>
      </c>
    </row>
    <row r="30" spans="1:14" ht="15" x14ac:dyDescent="0.25">
      <c r="A30" s="162"/>
      <c r="B30" s="3">
        <f t="shared" si="2"/>
        <v>25</v>
      </c>
      <c r="C30" s="3" t="s">
        <v>168</v>
      </c>
      <c r="D30" s="3">
        <v>16</v>
      </c>
      <c r="E30" s="3"/>
      <c r="F30" s="3"/>
      <c r="G30">
        <v>3.3399999999999999E-2</v>
      </c>
      <c r="H30">
        <v>0.13469999999999999</v>
      </c>
      <c r="I30">
        <v>7.0599999999999996E-2</v>
      </c>
      <c r="J30">
        <v>3.0800000000000001E-2</v>
      </c>
      <c r="K30">
        <v>0.5373</v>
      </c>
      <c r="L30">
        <v>0.44309999999999999</v>
      </c>
      <c r="M30">
        <v>0.93859999999999999</v>
      </c>
      <c r="N30">
        <v>0.62560000000000004</v>
      </c>
    </row>
    <row r="31" spans="1:14" ht="15" x14ac:dyDescent="0.25">
      <c r="A31" s="162"/>
      <c r="B31" s="3">
        <f t="shared" si="2"/>
        <v>26</v>
      </c>
      <c r="C31" s="3" t="s">
        <v>148</v>
      </c>
      <c r="D31" s="3">
        <v>10</v>
      </c>
      <c r="E31" s="3"/>
      <c r="F31" s="3"/>
      <c r="G31">
        <v>6.6000000000000003E-2</v>
      </c>
      <c r="H31">
        <v>0.10199999999999999</v>
      </c>
      <c r="I31">
        <v>7.9600000000000004E-2</v>
      </c>
      <c r="J31">
        <v>3.4799999999999998E-2</v>
      </c>
      <c r="K31">
        <v>0.55420000000000003</v>
      </c>
      <c r="L31">
        <v>0.44519999999999998</v>
      </c>
      <c r="M31">
        <v>1.0251999999999999</v>
      </c>
      <c r="N31">
        <v>0.5393</v>
      </c>
    </row>
    <row r="32" spans="1:14" ht="15" x14ac:dyDescent="0.25">
      <c r="A32" s="162"/>
      <c r="B32" s="3">
        <f t="shared" si="2"/>
        <v>27</v>
      </c>
      <c r="C32" s="3" t="s">
        <v>81</v>
      </c>
      <c r="D32" s="3">
        <v>19</v>
      </c>
      <c r="E32" s="3"/>
      <c r="F32" s="3"/>
      <c r="G32">
        <v>8.4500000000000006E-2</v>
      </c>
      <c r="H32">
        <v>8.3599999999999994E-2</v>
      </c>
      <c r="I32">
        <v>0.1086</v>
      </c>
      <c r="J32">
        <v>6.3899999999999998E-2</v>
      </c>
      <c r="K32">
        <v>0.5897</v>
      </c>
      <c r="L32">
        <v>0.48509999999999998</v>
      </c>
      <c r="M32">
        <v>0.98609999999999998</v>
      </c>
      <c r="N32">
        <v>0.58079999999999998</v>
      </c>
    </row>
    <row r="33" spans="1:14" ht="15" x14ac:dyDescent="0.25">
      <c r="A33" s="166"/>
      <c r="B33" s="166"/>
      <c r="C33" s="166"/>
      <c r="D33" s="166"/>
      <c r="E33" s="5" t="s">
        <v>92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4.3299999999999998E-2</v>
      </c>
      <c r="H34">
        <v>0.12470000000000001</v>
      </c>
      <c r="I34">
        <v>7.0199999999999999E-2</v>
      </c>
      <c r="J34">
        <v>2.75E-2</v>
      </c>
      <c r="K34">
        <v>0.80469999999999997</v>
      </c>
      <c r="L34">
        <v>0.53639999999999999</v>
      </c>
      <c r="M34">
        <v>1.3763000000000001</v>
      </c>
      <c r="N34">
        <v>0.26929999999999998</v>
      </c>
    </row>
    <row r="35" spans="1:14" ht="15" x14ac:dyDescent="0.25">
      <c r="A35" s="162"/>
      <c r="B35" s="3">
        <f t="shared" ref="B35:B42" si="3">B34+1</f>
        <v>29</v>
      </c>
      <c r="C35" s="3" t="s">
        <v>77</v>
      </c>
      <c r="D35" s="3">
        <v>2</v>
      </c>
      <c r="E35" s="3"/>
      <c r="F35" s="3"/>
      <c r="G35">
        <v>5.2900000000000003E-2</v>
      </c>
      <c r="H35">
        <v>0.11509999999999999</v>
      </c>
      <c r="I35">
        <v>8.5699999999999998E-2</v>
      </c>
      <c r="J35">
        <v>4.2599999999999999E-2</v>
      </c>
      <c r="K35">
        <v>0.83679999999999999</v>
      </c>
      <c r="L35">
        <v>0.57809999999999995</v>
      </c>
      <c r="M35">
        <v>1.3468</v>
      </c>
      <c r="N35">
        <v>0.30530000000000002</v>
      </c>
    </row>
    <row r="36" spans="1:14" ht="15" x14ac:dyDescent="0.25">
      <c r="A36" s="162"/>
      <c r="B36" s="3">
        <f t="shared" si="3"/>
        <v>30</v>
      </c>
      <c r="C36" s="3" t="s">
        <v>19</v>
      </c>
      <c r="D36" s="3">
        <v>12.5</v>
      </c>
      <c r="E36" s="3"/>
      <c r="F36" s="3"/>
      <c r="G36">
        <v>3.3000000000000002E-2</v>
      </c>
      <c r="H36">
        <v>0.13519999999999999</v>
      </c>
      <c r="I36">
        <v>6.9099999999999995E-2</v>
      </c>
      <c r="J36">
        <v>2.92E-2</v>
      </c>
      <c r="K36">
        <v>0.80769999999999997</v>
      </c>
      <c r="L36">
        <v>0.54949999999999999</v>
      </c>
      <c r="M36">
        <v>1.2961</v>
      </c>
      <c r="N36">
        <v>0.4012</v>
      </c>
    </row>
    <row r="37" spans="1:14" ht="15" x14ac:dyDescent="0.25">
      <c r="A37" s="162"/>
      <c r="B37" s="3">
        <f t="shared" si="3"/>
        <v>31</v>
      </c>
      <c r="C37" s="3" t="s">
        <v>19</v>
      </c>
      <c r="D37" s="3">
        <v>11</v>
      </c>
      <c r="E37" s="3"/>
      <c r="F37" s="3"/>
      <c r="G37">
        <v>1.95E-2</v>
      </c>
      <c r="H37">
        <v>0.14860000000000001</v>
      </c>
      <c r="I37">
        <v>4.7899999999999998E-2</v>
      </c>
      <c r="J37">
        <v>1.6899999999999998E-2</v>
      </c>
      <c r="K37">
        <v>0.69520000000000004</v>
      </c>
      <c r="L37">
        <v>0.41199999999999998</v>
      </c>
      <c r="M37">
        <v>1.3213999999999999</v>
      </c>
      <c r="N37">
        <v>0.4657</v>
      </c>
    </row>
    <row r="38" spans="1:14" ht="15" x14ac:dyDescent="0.25">
      <c r="A38" s="162"/>
      <c r="B38" s="3">
        <f t="shared" si="3"/>
        <v>32</v>
      </c>
      <c r="C38" s="3" t="s">
        <v>43</v>
      </c>
      <c r="D38" s="3">
        <v>17.5</v>
      </c>
      <c r="E38" s="3"/>
      <c r="F38" s="3"/>
      <c r="G38">
        <v>7.6799999999999993E-2</v>
      </c>
      <c r="H38">
        <v>9.1200000000000003E-2</v>
      </c>
      <c r="I38">
        <v>0.10340000000000001</v>
      </c>
      <c r="J38">
        <v>5.8900000000000001E-2</v>
      </c>
      <c r="K38">
        <v>0.82609999999999995</v>
      </c>
      <c r="L38">
        <v>0.56399999999999995</v>
      </c>
      <c r="M38">
        <v>1.3271999999999999</v>
      </c>
      <c r="N38">
        <v>0.42159999999999997</v>
      </c>
    </row>
    <row r="39" spans="1:14" ht="15" x14ac:dyDescent="0.25">
      <c r="A39" s="162"/>
      <c r="B39" s="3">
        <f t="shared" si="3"/>
        <v>33</v>
      </c>
      <c r="C39" s="3">
        <v>3</v>
      </c>
      <c r="D39" s="3">
        <v>8.5</v>
      </c>
      <c r="E39" s="3"/>
      <c r="F39" s="3"/>
      <c r="G39">
        <v>9.8900000000000002E-2</v>
      </c>
      <c r="H39">
        <v>6.9099999999999995E-2</v>
      </c>
      <c r="I39">
        <v>0.14360000000000001</v>
      </c>
      <c r="J39">
        <v>9.9299999999999999E-2</v>
      </c>
      <c r="K39">
        <v>0.82369999999999999</v>
      </c>
      <c r="L39">
        <v>0.56459999999999999</v>
      </c>
      <c r="M39">
        <v>1.3265</v>
      </c>
      <c r="N39">
        <v>0.442</v>
      </c>
    </row>
    <row r="40" spans="1:14" ht="15" x14ac:dyDescent="0.25">
      <c r="A40" s="162"/>
      <c r="B40" s="3">
        <f t="shared" si="3"/>
        <v>34</v>
      </c>
      <c r="C40" s="3" t="s">
        <v>86</v>
      </c>
      <c r="D40" s="3">
        <v>17</v>
      </c>
      <c r="E40" s="6"/>
      <c r="F40" s="6"/>
      <c r="G40">
        <v>5.5E-2</v>
      </c>
      <c r="H40">
        <v>0.113</v>
      </c>
      <c r="I40">
        <v>6.8699999999999997E-2</v>
      </c>
      <c r="J40">
        <v>2.4E-2</v>
      </c>
      <c r="K40">
        <v>0.7087</v>
      </c>
      <c r="L40">
        <v>0.47639999999999999</v>
      </c>
      <c r="M40">
        <v>1.294</v>
      </c>
      <c r="N40">
        <v>0.5151</v>
      </c>
    </row>
    <row r="41" spans="1:14" ht="15" x14ac:dyDescent="0.25">
      <c r="A41" s="162"/>
      <c r="B41" s="3">
        <f t="shared" si="3"/>
        <v>35</v>
      </c>
      <c r="C41" s="3" t="s">
        <v>94</v>
      </c>
      <c r="D41" s="3">
        <v>14.5</v>
      </c>
      <c r="E41" s="6"/>
      <c r="F41" s="6"/>
      <c r="G41">
        <v>3.7999999999999999E-2</v>
      </c>
      <c r="H41">
        <v>0.13</v>
      </c>
      <c r="I41">
        <v>7.2099999999999997E-2</v>
      </c>
      <c r="J41">
        <v>3.1300000000000001E-2</v>
      </c>
      <c r="K41">
        <v>0.70579999999999998</v>
      </c>
      <c r="L41">
        <v>0.47099999999999997</v>
      </c>
      <c r="M41">
        <v>1.2748999999999999</v>
      </c>
      <c r="N41">
        <v>0.53610000000000002</v>
      </c>
    </row>
    <row r="42" spans="1:14" ht="15" x14ac:dyDescent="0.25">
      <c r="A42" s="162"/>
      <c r="B42" s="7">
        <f t="shared" si="3"/>
        <v>36</v>
      </c>
      <c r="C42" s="7" t="s">
        <v>89</v>
      </c>
      <c r="D42" s="7">
        <v>13</v>
      </c>
      <c r="E42" s="8"/>
      <c r="F42" s="8"/>
      <c r="G42">
        <v>4.5699999999999998E-2</v>
      </c>
      <c r="H42">
        <v>0.12230000000000001</v>
      </c>
      <c r="I42">
        <v>7.46E-2</v>
      </c>
      <c r="J42">
        <v>3.2099999999999997E-2</v>
      </c>
      <c r="K42">
        <v>0.72540000000000004</v>
      </c>
      <c r="L42">
        <v>0.46689999999999998</v>
      </c>
      <c r="M42">
        <v>1.3088</v>
      </c>
      <c r="N42">
        <v>0.52900000000000003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34</v>
      </c>
      <c r="D4" s="3">
        <v>13</v>
      </c>
      <c r="E4" s="3" t="s">
        <v>133</v>
      </c>
      <c r="F4" s="3"/>
      <c r="G4">
        <v>8.5900000000000004E-2</v>
      </c>
      <c r="H4">
        <v>8.2199999999999995E-2</v>
      </c>
      <c r="I4">
        <v>0.11310000000000001</v>
      </c>
      <c r="J4">
        <v>6.8599999999999994E-2</v>
      </c>
      <c r="K4">
        <v>0.64939999999999998</v>
      </c>
      <c r="L4">
        <v>0.3977</v>
      </c>
      <c r="M4">
        <v>1.0788</v>
      </c>
      <c r="N4">
        <v>0.55789999999999995</v>
      </c>
    </row>
    <row r="5" spans="1:14" ht="15" x14ac:dyDescent="0.25">
      <c r="A5" s="162"/>
      <c r="B5" s="3">
        <f t="shared" ref="B5:B12" si="0">B4+1</f>
        <v>2</v>
      </c>
      <c r="C5" s="14" t="s">
        <v>15</v>
      </c>
      <c r="D5" s="3">
        <v>4</v>
      </c>
      <c r="E5" s="3"/>
      <c r="F5" s="3"/>
      <c r="G5">
        <v>6.1600000000000002E-2</v>
      </c>
      <c r="H5">
        <v>0.10639999999999999</v>
      </c>
      <c r="I5">
        <v>8.7599999999999997E-2</v>
      </c>
      <c r="J5">
        <v>4.3499999999999997E-2</v>
      </c>
      <c r="K5">
        <v>0.66369999999999996</v>
      </c>
      <c r="L5">
        <v>0.43940000000000001</v>
      </c>
      <c r="M5">
        <v>1.0634999999999999</v>
      </c>
      <c r="N5">
        <v>0.54810000000000003</v>
      </c>
    </row>
    <row r="6" spans="1:14" ht="15" x14ac:dyDescent="0.25">
      <c r="A6" s="162"/>
      <c r="B6" s="3">
        <f t="shared" si="0"/>
        <v>3</v>
      </c>
      <c r="C6" s="3" t="s">
        <v>48</v>
      </c>
      <c r="D6" s="3">
        <v>0.5</v>
      </c>
      <c r="E6" s="3"/>
      <c r="F6" s="3"/>
      <c r="G6">
        <v>8.7800000000000003E-2</v>
      </c>
      <c r="H6">
        <v>8.0399999999999999E-2</v>
      </c>
      <c r="I6">
        <v>9.4299999999999995E-2</v>
      </c>
      <c r="J6">
        <v>4.9399999999999999E-2</v>
      </c>
      <c r="K6">
        <v>0.77669999999999995</v>
      </c>
      <c r="L6">
        <v>0.56899999999999995</v>
      </c>
      <c r="M6">
        <v>1.1087</v>
      </c>
      <c r="N6">
        <v>0.48330000000000001</v>
      </c>
    </row>
    <row r="7" spans="1:14" ht="15" x14ac:dyDescent="0.25">
      <c r="A7" s="162"/>
      <c r="B7" s="3">
        <f t="shared" si="0"/>
        <v>4</v>
      </c>
      <c r="C7" s="3" t="s">
        <v>34</v>
      </c>
      <c r="D7" s="3">
        <v>14</v>
      </c>
      <c r="E7" s="3"/>
      <c r="F7" s="3" t="s">
        <v>130</v>
      </c>
      <c r="G7">
        <v>0.1105</v>
      </c>
      <c r="H7">
        <v>5.7500000000000002E-2</v>
      </c>
      <c r="I7">
        <v>0.1414</v>
      </c>
      <c r="J7">
        <v>9.6600000000000005E-2</v>
      </c>
      <c r="K7">
        <v>0.62509999999999999</v>
      </c>
      <c r="L7">
        <v>0.35489999999999999</v>
      </c>
      <c r="M7">
        <v>1.1525000000000001</v>
      </c>
      <c r="N7">
        <v>0.47070000000000001</v>
      </c>
    </row>
    <row r="8" spans="1:14" ht="15" x14ac:dyDescent="0.25">
      <c r="A8" s="162"/>
      <c r="B8" s="3">
        <f t="shared" si="0"/>
        <v>5</v>
      </c>
      <c r="C8" s="3" t="s">
        <v>25</v>
      </c>
      <c r="D8" s="3">
        <v>12</v>
      </c>
      <c r="E8" s="3"/>
      <c r="F8" s="3"/>
      <c r="G8">
        <v>5.9400000000000001E-2</v>
      </c>
      <c r="H8">
        <v>0.11</v>
      </c>
      <c r="I8">
        <v>0.13070000000000001</v>
      </c>
      <c r="J8">
        <v>8.8099999999999998E-2</v>
      </c>
      <c r="K8">
        <v>0.6321</v>
      </c>
      <c r="L8">
        <v>0.3468</v>
      </c>
      <c r="M8">
        <v>1.222</v>
      </c>
      <c r="N8">
        <v>0.43290000000000001</v>
      </c>
    </row>
    <row r="9" spans="1:14" ht="15" x14ac:dyDescent="0.25">
      <c r="A9" s="162"/>
      <c r="B9" s="3">
        <f t="shared" si="0"/>
        <v>6</v>
      </c>
      <c r="C9" s="3" t="s">
        <v>19</v>
      </c>
      <c r="D9" s="3">
        <v>11</v>
      </c>
      <c r="E9" s="3"/>
      <c r="F9" s="3"/>
      <c r="G9">
        <v>6.5600000000000006E-2</v>
      </c>
      <c r="H9">
        <v>0.10249999999999999</v>
      </c>
      <c r="I9">
        <v>0.10349999999999999</v>
      </c>
      <c r="J9">
        <v>5.9700000000000003E-2</v>
      </c>
      <c r="K9">
        <v>0.70420000000000005</v>
      </c>
      <c r="L9">
        <v>0.4703</v>
      </c>
      <c r="M9">
        <v>1.1766000000000001</v>
      </c>
      <c r="N9">
        <v>0.43469999999999998</v>
      </c>
    </row>
    <row r="10" spans="1:14" ht="15" x14ac:dyDescent="0.25">
      <c r="A10" s="162"/>
      <c r="B10" s="3">
        <f t="shared" si="0"/>
        <v>7</v>
      </c>
      <c r="C10" s="3" t="s">
        <v>40</v>
      </c>
      <c r="D10" s="3">
        <v>27</v>
      </c>
      <c r="E10" s="3"/>
      <c r="F10" s="3"/>
      <c r="G10">
        <v>4.7E-2</v>
      </c>
      <c r="H10">
        <v>0.121</v>
      </c>
      <c r="I10">
        <v>7.0499999999999993E-2</v>
      </c>
      <c r="J10">
        <v>2.7400000000000001E-2</v>
      </c>
      <c r="K10">
        <v>0.66190000000000004</v>
      </c>
      <c r="L10">
        <v>0.36549999999999999</v>
      </c>
      <c r="M10">
        <v>1.2531000000000001</v>
      </c>
      <c r="N10">
        <v>0.33169999999999999</v>
      </c>
    </row>
    <row r="11" spans="1:14" ht="15" x14ac:dyDescent="0.25">
      <c r="A11" s="162"/>
      <c r="B11" s="3">
        <f t="shared" si="0"/>
        <v>8</v>
      </c>
      <c r="C11" s="3" t="s">
        <v>16</v>
      </c>
      <c r="D11" s="3">
        <v>16</v>
      </c>
      <c r="E11" s="3"/>
      <c r="F11" s="3"/>
      <c r="G11">
        <v>4.4900000000000002E-2</v>
      </c>
      <c r="H11">
        <v>0.1231</v>
      </c>
      <c r="I11">
        <v>9.2299999999999993E-2</v>
      </c>
      <c r="J11">
        <v>5.1299999999999998E-2</v>
      </c>
      <c r="K11">
        <v>0.70230000000000004</v>
      </c>
      <c r="L11">
        <v>0.4486</v>
      </c>
      <c r="M11">
        <v>1.2372000000000001</v>
      </c>
      <c r="N11">
        <v>0.33250000000000002</v>
      </c>
    </row>
    <row r="12" spans="1:14" ht="15" x14ac:dyDescent="0.25">
      <c r="A12" s="162"/>
      <c r="B12" s="3">
        <f t="shared" si="0"/>
        <v>9</v>
      </c>
      <c r="C12" s="3" t="s">
        <v>45</v>
      </c>
      <c r="D12" s="3">
        <v>5.5</v>
      </c>
      <c r="E12" s="3"/>
      <c r="F12" s="3" t="s">
        <v>171</v>
      </c>
      <c r="G12">
        <v>8.6699999999999999E-2</v>
      </c>
      <c r="H12">
        <v>8.1299999999999997E-2</v>
      </c>
      <c r="I12">
        <v>0.1221</v>
      </c>
      <c r="J12">
        <v>7.7799999999999994E-2</v>
      </c>
      <c r="K12">
        <v>0.73019999999999996</v>
      </c>
      <c r="L12">
        <v>0.48089999999999999</v>
      </c>
      <c r="M12">
        <v>1.1908000000000001</v>
      </c>
      <c r="N12">
        <v>0.37309999999999999</v>
      </c>
    </row>
    <row r="13" spans="1:14" ht="15" x14ac:dyDescent="0.25">
      <c r="A13" s="166"/>
      <c r="B13" s="166"/>
      <c r="C13" s="166"/>
      <c r="D13" s="166"/>
      <c r="E13" s="5" t="s">
        <v>163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43</v>
      </c>
      <c r="D14" s="3">
        <v>46</v>
      </c>
      <c r="E14" s="3"/>
      <c r="F14" s="3"/>
      <c r="G14">
        <v>8.0000000000000002E-3</v>
      </c>
      <c r="H14">
        <v>0.16009999999999999</v>
      </c>
      <c r="I14">
        <v>2.7300000000000001E-2</v>
      </c>
      <c r="J14">
        <v>2.5700000000000001E-2</v>
      </c>
      <c r="K14">
        <v>0.90339999999999998</v>
      </c>
      <c r="L14">
        <v>0.78810000000000002</v>
      </c>
      <c r="M14">
        <v>0.90780000000000005</v>
      </c>
      <c r="N14">
        <v>0.72950000000000004</v>
      </c>
    </row>
    <row r="15" spans="1:14" ht="15" x14ac:dyDescent="0.25">
      <c r="A15" s="162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169</v>
      </c>
      <c r="G15">
        <v>1.8599999999999998E-2</v>
      </c>
      <c r="H15">
        <v>0.18659999999999999</v>
      </c>
      <c r="I15">
        <v>1.54E-2</v>
      </c>
      <c r="J15">
        <v>5.6800000000000003E-2</v>
      </c>
      <c r="K15">
        <v>0.90990000000000004</v>
      </c>
      <c r="L15">
        <v>0.80549999999999999</v>
      </c>
      <c r="M15">
        <v>0.87780000000000002</v>
      </c>
      <c r="N15">
        <v>0.82840000000000003</v>
      </c>
    </row>
    <row r="16" spans="1:14" ht="15" x14ac:dyDescent="0.25">
      <c r="A16" s="162"/>
      <c r="B16" s="3">
        <f t="shared" si="1"/>
        <v>12</v>
      </c>
      <c r="C16" s="3" t="s">
        <v>25</v>
      </c>
      <c r="D16" s="3">
        <v>15</v>
      </c>
      <c r="E16" s="3"/>
      <c r="F16" s="15"/>
      <c r="G16">
        <v>0.03</v>
      </c>
      <c r="H16">
        <v>0.1381</v>
      </c>
      <c r="I16">
        <v>5.96E-2</v>
      </c>
      <c r="J16">
        <v>2.1700000000000001E-2</v>
      </c>
      <c r="K16">
        <v>0.74519999999999997</v>
      </c>
      <c r="L16">
        <v>0.63580000000000003</v>
      </c>
      <c r="M16">
        <v>0.89970000000000006</v>
      </c>
      <c r="N16">
        <v>0.87470000000000003</v>
      </c>
    </row>
    <row r="17" spans="1:14" ht="15" x14ac:dyDescent="0.25">
      <c r="A17" s="162"/>
      <c r="B17" s="3">
        <f t="shared" si="1"/>
        <v>13</v>
      </c>
      <c r="C17" s="3" t="s">
        <v>23</v>
      </c>
      <c r="D17" s="3">
        <v>22</v>
      </c>
      <c r="E17" s="3"/>
      <c r="F17" s="3"/>
      <c r="G17">
        <v>1.9199999999999998E-2</v>
      </c>
      <c r="H17">
        <v>0.14879999999999999</v>
      </c>
      <c r="I17">
        <v>2.9100000000000001E-2</v>
      </c>
      <c r="J17">
        <v>1.7999999999999999E-2</v>
      </c>
      <c r="K17">
        <v>0.65200000000000002</v>
      </c>
      <c r="L17">
        <v>0.49</v>
      </c>
      <c r="M17">
        <v>1.0579000000000001</v>
      </c>
      <c r="N17">
        <v>0.85470000000000002</v>
      </c>
    </row>
    <row r="18" spans="1:14" ht="15" x14ac:dyDescent="0.25">
      <c r="A18" s="162"/>
      <c r="B18" s="3">
        <f t="shared" si="1"/>
        <v>14</v>
      </c>
      <c r="C18" s="3" t="s">
        <v>23</v>
      </c>
      <c r="D18" s="3">
        <v>30</v>
      </c>
      <c r="E18" s="3"/>
      <c r="F18" s="3"/>
      <c r="G18">
        <v>3.0200000000000001E-2</v>
      </c>
      <c r="H18">
        <v>0.13789999999999999</v>
      </c>
      <c r="I18">
        <v>3.9699999999999999E-2</v>
      </c>
      <c r="J18">
        <v>7.1000000000000004E-3</v>
      </c>
      <c r="K18">
        <v>0.7823</v>
      </c>
      <c r="L18">
        <v>0.64149999999999996</v>
      </c>
      <c r="M18">
        <v>0.98050000000000004</v>
      </c>
      <c r="N18">
        <v>0.87609999999999999</v>
      </c>
    </row>
    <row r="19" spans="1:14" ht="15" x14ac:dyDescent="0.25">
      <c r="A19" s="162"/>
      <c r="B19" s="3">
        <f t="shared" si="1"/>
        <v>15</v>
      </c>
      <c r="C19" s="3" t="s">
        <v>14</v>
      </c>
      <c r="D19" s="3">
        <v>31</v>
      </c>
      <c r="E19" s="3"/>
      <c r="F19" s="3"/>
      <c r="G19">
        <v>8.3999999999999995E-3</v>
      </c>
      <c r="H19">
        <v>0.1598</v>
      </c>
      <c r="I19">
        <v>1.29E-2</v>
      </c>
      <c r="J19">
        <v>3.3799999999999997E-2</v>
      </c>
      <c r="K19">
        <v>0.79139999999999999</v>
      </c>
      <c r="L19">
        <v>0.65049999999999997</v>
      </c>
      <c r="M19">
        <v>1.0101</v>
      </c>
      <c r="N19">
        <v>0.85799999999999998</v>
      </c>
    </row>
    <row r="20" spans="1:14" ht="15" x14ac:dyDescent="0.25">
      <c r="A20" s="162"/>
      <c r="B20" s="3">
        <f t="shared" si="1"/>
        <v>16</v>
      </c>
      <c r="C20" s="3" t="s">
        <v>43</v>
      </c>
      <c r="D20" s="3">
        <v>25</v>
      </c>
      <c r="E20" s="3"/>
      <c r="F20" s="3"/>
      <c r="G20">
        <v>2.81E-2</v>
      </c>
      <c r="H20">
        <v>0.1399</v>
      </c>
      <c r="I20">
        <v>6.9900000000000004E-2</v>
      </c>
      <c r="J20">
        <v>3.27E-2</v>
      </c>
      <c r="K20">
        <v>0.89080000000000004</v>
      </c>
      <c r="L20">
        <v>0.72519999999999996</v>
      </c>
      <c r="M20">
        <v>0.98180000000000001</v>
      </c>
      <c r="N20">
        <v>0.75990000000000002</v>
      </c>
    </row>
    <row r="21" spans="1:14" ht="15" x14ac:dyDescent="0.25">
      <c r="A21" s="162"/>
      <c r="B21" s="3">
        <f t="shared" si="1"/>
        <v>17</v>
      </c>
      <c r="C21" s="3" t="s">
        <v>80</v>
      </c>
      <c r="D21" s="3">
        <v>8</v>
      </c>
      <c r="E21" s="3"/>
      <c r="F21" s="3"/>
      <c r="G21">
        <v>1.8200000000000001E-2</v>
      </c>
      <c r="H21">
        <v>0.14979999999999999</v>
      </c>
      <c r="I21">
        <v>6.6799999999999998E-2</v>
      </c>
      <c r="J21">
        <v>3.4000000000000002E-2</v>
      </c>
      <c r="K21">
        <v>0.80759999999999998</v>
      </c>
      <c r="L21">
        <v>0.64610000000000001</v>
      </c>
      <c r="M21">
        <v>0.96289999999999998</v>
      </c>
      <c r="N21">
        <v>0.7661</v>
      </c>
    </row>
    <row r="22" spans="1:14" ht="15" x14ac:dyDescent="0.25">
      <c r="A22" s="162"/>
      <c r="B22" s="3">
        <f t="shared" si="1"/>
        <v>18</v>
      </c>
      <c r="C22" s="3" t="s">
        <v>45</v>
      </c>
      <c r="D22" s="3">
        <v>7</v>
      </c>
      <c r="E22" s="3"/>
      <c r="F22" s="3"/>
      <c r="G22">
        <v>2.1899999999999999E-2</v>
      </c>
      <c r="H22">
        <v>0.1462</v>
      </c>
      <c r="I22">
        <v>4.7899999999999998E-2</v>
      </c>
      <c r="J22">
        <v>1.6899999999999998E-2</v>
      </c>
      <c r="K22">
        <v>0.76429999999999998</v>
      </c>
      <c r="L22">
        <v>0.60370000000000001</v>
      </c>
      <c r="M22">
        <v>0.96479999999999999</v>
      </c>
      <c r="N22">
        <v>0.82879999999999998</v>
      </c>
    </row>
    <row r="23" spans="1:14" ht="15" x14ac:dyDescent="0.25">
      <c r="A23" s="166"/>
      <c r="B23" s="166"/>
      <c r="C23" s="166"/>
      <c r="D23" s="166"/>
      <c r="E23" s="5" t="s">
        <v>128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23</v>
      </c>
      <c r="D24" s="3">
        <v>43</v>
      </c>
      <c r="E24" s="3"/>
      <c r="F24" s="3"/>
      <c r="G24">
        <v>4.7000000000000002E-3</v>
      </c>
      <c r="H24">
        <v>0.16339999999999999</v>
      </c>
      <c r="I24">
        <v>4.0399999999999998E-2</v>
      </c>
      <c r="J24">
        <v>2.5399999999999999E-2</v>
      </c>
      <c r="K24">
        <v>0.84079999999999999</v>
      </c>
      <c r="L24">
        <v>0.82520000000000004</v>
      </c>
      <c r="M24">
        <v>0.5877</v>
      </c>
      <c r="N24">
        <v>1.0450999999999999</v>
      </c>
    </row>
    <row r="25" spans="1:14" ht="15" x14ac:dyDescent="0.25">
      <c r="A25" s="162"/>
      <c r="B25" s="3">
        <f t="shared" ref="B25:B32" si="2">B24+1</f>
        <v>20</v>
      </c>
      <c r="C25" s="3" t="s">
        <v>14</v>
      </c>
      <c r="D25" s="3">
        <v>27</v>
      </c>
      <c r="E25" s="3"/>
      <c r="F25" s="3"/>
      <c r="G25">
        <v>4.2799999999999998E-2</v>
      </c>
      <c r="H25">
        <v>0.12520000000000001</v>
      </c>
      <c r="I25">
        <v>6.7599999999999993E-2</v>
      </c>
      <c r="J25">
        <v>2.5100000000000001E-2</v>
      </c>
      <c r="K25">
        <v>0.78390000000000004</v>
      </c>
      <c r="L25">
        <v>0.78590000000000004</v>
      </c>
      <c r="M25">
        <v>0.52729999999999999</v>
      </c>
      <c r="N25">
        <v>1.1343000000000001</v>
      </c>
    </row>
    <row r="26" spans="1:14" ht="15" x14ac:dyDescent="0.25">
      <c r="A26" s="162"/>
      <c r="B26" s="3">
        <f t="shared" si="2"/>
        <v>21</v>
      </c>
      <c r="C26" s="3" t="s">
        <v>80</v>
      </c>
      <c r="D26" s="3">
        <v>3.5</v>
      </c>
      <c r="E26" s="3"/>
      <c r="F26" s="3"/>
      <c r="G26">
        <v>2.8500000000000001E-2</v>
      </c>
      <c r="H26">
        <v>0.1396</v>
      </c>
      <c r="I26">
        <v>4.9399999999999999E-2</v>
      </c>
      <c r="J26">
        <v>1.21E-2</v>
      </c>
      <c r="K26">
        <v>0.73399999999999999</v>
      </c>
      <c r="L26">
        <v>0.73029999999999995</v>
      </c>
      <c r="M26">
        <v>0.57210000000000005</v>
      </c>
      <c r="N26">
        <v>1.0921000000000001</v>
      </c>
    </row>
    <row r="27" spans="1:14" ht="15" x14ac:dyDescent="0.25">
      <c r="A27" s="162"/>
      <c r="B27" s="3">
        <f t="shared" si="2"/>
        <v>22</v>
      </c>
      <c r="C27" s="3" t="s">
        <v>38</v>
      </c>
      <c r="D27" s="3">
        <v>5</v>
      </c>
      <c r="E27" s="3"/>
      <c r="F27" s="3"/>
      <c r="G27">
        <v>1.44E-2</v>
      </c>
      <c r="H27">
        <v>0.15359999999999999</v>
      </c>
      <c r="I27">
        <v>3.7499999999999999E-2</v>
      </c>
      <c r="J27">
        <v>1.9400000000000001E-2</v>
      </c>
      <c r="K27">
        <v>0.63149999999999995</v>
      </c>
      <c r="L27">
        <v>0.63119999999999998</v>
      </c>
      <c r="M27">
        <v>0.63839999999999997</v>
      </c>
      <c r="N27">
        <v>1.0748</v>
      </c>
    </row>
    <row r="28" spans="1:14" ht="15" x14ac:dyDescent="0.25">
      <c r="A28" s="162"/>
      <c r="B28" s="3">
        <f t="shared" si="2"/>
        <v>23</v>
      </c>
      <c r="C28" s="3" t="s">
        <v>24</v>
      </c>
      <c r="D28" s="3">
        <v>5.5</v>
      </c>
      <c r="E28" s="3"/>
      <c r="F28" s="3"/>
      <c r="G28">
        <v>3.3999999999999998E-3</v>
      </c>
      <c r="H28">
        <v>0.1646</v>
      </c>
      <c r="I28">
        <v>1.9699999999999999E-2</v>
      </c>
      <c r="J28">
        <v>3.15E-2</v>
      </c>
      <c r="K28">
        <v>0.66779999999999995</v>
      </c>
      <c r="L28">
        <v>0.68769999999999998</v>
      </c>
      <c r="M28">
        <v>0.61309999999999998</v>
      </c>
      <c r="N28">
        <v>1.0872999999999999</v>
      </c>
    </row>
    <row r="29" spans="1:14" ht="15" x14ac:dyDescent="0.25">
      <c r="A29" s="162"/>
      <c r="B29" s="3">
        <f t="shared" si="2"/>
        <v>24</v>
      </c>
      <c r="C29" s="3" t="s">
        <v>40</v>
      </c>
      <c r="D29" s="3">
        <v>20.5</v>
      </c>
      <c r="E29" s="3"/>
      <c r="F29" s="3"/>
      <c r="G29">
        <v>2.69E-2</v>
      </c>
      <c r="H29">
        <v>0.14119999999999999</v>
      </c>
      <c r="I29">
        <v>4.4999999999999998E-2</v>
      </c>
      <c r="J29">
        <v>1.06E-2</v>
      </c>
      <c r="K29">
        <v>0.71870000000000001</v>
      </c>
      <c r="L29">
        <v>0.72850000000000004</v>
      </c>
      <c r="M29">
        <v>0.5554</v>
      </c>
      <c r="N29">
        <v>1.1666000000000001</v>
      </c>
    </row>
    <row r="30" spans="1:14" ht="15" x14ac:dyDescent="0.25">
      <c r="A30" s="162"/>
      <c r="B30" s="3">
        <f t="shared" si="2"/>
        <v>25</v>
      </c>
      <c r="C30" s="3" t="s">
        <v>17</v>
      </c>
      <c r="D30" s="3">
        <v>7.5</v>
      </c>
      <c r="E30" s="3"/>
      <c r="F30" s="3"/>
      <c r="G30">
        <v>9.6000000000000002E-2</v>
      </c>
      <c r="H30">
        <v>7.1999999999999995E-2</v>
      </c>
      <c r="I30">
        <v>0.1174</v>
      </c>
      <c r="J30">
        <v>7.2599999999999998E-2</v>
      </c>
      <c r="K30">
        <v>0.69299999999999995</v>
      </c>
      <c r="L30">
        <v>0.80620000000000003</v>
      </c>
      <c r="M30">
        <v>0.38919999999999999</v>
      </c>
      <c r="N30">
        <v>1.3076000000000001</v>
      </c>
    </row>
    <row r="31" spans="1:14" ht="15" x14ac:dyDescent="0.25">
      <c r="A31" s="162"/>
      <c r="B31" s="3">
        <f t="shared" si="2"/>
        <v>26</v>
      </c>
      <c r="C31" s="3" t="s">
        <v>23</v>
      </c>
      <c r="D31" s="3">
        <v>31.5</v>
      </c>
      <c r="E31" s="3"/>
      <c r="F31" s="3"/>
      <c r="G31">
        <v>2.4E-2</v>
      </c>
      <c r="H31">
        <v>0.14410000000000001</v>
      </c>
      <c r="I31">
        <v>3.32E-2</v>
      </c>
      <c r="J31">
        <v>1.4200000000000001E-2</v>
      </c>
      <c r="K31">
        <v>0.75449999999999995</v>
      </c>
      <c r="L31">
        <v>0.84930000000000005</v>
      </c>
      <c r="M31">
        <v>0.3342</v>
      </c>
      <c r="N31">
        <v>1.3260000000000001</v>
      </c>
    </row>
    <row r="32" spans="1:14" ht="15" x14ac:dyDescent="0.25">
      <c r="A32" s="162"/>
      <c r="B32" s="3">
        <f t="shared" si="2"/>
        <v>27</v>
      </c>
      <c r="C32" s="3" t="s">
        <v>45</v>
      </c>
      <c r="D32" s="3">
        <v>9.5</v>
      </c>
      <c r="E32" s="3"/>
      <c r="F32" s="3"/>
      <c r="G32">
        <v>2.4799999999999999E-2</v>
      </c>
      <c r="H32">
        <v>0.14319999999999999</v>
      </c>
      <c r="I32">
        <v>3.4799999999999998E-2</v>
      </c>
      <c r="J32">
        <v>1.2999999999999999E-2</v>
      </c>
      <c r="K32">
        <v>0.64439999999999997</v>
      </c>
      <c r="L32">
        <v>0.76739999999999997</v>
      </c>
      <c r="M32">
        <v>0.3775</v>
      </c>
      <c r="N32">
        <v>1.3360000000000001</v>
      </c>
    </row>
    <row r="33" spans="1:14" ht="15" x14ac:dyDescent="0.25">
      <c r="A33" s="166"/>
      <c r="B33" s="166"/>
      <c r="C33" s="166"/>
      <c r="D33" s="166"/>
      <c r="E33" s="5" t="s">
        <v>92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27</v>
      </c>
      <c r="D34" s="3">
        <v>12.5</v>
      </c>
      <c r="E34" s="3"/>
      <c r="F34" s="3"/>
      <c r="G34">
        <v>4.5999999999999999E-2</v>
      </c>
      <c r="H34">
        <v>0.122</v>
      </c>
      <c r="I34">
        <v>6.9599999999999995E-2</v>
      </c>
      <c r="J34">
        <v>2.64E-2</v>
      </c>
      <c r="K34">
        <v>0.82299999999999995</v>
      </c>
      <c r="L34">
        <v>0.68899999999999995</v>
      </c>
      <c r="M34">
        <v>0.89259999999999995</v>
      </c>
      <c r="N34">
        <v>0.75460000000000005</v>
      </c>
    </row>
    <row r="35" spans="1:14" ht="15" x14ac:dyDescent="0.25">
      <c r="A35" s="162"/>
      <c r="B35" s="3">
        <f t="shared" ref="B35:B42" si="3">B34+1</f>
        <v>29</v>
      </c>
      <c r="C35" s="3" t="s">
        <v>23</v>
      </c>
      <c r="D35" s="3">
        <v>32</v>
      </c>
      <c r="E35" s="3"/>
      <c r="F35" s="3"/>
      <c r="G35">
        <v>3.4200000000000001E-2</v>
      </c>
      <c r="H35">
        <v>0.13389999999999999</v>
      </c>
      <c r="I35">
        <v>4.7199999999999999E-2</v>
      </c>
      <c r="J35">
        <v>7.4999999999999997E-3</v>
      </c>
      <c r="K35">
        <v>0.82430000000000003</v>
      </c>
      <c r="L35">
        <v>0.70069999999999999</v>
      </c>
      <c r="M35">
        <v>0.88829999999999998</v>
      </c>
      <c r="N35">
        <v>0.74390000000000001</v>
      </c>
    </row>
    <row r="36" spans="1:14" ht="15" x14ac:dyDescent="0.25">
      <c r="A36" s="162"/>
      <c r="B36" s="3">
        <f t="shared" si="3"/>
        <v>30</v>
      </c>
      <c r="C36" s="3" t="s">
        <v>34</v>
      </c>
      <c r="D36" s="3">
        <v>15</v>
      </c>
      <c r="E36" s="3"/>
      <c r="F36" s="3"/>
      <c r="G36">
        <v>8.5500000000000007E-2</v>
      </c>
      <c r="H36">
        <v>8.2600000000000007E-2</v>
      </c>
      <c r="I36">
        <v>9.8500000000000004E-2</v>
      </c>
      <c r="J36">
        <v>5.3600000000000002E-2</v>
      </c>
      <c r="K36">
        <v>0.86380000000000001</v>
      </c>
      <c r="L36">
        <v>0.73650000000000004</v>
      </c>
      <c r="M36">
        <v>0.90869999999999995</v>
      </c>
      <c r="N36">
        <v>0.74560000000000004</v>
      </c>
    </row>
    <row r="37" spans="1:14" ht="15" x14ac:dyDescent="0.25">
      <c r="A37" s="162"/>
      <c r="B37" s="3">
        <f t="shared" si="3"/>
        <v>31</v>
      </c>
      <c r="C37" s="3" t="s">
        <v>25</v>
      </c>
      <c r="D37" s="3">
        <v>13.5</v>
      </c>
      <c r="E37" s="3"/>
      <c r="F37" s="3"/>
      <c r="G37">
        <v>4.6800000000000001E-2</v>
      </c>
      <c r="H37">
        <v>0.1212</v>
      </c>
      <c r="I37">
        <v>4.9700000000000001E-2</v>
      </c>
      <c r="J37">
        <v>4.7999999999999996E-3</v>
      </c>
      <c r="K37">
        <v>0.69040000000000001</v>
      </c>
      <c r="L37">
        <v>0.63490000000000002</v>
      </c>
      <c r="M37">
        <v>0.76980000000000004</v>
      </c>
      <c r="N37">
        <v>1.0173000000000001</v>
      </c>
    </row>
    <row r="38" spans="1:14" ht="15" x14ac:dyDescent="0.25">
      <c r="A38" s="162"/>
      <c r="B38" s="3">
        <f t="shared" si="3"/>
        <v>32</v>
      </c>
      <c r="C38" s="3" t="s">
        <v>23</v>
      </c>
      <c r="D38" s="3">
        <v>45</v>
      </c>
      <c r="E38" s="3"/>
      <c r="F38" s="3"/>
      <c r="G38">
        <v>4.65E-2</v>
      </c>
      <c r="H38">
        <v>0.1215</v>
      </c>
      <c r="I38">
        <v>4.8099999999999997E-2</v>
      </c>
      <c r="J38">
        <v>3.5000000000000001E-3</v>
      </c>
      <c r="K38">
        <v>0.74839999999999995</v>
      </c>
      <c r="L38">
        <v>0.71760000000000002</v>
      </c>
      <c r="M38">
        <v>0.69340000000000002</v>
      </c>
      <c r="N38">
        <v>1.1596</v>
      </c>
    </row>
    <row r="39" spans="1:14" ht="15" x14ac:dyDescent="0.25">
      <c r="A39" s="162"/>
      <c r="B39" s="3">
        <f t="shared" si="3"/>
        <v>33</v>
      </c>
      <c r="C39" s="3" t="s">
        <v>172</v>
      </c>
      <c r="D39" s="3">
        <v>16</v>
      </c>
      <c r="E39" s="3"/>
      <c r="F39" s="3"/>
      <c r="G39">
        <v>4.4699999999999997E-2</v>
      </c>
      <c r="H39">
        <v>0.1235</v>
      </c>
      <c r="I39">
        <v>4.8099999999999997E-2</v>
      </c>
      <c r="J39">
        <v>3.5000000000000001E-3</v>
      </c>
      <c r="K39">
        <v>0.63460000000000005</v>
      </c>
      <c r="L39">
        <v>0.60709999999999997</v>
      </c>
      <c r="M39">
        <v>0.75880000000000003</v>
      </c>
      <c r="N39">
        <v>1.1492</v>
      </c>
    </row>
    <row r="40" spans="1:14" ht="15" x14ac:dyDescent="0.25">
      <c r="A40" s="162"/>
      <c r="B40" s="3">
        <f t="shared" si="3"/>
        <v>34</v>
      </c>
      <c r="C40" s="3" t="s">
        <v>173</v>
      </c>
      <c r="D40" s="3">
        <v>16.5</v>
      </c>
      <c r="E40" s="6"/>
      <c r="F40" s="6"/>
      <c r="G40">
        <v>6.1100000000000002E-2</v>
      </c>
      <c r="H40">
        <v>0.107</v>
      </c>
      <c r="I40">
        <v>8.3699999999999997E-2</v>
      </c>
      <c r="J40">
        <v>3.9800000000000002E-2</v>
      </c>
      <c r="K40">
        <v>0.64539999999999997</v>
      </c>
      <c r="L40">
        <v>0.70650000000000002</v>
      </c>
      <c r="M40">
        <v>0.52569999999999995</v>
      </c>
      <c r="N40">
        <v>1.3140000000000001</v>
      </c>
    </row>
    <row r="41" spans="1:14" ht="15" x14ac:dyDescent="0.25">
      <c r="A41" s="162"/>
      <c r="B41" s="3">
        <f t="shared" si="3"/>
        <v>35</v>
      </c>
      <c r="C41" s="3" t="s">
        <v>28</v>
      </c>
      <c r="D41" s="3">
        <v>15</v>
      </c>
      <c r="E41" s="6"/>
      <c r="F41" s="6"/>
      <c r="G41">
        <v>5.3199999999999997E-2</v>
      </c>
      <c r="H41">
        <v>0.1149</v>
      </c>
      <c r="I41">
        <v>7.5300000000000006E-2</v>
      </c>
      <c r="J41">
        <v>3.1699999999999999E-2</v>
      </c>
      <c r="K41">
        <v>0.58069999999999999</v>
      </c>
      <c r="L41">
        <v>0.63949999999999996</v>
      </c>
      <c r="M41">
        <v>0.59489999999999998</v>
      </c>
      <c r="N41">
        <v>1.2539</v>
      </c>
    </row>
    <row r="42" spans="1:14" ht="15" x14ac:dyDescent="0.25">
      <c r="A42" s="162"/>
      <c r="B42" s="7">
        <f t="shared" si="3"/>
        <v>36</v>
      </c>
      <c r="C42" s="7" t="s">
        <v>69</v>
      </c>
      <c r="D42" s="7">
        <v>14</v>
      </c>
      <c r="E42" s="8"/>
      <c r="F42" s="8"/>
      <c r="G42">
        <v>5.2600000000000001E-2</v>
      </c>
      <c r="H42">
        <v>0.11550000000000001</v>
      </c>
      <c r="I42">
        <v>6.4199999999999993E-2</v>
      </c>
      <c r="J42">
        <v>1.9800000000000002E-2</v>
      </c>
      <c r="K42">
        <v>0.5716</v>
      </c>
      <c r="L42">
        <v>0.62280000000000002</v>
      </c>
      <c r="M42">
        <v>0.63919999999999999</v>
      </c>
      <c r="N42">
        <v>1.2979000000000001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26</v>
      </c>
      <c r="D4" s="3">
        <v>11</v>
      </c>
      <c r="E4" s="3" t="s">
        <v>133</v>
      </c>
      <c r="F4" s="3"/>
      <c r="G4">
        <v>4.3299999999999998E-2</v>
      </c>
      <c r="H4">
        <v>0.12470000000000001</v>
      </c>
      <c r="I4">
        <v>6.1199999999999997E-2</v>
      </c>
      <c r="J4">
        <v>1.8200000000000001E-2</v>
      </c>
      <c r="K4">
        <v>0.21310000000000001</v>
      </c>
      <c r="L4">
        <v>0.27529999999999999</v>
      </c>
      <c r="M4">
        <v>0.95030000000000003</v>
      </c>
      <c r="N4">
        <v>1.1435</v>
      </c>
    </row>
    <row r="5" spans="1:14" ht="15" x14ac:dyDescent="0.25">
      <c r="A5" s="162"/>
      <c r="B5" s="3">
        <f t="shared" ref="B5:B12" si="0">B4+1</f>
        <v>2</v>
      </c>
      <c r="C5" s="14" t="s">
        <v>95</v>
      </c>
      <c r="D5" s="3">
        <v>9.5</v>
      </c>
      <c r="E5" s="3"/>
      <c r="F5" s="3"/>
      <c r="G5">
        <v>6.3E-2</v>
      </c>
      <c r="H5">
        <v>0.1051</v>
      </c>
      <c r="I5">
        <v>9.7900000000000001E-2</v>
      </c>
      <c r="J5">
        <v>5.45E-2</v>
      </c>
      <c r="K5">
        <v>0.23469999999999999</v>
      </c>
      <c r="L5">
        <v>0.28029999999999999</v>
      </c>
      <c r="M5">
        <v>0.92649999999999999</v>
      </c>
      <c r="N5">
        <v>1.1407</v>
      </c>
    </row>
    <row r="6" spans="1:14" ht="15" x14ac:dyDescent="0.25">
      <c r="A6" s="162"/>
      <c r="B6" s="3">
        <f t="shared" si="0"/>
        <v>3</v>
      </c>
      <c r="C6" s="3" t="s">
        <v>77</v>
      </c>
      <c r="D6" s="3">
        <v>3</v>
      </c>
      <c r="E6" s="3"/>
      <c r="F6" s="3"/>
      <c r="G6">
        <v>5.1900000000000002E-2</v>
      </c>
      <c r="H6">
        <v>0.11609999999999999</v>
      </c>
      <c r="I6">
        <v>9.1999999999999998E-2</v>
      </c>
      <c r="J6">
        <v>4.9700000000000001E-2</v>
      </c>
      <c r="K6">
        <v>0.21959999999999999</v>
      </c>
      <c r="L6">
        <v>0.2792</v>
      </c>
      <c r="M6">
        <v>0.95779999999999998</v>
      </c>
      <c r="N6">
        <v>1.1315</v>
      </c>
    </row>
    <row r="7" spans="1:14" ht="15" x14ac:dyDescent="0.25">
      <c r="A7" s="162"/>
      <c r="B7" s="3">
        <f t="shared" si="0"/>
        <v>4</v>
      </c>
      <c r="C7" s="3" t="s">
        <v>64</v>
      </c>
      <c r="D7" s="3">
        <v>8</v>
      </c>
      <c r="E7" s="3"/>
      <c r="F7" s="3"/>
      <c r="G7">
        <v>0.1477</v>
      </c>
      <c r="H7">
        <v>2.0500000000000001E-2</v>
      </c>
      <c r="I7">
        <v>0.19120000000000001</v>
      </c>
      <c r="J7">
        <v>0.14649999999999999</v>
      </c>
      <c r="K7">
        <v>0.17780000000000001</v>
      </c>
      <c r="L7">
        <v>0.30790000000000001</v>
      </c>
      <c r="M7">
        <v>0.85350000000000004</v>
      </c>
      <c r="N7">
        <v>1.2025999999999999</v>
      </c>
    </row>
    <row r="8" spans="1:14" ht="15" x14ac:dyDescent="0.25">
      <c r="A8" s="162"/>
      <c r="B8" s="3">
        <f t="shared" si="0"/>
        <v>5</v>
      </c>
      <c r="C8" s="3" t="s">
        <v>51</v>
      </c>
      <c r="D8" s="3">
        <v>2</v>
      </c>
      <c r="E8" s="3"/>
      <c r="F8" s="3"/>
      <c r="G8">
        <v>0.1057</v>
      </c>
      <c r="H8">
        <v>6.2399999999999997E-2</v>
      </c>
      <c r="I8">
        <v>0.1699</v>
      </c>
      <c r="J8">
        <v>0.12609999999999999</v>
      </c>
      <c r="K8">
        <v>0.1797</v>
      </c>
      <c r="L8">
        <v>0.307</v>
      </c>
      <c r="M8">
        <v>0.87339999999999995</v>
      </c>
      <c r="N8">
        <v>1.2064999999999999</v>
      </c>
    </row>
    <row r="9" spans="1:14" ht="15" x14ac:dyDescent="0.25">
      <c r="A9" s="162"/>
      <c r="B9" s="3">
        <f t="shared" si="0"/>
        <v>6</v>
      </c>
      <c r="C9" s="3" t="s">
        <v>64</v>
      </c>
      <c r="D9" s="3">
        <v>4</v>
      </c>
      <c r="E9" s="3"/>
      <c r="F9" s="3"/>
      <c r="G9">
        <v>9.7100000000000006E-2</v>
      </c>
      <c r="H9">
        <v>7.0999999999999994E-2</v>
      </c>
      <c r="I9">
        <v>0.1527</v>
      </c>
      <c r="J9">
        <v>0.1089</v>
      </c>
      <c r="K9">
        <v>0.1789</v>
      </c>
      <c r="L9">
        <v>0.30640000000000001</v>
      </c>
      <c r="M9">
        <v>0.91510000000000002</v>
      </c>
      <c r="N9">
        <v>1.2079</v>
      </c>
    </row>
    <row r="10" spans="1:14" ht="15" x14ac:dyDescent="0.25">
      <c r="A10" s="162"/>
      <c r="B10" s="3">
        <f t="shared" si="0"/>
        <v>7</v>
      </c>
      <c r="C10" s="3" t="s">
        <v>66</v>
      </c>
      <c r="D10" s="3">
        <v>8.5</v>
      </c>
      <c r="E10" s="3"/>
      <c r="F10" s="3"/>
      <c r="G10">
        <v>0.14219999999999999</v>
      </c>
      <c r="H10">
        <v>2.5999999999999999E-2</v>
      </c>
      <c r="I10">
        <v>0.18870000000000001</v>
      </c>
      <c r="J10">
        <v>0.14399999999999999</v>
      </c>
      <c r="K10">
        <v>0.17580000000000001</v>
      </c>
      <c r="L10">
        <v>0.34039999999999998</v>
      </c>
      <c r="M10">
        <v>0.87829999999999997</v>
      </c>
      <c r="N10">
        <v>1.2264999999999999</v>
      </c>
    </row>
    <row r="11" spans="1:14" ht="15" x14ac:dyDescent="0.25">
      <c r="A11" s="162"/>
      <c r="B11" s="3">
        <f t="shared" si="0"/>
        <v>8</v>
      </c>
      <c r="C11" s="3" t="s">
        <v>64</v>
      </c>
      <c r="D11" s="3">
        <v>4.5</v>
      </c>
      <c r="E11" s="3"/>
      <c r="F11" s="3"/>
      <c r="G11">
        <v>7.2700000000000001E-2</v>
      </c>
      <c r="H11">
        <v>9.5299999999999996E-2</v>
      </c>
      <c r="I11">
        <v>0.1108</v>
      </c>
      <c r="J11">
        <v>6.7000000000000004E-2</v>
      </c>
      <c r="K11">
        <v>0.14510000000000001</v>
      </c>
      <c r="L11">
        <v>0.34250000000000003</v>
      </c>
      <c r="M11">
        <v>0.85270000000000001</v>
      </c>
      <c r="N11">
        <v>1.2808999999999999</v>
      </c>
    </row>
    <row r="12" spans="1:14" ht="15" x14ac:dyDescent="0.25">
      <c r="A12" s="162"/>
      <c r="B12" s="3">
        <f t="shared" si="0"/>
        <v>9</v>
      </c>
      <c r="C12" s="3" t="s">
        <v>77</v>
      </c>
      <c r="D12" s="3">
        <v>6</v>
      </c>
      <c r="E12" s="3"/>
      <c r="F12" s="3"/>
      <c r="G12">
        <v>9.3899999999999997E-2</v>
      </c>
      <c r="H12">
        <v>7.4099999999999999E-2</v>
      </c>
      <c r="I12">
        <v>0.15970000000000001</v>
      </c>
      <c r="J12">
        <v>0.1163</v>
      </c>
      <c r="K12">
        <v>0.156</v>
      </c>
      <c r="L12">
        <v>0.33510000000000001</v>
      </c>
      <c r="M12">
        <v>0.85460000000000003</v>
      </c>
      <c r="N12">
        <v>1.2634000000000001</v>
      </c>
    </row>
    <row r="13" spans="1:14" ht="15" x14ac:dyDescent="0.25">
      <c r="A13" s="166"/>
      <c r="B13" s="166"/>
      <c r="C13" s="166"/>
      <c r="D13" s="166"/>
      <c r="E13" s="5" t="s">
        <v>163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23</v>
      </c>
      <c r="D14" s="3">
        <v>18</v>
      </c>
      <c r="E14" s="3"/>
      <c r="F14" s="3"/>
      <c r="G14">
        <v>1.49E-2</v>
      </c>
      <c r="H14">
        <v>0.1532</v>
      </c>
      <c r="I14">
        <v>1.0999999999999999E-2</v>
      </c>
      <c r="J14">
        <v>3.4500000000000003E-2</v>
      </c>
      <c r="K14">
        <v>0.26719999999999999</v>
      </c>
      <c r="L14">
        <v>0.27710000000000001</v>
      </c>
      <c r="M14">
        <v>0.90380000000000005</v>
      </c>
      <c r="N14">
        <v>0.873</v>
      </c>
    </row>
    <row r="15" spans="1:14" ht="15" x14ac:dyDescent="0.25">
      <c r="A15" s="162"/>
      <c r="B15" s="3">
        <f t="shared" ref="B15:B22" si="1">B14+1</f>
        <v>11</v>
      </c>
      <c r="C15" s="3" t="s">
        <v>27</v>
      </c>
      <c r="D15" s="3">
        <v>13.5</v>
      </c>
      <c r="E15" s="3"/>
      <c r="F15" s="3"/>
      <c r="G15">
        <v>4.4000000000000003E-3</v>
      </c>
      <c r="H15">
        <v>0.1638</v>
      </c>
      <c r="I15">
        <v>1.6000000000000001E-3</v>
      </c>
      <c r="J15">
        <v>4.48E-2</v>
      </c>
      <c r="K15">
        <v>0.21390000000000001</v>
      </c>
      <c r="L15">
        <v>0.28220000000000001</v>
      </c>
      <c r="M15">
        <v>0.95150000000000001</v>
      </c>
      <c r="N15">
        <v>0.92930000000000001</v>
      </c>
    </row>
    <row r="16" spans="1:14" ht="15" x14ac:dyDescent="0.25">
      <c r="A16" s="162"/>
      <c r="B16" s="3">
        <f t="shared" si="1"/>
        <v>12</v>
      </c>
      <c r="C16" s="3" t="s">
        <v>30</v>
      </c>
      <c r="D16" s="3">
        <v>6.5</v>
      </c>
      <c r="E16" s="3"/>
      <c r="F16" s="15"/>
      <c r="G16">
        <v>9.5999999999999992E-3</v>
      </c>
      <c r="H16">
        <v>0.1585</v>
      </c>
      <c r="I16">
        <v>1.0999999999999999E-2</v>
      </c>
      <c r="J16">
        <v>3.4000000000000002E-2</v>
      </c>
      <c r="K16">
        <v>0.20910000000000001</v>
      </c>
      <c r="L16">
        <v>0.28899999999999998</v>
      </c>
      <c r="M16">
        <v>0.94030000000000002</v>
      </c>
      <c r="N16">
        <v>0.9617</v>
      </c>
    </row>
    <row r="17" spans="1:14" ht="15" x14ac:dyDescent="0.25">
      <c r="A17" s="162"/>
      <c r="B17" s="3">
        <f t="shared" si="1"/>
        <v>13</v>
      </c>
      <c r="C17" s="3" t="s">
        <v>38</v>
      </c>
      <c r="D17" s="3">
        <v>7</v>
      </c>
      <c r="E17" s="3"/>
      <c r="F17" s="3"/>
      <c r="G17">
        <v>1.9800000000000002E-2</v>
      </c>
      <c r="H17">
        <v>0.1482</v>
      </c>
      <c r="I17">
        <v>1.9599999999999999E-2</v>
      </c>
      <c r="J17">
        <v>2.53E-2</v>
      </c>
      <c r="K17">
        <v>0.15590000000000001</v>
      </c>
      <c r="L17">
        <v>0.33779999999999999</v>
      </c>
      <c r="M17">
        <v>0.81599999999999995</v>
      </c>
      <c r="N17">
        <v>1.1155999999999999</v>
      </c>
    </row>
    <row r="18" spans="1:14" ht="15" x14ac:dyDescent="0.25">
      <c r="A18" s="162"/>
      <c r="B18" s="3">
        <f t="shared" si="1"/>
        <v>14</v>
      </c>
      <c r="C18" s="3" t="s">
        <v>62</v>
      </c>
      <c r="D18" s="3">
        <v>2</v>
      </c>
      <c r="E18" s="3"/>
      <c r="F18" s="3"/>
      <c r="G18">
        <v>1.9300000000000001E-2</v>
      </c>
      <c r="H18">
        <v>0.14879999999999999</v>
      </c>
      <c r="I18">
        <v>2.7199999999999998E-2</v>
      </c>
      <c r="J18">
        <v>1.8800000000000001E-2</v>
      </c>
      <c r="K18">
        <v>0.155</v>
      </c>
      <c r="L18">
        <v>0.33040000000000003</v>
      </c>
      <c r="M18">
        <v>0.81430000000000002</v>
      </c>
      <c r="N18">
        <v>1.1371</v>
      </c>
    </row>
    <row r="19" spans="1:14" ht="15" x14ac:dyDescent="0.25">
      <c r="A19" s="162"/>
      <c r="B19" s="3">
        <f t="shared" si="1"/>
        <v>15</v>
      </c>
      <c r="C19" s="3" t="s">
        <v>50</v>
      </c>
      <c r="D19" s="3">
        <v>2</v>
      </c>
      <c r="E19" s="3"/>
      <c r="F19" s="3"/>
      <c r="G19">
        <v>2.9100000000000001E-2</v>
      </c>
      <c r="H19">
        <v>0.1389</v>
      </c>
      <c r="I19">
        <v>4.0500000000000001E-2</v>
      </c>
      <c r="J19">
        <v>7.4000000000000003E-3</v>
      </c>
      <c r="K19">
        <v>0.1424</v>
      </c>
      <c r="L19">
        <v>0.3427</v>
      </c>
      <c r="M19">
        <v>0.78810000000000002</v>
      </c>
      <c r="N19">
        <v>1.177</v>
      </c>
    </row>
    <row r="20" spans="1:14" ht="15" x14ac:dyDescent="0.25">
      <c r="A20" s="162"/>
      <c r="B20" s="3">
        <f t="shared" si="1"/>
        <v>16</v>
      </c>
      <c r="C20" s="3" t="s">
        <v>30</v>
      </c>
      <c r="D20" s="3">
        <v>9</v>
      </c>
      <c r="E20" s="3"/>
      <c r="F20" s="3"/>
      <c r="G20">
        <v>5.6599999999999998E-2</v>
      </c>
      <c r="H20">
        <v>0.1114</v>
      </c>
      <c r="I20">
        <v>7.1099999999999997E-2</v>
      </c>
      <c r="J20">
        <v>2.6499999999999999E-2</v>
      </c>
      <c r="K20">
        <v>7.6799999999999993E-2</v>
      </c>
      <c r="L20">
        <v>0.42070000000000002</v>
      </c>
      <c r="M20">
        <v>0.61439999999999995</v>
      </c>
      <c r="N20">
        <v>1.2869999999999999</v>
      </c>
    </row>
    <row r="21" spans="1:14" ht="15" x14ac:dyDescent="0.25">
      <c r="A21" s="162"/>
      <c r="B21" s="3">
        <f t="shared" si="1"/>
        <v>17</v>
      </c>
      <c r="C21" s="3" t="s">
        <v>80</v>
      </c>
      <c r="D21" s="3">
        <v>9.5</v>
      </c>
      <c r="E21" s="3"/>
      <c r="F21" s="3"/>
      <c r="G21">
        <v>2.5999999999999999E-3</v>
      </c>
      <c r="H21">
        <v>0.1706</v>
      </c>
      <c r="I21">
        <v>1.41E-2</v>
      </c>
      <c r="J21">
        <v>3.8399999999999997E-2</v>
      </c>
      <c r="K21">
        <v>7.22E-2</v>
      </c>
      <c r="L21">
        <v>0.41439999999999999</v>
      </c>
      <c r="M21">
        <v>0.64510000000000001</v>
      </c>
      <c r="N21">
        <v>1.2494000000000001</v>
      </c>
    </row>
    <row r="22" spans="1:14" ht="15" x14ac:dyDescent="0.25">
      <c r="A22" s="162"/>
      <c r="B22" s="3">
        <f t="shared" si="1"/>
        <v>18</v>
      </c>
      <c r="C22" s="3" t="s">
        <v>36</v>
      </c>
      <c r="D22" s="3">
        <v>7</v>
      </c>
      <c r="E22" s="3"/>
      <c r="F22" s="3"/>
      <c r="G22">
        <v>4.1000000000000002E-2</v>
      </c>
      <c r="H22">
        <v>0.127</v>
      </c>
      <c r="I22">
        <v>4.9599999999999998E-2</v>
      </c>
      <c r="J22">
        <v>5.4999999999999997E-3</v>
      </c>
      <c r="K22">
        <v>0.1056</v>
      </c>
      <c r="L22">
        <v>0.42909999999999998</v>
      </c>
      <c r="M22">
        <v>0.66790000000000005</v>
      </c>
      <c r="N22">
        <v>1.2791999999999999</v>
      </c>
    </row>
    <row r="23" spans="1:14" ht="15" x14ac:dyDescent="0.25">
      <c r="A23" s="166"/>
      <c r="B23" s="166"/>
      <c r="C23" s="166"/>
      <c r="D23" s="166"/>
      <c r="E23" s="5" t="s">
        <v>92</v>
      </c>
      <c r="F23" s="5" t="s">
        <v>174</v>
      </c>
    </row>
    <row r="24" spans="1:14" ht="15" x14ac:dyDescent="0.25">
      <c r="A24" s="162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3.8899999999999997E-2</v>
      </c>
      <c r="H24">
        <v>0.12920000000000001</v>
      </c>
      <c r="I24">
        <v>3.9E-2</v>
      </c>
      <c r="J24">
        <v>6.1999999999999998E-3</v>
      </c>
      <c r="K24">
        <v>0.27039999999999997</v>
      </c>
      <c r="L24">
        <v>0.2276</v>
      </c>
      <c r="M24">
        <v>0.93769999999999998</v>
      </c>
      <c r="N24">
        <v>0.88080000000000003</v>
      </c>
    </row>
    <row r="25" spans="1:14" ht="15" x14ac:dyDescent="0.25">
      <c r="A25" s="162"/>
      <c r="B25" s="3">
        <f t="shared" ref="B25:B32" si="2">B24+1</f>
        <v>20</v>
      </c>
      <c r="C25" s="3" t="s">
        <v>15</v>
      </c>
      <c r="D25" s="3">
        <v>8</v>
      </c>
      <c r="E25" s="3"/>
      <c r="F25" s="3"/>
      <c r="G25">
        <v>5.8999999999999999E-3</v>
      </c>
      <c r="H25">
        <v>0.16220000000000001</v>
      </c>
      <c r="I25">
        <v>6.6E-3</v>
      </c>
      <c r="J25">
        <v>3.8600000000000002E-2</v>
      </c>
      <c r="K25">
        <v>0.26190000000000002</v>
      </c>
      <c r="L25">
        <v>0.22889999999999999</v>
      </c>
      <c r="M25">
        <v>0.96460000000000001</v>
      </c>
      <c r="N25">
        <v>0.90920000000000001</v>
      </c>
    </row>
    <row r="26" spans="1:14" ht="15" x14ac:dyDescent="0.25">
      <c r="A26" s="162"/>
      <c r="B26" s="3">
        <f t="shared" si="2"/>
        <v>21</v>
      </c>
      <c r="C26" s="3" t="s">
        <v>30</v>
      </c>
      <c r="D26" s="3">
        <v>9</v>
      </c>
      <c r="E26" s="3"/>
      <c r="F26" s="3"/>
      <c r="G26">
        <v>1.5299999999999999E-2</v>
      </c>
      <c r="H26">
        <v>0.1527</v>
      </c>
      <c r="I26">
        <v>1.9199999999999998E-2</v>
      </c>
      <c r="J26">
        <v>2.5999999999999999E-2</v>
      </c>
      <c r="K26">
        <v>0.2646</v>
      </c>
      <c r="L26">
        <v>0.2263</v>
      </c>
      <c r="M26">
        <v>0.93979999999999997</v>
      </c>
      <c r="N26">
        <v>0.97529999999999994</v>
      </c>
    </row>
    <row r="27" spans="1:14" ht="15" x14ac:dyDescent="0.25">
      <c r="A27" s="162"/>
      <c r="B27" s="3">
        <f t="shared" si="2"/>
        <v>22</v>
      </c>
      <c r="C27" s="3" t="s">
        <v>30</v>
      </c>
      <c r="D27" s="3">
        <v>8</v>
      </c>
      <c r="E27" s="3"/>
      <c r="F27" s="3"/>
      <c r="G27">
        <v>2.81E-2</v>
      </c>
      <c r="H27">
        <v>0.14000000000000001</v>
      </c>
      <c r="I27">
        <v>3.4599999999999999E-2</v>
      </c>
      <c r="J27">
        <v>1.0800000000000001E-2</v>
      </c>
      <c r="K27">
        <v>0.2334</v>
      </c>
      <c r="L27">
        <v>0.25390000000000001</v>
      </c>
      <c r="M27">
        <v>0.96009999999999995</v>
      </c>
      <c r="N27">
        <v>1.0152000000000001</v>
      </c>
    </row>
    <row r="28" spans="1:14" ht="15" x14ac:dyDescent="0.25">
      <c r="A28" s="162"/>
      <c r="B28" s="3">
        <f t="shared" si="2"/>
        <v>23</v>
      </c>
      <c r="C28" s="3" t="s">
        <v>115</v>
      </c>
      <c r="D28" s="3">
        <v>0</v>
      </c>
      <c r="E28" s="3"/>
      <c r="F28" s="3"/>
      <c r="G28">
        <v>2.1100000000000001E-2</v>
      </c>
      <c r="H28">
        <v>0.14699999999999999</v>
      </c>
      <c r="I28">
        <v>2.3599999999999999E-2</v>
      </c>
      <c r="J28">
        <v>2.1299999999999999E-2</v>
      </c>
      <c r="K28">
        <v>0.30209999999999998</v>
      </c>
      <c r="L28">
        <v>0.26040000000000002</v>
      </c>
      <c r="M28">
        <v>0.98170000000000002</v>
      </c>
      <c r="N28">
        <v>0.95530000000000004</v>
      </c>
    </row>
    <row r="29" spans="1:14" ht="15" x14ac:dyDescent="0.25">
      <c r="A29" s="162"/>
      <c r="B29" s="3">
        <f t="shared" si="2"/>
        <v>24</v>
      </c>
      <c r="C29" s="3" t="s">
        <v>38</v>
      </c>
      <c r="D29" s="3">
        <v>9.5</v>
      </c>
      <c r="E29" s="3"/>
      <c r="F29" s="3"/>
      <c r="G29">
        <v>4.4299999999999999E-2</v>
      </c>
      <c r="H29">
        <v>0.1237</v>
      </c>
      <c r="I29">
        <v>4.5199999999999997E-2</v>
      </c>
      <c r="J29">
        <v>2.7000000000000001E-3</v>
      </c>
      <c r="K29">
        <v>0.29120000000000001</v>
      </c>
      <c r="L29">
        <v>0.25929999999999997</v>
      </c>
      <c r="M29">
        <v>0.99770000000000003</v>
      </c>
      <c r="N29">
        <v>0.98550000000000004</v>
      </c>
    </row>
    <row r="30" spans="1:14" ht="15" x14ac:dyDescent="0.25">
      <c r="A30" s="162"/>
      <c r="B30" s="3">
        <f t="shared" si="2"/>
        <v>25</v>
      </c>
      <c r="C30" s="3" t="s">
        <v>35</v>
      </c>
      <c r="D30" s="3">
        <v>7.5</v>
      </c>
      <c r="E30" s="3"/>
      <c r="F30" s="3"/>
      <c r="G30">
        <v>7.4300000000000005E-2</v>
      </c>
      <c r="H30">
        <v>9.3700000000000006E-2</v>
      </c>
      <c r="I30">
        <v>7.5600000000000001E-2</v>
      </c>
      <c r="J30">
        <v>3.1199999999999999E-2</v>
      </c>
      <c r="K30">
        <v>0.2296</v>
      </c>
      <c r="L30">
        <v>0.25540000000000002</v>
      </c>
      <c r="M30">
        <v>0.9032</v>
      </c>
      <c r="N30">
        <v>0.93969999999999998</v>
      </c>
    </row>
    <row r="31" spans="1:14" ht="15" x14ac:dyDescent="0.25">
      <c r="A31" s="162"/>
      <c r="B31" s="3">
        <f t="shared" si="2"/>
        <v>26</v>
      </c>
      <c r="C31" s="3" t="s">
        <v>21</v>
      </c>
      <c r="D31" s="3">
        <v>6.5</v>
      </c>
      <c r="E31" s="3"/>
      <c r="F31" s="3"/>
      <c r="G31">
        <v>4.24E-2</v>
      </c>
      <c r="H31">
        <v>0.12570000000000001</v>
      </c>
      <c r="I31">
        <v>4.65E-2</v>
      </c>
      <c r="J31">
        <v>1.6000000000000001E-3</v>
      </c>
      <c r="K31">
        <v>0.23619999999999999</v>
      </c>
      <c r="L31">
        <v>0.24970000000000001</v>
      </c>
      <c r="M31">
        <v>0.92559999999999998</v>
      </c>
      <c r="N31">
        <v>0.96609999999999996</v>
      </c>
    </row>
    <row r="32" spans="1:14" ht="15" x14ac:dyDescent="0.25">
      <c r="A32" s="162"/>
      <c r="B32" s="3">
        <f t="shared" si="2"/>
        <v>27</v>
      </c>
      <c r="C32" s="3" t="s">
        <v>55</v>
      </c>
      <c r="D32" s="3">
        <v>12</v>
      </c>
      <c r="E32" s="3"/>
      <c r="F32" s="3"/>
      <c r="G32">
        <v>4.2299999999999997E-2</v>
      </c>
      <c r="H32">
        <v>0.1258</v>
      </c>
      <c r="I32">
        <v>4.2099999999999999E-2</v>
      </c>
      <c r="J32">
        <v>4.1999999999999997E-3</v>
      </c>
      <c r="K32">
        <v>0.2339</v>
      </c>
      <c r="L32">
        <v>0.25090000000000001</v>
      </c>
      <c r="M32">
        <v>0.89629999999999999</v>
      </c>
      <c r="N32">
        <v>0.95979999999999999</v>
      </c>
    </row>
    <row r="33" spans="1:14" ht="15" x14ac:dyDescent="0.25">
      <c r="A33" s="166"/>
      <c r="B33" s="166"/>
      <c r="C33" s="166"/>
      <c r="D33" s="166"/>
      <c r="E33" s="5" t="s">
        <v>163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16</v>
      </c>
      <c r="D34" s="3">
        <v>12</v>
      </c>
      <c r="E34" s="3"/>
      <c r="F34" s="3"/>
      <c r="G34">
        <v>6.7100000000000007E-2</v>
      </c>
      <c r="H34">
        <v>0.1009</v>
      </c>
      <c r="I34">
        <v>7.1300000000000002E-2</v>
      </c>
      <c r="J34">
        <v>2.6599999999999999E-2</v>
      </c>
      <c r="K34">
        <v>0.31169999999999998</v>
      </c>
      <c r="L34">
        <v>0.1767</v>
      </c>
      <c r="M34">
        <v>1.0394000000000001</v>
      </c>
      <c r="N34">
        <v>0.78680000000000005</v>
      </c>
    </row>
    <row r="35" spans="1:14" ht="15" x14ac:dyDescent="0.25">
      <c r="A35" s="162"/>
      <c r="B35" s="3">
        <f t="shared" ref="B35:B42" si="3">B34+1</f>
        <v>29</v>
      </c>
      <c r="C35" s="3" t="s">
        <v>45</v>
      </c>
      <c r="D35" s="3">
        <v>4</v>
      </c>
      <c r="E35" s="3"/>
      <c r="F35" s="3"/>
      <c r="G35">
        <v>5.1499999999999997E-2</v>
      </c>
      <c r="H35">
        <v>0.1166</v>
      </c>
      <c r="I35">
        <v>5.6899999999999999E-2</v>
      </c>
      <c r="J35">
        <v>1.2E-2</v>
      </c>
      <c r="K35">
        <v>0.32969999999999999</v>
      </c>
      <c r="L35">
        <v>0.17749999999999999</v>
      </c>
      <c r="M35">
        <v>1.0858000000000001</v>
      </c>
      <c r="N35">
        <v>0.81089999999999995</v>
      </c>
    </row>
    <row r="36" spans="1:14" ht="15" x14ac:dyDescent="0.25">
      <c r="A36" s="162"/>
      <c r="B36" s="3">
        <f t="shared" si="3"/>
        <v>30</v>
      </c>
      <c r="C36" s="3" t="s">
        <v>80</v>
      </c>
      <c r="D36" s="3">
        <v>5.5</v>
      </c>
      <c r="E36" s="3"/>
      <c r="F36" s="3"/>
      <c r="G36">
        <v>5.1700000000000003E-2</v>
      </c>
      <c r="H36">
        <v>0.1163</v>
      </c>
      <c r="I36">
        <v>6.2199999999999998E-2</v>
      </c>
      <c r="J36">
        <v>1.7500000000000002E-2</v>
      </c>
      <c r="K36">
        <v>0.30809999999999998</v>
      </c>
      <c r="L36">
        <v>0.17799999999999999</v>
      </c>
      <c r="M36">
        <v>1.0411999999999999</v>
      </c>
      <c r="N36">
        <v>0.86539999999999995</v>
      </c>
    </row>
    <row r="37" spans="1:14" ht="15" x14ac:dyDescent="0.25">
      <c r="A37" s="162"/>
      <c r="B37" s="3">
        <f t="shared" si="3"/>
        <v>31</v>
      </c>
      <c r="C37" s="3" t="s">
        <v>36</v>
      </c>
      <c r="D37" s="3">
        <v>6.5</v>
      </c>
      <c r="E37" s="3"/>
      <c r="F37" s="3"/>
      <c r="G37">
        <v>4.53E-2</v>
      </c>
      <c r="H37">
        <v>0.1227</v>
      </c>
      <c r="I37">
        <v>5.8400000000000001E-2</v>
      </c>
      <c r="J37">
        <v>1.4200000000000001E-2</v>
      </c>
      <c r="K37">
        <v>0.33439999999999998</v>
      </c>
      <c r="L37">
        <v>0.15240000000000001</v>
      </c>
      <c r="M37">
        <v>1.1698</v>
      </c>
      <c r="N37">
        <v>0.66</v>
      </c>
    </row>
    <row r="38" spans="1:14" ht="15" x14ac:dyDescent="0.25">
      <c r="A38" s="162"/>
      <c r="B38" s="3">
        <f t="shared" si="3"/>
        <v>32</v>
      </c>
      <c r="C38" s="3" t="s">
        <v>38</v>
      </c>
      <c r="D38" s="3">
        <v>7.5</v>
      </c>
      <c r="E38" s="3"/>
      <c r="F38" s="3"/>
      <c r="G38">
        <v>4.8800000000000003E-2</v>
      </c>
      <c r="H38">
        <v>0.1192</v>
      </c>
      <c r="I38">
        <v>5.8700000000000002E-2</v>
      </c>
      <c r="J38">
        <v>1.38E-2</v>
      </c>
      <c r="K38">
        <v>0.34699999999999998</v>
      </c>
      <c r="L38">
        <v>0.14729999999999999</v>
      </c>
      <c r="M38">
        <v>1.1541999999999999</v>
      </c>
      <c r="N38">
        <v>0.69850000000000001</v>
      </c>
    </row>
    <row r="39" spans="1:14" ht="15" x14ac:dyDescent="0.25">
      <c r="A39" s="162"/>
      <c r="B39" s="3">
        <f t="shared" si="3"/>
        <v>33</v>
      </c>
      <c r="C39" s="3" t="s">
        <v>35</v>
      </c>
      <c r="D39" s="3">
        <v>3</v>
      </c>
      <c r="E39" s="3"/>
      <c r="F39" s="3"/>
      <c r="G39">
        <v>3.6299999999999999E-2</v>
      </c>
      <c r="H39">
        <v>0.13170000000000001</v>
      </c>
      <c r="I39">
        <v>5.4600000000000003E-2</v>
      </c>
      <c r="J39">
        <v>1.2800000000000001E-2</v>
      </c>
      <c r="K39">
        <v>0.34060000000000001</v>
      </c>
      <c r="L39">
        <v>0.15559999999999999</v>
      </c>
      <c r="M39">
        <v>1.1143000000000001</v>
      </c>
      <c r="N39">
        <v>0.75319999999999998</v>
      </c>
    </row>
    <row r="40" spans="1:14" ht="15" x14ac:dyDescent="0.25">
      <c r="A40" s="162"/>
      <c r="B40" s="3">
        <f t="shared" si="3"/>
        <v>34</v>
      </c>
      <c r="C40" s="3" t="s">
        <v>64</v>
      </c>
      <c r="D40" s="3">
        <v>5.5</v>
      </c>
      <c r="E40" s="6"/>
      <c r="F40" s="6"/>
      <c r="G40">
        <v>5.3900000000000003E-2</v>
      </c>
      <c r="H40">
        <v>0.1142</v>
      </c>
      <c r="I40">
        <v>5.7200000000000001E-2</v>
      </c>
      <c r="J40">
        <v>1.2699999999999999E-2</v>
      </c>
      <c r="K40">
        <v>0.33510000000000001</v>
      </c>
      <c r="L40">
        <v>0.16389999999999999</v>
      </c>
      <c r="M40">
        <v>1.1209</v>
      </c>
      <c r="N40">
        <v>0.6956</v>
      </c>
    </row>
    <row r="41" spans="1:14" ht="15" x14ac:dyDescent="0.25">
      <c r="A41" s="162"/>
      <c r="B41" s="3">
        <f t="shared" si="3"/>
        <v>35</v>
      </c>
      <c r="C41" s="3" t="s">
        <v>45</v>
      </c>
      <c r="D41" s="3">
        <v>3.5</v>
      </c>
      <c r="E41" s="6"/>
      <c r="F41" s="6"/>
      <c r="G41">
        <v>5.1499999999999997E-2</v>
      </c>
      <c r="H41">
        <v>0.11650000000000001</v>
      </c>
      <c r="I41">
        <v>6.1899999999999997E-2</v>
      </c>
      <c r="J41">
        <v>1.72E-2</v>
      </c>
      <c r="K41">
        <v>0.33110000000000001</v>
      </c>
      <c r="L41">
        <v>0.1537</v>
      </c>
      <c r="M41">
        <v>1.1193</v>
      </c>
      <c r="N41">
        <v>0.74319999999999997</v>
      </c>
    </row>
    <row r="42" spans="1:14" ht="15" x14ac:dyDescent="0.25">
      <c r="A42" s="162"/>
      <c r="B42" s="7">
        <f t="shared" si="3"/>
        <v>36</v>
      </c>
      <c r="C42" s="7" t="s">
        <v>80</v>
      </c>
      <c r="D42" s="7">
        <v>4</v>
      </c>
      <c r="E42" s="8"/>
      <c r="F42" s="8"/>
      <c r="G42">
        <v>3.3000000000000002E-2</v>
      </c>
      <c r="H42">
        <v>0.13500000000000001</v>
      </c>
      <c r="I42">
        <v>4.9799999999999997E-2</v>
      </c>
      <c r="J42">
        <v>9.7999999999999997E-3</v>
      </c>
      <c r="K42">
        <v>0.33289999999999997</v>
      </c>
      <c r="L42">
        <v>0.15190000000000001</v>
      </c>
      <c r="M42">
        <v>1.1294999999999999</v>
      </c>
      <c r="N42">
        <v>0.7349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106</v>
      </c>
      <c r="D4" s="3">
        <v>11.5</v>
      </c>
      <c r="E4" s="3" t="s">
        <v>133</v>
      </c>
      <c r="F4" s="3"/>
      <c r="G4">
        <v>0.16200000000000001</v>
      </c>
      <c r="H4">
        <v>6.7000000000000002E-3</v>
      </c>
      <c r="I4">
        <v>0.2702</v>
      </c>
      <c r="J4">
        <v>0.22620000000000001</v>
      </c>
      <c r="K4">
        <v>0.20100000000000001</v>
      </c>
      <c r="L4">
        <v>0.32590000000000002</v>
      </c>
      <c r="M4">
        <v>0.81589999999999996</v>
      </c>
      <c r="N4">
        <v>0.78969999999999996</v>
      </c>
    </row>
    <row r="5" spans="1:14" ht="15" x14ac:dyDescent="0.25">
      <c r="A5" s="162"/>
      <c r="B5" s="3">
        <f t="shared" ref="B5:B12" si="0">B4+1</f>
        <v>2</v>
      </c>
      <c r="C5" s="14" t="s">
        <v>18</v>
      </c>
      <c r="D5" s="3">
        <v>14.5</v>
      </c>
      <c r="E5" s="3"/>
      <c r="F5" s="3"/>
      <c r="G5">
        <v>0.16450000000000001</v>
      </c>
      <c r="H5">
        <v>8.2000000000000007E-3</v>
      </c>
      <c r="I5">
        <v>0.2893</v>
      </c>
      <c r="J5">
        <v>0.2455</v>
      </c>
      <c r="K5">
        <v>0.21079999999999999</v>
      </c>
      <c r="L5">
        <v>0.33610000000000001</v>
      </c>
      <c r="M5">
        <v>0.83140000000000003</v>
      </c>
      <c r="N5">
        <v>0.75490000000000002</v>
      </c>
    </row>
    <row r="6" spans="1:14" ht="15" x14ac:dyDescent="0.25">
      <c r="A6" s="162"/>
      <c r="B6" s="3">
        <f t="shared" si="0"/>
        <v>3</v>
      </c>
      <c r="C6" s="3" t="s">
        <v>32</v>
      </c>
      <c r="D6" s="3">
        <v>10.5</v>
      </c>
      <c r="E6" s="3"/>
      <c r="F6" s="3"/>
      <c r="G6">
        <v>0.13869999999999999</v>
      </c>
      <c r="H6">
        <v>3.3300000000000003E-2</v>
      </c>
      <c r="I6">
        <v>0.23089999999999999</v>
      </c>
      <c r="J6">
        <v>0.18659999999999999</v>
      </c>
      <c r="K6">
        <v>0.2107</v>
      </c>
      <c r="L6">
        <v>0.33639999999999998</v>
      </c>
      <c r="M6">
        <v>0.80149999999999999</v>
      </c>
      <c r="N6">
        <v>0.77180000000000004</v>
      </c>
    </row>
    <row r="7" spans="1:14" ht="15" x14ac:dyDescent="0.25">
      <c r="A7" s="162"/>
      <c r="B7" s="3">
        <f t="shared" si="0"/>
        <v>4</v>
      </c>
      <c r="C7" s="3" t="s">
        <v>15</v>
      </c>
      <c r="D7" s="3">
        <v>2</v>
      </c>
      <c r="E7" s="3"/>
      <c r="F7" s="3"/>
      <c r="G7">
        <v>0.13850000000000001</v>
      </c>
      <c r="H7">
        <v>3.27E-2</v>
      </c>
      <c r="I7">
        <v>0.25309999999999999</v>
      </c>
      <c r="J7">
        <v>0.20930000000000001</v>
      </c>
      <c r="K7">
        <v>0.2195</v>
      </c>
      <c r="L7">
        <v>0.37169999999999997</v>
      </c>
      <c r="M7">
        <v>0.74919999999999998</v>
      </c>
      <c r="N7">
        <v>0.83479999999999999</v>
      </c>
    </row>
    <row r="8" spans="1:14" ht="15" x14ac:dyDescent="0.25">
      <c r="A8" s="162"/>
      <c r="B8" s="3">
        <f t="shared" si="0"/>
        <v>5</v>
      </c>
      <c r="C8" s="3" t="s">
        <v>54</v>
      </c>
      <c r="D8" s="3">
        <v>9</v>
      </c>
      <c r="E8" s="3"/>
      <c r="F8" s="3"/>
      <c r="G8">
        <v>0.17249999999999999</v>
      </c>
      <c r="H8">
        <v>7.4000000000000003E-3</v>
      </c>
      <c r="I8">
        <v>0.27289999999999998</v>
      </c>
      <c r="J8">
        <v>0.2286</v>
      </c>
      <c r="K8">
        <v>0.1862</v>
      </c>
      <c r="L8">
        <v>0.33850000000000002</v>
      </c>
      <c r="M8">
        <v>0.82879999999999998</v>
      </c>
      <c r="N8">
        <v>0.77659999999999996</v>
      </c>
    </row>
    <row r="9" spans="1:14" ht="15" x14ac:dyDescent="0.25">
      <c r="A9" s="162"/>
      <c r="B9" s="3">
        <f t="shared" si="0"/>
        <v>6</v>
      </c>
      <c r="C9" s="3" t="s">
        <v>77</v>
      </c>
      <c r="D9" s="3">
        <v>5.5</v>
      </c>
      <c r="E9" s="3"/>
      <c r="F9" s="3"/>
      <c r="G9">
        <v>0.18390000000000001</v>
      </c>
      <c r="H9">
        <v>1.6299999999999999E-2</v>
      </c>
      <c r="I9">
        <v>0.2898</v>
      </c>
      <c r="J9">
        <v>0.2455</v>
      </c>
      <c r="K9">
        <v>0.19439999999999999</v>
      </c>
      <c r="L9">
        <v>0.34179999999999999</v>
      </c>
      <c r="M9">
        <v>0.85150000000000003</v>
      </c>
      <c r="N9">
        <v>0.77600000000000002</v>
      </c>
    </row>
    <row r="10" spans="1:14" ht="15" x14ac:dyDescent="0.25">
      <c r="A10" s="162"/>
      <c r="B10" s="3">
        <f t="shared" si="0"/>
        <v>7</v>
      </c>
      <c r="C10" s="3" t="s">
        <v>46</v>
      </c>
      <c r="D10" s="3">
        <v>11</v>
      </c>
      <c r="E10" s="3"/>
      <c r="F10" s="3"/>
      <c r="G10">
        <v>0.17460000000000001</v>
      </c>
      <c r="H10">
        <v>8.8000000000000005E-3</v>
      </c>
      <c r="I10">
        <v>0.26250000000000001</v>
      </c>
      <c r="J10">
        <v>0.218</v>
      </c>
      <c r="K10">
        <v>0.1646</v>
      </c>
      <c r="L10">
        <v>0.37369999999999998</v>
      </c>
      <c r="M10">
        <v>0.69079999999999997</v>
      </c>
      <c r="N10">
        <v>0.92490000000000006</v>
      </c>
    </row>
    <row r="11" spans="1:14" ht="15" x14ac:dyDescent="0.25">
      <c r="A11" s="162"/>
      <c r="B11" s="3">
        <f t="shared" si="0"/>
        <v>8</v>
      </c>
      <c r="C11" s="3" t="s">
        <v>66</v>
      </c>
      <c r="D11" s="3">
        <v>5</v>
      </c>
      <c r="E11" s="3"/>
      <c r="F11" s="3"/>
      <c r="G11">
        <v>0.1971</v>
      </c>
      <c r="H11">
        <v>3.09E-2</v>
      </c>
      <c r="I11">
        <v>0.31900000000000001</v>
      </c>
      <c r="J11">
        <v>0.2747</v>
      </c>
      <c r="K11">
        <v>0.1578</v>
      </c>
      <c r="L11">
        <v>0.33779999999999999</v>
      </c>
      <c r="M11">
        <v>0.84460000000000002</v>
      </c>
      <c r="N11">
        <v>0.81289999999999996</v>
      </c>
    </row>
    <row r="12" spans="1:14" ht="15" x14ac:dyDescent="0.25">
      <c r="A12" s="162"/>
      <c r="B12" s="3">
        <f t="shared" si="0"/>
        <v>9</v>
      </c>
      <c r="C12" s="3" t="s">
        <v>36</v>
      </c>
      <c r="D12" s="3">
        <v>6</v>
      </c>
      <c r="E12" s="3"/>
      <c r="F12" s="3"/>
      <c r="G12">
        <v>0.253</v>
      </c>
      <c r="H12">
        <v>8.5000000000000006E-2</v>
      </c>
      <c r="I12">
        <v>0.35749999999999998</v>
      </c>
      <c r="J12">
        <v>0.31290000000000001</v>
      </c>
      <c r="K12">
        <v>0.17180000000000001</v>
      </c>
      <c r="L12">
        <v>0.34310000000000002</v>
      </c>
      <c r="M12">
        <v>0.85860000000000003</v>
      </c>
      <c r="N12">
        <v>0.79369999999999996</v>
      </c>
    </row>
    <row r="13" spans="1:14" ht="15" x14ac:dyDescent="0.25">
      <c r="A13" s="166"/>
      <c r="B13" s="166"/>
      <c r="C13" s="166"/>
      <c r="D13" s="166"/>
      <c r="E13" s="5" t="s">
        <v>117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40</v>
      </c>
      <c r="D14" s="3">
        <v>19.5</v>
      </c>
      <c r="E14" s="3"/>
      <c r="F14" s="3"/>
      <c r="G14">
        <v>2.9000000000000001E-2</v>
      </c>
      <c r="H14">
        <v>0.13900000000000001</v>
      </c>
      <c r="I14">
        <v>5.2400000000000002E-2</v>
      </c>
      <c r="J14">
        <v>1.5699999999999999E-2</v>
      </c>
      <c r="K14">
        <v>0.28670000000000001</v>
      </c>
      <c r="L14">
        <v>0.1988</v>
      </c>
      <c r="M14">
        <v>1.1081000000000001</v>
      </c>
      <c r="N14">
        <v>0.62280000000000002</v>
      </c>
    </row>
    <row r="15" spans="1:14" ht="15" x14ac:dyDescent="0.25">
      <c r="A15" s="162"/>
      <c r="B15" s="3">
        <f t="shared" ref="B15:B22" si="1">B14+1</f>
        <v>11</v>
      </c>
      <c r="C15" s="3" t="s">
        <v>45</v>
      </c>
      <c r="D15" s="3">
        <v>7</v>
      </c>
      <c r="E15" s="3"/>
      <c r="F15" s="3"/>
      <c r="G15">
        <v>2.52E-2</v>
      </c>
      <c r="H15">
        <v>0.14280000000000001</v>
      </c>
      <c r="I15">
        <v>3.5999999999999997E-2</v>
      </c>
      <c r="J15">
        <v>1.0800000000000001E-2</v>
      </c>
      <c r="K15">
        <v>0.31159999999999999</v>
      </c>
      <c r="L15">
        <v>0.1976</v>
      </c>
      <c r="M15">
        <v>1.1039000000000001</v>
      </c>
      <c r="N15">
        <v>0.61050000000000004</v>
      </c>
    </row>
    <row r="16" spans="1:14" ht="15" x14ac:dyDescent="0.25">
      <c r="A16" s="162"/>
      <c r="B16" s="3">
        <f t="shared" si="1"/>
        <v>12</v>
      </c>
      <c r="C16" s="3" t="s">
        <v>170</v>
      </c>
      <c r="D16" s="3">
        <v>11</v>
      </c>
      <c r="E16" s="3"/>
      <c r="F16" s="15"/>
      <c r="G16">
        <v>4.6800000000000001E-2</v>
      </c>
      <c r="H16">
        <v>0.12139999999999999</v>
      </c>
      <c r="I16">
        <v>8.3599999999999994E-2</v>
      </c>
      <c r="J16">
        <v>4.0899999999999999E-2</v>
      </c>
      <c r="K16">
        <v>0.29680000000000001</v>
      </c>
      <c r="L16">
        <v>0.2</v>
      </c>
      <c r="M16">
        <v>1.1069</v>
      </c>
      <c r="N16">
        <v>0.65700000000000003</v>
      </c>
    </row>
    <row r="17" spans="1:14" ht="15" x14ac:dyDescent="0.25">
      <c r="A17" s="162"/>
      <c r="B17" s="3">
        <f t="shared" si="1"/>
        <v>13</v>
      </c>
      <c r="C17" s="3" t="s">
        <v>40</v>
      </c>
      <c r="D17" s="3">
        <v>19.5</v>
      </c>
      <c r="E17" s="3"/>
      <c r="F17" s="3"/>
      <c r="G17">
        <v>3.2099999999999997E-2</v>
      </c>
      <c r="H17">
        <v>0.13589999999999999</v>
      </c>
      <c r="I17">
        <v>6.2600000000000003E-2</v>
      </c>
      <c r="J17">
        <v>2.3900000000000001E-2</v>
      </c>
      <c r="K17">
        <v>0.21959999999999999</v>
      </c>
      <c r="L17">
        <v>0.26569999999999999</v>
      </c>
      <c r="M17">
        <v>0.94130000000000003</v>
      </c>
      <c r="N17">
        <v>0.80600000000000005</v>
      </c>
    </row>
    <row r="18" spans="1:14" ht="15" x14ac:dyDescent="0.25">
      <c r="A18" s="162"/>
      <c r="B18" s="3">
        <f t="shared" si="1"/>
        <v>14</v>
      </c>
      <c r="C18" s="3" t="s">
        <v>94</v>
      </c>
      <c r="D18" s="3">
        <v>14.5</v>
      </c>
      <c r="E18" s="3"/>
      <c r="F18" s="3"/>
      <c r="G18">
        <v>7.1900000000000006E-2</v>
      </c>
      <c r="H18">
        <v>9.6199999999999994E-2</v>
      </c>
      <c r="I18">
        <v>8.3900000000000002E-2</v>
      </c>
      <c r="J18">
        <v>3.9E-2</v>
      </c>
      <c r="K18">
        <v>0.21679999999999999</v>
      </c>
      <c r="L18">
        <v>0.26919999999999999</v>
      </c>
      <c r="M18">
        <v>0.91020000000000001</v>
      </c>
      <c r="N18">
        <v>0.82520000000000004</v>
      </c>
    </row>
    <row r="19" spans="1:14" ht="15" x14ac:dyDescent="0.25">
      <c r="A19" s="162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6.3100000000000003E-2</v>
      </c>
      <c r="H19">
        <v>0.10489999999999999</v>
      </c>
      <c r="I19">
        <v>5.9799999999999999E-2</v>
      </c>
      <c r="J19">
        <v>1.6799999999999999E-2</v>
      </c>
      <c r="K19">
        <v>0.21829999999999999</v>
      </c>
      <c r="L19">
        <v>0.2666</v>
      </c>
      <c r="M19">
        <v>0.93940000000000001</v>
      </c>
      <c r="N19">
        <v>0.81120000000000003</v>
      </c>
    </row>
    <row r="20" spans="1:14" ht="15" x14ac:dyDescent="0.25">
      <c r="A20" s="162"/>
      <c r="B20" s="3">
        <f t="shared" si="1"/>
        <v>16</v>
      </c>
      <c r="C20" s="3" t="s">
        <v>30</v>
      </c>
      <c r="D20" s="3">
        <v>7.5</v>
      </c>
      <c r="E20" s="3"/>
      <c r="F20" s="3"/>
      <c r="G20">
        <v>5.91E-2</v>
      </c>
      <c r="H20">
        <v>0.109</v>
      </c>
      <c r="I20">
        <v>8.6099999999999996E-2</v>
      </c>
      <c r="J20">
        <v>4.2500000000000003E-2</v>
      </c>
      <c r="K20">
        <v>0.16850000000000001</v>
      </c>
      <c r="L20">
        <v>0.31869999999999998</v>
      </c>
      <c r="M20">
        <v>0.83379999999999999</v>
      </c>
      <c r="N20">
        <v>0.88280000000000003</v>
      </c>
    </row>
    <row r="21" spans="1:14" ht="15" x14ac:dyDescent="0.25">
      <c r="A21" s="162"/>
      <c r="B21" s="3">
        <f t="shared" si="1"/>
        <v>17</v>
      </c>
      <c r="C21" s="3" t="s">
        <v>76</v>
      </c>
      <c r="D21" s="3">
        <v>13</v>
      </c>
      <c r="E21" s="3"/>
      <c r="F21" s="3"/>
      <c r="G21">
        <v>4.8300000000000003E-2</v>
      </c>
      <c r="H21">
        <v>0.11990000000000001</v>
      </c>
      <c r="I21">
        <v>5.91E-2</v>
      </c>
      <c r="J21">
        <v>1.4999999999999999E-2</v>
      </c>
      <c r="K21">
        <v>0.1671</v>
      </c>
      <c r="L21">
        <v>0.32479999999999998</v>
      </c>
      <c r="M21">
        <v>0.75849999999999995</v>
      </c>
      <c r="N21">
        <v>0.92620000000000002</v>
      </c>
    </row>
    <row r="22" spans="1:14" ht="15" x14ac:dyDescent="0.25">
      <c r="A22" s="162"/>
      <c r="B22" s="3">
        <f t="shared" si="1"/>
        <v>18</v>
      </c>
      <c r="C22" s="3" t="s">
        <v>38</v>
      </c>
      <c r="D22" s="3">
        <v>5.5</v>
      </c>
      <c r="E22" s="3"/>
      <c r="F22" s="3"/>
      <c r="G22">
        <v>3.8300000000000001E-2</v>
      </c>
      <c r="H22">
        <v>0.12970000000000001</v>
      </c>
      <c r="I22">
        <v>4.3099999999999999E-2</v>
      </c>
      <c r="J22">
        <v>1.9E-3</v>
      </c>
      <c r="K22">
        <v>0.16789999999999999</v>
      </c>
      <c r="L22">
        <v>0.32750000000000001</v>
      </c>
      <c r="M22">
        <v>0.74660000000000004</v>
      </c>
      <c r="N22">
        <v>0.98209999999999997</v>
      </c>
    </row>
    <row r="23" spans="1:14" ht="15" x14ac:dyDescent="0.25">
      <c r="A23" s="166"/>
      <c r="B23" s="166"/>
      <c r="C23" s="166"/>
      <c r="D23" s="166"/>
      <c r="E23" s="5" t="s">
        <v>128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26</v>
      </c>
      <c r="D24" s="3">
        <v>11.5</v>
      </c>
      <c r="E24" s="3"/>
      <c r="F24" s="3"/>
      <c r="G24">
        <v>3.56E-2</v>
      </c>
      <c r="H24">
        <v>0.13239999999999999</v>
      </c>
      <c r="I24">
        <v>4.4999999999999998E-2</v>
      </c>
      <c r="J24">
        <v>3.2000000000000002E-3</v>
      </c>
      <c r="K24">
        <v>0.2243</v>
      </c>
      <c r="L24">
        <v>0.27289999999999998</v>
      </c>
      <c r="M24">
        <v>0.98440000000000005</v>
      </c>
      <c r="N24">
        <v>0.80940000000000001</v>
      </c>
    </row>
    <row r="25" spans="1:14" ht="15" x14ac:dyDescent="0.25">
      <c r="A25" s="162"/>
      <c r="B25" s="3">
        <f t="shared" ref="B25:B32" si="2">B24+1</f>
        <v>20</v>
      </c>
      <c r="C25" s="3" t="s">
        <v>30</v>
      </c>
      <c r="D25" s="3">
        <v>7</v>
      </c>
      <c r="E25" s="3"/>
      <c r="F25" s="3"/>
      <c r="G25">
        <v>1.0500000000000001E-2</v>
      </c>
      <c r="H25">
        <v>0.15759999999999999</v>
      </c>
      <c r="I25">
        <v>1.78E-2</v>
      </c>
      <c r="J25">
        <v>2.8799999999999999E-2</v>
      </c>
      <c r="K25">
        <v>0.23069999999999999</v>
      </c>
      <c r="L25">
        <v>0.26340000000000002</v>
      </c>
      <c r="M25">
        <v>1.0399</v>
      </c>
      <c r="N25">
        <v>0.74939999999999996</v>
      </c>
    </row>
    <row r="26" spans="1:14" ht="15" x14ac:dyDescent="0.25">
      <c r="A26" s="162"/>
      <c r="B26" s="3">
        <f t="shared" si="2"/>
        <v>21</v>
      </c>
      <c r="C26" s="3" t="s">
        <v>24</v>
      </c>
      <c r="D26" s="3">
        <v>3</v>
      </c>
      <c r="E26" s="3"/>
      <c r="F26" s="3"/>
      <c r="G26">
        <v>1.7500000000000002E-2</v>
      </c>
      <c r="H26">
        <v>0.1507</v>
      </c>
      <c r="I26">
        <v>3.5700000000000003E-2</v>
      </c>
      <c r="J26">
        <v>1.52E-2</v>
      </c>
      <c r="K26">
        <v>0.25919999999999999</v>
      </c>
      <c r="L26">
        <v>0.25590000000000002</v>
      </c>
      <c r="M26">
        <v>0.98380000000000001</v>
      </c>
      <c r="N26">
        <v>0.78400000000000003</v>
      </c>
    </row>
    <row r="27" spans="1:14" ht="15" x14ac:dyDescent="0.25">
      <c r="A27" s="162"/>
      <c r="B27" s="3">
        <f t="shared" si="2"/>
        <v>22</v>
      </c>
      <c r="C27" s="3" t="s">
        <v>32</v>
      </c>
      <c r="D27" s="3">
        <v>10.5</v>
      </c>
      <c r="E27" s="3"/>
      <c r="F27" s="3"/>
      <c r="G27">
        <v>1.47E-2</v>
      </c>
      <c r="H27">
        <v>0.15340000000000001</v>
      </c>
      <c r="I27">
        <v>4.6899999999999997E-2</v>
      </c>
      <c r="J27">
        <v>2.0400000000000001E-2</v>
      </c>
      <c r="K27">
        <v>0.20330000000000001</v>
      </c>
      <c r="L27">
        <v>0.33339999999999997</v>
      </c>
      <c r="M27">
        <v>0.92689999999999995</v>
      </c>
      <c r="N27">
        <v>0.8417</v>
      </c>
    </row>
    <row r="28" spans="1:14" ht="15" x14ac:dyDescent="0.25">
      <c r="A28" s="162"/>
      <c r="B28" s="3">
        <f t="shared" si="2"/>
        <v>23</v>
      </c>
      <c r="C28" s="3" t="s">
        <v>27</v>
      </c>
      <c r="D28" s="3">
        <v>11</v>
      </c>
      <c r="E28" s="3"/>
      <c r="F28" s="3"/>
      <c r="G28">
        <v>2.4799999999999999E-2</v>
      </c>
      <c r="H28">
        <v>0.14360000000000001</v>
      </c>
      <c r="I28">
        <v>7.0800000000000002E-2</v>
      </c>
      <c r="J28">
        <v>3.3500000000000002E-2</v>
      </c>
      <c r="K28">
        <v>0.21190000000000001</v>
      </c>
      <c r="L28">
        <v>0.31569999999999998</v>
      </c>
      <c r="M28">
        <v>0.9365</v>
      </c>
      <c r="N28">
        <v>0.85229999999999995</v>
      </c>
    </row>
    <row r="29" spans="1:14" ht="15" x14ac:dyDescent="0.25">
      <c r="A29" s="162"/>
      <c r="B29" s="3">
        <f t="shared" si="2"/>
        <v>24</v>
      </c>
      <c r="C29" s="3" t="s">
        <v>30</v>
      </c>
      <c r="D29" s="3">
        <v>8.5</v>
      </c>
      <c r="E29" s="3"/>
      <c r="F29" s="3"/>
      <c r="G29">
        <v>4.4999999999999998E-2</v>
      </c>
      <c r="H29">
        <v>0.1231</v>
      </c>
      <c r="I29">
        <v>7.8899999999999998E-2</v>
      </c>
      <c r="J29">
        <v>3.6400000000000002E-2</v>
      </c>
      <c r="K29">
        <v>0.1956</v>
      </c>
      <c r="L29">
        <v>0.31990000000000002</v>
      </c>
      <c r="M29">
        <v>0.95109999999999995</v>
      </c>
      <c r="N29">
        <v>0.85629999999999995</v>
      </c>
    </row>
    <row r="30" spans="1:14" ht="15" x14ac:dyDescent="0.25">
      <c r="A30" s="162"/>
      <c r="B30" s="3">
        <f t="shared" si="2"/>
        <v>25</v>
      </c>
      <c r="C30" s="3" t="s">
        <v>31</v>
      </c>
      <c r="D30" s="3">
        <v>9.5</v>
      </c>
      <c r="E30" s="3"/>
      <c r="F30" s="3"/>
      <c r="G30">
        <v>1.3599999999999999E-2</v>
      </c>
      <c r="H30">
        <v>0.1547</v>
      </c>
      <c r="I30">
        <v>3.4700000000000002E-2</v>
      </c>
      <c r="J30">
        <v>1.7899999999999999E-2</v>
      </c>
      <c r="K30">
        <v>0.2041</v>
      </c>
      <c r="L30">
        <v>0.38219999999999998</v>
      </c>
      <c r="M30">
        <v>0.83789999999999998</v>
      </c>
      <c r="N30">
        <v>0.97270000000000001</v>
      </c>
    </row>
    <row r="31" spans="1:14" ht="15" x14ac:dyDescent="0.25">
      <c r="A31" s="162"/>
      <c r="B31" s="3">
        <f t="shared" si="2"/>
        <v>26</v>
      </c>
      <c r="C31" s="3" t="s">
        <v>54</v>
      </c>
      <c r="D31" s="3">
        <v>6.5</v>
      </c>
      <c r="E31" s="3"/>
      <c r="F31" s="3"/>
      <c r="G31">
        <v>4.0099999999999997E-2</v>
      </c>
      <c r="H31">
        <v>0.128</v>
      </c>
      <c r="I31">
        <v>7.2900000000000006E-2</v>
      </c>
      <c r="J31">
        <v>3.1399999999999997E-2</v>
      </c>
      <c r="K31">
        <v>0.22020000000000001</v>
      </c>
      <c r="L31">
        <v>0.39550000000000002</v>
      </c>
      <c r="M31">
        <v>0.8468</v>
      </c>
      <c r="N31">
        <v>0.98219999999999996</v>
      </c>
    </row>
    <row r="32" spans="1:14" ht="15" x14ac:dyDescent="0.25">
      <c r="A32" s="162"/>
      <c r="B32" s="3">
        <f t="shared" si="2"/>
        <v>27</v>
      </c>
      <c r="C32" s="3" t="s">
        <v>64</v>
      </c>
      <c r="D32" s="3">
        <v>4</v>
      </c>
      <c r="E32" s="3"/>
      <c r="F32" s="3"/>
      <c r="G32">
        <v>7.0800000000000002E-2</v>
      </c>
      <c r="H32">
        <v>9.7199999999999995E-2</v>
      </c>
      <c r="I32">
        <v>0.1134</v>
      </c>
      <c r="J32">
        <v>6.9900000000000004E-2</v>
      </c>
      <c r="K32">
        <v>0.20849999999999999</v>
      </c>
      <c r="L32">
        <v>0.38729999999999998</v>
      </c>
      <c r="M32">
        <v>0.85119999999999996</v>
      </c>
      <c r="N32">
        <v>1.0124</v>
      </c>
    </row>
    <row r="33" spans="1:14" ht="15" x14ac:dyDescent="0.25">
      <c r="A33" s="166"/>
      <c r="B33" s="166"/>
      <c r="C33" s="166"/>
      <c r="D33" s="166"/>
      <c r="E33" s="5" t="s">
        <v>67</v>
      </c>
      <c r="F33" s="5" t="s">
        <v>175</v>
      </c>
    </row>
    <row r="34" spans="1:14" ht="15" x14ac:dyDescent="0.25">
      <c r="A34" s="162" t="s">
        <v>152</v>
      </c>
      <c r="B34" s="3">
        <f>B32+1</f>
        <v>28</v>
      </c>
      <c r="C34" s="3" t="s">
        <v>35</v>
      </c>
      <c r="D34" s="3">
        <v>5.5</v>
      </c>
      <c r="E34" s="3"/>
      <c r="F34" s="3"/>
      <c r="G34">
        <v>5.21E-2</v>
      </c>
      <c r="H34">
        <v>0.1159</v>
      </c>
      <c r="I34">
        <v>7.4300000000000005E-2</v>
      </c>
      <c r="J34">
        <v>3.0499999999999999E-2</v>
      </c>
      <c r="K34">
        <v>0.1978</v>
      </c>
      <c r="L34">
        <v>0.30909999999999999</v>
      </c>
      <c r="M34">
        <v>0.92989999999999995</v>
      </c>
      <c r="N34">
        <v>0.89259999999999995</v>
      </c>
    </row>
    <row r="35" spans="1:14" ht="15" x14ac:dyDescent="0.25">
      <c r="A35" s="162"/>
      <c r="B35" s="3">
        <f t="shared" ref="B35:B42" si="3">B34+1</f>
        <v>29</v>
      </c>
      <c r="C35" s="3" t="s">
        <v>50</v>
      </c>
      <c r="D35" s="3">
        <v>9</v>
      </c>
      <c r="E35" s="3"/>
      <c r="F35" s="3"/>
      <c r="G35">
        <v>5.6300000000000003E-2</v>
      </c>
      <c r="H35">
        <v>0.1118</v>
      </c>
      <c r="I35">
        <v>8.0799999999999997E-2</v>
      </c>
      <c r="J35">
        <v>3.7400000000000003E-2</v>
      </c>
      <c r="K35">
        <v>0.21160000000000001</v>
      </c>
      <c r="L35">
        <v>0.2903</v>
      </c>
      <c r="M35">
        <v>0.99060000000000004</v>
      </c>
      <c r="N35">
        <v>0.86650000000000005</v>
      </c>
    </row>
    <row r="36" spans="1:14" ht="15" x14ac:dyDescent="0.25">
      <c r="A36" s="162"/>
      <c r="B36" s="3">
        <f t="shared" si="3"/>
        <v>30</v>
      </c>
      <c r="C36" s="3" t="s">
        <v>17</v>
      </c>
      <c r="D36" s="3">
        <v>8.5</v>
      </c>
      <c r="E36" s="3"/>
      <c r="F36" s="3"/>
      <c r="G36">
        <v>7.0099999999999996E-2</v>
      </c>
      <c r="H36">
        <v>9.8000000000000004E-2</v>
      </c>
      <c r="I36">
        <v>0.12559999999999999</v>
      </c>
      <c r="J36">
        <v>8.2900000000000001E-2</v>
      </c>
      <c r="K36">
        <v>0.22889999999999999</v>
      </c>
      <c r="L36">
        <v>0.30380000000000001</v>
      </c>
      <c r="M36">
        <v>1.0149999999999999</v>
      </c>
      <c r="N36">
        <v>0.81540000000000001</v>
      </c>
    </row>
    <row r="37" spans="1:14" ht="15" x14ac:dyDescent="0.25">
      <c r="A37" s="162"/>
      <c r="B37" s="3">
        <f t="shared" si="3"/>
        <v>31</v>
      </c>
      <c r="C37" s="3" t="s">
        <v>70</v>
      </c>
      <c r="D37" s="3">
        <v>6.5</v>
      </c>
      <c r="E37" s="3"/>
      <c r="F37" s="3"/>
      <c r="G37">
        <v>3.4299999999999997E-2</v>
      </c>
      <c r="H37">
        <v>0.13370000000000001</v>
      </c>
      <c r="I37">
        <v>3.7199999999999997E-2</v>
      </c>
      <c r="J37">
        <v>7.9000000000000008E-3</v>
      </c>
      <c r="K37">
        <v>0.13239999999999999</v>
      </c>
      <c r="L37">
        <v>0.35239999999999999</v>
      </c>
      <c r="M37">
        <v>0.80149999999999999</v>
      </c>
      <c r="N37">
        <v>0.95189999999999997</v>
      </c>
    </row>
    <row r="38" spans="1:14" ht="15" x14ac:dyDescent="0.25">
      <c r="A38" s="162"/>
      <c r="B38" s="3">
        <f t="shared" si="3"/>
        <v>32</v>
      </c>
      <c r="C38" s="3" t="s">
        <v>24</v>
      </c>
      <c r="D38" s="3">
        <v>7</v>
      </c>
      <c r="E38" s="3"/>
      <c r="F38" s="3"/>
      <c r="G38">
        <v>2.6800000000000001E-2</v>
      </c>
      <c r="H38">
        <v>0.14119999999999999</v>
      </c>
      <c r="I38">
        <v>3.04E-2</v>
      </c>
      <c r="J38">
        <v>1.4500000000000001E-2</v>
      </c>
      <c r="K38">
        <v>0.14369999999999999</v>
      </c>
      <c r="L38">
        <v>0.3543</v>
      </c>
      <c r="M38">
        <v>0.85699999999999998</v>
      </c>
      <c r="N38">
        <v>0.93799999999999994</v>
      </c>
    </row>
    <row r="39" spans="1:14" ht="15" x14ac:dyDescent="0.25">
      <c r="A39" s="162"/>
      <c r="B39" s="3">
        <f t="shared" si="3"/>
        <v>33</v>
      </c>
      <c r="C39" s="3" t="s">
        <v>45</v>
      </c>
      <c r="D39" s="3">
        <v>5</v>
      </c>
      <c r="E39" s="3"/>
      <c r="F39" s="3"/>
      <c r="G39">
        <v>5.6599999999999998E-2</v>
      </c>
      <c r="H39">
        <v>0.1114</v>
      </c>
      <c r="I39">
        <v>6.9400000000000003E-2</v>
      </c>
      <c r="J39">
        <v>2.46E-2</v>
      </c>
      <c r="K39">
        <v>0.1416</v>
      </c>
      <c r="L39">
        <v>0.34360000000000002</v>
      </c>
      <c r="M39">
        <v>0.78959999999999997</v>
      </c>
      <c r="N39">
        <v>1.0246999999999999</v>
      </c>
    </row>
    <row r="40" spans="1:14" ht="15" x14ac:dyDescent="0.25">
      <c r="A40" s="162"/>
      <c r="B40" s="3">
        <f t="shared" si="3"/>
        <v>34</v>
      </c>
      <c r="C40" s="3" t="s">
        <v>63</v>
      </c>
      <c r="D40" s="3">
        <v>14.5</v>
      </c>
      <c r="E40" s="6"/>
      <c r="F40" s="6"/>
      <c r="G40">
        <v>5.3699999999999998E-2</v>
      </c>
      <c r="H40">
        <v>0.1143</v>
      </c>
      <c r="I40">
        <v>7.8E-2</v>
      </c>
      <c r="J40">
        <v>3.44E-2</v>
      </c>
      <c r="K40">
        <v>0.16420000000000001</v>
      </c>
      <c r="L40">
        <v>0.43090000000000001</v>
      </c>
      <c r="M40">
        <v>0.73560000000000003</v>
      </c>
      <c r="N40">
        <v>1.0932999999999999</v>
      </c>
    </row>
    <row r="41" spans="1:14" ht="15" x14ac:dyDescent="0.25">
      <c r="A41" s="162"/>
      <c r="B41" s="3">
        <f t="shared" si="3"/>
        <v>35</v>
      </c>
      <c r="C41" s="3" t="s">
        <v>20</v>
      </c>
      <c r="D41" s="3">
        <v>4.5</v>
      </c>
      <c r="E41" s="6"/>
      <c r="F41" s="6"/>
      <c r="G41">
        <v>4.4400000000000002E-2</v>
      </c>
      <c r="H41">
        <v>0.1237</v>
      </c>
      <c r="I41">
        <v>4.9500000000000002E-2</v>
      </c>
      <c r="J41">
        <v>4.7000000000000002E-3</v>
      </c>
      <c r="K41">
        <v>8.48E-2</v>
      </c>
      <c r="L41">
        <v>0.4</v>
      </c>
      <c r="M41">
        <v>0.70009999999999994</v>
      </c>
      <c r="N41">
        <v>1.0946</v>
      </c>
    </row>
    <row r="42" spans="1:14" ht="15" x14ac:dyDescent="0.25">
      <c r="A42" s="162"/>
      <c r="B42" s="7">
        <f t="shared" si="3"/>
        <v>36</v>
      </c>
      <c r="C42" s="7" t="s">
        <v>24</v>
      </c>
      <c r="D42" s="7">
        <v>6.5</v>
      </c>
      <c r="E42" s="8"/>
      <c r="F42" s="8"/>
      <c r="G42">
        <v>8.3000000000000001E-3</v>
      </c>
      <c r="H42">
        <v>0.15970000000000001</v>
      </c>
      <c r="I42">
        <v>1.46E-2</v>
      </c>
      <c r="J42">
        <v>3.2000000000000001E-2</v>
      </c>
      <c r="K42">
        <v>0.10009999999999999</v>
      </c>
      <c r="L42">
        <v>0.39369999999999999</v>
      </c>
      <c r="M42">
        <v>0.69630000000000003</v>
      </c>
      <c r="N42">
        <v>1.0859000000000001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148</v>
      </c>
      <c r="D4" s="3">
        <v>10</v>
      </c>
      <c r="E4" s="3" t="s">
        <v>133</v>
      </c>
      <c r="F4" s="3"/>
      <c r="G4">
        <v>4.5999999999999999E-2</v>
      </c>
      <c r="H4">
        <v>0.214</v>
      </c>
      <c r="I4">
        <v>5.6099999999999997E-2</v>
      </c>
      <c r="J4">
        <v>0.10100000000000001</v>
      </c>
      <c r="K4">
        <v>0.26879999999999998</v>
      </c>
      <c r="L4">
        <v>0.3377</v>
      </c>
      <c r="M4">
        <v>0.83460000000000001</v>
      </c>
      <c r="N4">
        <v>0.87219999999999998</v>
      </c>
    </row>
    <row r="5" spans="1:14" ht="15" x14ac:dyDescent="0.25">
      <c r="A5" s="162"/>
      <c r="B5" s="3">
        <f t="shared" ref="B5:B12" si="0">B4+1</f>
        <v>2</v>
      </c>
      <c r="C5" s="14" t="s">
        <v>76</v>
      </c>
      <c r="D5" s="3">
        <v>11</v>
      </c>
      <c r="E5" s="3"/>
      <c r="F5" s="3"/>
      <c r="G5">
        <v>0.11169999999999999</v>
      </c>
      <c r="H5">
        <v>5.6500000000000002E-2</v>
      </c>
      <c r="I5">
        <v>0.12280000000000001</v>
      </c>
      <c r="J5">
        <v>7.8100000000000003E-2</v>
      </c>
      <c r="K5">
        <v>0.17130000000000001</v>
      </c>
      <c r="L5">
        <v>0.35439999999999999</v>
      </c>
      <c r="M5">
        <v>0.86860000000000004</v>
      </c>
      <c r="N5">
        <v>1.1311</v>
      </c>
    </row>
    <row r="6" spans="1:14" ht="15" x14ac:dyDescent="0.25">
      <c r="A6" s="162"/>
      <c r="B6" s="3">
        <f t="shared" si="0"/>
        <v>3</v>
      </c>
      <c r="C6" s="3" t="s">
        <v>20</v>
      </c>
      <c r="D6" s="3">
        <v>2.5</v>
      </c>
      <c r="E6" s="3"/>
      <c r="F6" s="3"/>
      <c r="G6">
        <v>0.1055</v>
      </c>
      <c r="H6">
        <v>6.2600000000000003E-2</v>
      </c>
      <c r="I6">
        <v>0.1246</v>
      </c>
      <c r="J6">
        <v>7.9699999999999993E-2</v>
      </c>
      <c r="K6">
        <v>0.12570000000000001</v>
      </c>
      <c r="L6">
        <v>0.36549999999999999</v>
      </c>
      <c r="M6">
        <v>0.86960000000000004</v>
      </c>
      <c r="N6">
        <v>1.1208</v>
      </c>
    </row>
    <row r="7" spans="1:14" ht="15" x14ac:dyDescent="0.25">
      <c r="A7" s="162"/>
      <c r="B7" s="3">
        <f t="shared" si="0"/>
        <v>4</v>
      </c>
      <c r="C7" s="3" t="s">
        <v>34</v>
      </c>
      <c r="D7" s="3">
        <v>12.5</v>
      </c>
      <c r="E7" s="3"/>
      <c r="F7" s="3"/>
      <c r="G7">
        <v>0.17380000000000001</v>
      </c>
      <c r="H7">
        <v>8.5000000000000006E-3</v>
      </c>
      <c r="I7">
        <v>0.20519999999999999</v>
      </c>
      <c r="J7">
        <v>0.1603</v>
      </c>
      <c r="K7">
        <v>0.1431</v>
      </c>
      <c r="L7">
        <v>0.4239</v>
      </c>
      <c r="M7">
        <v>0.82569999999999999</v>
      </c>
      <c r="N7">
        <v>1.2269000000000001</v>
      </c>
    </row>
    <row r="8" spans="1:14" ht="15" x14ac:dyDescent="0.25">
      <c r="A8" s="162"/>
      <c r="B8" s="3">
        <f t="shared" si="0"/>
        <v>5</v>
      </c>
      <c r="C8" s="3" t="s">
        <v>62</v>
      </c>
      <c r="D8" s="3">
        <v>6</v>
      </c>
      <c r="E8" s="3"/>
      <c r="F8" s="3"/>
      <c r="G8">
        <v>0.12959999999999999</v>
      </c>
      <c r="H8">
        <v>3.85E-2</v>
      </c>
      <c r="I8">
        <v>0.16159999999999999</v>
      </c>
      <c r="J8">
        <v>0.1167</v>
      </c>
      <c r="K8">
        <v>0.1024</v>
      </c>
      <c r="L8">
        <v>0.41599999999999998</v>
      </c>
      <c r="M8">
        <v>0.81779999999999997</v>
      </c>
      <c r="N8">
        <v>1.2549999999999999</v>
      </c>
    </row>
    <row r="9" spans="1:14" ht="15" x14ac:dyDescent="0.25">
      <c r="A9" s="162"/>
      <c r="B9" s="3">
        <f t="shared" si="0"/>
        <v>6</v>
      </c>
      <c r="C9" s="3" t="s">
        <v>17</v>
      </c>
      <c r="D9" s="3">
        <v>5.5</v>
      </c>
      <c r="E9" s="3"/>
      <c r="F9" s="3"/>
      <c r="G9">
        <v>0.17449999999999999</v>
      </c>
      <c r="H9">
        <v>7.4000000000000003E-3</v>
      </c>
      <c r="I9">
        <v>0.21129999999999999</v>
      </c>
      <c r="J9">
        <v>0.16639999999999999</v>
      </c>
      <c r="K9">
        <v>0.12870000000000001</v>
      </c>
      <c r="L9">
        <v>0.43869999999999998</v>
      </c>
      <c r="M9">
        <v>0.76180000000000003</v>
      </c>
      <c r="N9">
        <v>1.2665999999999999</v>
      </c>
    </row>
    <row r="10" spans="1:14" ht="15" x14ac:dyDescent="0.25">
      <c r="A10" s="162"/>
      <c r="B10" s="3">
        <f t="shared" si="0"/>
        <v>7</v>
      </c>
      <c r="C10" s="3" t="s">
        <v>115</v>
      </c>
      <c r="D10" s="3">
        <v>0</v>
      </c>
      <c r="E10" s="3"/>
      <c r="F10" s="3"/>
      <c r="G10">
        <v>0.1588</v>
      </c>
      <c r="H10">
        <v>9.4999999999999998E-3</v>
      </c>
      <c r="I10">
        <v>0.17499999999999999</v>
      </c>
      <c r="J10">
        <v>0.1303</v>
      </c>
      <c r="K10">
        <v>9.4399999999999998E-2</v>
      </c>
      <c r="L10">
        <v>0.49320000000000003</v>
      </c>
      <c r="M10">
        <v>0.69099999999999995</v>
      </c>
      <c r="N10">
        <v>1.3291999999999999</v>
      </c>
    </row>
    <row r="11" spans="1:14" ht="15" x14ac:dyDescent="0.25">
      <c r="A11" s="162"/>
      <c r="B11" s="3">
        <f t="shared" si="0"/>
        <v>8</v>
      </c>
      <c r="C11" s="3" t="s">
        <v>38</v>
      </c>
      <c r="D11" s="3">
        <v>6.5</v>
      </c>
      <c r="E11" s="3"/>
      <c r="F11" s="3"/>
      <c r="G11">
        <v>0.157</v>
      </c>
      <c r="H11">
        <v>1.11E-2</v>
      </c>
      <c r="I11">
        <v>0.17580000000000001</v>
      </c>
      <c r="J11">
        <v>0.13100000000000001</v>
      </c>
      <c r="K11">
        <v>4.4499999999999998E-2</v>
      </c>
      <c r="L11">
        <v>0.49440000000000001</v>
      </c>
      <c r="M11">
        <v>0.68669999999999998</v>
      </c>
      <c r="N11">
        <v>1.323</v>
      </c>
    </row>
    <row r="12" spans="1:14" ht="15" x14ac:dyDescent="0.25">
      <c r="A12" s="162"/>
      <c r="B12" s="3">
        <f t="shared" si="0"/>
        <v>9</v>
      </c>
      <c r="C12" s="3" t="s">
        <v>38</v>
      </c>
      <c r="D12" s="3">
        <v>6</v>
      </c>
      <c r="E12" s="3"/>
      <c r="F12" s="3"/>
      <c r="G12">
        <v>0.21540000000000001</v>
      </c>
      <c r="H12">
        <v>4.7399999999999998E-2</v>
      </c>
      <c r="I12">
        <v>0.23350000000000001</v>
      </c>
      <c r="J12">
        <v>0.1888</v>
      </c>
      <c r="K12">
        <v>8.1799999999999998E-2</v>
      </c>
      <c r="L12">
        <v>0.50180000000000002</v>
      </c>
      <c r="M12">
        <v>0.68079999999999996</v>
      </c>
      <c r="N12">
        <v>1.3628</v>
      </c>
    </row>
    <row r="13" spans="1:14" ht="15" x14ac:dyDescent="0.25">
      <c r="A13" s="166"/>
      <c r="B13" s="166"/>
      <c r="C13" s="166"/>
      <c r="D13" s="166"/>
      <c r="E13" s="5" t="s">
        <v>84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23</v>
      </c>
      <c r="D14" s="3">
        <v>20</v>
      </c>
      <c r="E14" s="3"/>
      <c r="F14" s="3"/>
      <c r="G14">
        <v>4.0399999999999998E-2</v>
      </c>
      <c r="H14">
        <v>0.12770000000000001</v>
      </c>
      <c r="I14">
        <v>5.16E-2</v>
      </c>
      <c r="J14">
        <v>7.4999999999999997E-3</v>
      </c>
      <c r="K14">
        <v>0.2384</v>
      </c>
      <c r="L14">
        <v>0.32190000000000002</v>
      </c>
      <c r="M14">
        <v>0.82189999999999996</v>
      </c>
      <c r="N14">
        <v>0.96919999999999995</v>
      </c>
    </row>
    <row r="15" spans="1:14" ht="15" x14ac:dyDescent="0.25">
      <c r="A15" s="162"/>
      <c r="B15" s="3">
        <f t="shared" ref="B15:B22" si="1">B14+1</f>
        <v>11</v>
      </c>
      <c r="C15" s="3" t="s">
        <v>14</v>
      </c>
      <c r="D15" s="3">
        <v>20.5</v>
      </c>
      <c r="E15" s="3"/>
      <c r="F15" s="3"/>
      <c r="G15">
        <v>3.7499999999999999E-2</v>
      </c>
      <c r="H15">
        <v>0.1305</v>
      </c>
      <c r="I15">
        <v>5.0099999999999999E-2</v>
      </c>
      <c r="J15">
        <v>7.4000000000000003E-3</v>
      </c>
      <c r="K15">
        <v>0.1938</v>
      </c>
      <c r="L15">
        <v>0.32340000000000002</v>
      </c>
      <c r="M15">
        <v>0.83260000000000001</v>
      </c>
      <c r="N15">
        <v>0.98129999999999995</v>
      </c>
    </row>
    <row r="16" spans="1:14" ht="15" x14ac:dyDescent="0.25">
      <c r="A16" s="162"/>
      <c r="B16" s="3">
        <f t="shared" si="1"/>
        <v>12</v>
      </c>
      <c r="C16" s="3" t="s">
        <v>25</v>
      </c>
      <c r="D16" s="3">
        <v>11.5</v>
      </c>
      <c r="E16" s="3"/>
      <c r="F16" s="15"/>
      <c r="G16">
        <v>0.10349999999999999</v>
      </c>
      <c r="H16">
        <v>6.4500000000000002E-2</v>
      </c>
      <c r="I16">
        <v>0.1133</v>
      </c>
      <c r="J16">
        <v>6.8500000000000005E-2</v>
      </c>
      <c r="K16">
        <v>0.16789999999999999</v>
      </c>
      <c r="L16">
        <v>0.3216</v>
      </c>
      <c r="M16">
        <v>0.84499999999999997</v>
      </c>
      <c r="N16">
        <v>1.03</v>
      </c>
    </row>
    <row r="17" spans="1:14" ht="15" x14ac:dyDescent="0.25">
      <c r="A17" s="162"/>
      <c r="B17" s="3">
        <f t="shared" si="1"/>
        <v>13</v>
      </c>
      <c r="C17" s="3" t="s">
        <v>62</v>
      </c>
      <c r="D17" s="3">
        <v>8.5</v>
      </c>
      <c r="E17" s="3"/>
      <c r="F17" s="3"/>
      <c r="G17">
        <v>2.9899999999999999E-2</v>
      </c>
      <c r="H17">
        <v>0.1381</v>
      </c>
      <c r="I17">
        <v>2.75E-2</v>
      </c>
      <c r="J17">
        <v>1.8200000000000001E-2</v>
      </c>
      <c r="K17">
        <v>0.15060000000000001</v>
      </c>
      <c r="L17">
        <v>0.34389999999999998</v>
      </c>
      <c r="M17">
        <v>0.81130000000000002</v>
      </c>
      <c r="N17">
        <v>1.0697000000000001</v>
      </c>
    </row>
    <row r="18" spans="1:14" ht="15" x14ac:dyDescent="0.25">
      <c r="A18" s="162"/>
      <c r="B18" s="3">
        <f t="shared" si="1"/>
        <v>14</v>
      </c>
      <c r="C18" s="3" t="s">
        <v>34</v>
      </c>
      <c r="D18" s="3">
        <v>12.5</v>
      </c>
      <c r="E18" s="3"/>
      <c r="F18" s="3"/>
      <c r="G18">
        <v>4.19E-2</v>
      </c>
      <c r="H18">
        <v>0.12609999999999999</v>
      </c>
      <c r="I18">
        <v>4.5600000000000002E-2</v>
      </c>
      <c r="J18">
        <v>2E-3</v>
      </c>
      <c r="K18">
        <v>0.15479999999999999</v>
      </c>
      <c r="L18">
        <v>0.3523</v>
      </c>
      <c r="M18">
        <v>0.82520000000000004</v>
      </c>
      <c r="N18">
        <v>1.0701000000000001</v>
      </c>
    </row>
    <row r="19" spans="1:14" ht="15" x14ac:dyDescent="0.25">
      <c r="A19" s="162"/>
      <c r="B19" s="3">
        <f t="shared" si="1"/>
        <v>15</v>
      </c>
      <c r="C19" s="3" t="s">
        <v>59</v>
      </c>
      <c r="D19" s="3">
        <v>12</v>
      </c>
      <c r="E19" s="3"/>
      <c r="F19" s="3"/>
      <c r="G19">
        <v>3.61E-2</v>
      </c>
      <c r="H19">
        <v>0.13189999999999999</v>
      </c>
      <c r="I19">
        <v>3.1899999999999998E-2</v>
      </c>
      <c r="J19">
        <v>1.47E-2</v>
      </c>
      <c r="K19">
        <v>0.15970000000000001</v>
      </c>
      <c r="L19">
        <v>0.3679</v>
      </c>
      <c r="M19">
        <v>0.85350000000000004</v>
      </c>
      <c r="N19">
        <v>1.0781000000000001</v>
      </c>
    </row>
    <row r="20" spans="1:14" ht="15" x14ac:dyDescent="0.25">
      <c r="A20" s="162"/>
      <c r="B20" s="3">
        <f t="shared" si="1"/>
        <v>16</v>
      </c>
      <c r="C20" s="3" t="s">
        <v>25</v>
      </c>
      <c r="D20" s="3">
        <v>15</v>
      </c>
      <c r="E20" s="3"/>
      <c r="F20" s="3"/>
      <c r="G20">
        <v>2.4899999999999999E-2</v>
      </c>
      <c r="H20">
        <v>0.14319999999999999</v>
      </c>
      <c r="I20">
        <v>2.41E-2</v>
      </c>
      <c r="J20">
        <v>2.1000000000000001E-2</v>
      </c>
      <c r="K20">
        <v>0.1167</v>
      </c>
      <c r="L20">
        <v>0.36969999999999997</v>
      </c>
      <c r="M20">
        <v>0.82669999999999999</v>
      </c>
      <c r="N20">
        <v>1.1474</v>
      </c>
    </row>
    <row r="21" spans="1:14" ht="15" x14ac:dyDescent="0.25">
      <c r="A21" s="162"/>
      <c r="B21" s="3">
        <f t="shared" si="1"/>
        <v>17</v>
      </c>
      <c r="C21" s="3" t="s">
        <v>59</v>
      </c>
      <c r="D21" s="3">
        <v>13</v>
      </c>
      <c r="E21" s="3"/>
      <c r="F21" s="3"/>
      <c r="G21">
        <v>3.7100000000000001E-2</v>
      </c>
      <c r="H21">
        <v>0.13089999999999999</v>
      </c>
      <c r="I21">
        <v>3.5099999999999999E-2</v>
      </c>
      <c r="J21">
        <v>1.0999999999999999E-2</v>
      </c>
      <c r="K21">
        <v>0.1076</v>
      </c>
      <c r="L21">
        <v>0.37969999999999998</v>
      </c>
      <c r="M21">
        <v>0.81410000000000005</v>
      </c>
      <c r="N21">
        <v>1.1539999999999999</v>
      </c>
    </row>
    <row r="22" spans="1:14" ht="15" x14ac:dyDescent="0.25">
      <c r="A22" s="162"/>
      <c r="B22" s="3">
        <f t="shared" si="1"/>
        <v>18</v>
      </c>
      <c r="C22" s="3" t="s">
        <v>176</v>
      </c>
      <c r="D22" s="3">
        <v>16.5</v>
      </c>
      <c r="E22" s="3"/>
      <c r="F22" s="3"/>
      <c r="G22">
        <v>6.83E-2</v>
      </c>
      <c r="H22">
        <v>9.9699999999999997E-2</v>
      </c>
      <c r="I22">
        <v>6.83E-2</v>
      </c>
      <c r="J22">
        <v>2.4500000000000001E-2</v>
      </c>
      <c r="K22">
        <v>0.12859999999999999</v>
      </c>
      <c r="L22">
        <v>0.38550000000000001</v>
      </c>
      <c r="M22">
        <v>0.77470000000000006</v>
      </c>
      <c r="N22">
        <v>1.1860999999999999</v>
      </c>
    </row>
    <row r="23" spans="1:14" ht="15" x14ac:dyDescent="0.25">
      <c r="A23" s="166"/>
      <c r="B23" s="166"/>
      <c r="C23" s="166"/>
      <c r="D23" s="166"/>
      <c r="E23" s="5" t="s">
        <v>150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25</v>
      </c>
      <c r="D24" s="3">
        <v>15.5</v>
      </c>
      <c r="E24" s="3"/>
      <c r="F24" s="3"/>
      <c r="G24">
        <v>3.2099999999999997E-2</v>
      </c>
      <c r="H24">
        <v>0.13589999999999999</v>
      </c>
      <c r="I24">
        <v>3.32E-2</v>
      </c>
      <c r="J24">
        <v>1.17E-2</v>
      </c>
      <c r="K24">
        <v>0.20449999999999999</v>
      </c>
      <c r="L24">
        <v>0.30730000000000002</v>
      </c>
      <c r="M24">
        <v>0.82189999999999996</v>
      </c>
      <c r="N24">
        <v>0.99709999999999999</v>
      </c>
    </row>
    <row r="25" spans="1:14" ht="15" x14ac:dyDescent="0.25">
      <c r="A25" s="162"/>
      <c r="B25" s="3">
        <f t="shared" ref="B25:B32" si="2">B24+1</f>
        <v>20</v>
      </c>
      <c r="C25" s="3" t="s">
        <v>148</v>
      </c>
      <c r="D25" s="3">
        <v>10</v>
      </c>
      <c r="E25" s="3"/>
      <c r="F25" s="3"/>
      <c r="G25">
        <v>5.04E-2</v>
      </c>
      <c r="H25">
        <v>0.1177</v>
      </c>
      <c r="I25">
        <v>0.06</v>
      </c>
      <c r="J25">
        <v>1.5100000000000001E-2</v>
      </c>
      <c r="K25">
        <v>0.1706</v>
      </c>
      <c r="L25">
        <v>0.317</v>
      </c>
      <c r="M25">
        <v>0.80049999999999999</v>
      </c>
      <c r="N25">
        <v>1.0481</v>
      </c>
    </row>
    <row r="26" spans="1:14" ht="15" x14ac:dyDescent="0.25">
      <c r="A26" s="162"/>
      <c r="B26" s="3">
        <f t="shared" si="2"/>
        <v>21</v>
      </c>
      <c r="C26" s="3" t="s">
        <v>18</v>
      </c>
      <c r="D26" s="3">
        <v>15</v>
      </c>
      <c r="E26" s="3"/>
      <c r="F26" s="3"/>
      <c r="G26">
        <v>1.9800000000000002E-2</v>
      </c>
      <c r="H26">
        <v>0.1482</v>
      </c>
      <c r="I26">
        <v>3.2199999999999999E-2</v>
      </c>
      <c r="J26">
        <v>1.6E-2</v>
      </c>
      <c r="K26">
        <v>0.16969999999999999</v>
      </c>
      <c r="L26">
        <v>0.32950000000000002</v>
      </c>
      <c r="M26">
        <v>0.8054</v>
      </c>
      <c r="N26">
        <v>1.0267999999999999</v>
      </c>
    </row>
    <row r="27" spans="1:14" ht="15" x14ac:dyDescent="0.25">
      <c r="A27" s="162"/>
      <c r="B27" s="3">
        <f t="shared" si="2"/>
        <v>22</v>
      </c>
      <c r="C27" s="3" t="s">
        <v>14</v>
      </c>
      <c r="D27" s="3">
        <v>27.5</v>
      </c>
      <c r="E27" s="3"/>
      <c r="F27" s="3"/>
      <c r="G27">
        <v>3.0099999999999998E-2</v>
      </c>
      <c r="H27">
        <v>0.13789999999999999</v>
      </c>
      <c r="I27">
        <v>2.8799999999999999E-2</v>
      </c>
      <c r="J27">
        <v>1.6400000000000001E-2</v>
      </c>
      <c r="K27">
        <v>0.12909999999999999</v>
      </c>
      <c r="L27">
        <v>0.35780000000000001</v>
      </c>
      <c r="M27">
        <v>0.75609999999999999</v>
      </c>
      <c r="N27">
        <v>1.0644</v>
      </c>
    </row>
    <row r="28" spans="1:14" ht="15" x14ac:dyDescent="0.25">
      <c r="A28" s="162"/>
      <c r="B28" s="3">
        <f t="shared" si="2"/>
        <v>23</v>
      </c>
      <c r="C28" s="3" t="s">
        <v>87</v>
      </c>
      <c r="D28" s="3">
        <v>16.5</v>
      </c>
      <c r="E28" s="3"/>
      <c r="F28" s="3"/>
      <c r="G28">
        <v>4.0099999999999997E-2</v>
      </c>
      <c r="H28">
        <v>0.128</v>
      </c>
      <c r="I28">
        <v>4.1300000000000003E-2</v>
      </c>
      <c r="J28">
        <v>4.7000000000000002E-3</v>
      </c>
      <c r="K28">
        <v>0.13400000000000001</v>
      </c>
      <c r="L28">
        <v>0.3654</v>
      </c>
      <c r="M28">
        <v>0.75219999999999998</v>
      </c>
      <c r="N28">
        <v>1.0654999999999999</v>
      </c>
    </row>
    <row r="29" spans="1:14" ht="15" x14ac:dyDescent="0.25">
      <c r="A29" s="162"/>
      <c r="B29" s="3">
        <f t="shared" si="2"/>
        <v>24</v>
      </c>
      <c r="C29" s="3" t="s">
        <v>69</v>
      </c>
      <c r="D29" s="3">
        <v>14.5</v>
      </c>
      <c r="E29" s="3"/>
      <c r="F29" s="3"/>
      <c r="G29">
        <v>6.83E-2</v>
      </c>
      <c r="H29">
        <v>9.9699999999999997E-2</v>
      </c>
      <c r="I29">
        <v>7.5399999999999995E-2</v>
      </c>
      <c r="J29">
        <v>3.0599999999999999E-2</v>
      </c>
      <c r="K29">
        <v>0.11459999999999999</v>
      </c>
      <c r="L29">
        <v>0.37059999999999998</v>
      </c>
      <c r="M29">
        <v>0.71540000000000004</v>
      </c>
      <c r="N29">
        <v>1.0951</v>
      </c>
    </row>
    <row r="30" spans="1:14" ht="15" x14ac:dyDescent="0.25">
      <c r="A30" s="162"/>
      <c r="B30" s="3">
        <f t="shared" si="2"/>
        <v>25</v>
      </c>
      <c r="C30" s="3" t="s">
        <v>65</v>
      </c>
      <c r="D30" s="3">
        <v>10</v>
      </c>
      <c r="E30" s="3"/>
      <c r="F30" s="3"/>
      <c r="G30">
        <v>4.3200000000000002E-2</v>
      </c>
      <c r="H30">
        <v>0.1249</v>
      </c>
      <c r="I30">
        <v>4.0399999999999998E-2</v>
      </c>
      <c r="J30">
        <v>5.7999999999999996E-3</v>
      </c>
      <c r="K30">
        <v>5.3800000000000001E-2</v>
      </c>
      <c r="L30">
        <v>0.45229999999999998</v>
      </c>
      <c r="M30">
        <v>0.5897</v>
      </c>
      <c r="N30">
        <v>1.2250000000000001</v>
      </c>
    </row>
    <row r="31" spans="1:14" ht="15" x14ac:dyDescent="0.25">
      <c r="A31" s="162"/>
      <c r="B31" s="3">
        <f t="shared" si="2"/>
        <v>26</v>
      </c>
      <c r="C31" s="3" t="s">
        <v>96</v>
      </c>
      <c r="D31" s="3">
        <v>10</v>
      </c>
      <c r="E31" s="3"/>
      <c r="F31" s="3"/>
      <c r="G31">
        <v>6.5799999999999997E-2</v>
      </c>
      <c r="H31">
        <v>0.1023</v>
      </c>
      <c r="I31">
        <v>6.9199999999999998E-2</v>
      </c>
      <c r="J31">
        <v>2.4899999999999999E-2</v>
      </c>
      <c r="K31">
        <v>6.4899999999999999E-2</v>
      </c>
      <c r="L31">
        <v>0.45290000000000002</v>
      </c>
      <c r="M31">
        <v>0.62360000000000004</v>
      </c>
      <c r="N31">
        <v>1.2703</v>
      </c>
    </row>
    <row r="32" spans="1:14" ht="15" x14ac:dyDescent="0.25">
      <c r="A32" s="162"/>
      <c r="B32" s="3">
        <f t="shared" si="2"/>
        <v>27</v>
      </c>
      <c r="C32" s="3" t="s">
        <v>24</v>
      </c>
      <c r="D32" s="3">
        <v>9</v>
      </c>
      <c r="E32" s="3"/>
      <c r="F32" s="3"/>
      <c r="G32">
        <v>9.6600000000000005E-2</v>
      </c>
      <c r="H32">
        <v>7.1400000000000005E-2</v>
      </c>
      <c r="I32">
        <v>0.10440000000000001</v>
      </c>
      <c r="J32">
        <v>5.9700000000000003E-2</v>
      </c>
      <c r="K32">
        <v>5.3100000000000001E-2</v>
      </c>
      <c r="L32">
        <v>0.46400000000000002</v>
      </c>
      <c r="M32">
        <v>0.61460000000000004</v>
      </c>
      <c r="N32">
        <v>1.3072999999999999</v>
      </c>
    </row>
    <row r="33" spans="1:14" ht="15" x14ac:dyDescent="0.25">
      <c r="A33" s="166"/>
      <c r="B33" s="166"/>
      <c r="C33" s="166"/>
      <c r="D33" s="166"/>
      <c r="E33" s="5" t="s">
        <v>150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100</v>
      </c>
      <c r="D34" s="3">
        <v>17</v>
      </c>
      <c r="E34" s="3"/>
      <c r="F34" s="3"/>
      <c r="G34">
        <v>6.3299999999999995E-2</v>
      </c>
      <c r="H34">
        <v>0.1048</v>
      </c>
      <c r="I34">
        <v>7.0999999999999994E-2</v>
      </c>
      <c r="J34">
        <v>2.6100000000000002E-2</v>
      </c>
      <c r="K34">
        <v>0.27560000000000001</v>
      </c>
      <c r="L34">
        <v>0.25380000000000003</v>
      </c>
      <c r="M34">
        <v>0.95520000000000005</v>
      </c>
      <c r="N34">
        <v>0.88400000000000001</v>
      </c>
    </row>
    <row r="35" spans="1:14" ht="15" x14ac:dyDescent="0.25">
      <c r="A35" s="162"/>
      <c r="B35" s="3">
        <f t="shared" ref="B35:B42" si="3">B34+1</f>
        <v>29</v>
      </c>
      <c r="C35" s="3" t="s">
        <v>172</v>
      </c>
      <c r="D35" s="3">
        <v>16.5</v>
      </c>
      <c r="E35" s="3"/>
      <c r="F35" s="3"/>
      <c r="G35">
        <v>2.01E-2</v>
      </c>
      <c r="H35">
        <v>0.1479</v>
      </c>
      <c r="I35">
        <v>2.1100000000000001E-2</v>
      </c>
      <c r="J35">
        <v>2.3800000000000002E-2</v>
      </c>
      <c r="K35">
        <v>0.23469999999999999</v>
      </c>
      <c r="L35">
        <v>0.27060000000000001</v>
      </c>
      <c r="M35">
        <v>0.97609999999999997</v>
      </c>
      <c r="N35">
        <v>0.98129999999999995</v>
      </c>
    </row>
    <row r="36" spans="1:14" ht="15" x14ac:dyDescent="0.25">
      <c r="A36" s="162"/>
      <c r="B36" s="3">
        <f t="shared" si="3"/>
        <v>30</v>
      </c>
      <c r="C36" s="3" t="s">
        <v>70</v>
      </c>
      <c r="D36" s="3">
        <v>5.5</v>
      </c>
      <c r="E36" s="3"/>
      <c r="F36" s="3"/>
      <c r="G36">
        <v>1.7500000000000002E-2</v>
      </c>
      <c r="H36">
        <v>0.15049999999999999</v>
      </c>
      <c r="I36">
        <v>3.49E-2</v>
      </c>
      <c r="J36">
        <v>1.6400000000000001E-2</v>
      </c>
      <c r="K36">
        <v>0.2321</v>
      </c>
      <c r="L36">
        <v>0.2767</v>
      </c>
      <c r="M36">
        <v>0.96950000000000003</v>
      </c>
      <c r="N36">
        <v>0.94930000000000003</v>
      </c>
    </row>
    <row r="37" spans="1:14" ht="15" x14ac:dyDescent="0.25">
      <c r="A37" s="162"/>
      <c r="B37" s="3">
        <f t="shared" si="3"/>
        <v>31</v>
      </c>
      <c r="C37" s="3" t="s">
        <v>45</v>
      </c>
      <c r="D37" s="3">
        <v>9.5</v>
      </c>
      <c r="E37" s="3"/>
      <c r="F37" s="3"/>
      <c r="G37">
        <v>2.4E-2</v>
      </c>
      <c r="H37">
        <v>0.14399999999999999</v>
      </c>
      <c r="I37">
        <v>3.04E-2</v>
      </c>
      <c r="J37">
        <v>1.55E-2</v>
      </c>
      <c r="K37">
        <v>0.13469999999999999</v>
      </c>
      <c r="L37">
        <v>0.35720000000000002</v>
      </c>
      <c r="M37">
        <v>0.81259999999999999</v>
      </c>
      <c r="N37">
        <v>1.1273</v>
      </c>
    </row>
    <row r="38" spans="1:14" ht="15" x14ac:dyDescent="0.25">
      <c r="A38" s="162"/>
      <c r="B38" s="3">
        <f t="shared" si="3"/>
        <v>32</v>
      </c>
      <c r="C38" s="3" t="s">
        <v>15</v>
      </c>
      <c r="D38" s="3">
        <v>9</v>
      </c>
      <c r="E38" s="3"/>
      <c r="F38" s="3"/>
      <c r="G38">
        <v>6.7000000000000004E-2</v>
      </c>
      <c r="H38">
        <v>0.10100000000000001</v>
      </c>
      <c r="I38">
        <v>8.43E-2</v>
      </c>
      <c r="J38">
        <v>3.9600000000000003E-2</v>
      </c>
      <c r="K38">
        <v>0.1454</v>
      </c>
      <c r="L38">
        <v>0.38440000000000002</v>
      </c>
      <c r="M38">
        <v>0.83389999999999997</v>
      </c>
      <c r="N38">
        <v>1.2002999999999999</v>
      </c>
    </row>
    <row r="39" spans="1:14" ht="15" x14ac:dyDescent="0.25">
      <c r="A39" s="162"/>
      <c r="B39" s="3">
        <f t="shared" si="3"/>
        <v>33</v>
      </c>
      <c r="C39" s="3" t="s">
        <v>20</v>
      </c>
      <c r="D39" s="3">
        <v>9.5</v>
      </c>
      <c r="E39" s="3"/>
      <c r="F39" s="3"/>
      <c r="G39">
        <v>7.2999999999999995E-2</v>
      </c>
      <c r="H39">
        <v>9.5100000000000004E-2</v>
      </c>
      <c r="I39">
        <v>8.3000000000000004E-2</v>
      </c>
      <c r="J39">
        <v>3.8100000000000002E-2</v>
      </c>
      <c r="K39">
        <v>0.12130000000000001</v>
      </c>
      <c r="L39">
        <v>0.37759999999999999</v>
      </c>
      <c r="M39">
        <v>0.81</v>
      </c>
      <c r="N39">
        <v>1.1936</v>
      </c>
    </row>
    <row r="40" spans="1:14" ht="15" x14ac:dyDescent="0.25">
      <c r="A40" s="162"/>
      <c r="B40" s="3">
        <f t="shared" si="3"/>
        <v>34</v>
      </c>
      <c r="C40" s="3" t="s">
        <v>17</v>
      </c>
      <c r="D40" s="3">
        <v>6</v>
      </c>
      <c r="E40" s="6"/>
      <c r="F40" s="6"/>
      <c r="G40">
        <v>4.07E-2</v>
      </c>
      <c r="H40">
        <v>0.12740000000000001</v>
      </c>
      <c r="I40">
        <v>4.9399999999999999E-2</v>
      </c>
      <c r="J40">
        <v>5.8999999999999999E-3</v>
      </c>
      <c r="K40">
        <v>6.2199999999999998E-2</v>
      </c>
      <c r="L40">
        <v>0.45979999999999999</v>
      </c>
      <c r="M40">
        <v>0.71530000000000005</v>
      </c>
      <c r="N40">
        <v>1.4045000000000001</v>
      </c>
    </row>
    <row r="41" spans="1:14" ht="15" x14ac:dyDescent="0.25">
      <c r="A41" s="162"/>
      <c r="B41" s="3">
        <f t="shared" si="3"/>
        <v>35</v>
      </c>
      <c r="C41" s="3" t="s">
        <v>69</v>
      </c>
      <c r="D41" s="3">
        <v>11.5</v>
      </c>
      <c r="E41" s="6"/>
      <c r="F41" s="6"/>
      <c r="G41">
        <v>5.2400000000000002E-2</v>
      </c>
      <c r="H41">
        <v>0.11559999999999999</v>
      </c>
      <c r="I41">
        <v>5.4100000000000002E-2</v>
      </c>
      <c r="J41">
        <v>9.9000000000000008E-3</v>
      </c>
      <c r="K41">
        <v>0.113</v>
      </c>
      <c r="L41">
        <v>0.46339999999999998</v>
      </c>
      <c r="M41">
        <v>0.74490000000000001</v>
      </c>
      <c r="N41">
        <v>1.3862000000000001</v>
      </c>
    </row>
    <row r="42" spans="1:14" ht="15" x14ac:dyDescent="0.25">
      <c r="A42" s="162"/>
      <c r="B42" s="7">
        <f t="shared" si="3"/>
        <v>36</v>
      </c>
      <c r="C42" s="7" t="s">
        <v>70</v>
      </c>
      <c r="D42" s="7">
        <v>8</v>
      </c>
      <c r="E42" s="8"/>
      <c r="F42" s="8"/>
      <c r="G42">
        <v>5.8099999999999999E-2</v>
      </c>
      <c r="H42">
        <v>0.1099</v>
      </c>
      <c r="I42">
        <v>6.3700000000000007E-2</v>
      </c>
      <c r="J42">
        <v>1.89E-2</v>
      </c>
      <c r="K42">
        <v>0.13420000000000001</v>
      </c>
      <c r="L42">
        <v>0.46710000000000002</v>
      </c>
      <c r="M42">
        <v>0.7641</v>
      </c>
      <c r="N42">
        <v>1.4031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43</v>
      </c>
      <c r="D4" s="3">
        <v>25</v>
      </c>
      <c r="E4" s="3" t="s">
        <v>133</v>
      </c>
      <c r="F4" s="3" t="s">
        <v>177</v>
      </c>
      <c r="G4">
        <v>4.2000000000000003E-2</v>
      </c>
      <c r="H4">
        <v>0.1263</v>
      </c>
      <c r="I4">
        <v>0.12</v>
      </c>
      <c r="J4">
        <v>7.9899999999999999E-2</v>
      </c>
      <c r="K4">
        <v>0.13350000000000001</v>
      </c>
      <c r="L4">
        <v>0.5504</v>
      </c>
      <c r="M4">
        <v>0.90710000000000002</v>
      </c>
      <c r="N4">
        <v>1.8138000000000001</v>
      </c>
    </row>
    <row r="5" spans="1:14" ht="15" x14ac:dyDescent="0.25">
      <c r="A5" s="162"/>
      <c r="B5" s="3">
        <f t="shared" ref="B5:B12" si="0">B4+1</f>
        <v>2</v>
      </c>
      <c r="C5" s="14" t="s">
        <v>37</v>
      </c>
      <c r="D5" s="3">
        <v>5</v>
      </c>
      <c r="E5" s="3"/>
      <c r="F5" s="3"/>
      <c r="G5">
        <v>4.0599999999999997E-2</v>
      </c>
      <c r="H5">
        <v>0.1275</v>
      </c>
      <c r="I5">
        <v>8.2199999999999995E-2</v>
      </c>
      <c r="J5">
        <v>4.1099999999999998E-2</v>
      </c>
      <c r="K5">
        <v>0.1419</v>
      </c>
      <c r="L5">
        <v>0.5504</v>
      </c>
      <c r="M5">
        <v>0.86619999999999997</v>
      </c>
      <c r="N5">
        <v>1.7756000000000001</v>
      </c>
    </row>
    <row r="6" spans="1:14" ht="15" x14ac:dyDescent="0.25">
      <c r="A6" s="162"/>
      <c r="B6" s="3">
        <f t="shared" si="0"/>
        <v>3</v>
      </c>
      <c r="C6" s="3" t="s">
        <v>17</v>
      </c>
      <c r="D6" s="3">
        <v>8.5</v>
      </c>
      <c r="E6" s="3"/>
      <c r="F6" s="3"/>
      <c r="G6">
        <v>4.9500000000000002E-2</v>
      </c>
      <c r="H6">
        <v>0.11849999999999999</v>
      </c>
      <c r="I6">
        <v>0.1142</v>
      </c>
      <c r="J6">
        <v>7.3200000000000001E-2</v>
      </c>
      <c r="K6">
        <v>0.112</v>
      </c>
      <c r="L6">
        <v>0.54500000000000004</v>
      </c>
      <c r="M6">
        <v>0.86719999999999997</v>
      </c>
      <c r="N6">
        <v>1.8061</v>
      </c>
    </row>
    <row r="7" spans="1:14" ht="15" x14ac:dyDescent="0.25">
      <c r="A7" s="162"/>
      <c r="B7" s="3">
        <f t="shared" si="0"/>
        <v>4</v>
      </c>
      <c r="C7" s="3" t="s">
        <v>35</v>
      </c>
      <c r="D7" s="3">
        <v>3.5</v>
      </c>
      <c r="E7" s="3"/>
      <c r="F7" s="3"/>
      <c r="G7">
        <v>4.4699999999999997E-2</v>
      </c>
      <c r="H7">
        <v>0.1237</v>
      </c>
      <c r="I7">
        <v>9.1899999999999996E-2</v>
      </c>
      <c r="J7">
        <v>4.99E-2</v>
      </c>
      <c r="K7">
        <v>0.18390000000000001</v>
      </c>
      <c r="L7">
        <v>0.63370000000000004</v>
      </c>
      <c r="M7">
        <v>0.94740000000000002</v>
      </c>
      <c r="N7">
        <v>2.0468999999999999</v>
      </c>
    </row>
    <row r="8" spans="1:14" ht="15" x14ac:dyDescent="0.25">
      <c r="A8" s="162"/>
      <c r="B8" s="3">
        <f t="shared" si="0"/>
        <v>5</v>
      </c>
      <c r="C8" s="3" t="s">
        <v>28</v>
      </c>
      <c r="D8" s="3">
        <v>11</v>
      </c>
      <c r="E8" s="3"/>
      <c r="F8" s="3"/>
      <c r="G8">
        <v>2.2700000000000001E-2</v>
      </c>
      <c r="H8">
        <v>0.14549999999999999</v>
      </c>
      <c r="I8">
        <v>6.8900000000000003E-2</v>
      </c>
      <c r="J8">
        <v>3.2500000000000001E-2</v>
      </c>
      <c r="K8">
        <v>0.1855</v>
      </c>
      <c r="L8">
        <v>0.65559999999999996</v>
      </c>
      <c r="M8">
        <v>0.95809999999999995</v>
      </c>
      <c r="N8">
        <v>2.0554000000000001</v>
      </c>
    </row>
    <row r="9" spans="1:14" ht="15" x14ac:dyDescent="0.25">
      <c r="A9" s="162"/>
      <c r="B9" s="3">
        <f t="shared" si="0"/>
        <v>6</v>
      </c>
      <c r="C9" s="3" t="s">
        <v>59</v>
      </c>
      <c r="D9" s="3">
        <v>12.5</v>
      </c>
      <c r="E9" s="3"/>
      <c r="F9" s="3"/>
      <c r="G9">
        <v>1.9099999999999999E-2</v>
      </c>
      <c r="H9">
        <v>0.14910000000000001</v>
      </c>
      <c r="I9">
        <v>6.5799999999999997E-2</v>
      </c>
      <c r="J9">
        <v>3.1300000000000001E-2</v>
      </c>
      <c r="K9">
        <v>0.18509999999999999</v>
      </c>
      <c r="L9">
        <v>0.66279999999999994</v>
      </c>
      <c r="M9">
        <v>0.99339999999999995</v>
      </c>
      <c r="N9">
        <v>2.0703</v>
      </c>
    </row>
    <row r="10" spans="1:14" ht="15" x14ac:dyDescent="0.25">
      <c r="A10" s="162"/>
      <c r="B10" s="3">
        <f t="shared" si="0"/>
        <v>7</v>
      </c>
      <c r="C10" s="3" t="s">
        <v>20</v>
      </c>
      <c r="D10" s="3">
        <v>8.5</v>
      </c>
      <c r="E10" s="3"/>
      <c r="F10" s="3"/>
      <c r="G10">
        <v>8.1299999999999997E-2</v>
      </c>
      <c r="H10">
        <v>8.6699999999999999E-2</v>
      </c>
      <c r="I10">
        <v>0.1239</v>
      </c>
      <c r="J10">
        <v>0.08</v>
      </c>
      <c r="K10">
        <v>0.24440000000000001</v>
      </c>
      <c r="L10">
        <v>0.71730000000000005</v>
      </c>
      <c r="M10">
        <v>0.98929999999999996</v>
      </c>
      <c r="N10">
        <v>2.1970999999999998</v>
      </c>
    </row>
    <row r="11" spans="1:14" ht="15" x14ac:dyDescent="0.25">
      <c r="A11" s="162"/>
      <c r="B11" s="3">
        <f t="shared" si="0"/>
        <v>8</v>
      </c>
      <c r="C11" s="3" t="s">
        <v>155</v>
      </c>
      <c r="D11" s="3">
        <v>16</v>
      </c>
      <c r="E11" s="3"/>
      <c r="F11" s="3"/>
      <c r="G11">
        <v>7.5300000000000006E-2</v>
      </c>
      <c r="H11">
        <v>9.2799999999999994E-2</v>
      </c>
      <c r="I11">
        <v>0.12989999999999999</v>
      </c>
      <c r="J11">
        <v>8.6699999999999999E-2</v>
      </c>
      <c r="K11">
        <v>0.2492</v>
      </c>
      <c r="L11">
        <v>0.70820000000000005</v>
      </c>
      <c r="M11">
        <v>1.0093000000000001</v>
      </c>
      <c r="N11">
        <v>2.1806000000000001</v>
      </c>
    </row>
    <row r="12" spans="1:14" ht="15" x14ac:dyDescent="0.25">
      <c r="A12" s="162"/>
      <c r="B12" s="3">
        <f t="shared" si="0"/>
        <v>9</v>
      </c>
      <c r="C12" s="3" t="s">
        <v>38</v>
      </c>
      <c r="D12" s="3">
        <v>9</v>
      </c>
      <c r="E12" s="3"/>
      <c r="F12" s="3"/>
      <c r="G12">
        <v>2.8400000000000002E-2</v>
      </c>
      <c r="H12">
        <v>0.1396</v>
      </c>
      <c r="I12">
        <v>8.6800000000000002E-2</v>
      </c>
      <c r="J12">
        <v>4.9399999999999999E-2</v>
      </c>
      <c r="K12">
        <v>0.24540000000000001</v>
      </c>
      <c r="L12">
        <v>0.72399999999999998</v>
      </c>
      <c r="M12">
        <v>1.02</v>
      </c>
      <c r="N12">
        <v>2.2103999999999999</v>
      </c>
    </row>
    <row r="13" spans="1:14" ht="15" x14ac:dyDescent="0.25">
      <c r="A13" s="166"/>
      <c r="B13" s="166"/>
      <c r="C13" s="166"/>
      <c r="D13" s="166"/>
      <c r="E13" s="5" t="s">
        <v>178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66</v>
      </c>
      <c r="D14" s="3">
        <v>9</v>
      </c>
      <c r="E14" s="3"/>
      <c r="F14" s="3"/>
      <c r="G14">
        <v>7.7200000000000005E-2</v>
      </c>
      <c r="H14">
        <v>9.0999999999999998E-2</v>
      </c>
      <c r="I14">
        <v>0.1449</v>
      </c>
      <c r="J14">
        <v>0.10249999999999999</v>
      </c>
      <c r="K14">
        <v>0.24160000000000001</v>
      </c>
      <c r="L14">
        <v>0.3085</v>
      </c>
      <c r="M14">
        <v>0.91249999999999998</v>
      </c>
      <c r="N14">
        <v>1.0810999999999999</v>
      </c>
    </row>
    <row r="15" spans="1:14" ht="15" x14ac:dyDescent="0.25">
      <c r="A15" s="162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2.6200000000000001E-2</v>
      </c>
      <c r="H15">
        <v>0.1421</v>
      </c>
      <c r="I15">
        <v>9.2100000000000001E-2</v>
      </c>
      <c r="J15">
        <v>5.6300000000000003E-2</v>
      </c>
      <c r="K15">
        <v>0.2379</v>
      </c>
      <c r="L15">
        <v>0.32940000000000003</v>
      </c>
      <c r="M15">
        <v>0.9083</v>
      </c>
      <c r="N15">
        <v>1.1215999999999999</v>
      </c>
    </row>
    <row r="16" spans="1:14" ht="15" x14ac:dyDescent="0.25">
      <c r="A16" s="162"/>
      <c r="B16" s="3">
        <f t="shared" si="1"/>
        <v>12</v>
      </c>
      <c r="C16" s="3" t="s">
        <v>30</v>
      </c>
      <c r="D16" s="3">
        <v>4</v>
      </c>
      <c r="E16" s="3"/>
      <c r="F16" s="15"/>
      <c r="G16">
        <v>2.1299999999999999E-2</v>
      </c>
      <c r="H16">
        <v>0.1467</v>
      </c>
      <c r="I16">
        <v>8.7400000000000005E-2</v>
      </c>
      <c r="J16">
        <v>5.2200000000000003E-2</v>
      </c>
      <c r="K16">
        <v>0.24079999999999999</v>
      </c>
      <c r="L16">
        <v>0.33210000000000001</v>
      </c>
      <c r="M16">
        <v>0.89990000000000003</v>
      </c>
      <c r="N16">
        <v>1.1869000000000001</v>
      </c>
    </row>
    <row r="17" spans="1:14" ht="15" x14ac:dyDescent="0.25">
      <c r="A17" s="162"/>
      <c r="B17" s="3">
        <f t="shared" si="1"/>
        <v>13</v>
      </c>
      <c r="C17" s="3" t="s">
        <v>45</v>
      </c>
      <c r="D17" s="3">
        <v>4</v>
      </c>
      <c r="E17" s="3"/>
      <c r="F17" s="3"/>
      <c r="G17">
        <v>6.6500000000000004E-2</v>
      </c>
      <c r="H17">
        <v>0.1016</v>
      </c>
      <c r="I17">
        <v>0.12330000000000001</v>
      </c>
      <c r="J17">
        <v>8.0799999999999997E-2</v>
      </c>
      <c r="K17">
        <v>0.15679999999999999</v>
      </c>
      <c r="L17">
        <v>0.35139999999999999</v>
      </c>
      <c r="M17">
        <v>0.80279999999999996</v>
      </c>
      <c r="N17">
        <v>1.2635000000000001</v>
      </c>
    </row>
    <row r="18" spans="1:14" ht="15" x14ac:dyDescent="0.25">
      <c r="A18" s="162"/>
      <c r="B18" s="3">
        <f t="shared" si="1"/>
        <v>14</v>
      </c>
      <c r="C18" s="3" t="s">
        <v>17</v>
      </c>
      <c r="D18" s="3">
        <v>7</v>
      </c>
      <c r="E18" s="3"/>
      <c r="F18" s="3"/>
      <c r="G18">
        <v>3.9300000000000002E-2</v>
      </c>
      <c r="H18">
        <v>0.12870000000000001</v>
      </c>
      <c r="I18">
        <v>0.11609999999999999</v>
      </c>
      <c r="J18">
        <v>7.6999999999999999E-2</v>
      </c>
      <c r="K18">
        <v>0.18429999999999999</v>
      </c>
      <c r="L18">
        <v>0.3735</v>
      </c>
      <c r="M18">
        <v>0.84050000000000002</v>
      </c>
      <c r="N18">
        <v>1.3056000000000001</v>
      </c>
    </row>
    <row r="19" spans="1:14" ht="15" x14ac:dyDescent="0.25">
      <c r="A19" s="162"/>
      <c r="B19" s="3">
        <f t="shared" si="1"/>
        <v>15</v>
      </c>
      <c r="C19" s="3" t="s">
        <v>76</v>
      </c>
      <c r="D19" s="3">
        <v>11.5</v>
      </c>
      <c r="E19" s="3"/>
      <c r="F19" s="3"/>
      <c r="G19">
        <v>5.2299999999999999E-2</v>
      </c>
      <c r="H19">
        <v>0.1159</v>
      </c>
      <c r="I19">
        <v>0.1187</v>
      </c>
      <c r="J19">
        <v>7.8200000000000006E-2</v>
      </c>
      <c r="K19">
        <v>0.20619999999999999</v>
      </c>
      <c r="L19">
        <v>0.40039999999999998</v>
      </c>
      <c r="M19">
        <v>0.84209999999999996</v>
      </c>
      <c r="N19">
        <v>1.3029999999999999</v>
      </c>
    </row>
    <row r="20" spans="1:14" ht="15" x14ac:dyDescent="0.25">
      <c r="A20" s="162"/>
      <c r="B20" s="3">
        <f t="shared" si="1"/>
        <v>16</v>
      </c>
      <c r="C20" s="3" t="s">
        <v>38</v>
      </c>
      <c r="D20" s="3">
        <v>9</v>
      </c>
      <c r="E20" s="3"/>
      <c r="F20" s="3"/>
      <c r="G20">
        <v>3.6499999999999998E-2</v>
      </c>
      <c r="H20">
        <v>0.13170000000000001</v>
      </c>
      <c r="I20">
        <v>8.6999999999999994E-2</v>
      </c>
      <c r="J20">
        <v>4.8300000000000003E-2</v>
      </c>
      <c r="K20">
        <v>0.25119999999999998</v>
      </c>
      <c r="L20">
        <v>0.29699999999999999</v>
      </c>
      <c r="M20">
        <v>0.96689999999999998</v>
      </c>
      <c r="N20">
        <v>0.98919999999999997</v>
      </c>
    </row>
    <row r="21" spans="1:14" ht="15" x14ac:dyDescent="0.25">
      <c r="A21" s="162"/>
      <c r="B21" s="3">
        <f t="shared" si="1"/>
        <v>17</v>
      </c>
      <c r="C21" s="3" t="s">
        <v>76</v>
      </c>
      <c r="D21" s="3">
        <v>11</v>
      </c>
      <c r="E21" s="3"/>
      <c r="F21" s="3"/>
      <c r="G21">
        <v>1.21E-2</v>
      </c>
      <c r="H21">
        <v>0.15590000000000001</v>
      </c>
      <c r="I21">
        <v>5.4100000000000002E-2</v>
      </c>
      <c r="J21">
        <v>2.7E-2</v>
      </c>
      <c r="K21">
        <v>0.23730000000000001</v>
      </c>
      <c r="L21">
        <v>0.27510000000000001</v>
      </c>
      <c r="M21">
        <v>0.95109999999999995</v>
      </c>
      <c r="N21">
        <v>1.0145999999999999</v>
      </c>
    </row>
    <row r="22" spans="1:14" ht="15" x14ac:dyDescent="0.25">
      <c r="A22" s="162"/>
      <c r="B22" s="3">
        <f t="shared" si="1"/>
        <v>18</v>
      </c>
      <c r="C22" s="3" t="s">
        <v>38</v>
      </c>
      <c r="D22" s="3">
        <v>6</v>
      </c>
      <c r="E22" s="3"/>
      <c r="F22" s="3"/>
      <c r="G22">
        <v>9.4000000000000004E-3</v>
      </c>
      <c r="H22">
        <v>0.1588</v>
      </c>
      <c r="I22">
        <v>5.3499999999999999E-2</v>
      </c>
      <c r="J22">
        <v>2.9000000000000001E-2</v>
      </c>
      <c r="K22">
        <v>0.23710000000000001</v>
      </c>
      <c r="L22">
        <v>0.2863</v>
      </c>
      <c r="M22">
        <v>0.95799999999999996</v>
      </c>
      <c r="N22">
        <v>1.0173000000000001</v>
      </c>
    </row>
    <row r="23" spans="1:14" ht="15" x14ac:dyDescent="0.25">
      <c r="A23" s="166"/>
      <c r="B23" s="166"/>
      <c r="C23" s="166"/>
      <c r="D23" s="166"/>
      <c r="E23" s="5" t="s">
        <v>101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20</v>
      </c>
      <c r="D24" s="3">
        <v>7</v>
      </c>
      <c r="E24" s="3"/>
      <c r="F24" s="3"/>
      <c r="G24">
        <v>1.11E-2</v>
      </c>
      <c r="H24">
        <v>0.1573</v>
      </c>
      <c r="I24">
        <v>4.6199999999999998E-2</v>
      </c>
      <c r="J24">
        <v>2.5100000000000001E-2</v>
      </c>
      <c r="K24">
        <v>0.35439999999999999</v>
      </c>
      <c r="L24">
        <v>0.41139999999999999</v>
      </c>
      <c r="M24">
        <v>1.0538000000000001</v>
      </c>
      <c r="N24">
        <v>0.91820000000000002</v>
      </c>
    </row>
    <row r="25" spans="1:14" ht="15" x14ac:dyDescent="0.25">
      <c r="A25" s="162"/>
      <c r="B25" s="3">
        <f t="shared" ref="B25:B32" si="2">B24+1</f>
        <v>20</v>
      </c>
      <c r="C25" s="3" t="s">
        <v>89</v>
      </c>
      <c r="D25" s="3">
        <v>11.5</v>
      </c>
      <c r="E25" s="3"/>
      <c r="F25" s="3"/>
      <c r="G25">
        <v>1.1299999999999999E-2</v>
      </c>
      <c r="H25">
        <v>0.15679999999999999</v>
      </c>
      <c r="I25">
        <v>6.7500000000000004E-2</v>
      </c>
      <c r="J25">
        <v>3.78E-2</v>
      </c>
      <c r="K25">
        <v>0.36780000000000002</v>
      </c>
      <c r="L25">
        <v>0.43859999999999999</v>
      </c>
      <c r="M25">
        <v>0.99880000000000002</v>
      </c>
      <c r="N25">
        <v>0.91539999999999999</v>
      </c>
    </row>
    <row r="26" spans="1:14" ht="15" x14ac:dyDescent="0.25">
      <c r="A26" s="162"/>
      <c r="B26" s="3">
        <f t="shared" si="2"/>
        <v>21</v>
      </c>
      <c r="C26" s="3" t="s">
        <v>55</v>
      </c>
      <c r="D26" s="3">
        <v>15.5</v>
      </c>
      <c r="E26" s="3"/>
      <c r="F26" s="3"/>
      <c r="G26">
        <v>6.1999999999999998E-3</v>
      </c>
      <c r="H26">
        <v>0.16189999999999999</v>
      </c>
      <c r="I26">
        <v>5.3199999999999997E-2</v>
      </c>
      <c r="J26">
        <v>3.04E-2</v>
      </c>
      <c r="K26">
        <v>0.37119999999999997</v>
      </c>
      <c r="L26">
        <v>0.45760000000000001</v>
      </c>
      <c r="M26">
        <v>0.92949999999999999</v>
      </c>
      <c r="N26">
        <v>0.98080000000000001</v>
      </c>
    </row>
    <row r="27" spans="1:14" ht="15" x14ac:dyDescent="0.25">
      <c r="A27" s="162"/>
      <c r="B27" s="3">
        <f t="shared" si="2"/>
        <v>22</v>
      </c>
      <c r="C27" s="3" t="s">
        <v>24</v>
      </c>
      <c r="D27" s="3">
        <v>4</v>
      </c>
      <c r="E27" s="3"/>
      <c r="F27" s="3"/>
      <c r="G27">
        <v>2.9700000000000001E-2</v>
      </c>
      <c r="H27">
        <v>0.1384</v>
      </c>
      <c r="I27">
        <v>7.9899999999999999E-2</v>
      </c>
      <c r="J27">
        <v>4.2599999999999999E-2</v>
      </c>
      <c r="K27">
        <v>0.1865</v>
      </c>
      <c r="L27">
        <v>0.36020000000000002</v>
      </c>
      <c r="M27">
        <v>0.77600000000000002</v>
      </c>
      <c r="N27">
        <v>1.0306999999999999</v>
      </c>
    </row>
    <row r="28" spans="1:14" ht="15" x14ac:dyDescent="0.25">
      <c r="A28" s="162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2.6200000000000001E-2</v>
      </c>
      <c r="H28">
        <v>0.1419</v>
      </c>
      <c r="I28">
        <v>7.8E-2</v>
      </c>
      <c r="J28">
        <v>4.1099999999999998E-2</v>
      </c>
      <c r="K28">
        <v>0.17680000000000001</v>
      </c>
      <c r="L28">
        <v>0.36009999999999998</v>
      </c>
      <c r="M28">
        <v>0.77969999999999995</v>
      </c>
      <c r="N28">
        <v>1.0262</v>
      </c>
    </row>
    <row r="29" spans="1:14" ht="15" x14ac:dyDescent="0.25">
      <c r="A29" s="162"/>
      <c r="B29" s="3">
        <f t="shared" si="2"/>
        <v>24</v>
      </c>
      <c r="C29" s="3" t="s">
        <v>89</v>
      </c>
      <c r="D29" s="3">
        <v>13.5</v>
      </c>
      <c r="E29" s="3"/>
      <c r="F29" s="3"/>
      <c r="G29">
        <v>9.2999999999999992E-3</v>
      </c>
      <c r="H29">
        <v>0.15920000000000001</v>
      </c>
      <c r="I29">
        <v>7.3300000000000004E-2</v>
      </c>
      <c r="J29">
        <v>4.4299999999999999E-2</v>
      </c>
      <c r="K29">
        <v>0.1719</v>
      </c>
      <c r="L29">
        <v>0.3735</v>
      </c>
      <c r="M29">
        <v>0.751</v>
      </c>
      <c r="N29">
        <v>1.0833999999999999</v>
      </c>
    </row>
    <row r="30" spans="1:14" ht="15" x14ac:dyDescent="0.25">
      <c r="A30" s="162"/>
      <c r="B30" s="3">
        <f t="shared" si="2"/>
        <v>25</v>
      </c>
      <c r="C30" s="3" t="s">
        <v>54</v>
      </c>
      <c r="D30" s="3">
        <v>5.5</v>
      </c>
      <c r="E30" s="3"/>
      <c r="F30" s="3"/>
      <c r="G30">
        <v>4.1000000000000002E-2</v>
      </c>
      <c r="H30">
        <v>0.127</v>
      </c>
      <c r="I30">
        <v>7.51E-2</v>
      </c>
      <c r="J30">
        <v>3.39E-2</v>
      </c>
      <c r="K30">
        <v>7.2499999999999995E-2</v>
      </c>
      <c r="L30">
        <v>0.41649999999999998</v>
      </c>
      <c r="M30">
        <v>0.48130000000000001</v>
      </c>
      <c r="N30">
        <v>1.2361</v>
      </c>
    </row>
    <row r="31" spans="1:14" ht="15" x14ac:dyDescent="0.25">
      <c r="A31" s="162"/>
      <c r="B31" s="3">
        <f t="shared" si="2"/>
        <v>26</v>
      </c>
      <c r="C31" s="3" t="s">
        <v>55</v>
      </c>
      <c r="D31" s="3">
        <v>10.5</v>
      </c>
      <c r="E31" s="3"/>
      <c r="F31" s="3"/>
      <c r="G31">
        <v>4.4499999999999998E-2</v>
      </c>
      <c r="H31">
        <v>0.1236</v>
      </c>
      <c r="I31">
        <v>0.13039999999999999</v>
      </c>
      <c r="J31">
        <v>9.11E-2</v>
      </c>
      <c r="K31">
        <v>8.9200000000000002E-2</v>
      </c>
      <c r="L31">
        <v>0.43419999999999997</v>
      </c>
      <c r="M31">
        <v>0.48349999999999999</v>
      </c>
      <c r="N31">
        <v>1.323</v>
      </c>
    </row>
    <row r="32" spans="1:14" ht="15" x14ac:dyDescent="0.25">
      <c r="A32" s="162"/>
      <c r="B32" s="3">
        <f t="shared" si="2"/>
        <v>27</v>
      </c>
      <c r="C32" s="3" t="s">
        <v>166</v>
      </c>
      <c r="D32" s="3">
        <v>10</v>
      </c>
      <c r="E32" s="3"/>
      <c r="F32" s="3"/>
      <c r="G32">
        <v>6.3600000000000004E-2</v>
      </c>
      <c r="H32">
        <v>0.1045</v>
      </c>
      <c r="I32">
        <v>0.1295</v>
      </c>
      <c r="J32">
        <v>8.7599999999999997E-2</v>
      </c>
      <c r="K32">
        <v>6.6199999999999995E-2</v>
      </c>
      <c r="L32">
        <v>0.42709999999999998</v>
      </c>
      <c r="M32">
        <v>0.50349999999999995</v>
      </c>
      <c r="N32">
        <v>1.31</v>
      </c>
    </row>
    <row r="33" spans="1:14" ht="15" x14ac:dyDescent="0.25">
      <c r="A33" s="166"/>
      <c r="B33" s="166"/>
      <c r="C33" s="166"/>
      <c r="D33" s="166"/>
      <c r="E33" s="5" t="s">
        <v>92</v>
      </c>
      <c r="F33" s="5" t="s">
        <v>175</v>
      </c>
    </row>
    <row r="34" spans="1:14" ht="15" x14ac:dyDescent="0.25">
      <c r="A34" s="162" t="s">
        <v>152</v>
      </c>
      <c r="B34" s="3">
        <f>B32+1</f>
        <v>28</v>
      </c>
      <c r="C34" s="3" t="s">
        <v>48</v>
      </c>
      <c r="D34" s="3">
        <v>1.5</v>
      </c>
      <c r="E34" s="3"/>
      <c r="F34" s="3"/>
      <c r="G34">
        <v>7.7499999999999999E-2</v>
      </c>
      <c r="H34">
        <v>9.06E-2</v>
      </c>
      <c r="I34">
        <v>0.13100000000000001</v>
      </c>
      <c r="J34">
        <v>8.7499999999999994E-2</v>
      </c>
      <c r="K34">
        <v>0.26679999999999998</v>
      </c>
      <c r="L34">
        <v>0.25219999999999998</v>
      </c>
      <c r="M34">
        <v>0.98280000000000001</v>
      </c>
      <c r="N34">
        <v>0.90080000000000005</v>
      </c>
    </row>
    <row r="35" spans="1:14" ht="15" x14ac:dyDescent="0.25">
      <c r="A35" s="162"/>
      <c r="B35" s="3">
        <f t="shared" ref="B35:B42" si="3">B34+1</f>
        <v>29</v>
      </c>
      <c r="C35" s="3" t="s">
        <v>62</v>
      </c>
      <c r="D35" s="3">
        <v>5.5</v>
      </c>
      <c r="E35" s="3"/>
      <c r="F35" s="3"/>
      <c r="G35">
        <v>5.0999999999999997E-2</v>
      </c>
      <c r="H35">
        <v>0.1171</v>
      </c>
      <c r="I35">
        <v>0.1139</v>
      </c>
      <c r="J35">
        <v>7.2800000000000004E-2</v>
      </c>
      <c r="K35">
        <v>0.27010000000000001</v>
      </c>
      <c r="L35">
        <v>0.247</v>
      </c>
      <c r="M35">
        <v>0.98150000000000004</v>
      </c>
      <c r="N35">
        <v>0.91549999999999998</v>
      </c>
    </row>
    <row r="36" spans="1:14" ht="15" x14ac:dyDescent="0.25">
      <c r="A36" s="162"/>
      <c r="B36" s="3">
        <f t="shared" si="3"/>
        <v>30</v>
      </c>
      <c r="C36" s="3" t="s">
        <v>21</v>
      </c>
      <c r="D36" s="3">
        <v>6</v>
      </c>
      <c r="E36" s="3"/>
      <c r="F36" s="3"/>
      <c r="G36">
        <v>1.8200000000000001E-2</v>
      </c>
      <c r="H36">
        <v>0.14979999999999999</v>
      </c>
      <c r="I36">
        <v>6.1400000000000003E-2</v>
      </c>
      <c r="J36">
        <v>2.8500000000000001E-2</v>
      </c>
      <c r="K36">
        <v>0.26069999999999999</v>
      </c>
      <c r="L36">
        <v>0.2296</v>
      </c>
      <c r="M36">
        <v>0.97899999999999998</v>
      </c>
      <c r="N36">
        <v>0.92969999999999997</v>
      </c>
    </row>
    <row r="37" spans="1:14" ht="15" x14ac:dyDescent="0.25">
      <c r="A37" s="162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4.58E-2</v>
      </c>
      <c r="H37">
        <v>0.12230000000000001</v>
      </c>
      <c r="I37">
        <v>0.10290000000000001</v>
      </c>
      <c r="J37">
        <v>6.25E-2</v>
      </c>
      <c r="K37">
        <v>0.23810000000000001</v>
      </c>
      <c r="L37">
        <v>0.29349999999999998</v>
      </c>
      <c r="M37">
        <v>0.93440000000000001</v>
      </c>
      <c r="N37">
        <v>0.92589999999999995</v>
      </c>
    </row>
    <row r="38" spans="1:14" ht="15" x14ac:dyDescent="0.25">
      <c r="A38" s="162"/>
      <c r="B38" s="3">
        <f t="shared" si="3"/>
        <v>32</v>
      </c>
      <c r="C38" s="3" t="s">
        <v>38</v>
      </c>
      <c r="D38" s="3">
        <v>6</v>
      </c>
      <c r="E38" s="3"/>
      <c r="F38" s="3"/>
      <c r="G38">
        <v>4.9799999999999997E-2</v>
      </c>
      <c r="H38">
        <v>0.11840000000000001</v>
      </c>
      <c r="I38">
        <v>0.10489999999999999</v>
      </c>
      <c r="J38">
        <v>6.4100000000000004E-2</v>
      </c>
      <c r="K38">
        <v>0.2263</v>
      </c>
      <c r="L38">
        <v>0.30249999999999999</v>
      </c>
      <c r="M38">
        <v>0.9113</v>
      </c>
      <c r="N38">
        <v>0.98709999999999998</v>
      </c>
    </row>
    <row r="39" spans="1:14" ht="15" x14ac:dyDescent="0.25">
      <c r="A39" s="162"/>
      <c r="B39" s="3">
        <f t="shared" si="3"/>
        <v>33</v>
      </c>
      <c r="C39" s="3" t="s">
        <v>89</v>
      </c>
      <c r="D39" s="3">
        <v>12</v>
      </c>
      <c r="E39" s="3"/>
      <c r="F39" s="3"/>
      <c r="G39">
        <v>2.8799999999999999E-2</v>
      </c>
      <c r="H39">
        <v>0.1394</v>
      </c>
      <c r="I39">
        <v>0.1033</v>
      </c>
      <c r="J39">
        <v>6.6600000000000006E-2</v>
      </c>
      <c r="K39">
        <v>0.21529999999999999</v>
      </c>
      <c r="L39">
        <v>0.28670000000000001</v>
      </c>
      <c r="M39">
        <v>0.87770000000000004</v>
      </c>
      <c r="N39">
        <v>0.97909999999999997</v>
      </c>
    </row>
    <row r="40" spans="1:14" ht="15" x14ac:dyDescent="0.25">
      <c r="A40" s="162"/>
      <c r="B40" s="3">
        <f t="shared" si="3"/>
        <v>34</v>
      </c>
      <c r="C40" s="3" t="s">
        <v>48</v>
      </c>
      <c r="D40" s="3">
        <v>1</v>
      </c>
      <c r="E40" s="6"/>
      <c r="F40" s="6"/>
      <c r="G40">
        <v>4.07E-2</v>
      </c>
      <c r="H40">
        <v>0.12740000000000001</v>
      </c>
      <c r="I40">
        <v>0.09</v>
      </c>
      <c r="J40">
        <v>4.9700000000000001E-2</v>
      </c>
      <c r="K40">
        <v>0.16200000000000001</v>
      </c>
      <c r="L40">
        <v>0.32850000000000001</v>
      </c>
      <c r="M40">
        <v>0.82679999999999998</v>
      </c>
      <c r="N40">
        <v>1.1514</v>
      </c>
    </row>
    <row r="41" spans="1:14" ht="15" x14ac:dyDescent="0.25">
      <c r="A41" s="162"/>
      <c r="B41" s="3">
        <f t="shared" si="3"/>
        <v>35</v>
      </c>
      <c r="C41" s="3" t="s">
        <v>38</v>
      </c>
      <c r="D41" s="3">
        <v>4</v>
      </c>
      <c r="E41" s="6"/>
      <c r="F41" s="6"/>
      <c r="G41">
        <v>3.1199999999999999E-2</v>
      </c>
      <c r="H41">
        <v>0.1368</v>
      </c>
      <c r="I41">
        <v>8.2900000000000001E-2</v>
      </c>
      <c r="J41">
        <v>4.4900000000000002E-2</v>
      </c>
      <c r="K41">
        <v>0.1628</v>
      </c>
      <c r="L41">
        <v>0.32569999999999999</v>
      </c>
      <c r="M41">
        <v>0.82630000000000003</v>
      </c>
      <c r="N41">
        <v>1.1657</v>
      </c>
    </row>
    <row r="42" spans="1:14" ht="15" x14ac:dyDescent="0.25">
      <c r="A42" s="162"/>
      <c r="B42" s="7">
        <f t="shared" si="3"/>
        <v>36</v>
      </c>
      <c r="C42" s="7" t="s">
        <v>70</v>
      </c>
      <c r="D42" s="7">
        <v>6.5</v>
      </c>
      <c r="E42" s="8"/>
      <c r="F42" s="8"/>
      <c r="G42">
        <v>7.0199999999999999E-2</v>
      </c>
      <c r="H42">
        <v>9.7799999999999998E-2</v>
      </c>
      <c r="I42">
        <v>0.13880000000000001</v>
      </c>
      <c r="J42">
        <v>9.64E-2</v>
      </c>
      <c r="K42">
        <v>0.16389999999999999</v>
      </c>
      <c r="L42">
        <v>0.33329999999999999</v>
      </c>
      <c r="M42">
        <v>0.86370000000000002</v>
      </c>
      <c r="N42">
        <v>1.1692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C5" sqref="C5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89</v>
      </c>
      <c r="D4" s="3">
        <v>15</v>
      </c>
      <c r="E4" s="3" t="s">
        <v>133</v>
      </c>
      <c r="F4" s="3"/>
      <c r="G4">
        <v>9.4999999999999998E-3</v>
      </c>
      <c r="H4">
        <v>0.1585</v>
      </c>
      <c r="I4">
        <v>3.1600000000000003E-2</v>
      </c>
      <c r="J4">
        <v>2.2499999999999999E-2</v>
      </c>
      <c r="K4">
        <v>0.24560000000000001</v>
      </c>
      <c r="L4">
        <v>0.31769999999999998</v>
      </c>
      <c r="M4">
        <v>0.78559999999999997</v>
      </c>
      <c r="N4">
        <v>0.89970000000000006</v>
      </c>
    </row>
    <row r="5" spans="1:14" ht="15" x14ac:dyDescent="0.25">
      <c r="A5" s="162"/>
      <c r="B5" s="3">
        <f t="shared" ref="B5:B12" si="0">B4+1</f>
        <v>2</v>
      </c>
      <c r="C5" s="14" t="s">
        <v>74</v>
      </c>
      <c r="D5" s="3">
        <v>22</v>
      </c>
      <c r="E5" s="3"/>
      <c r="F5" s="3"/>
      <c r="G5">
        <v>3.1300000000000001E-2</v>
      </c>
      <c r="H5">
        <v>0.13700000000000001</v>
      </c>
      <c r="I5">
        <v>6.7299999999999999E-2</v>
      </c>
      <c r="J5">
        <v>2.75E-2</v>
      </c>
      <c r="K5">
        <v>0.22739999999999999</v>
      </c>
      <c r="L5">
        <v>0.2848</v>
      </c>
      <c r="M5">
        <v>0.77110000000000001</v>
      </c>
      <c r="N5">
        <v>0.89829999999999999</v>
      </c>
    </row>
    <row r="6" spans="1:14" ht="15" x14ac:dyDescent="0.25">
      <c r="A6" s="162"/>
      <c r="B6" s="3">
        <f t="shared" si="0"/>
        <v>3</v>
      </c>
      <c r="C6" s="3" t="s">
        <v>70</v>
      </c>
      <c r="D6" s="3">
        <v>8</v>
      </c>
      <c r="E6" s="3"/>
      <c r="F6" s="3"/>
      <c r="G6">
        <v>3.6600000000000001E-2</v>
      </c>
      <c r="H6">
        <v>0.13150000000000001</v>
      </c>
      <c r="I6">
        <v>5.8400000000000001E-2</v>
      </c>
      <c r="J6">
        <v>1.6400000000000001E-2</v>
      </c>
      <c r="K6">
        <v>0.25490000000000002</v>
      </c>
      <c r="L6">
        <v>0.31640000000000001</v>
      </c>
      <c r="M6">
        <v>0.76239999999999997</v>
      </c>
      <c r="N6">
        <v>0.87960000000000005</v>
      </c>
    </row>
    <row r="7" spans="1:14" ht="15" x14ac:dyDescent="0.25">
      <c r="A7" s="162"/>
      <c r="B7" s="3">
        <f t="shared" si="0"/>
        <v>4</v>
      </c>
      <c r="C7" s="3" t="s">
        <v>65</v>
      </c>
      <c r="D7" s="3">
        <v>10</v>
      </c>
      <c r="E7" s="3"/>
      <c r="F7" s="3"/>
      <c r="G7">
        <v>2.18E-2</v>
      </c>
      <c r="H7">
        <v>0.1462</v>
      </c>
      <c r="I7">
        <v>4.9099999999999998E-2</v>
      </c>
      <c r="J7">
        <v>1.6400000000000001E-2</v>
      </c>
      <c r="K7">
        <v>0.1731</v>
      </c>
      <c r="L7">
        <v>0.32690000000000002</v>
      </c>
      <c r="M7">
        <v>0.73350000000000004</v>
      </c>
      <c r="N7">
        <v>0.95199999999999996</v>
      </c>
    </row>
    <row r="8" spans="1:14" ht="15" x14ac:dyDescent="0.25">
      <c r="A8" s="162"/>
      <c r="B8" s="3">
        <f t="shared" si="0"/>
        <v>5</v>
      </c>
      <c r="C8" s="3" t="s">
        <v>31</v>
      </c>
      <c r="D8" s="3">
        <v>10</v>
      </c>
      <c r="E8" s="3"/>
      <c r="F8" s="3"/>
      <c r="G8">
        <v>1.1900000000000001E-2</v>
      </c>
      <c r="H8">
        <v>0.1565</v>
      </c>
      <c r="I8">
        <v>2.58E-2</v>
      </c>
      <c r="J8">
        <v>2.53E-2</v>
      </c>
      <c r="K8">
        <v>0.15679999999999999</v>
      </c>
      <c r="L8">
        <v>0.34079999999999999</v>
      </c>
      <c r="M8">
        <v>0.70220000000000005</v>
      </c>
      <c r="N8">
        <v>0.98060000000000003</v>
      </c>
    </row>
    <row r="9" spans="1:14" ht="15" x14ac:dyDescent="0.25">
      <c r="A9" s="162"/>
      <c r="B9" s="3">
        <f t="shared" si="0"/>
        <v>6</v>
      </c>
      <c r="C9" s="3" t="s">
        <v>100</v>
      </c>
      <c r="D9" s="3">
        <v>20</v>
      </c>
      <c r="E9" s="3"/>
      <c r="F9" s="3"/>
      <c r="G9">
        <v>6.7000000000000002E-3</v>
      </c>
      <c r="H9">
        <v>0.1613</v>
      </c>
      <c r="I9">
        <v>2.35E-2</v>
      </c>
      <c r="J9">
        <v>2.7300000000000001E-2</v>
      </c>
      <c r="K9">
        <v>0.17419999999999999</v>
      </c>
      <c r="L9">
        <v>0.33950000000000002</v>
      </c>
      <c r="M9">
        <v>0.6845</v>
      </c>
      <c r="N9">
        <v>0.98199999999999998</v>
      </c>
    </row>
    <row r="10" spans="1:14" ht="15" x14ac:dyDescent="0.25">
      <c r="A10" s="162"/>
      <c r="B10" s="3">
        <f t="shared" si="0"/>
        <v>7</v>
      </c>
      <c r="C10" s="3" t="s">
        <v>35</v>
      </c>
      <c r="D10" s="3">
        <v>5.5</v>
      </c>
      <c r="E10" s="3"/>
      <c r="F10" s="3"/>
      <c r="G10">
        <v>2.6200000000000001E-2</v>
      </c>
      <c r="H10">
        <v>0.1421</v>
      </c>
      <c r="I10">
        <v>5.2699999999999997E-2</v>
      </c>
      <c r="J10">
        <v>1.55E-2</v>
      </c>
      <c r="K10">
        <v>0.16980000000000001</v>
      </c>
      <c r="L10">
        <v>0.32940000000000003</v>
      </c>
      <c r="M10">
        <v>0.70279999999999998</v>
      </c>
      <c r="N10">
        <v>1.0034000000000001</v>
      </c>
    </row>
    <row r="11" spans="1:14" ht="15" x14ac:dyDescent="0.25">
      <c r="A11" s="162"/>
      <c r="B11" s="3">
        <f t="shared" si="0"/>
        <v>8</v>
      </c>
      <c r="C11" s="3" t="s">
        <v>24</v>
      </c>
      <c r="D11" s="3">
        <v>8</v>
      </c>
      <c r="E11" s="3"/>
      <c r="F11" s="3"/>
      <c r="G11">
        <v>1.3899999999999999E-2</v>
      </c>
      <c r="H11">
        <v>0.1542</v>
      </c>
      <c r="I11">
        <v>3.3099999999999997E-2</v>
      </c>
      <c r="J11">
        <v>1.8499999999999999E-2</v>
      </c>
      <c r="K11">
        <v>0.15160000000000001</v>
      </c>
      <c r="L11">
        <v>0.35</v>
      </c>
      <c r="M11">
        <v>0.71250000000000002</v>
      </c>
      <c r="N11">
        <v>0.99670000000000003</v>
      </c>
    </row>
    <row r="12" spans="1:14" ht="15" x14ac:dyDescent="0.25">
      <c r="A12" s="162"/>
      <c r="B12" s="3">
        <f t="shared" si="0"/>
        <v>9</v>
      </c>
      <c r="C12" s="3" t="s">
        <v>25</v>
      </c>
      <c r="D12" s="3">
        <v>12</v>
      </c>
      <c r="E12" s="3"/>
      <c r="F12" s="3"/>
      <c r="G12">
        <v>1.2E-2</v>
      </c>
      <c r="H12">
        <v>0.156</v>
      </c>
      <c r="I12">
        <v>1.84E-2</v>
      </c>
      <c r="J12">
        <v>2.8000000000000001E-2</v>
      </c>
      <c r="K12">
        <v>0.15459999999999999</v>
      </c>
      <c r="L12">
        <v>0.35320000000000001</v>
      </c>
      <c r="M12">
        <v>0.69</v>
      </c>
      <c r="N12">
        <v>0.99219999999999997</v>
      </c>
    </row>
    <row r="13" spans="1:14" ht="15" x14ac:dyDescent="0.25">
      <c r="A13" s="166"/>
      <c r="B13" s="166"/>
      <c r="C13" s="166"/>
      <c r="D13" s="166"/>
      <c r="E13" s="5" t="s">
        <v>179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105</v>
      </c>
      <c r="D14" s="3">
        <v>50</v>
      </c>
      <c r="E14" s="3"/>
      <c r="F14" s="3"/>
      <c r="G14">
        <v>3.4299999999999997E-2</v>
      </c>
      <c r="H14">
        <v>0.20230000000000001</v>
      </c>
      <c r="I14">
        <v>3.8399999999999997E-2</v>
      </c>
      <c r="J14">
        <v>8.3099999999999993E-2</v>
      </c>
      <c r="K14">
        <v>0.25729999999999997</v>
      </c>
      <c r="L14">
        <v>0.25340000000000001</v>
      </c>
      <c r="M14">
        <v>0.91449999999999998</v>
      </c>
      <c r="N14">
        <v>0.89800000000000002</v>
      </c>
    </row>
    <row r="15" spans="1:14" ht="15" x14ac:dyDescent="0.25">
      <c r="A15" s="162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3.1899999999999998E-2</v>
      </c>
      <c r="H15">
        <v>0.19989999999999999</v>
      </c>
      <c r="I15">
        <v>3.56E-2</v>
      </c>
      <c r="J15">
        <v>8.0299999999999996E-2</v>
      </c>
      <c r="K15">
        <v>0.22750000000000001</v>
      </c>
      <c r="L15">
        <v>0.26240000000000002</v>
      </c>
      <c r="M15">
        <v>0.95240000000000002</v>
      </c>
      <c r="N15">
        <v>0.87490000000000001</v>
      </c>
    </row>
    <row r="16" spans="1:14" ht="15" x14ac:dyDescent="0.25">
      <c r="A16" s="162"/>
      <c r="B16" s="3">
        <f t="shared" si="1"/>
        <v>12</v>
      </c>
      <c r="C16" s="3" t="s">
        <v>64</v>
      </c>
      <c r="D16" s="3">
        <v>5</v>
      </c>
      <c r="E16" s="3"/>
      <c r="F16" s="15"/>
      <c r="G16">
        <v>3.4200000000000001E-2</v>
      </c>
      <c r="H16">
        <v>0.20230000000000001</v>
      </c>
      <c r="I16">
        <v>3.8100000000000002E-2</v>
      </c>
      <c r="J16">
        <v>8.2799999999999999E-2</v>
      </c>
      <c r="K16">
        <v>0.2359</v>
      </c>
      <c r="L16">
        <v>0.25259999999999999</v>
      </c>
      <c r="M16">
        <v>0.98629999999999995</v>
      </c>
      <c r="N16">
        <v>0.85260000000000002</v>
      </c>
    </row>
    <row r="17" spans="1:14" ht="15" x14ac:dyDescent="0.25">
      <c r="A17" s="162"/>
      <c r="B17" s="3">
        <f t="shared" si="1"/>
        <v>13</v>
      </c>
      <c r="C17" s="3" t="s">
        <v>43</v>
      </c>
      <c r="D17" s="3">
        <v>24</v>
      </c>
      <c r="E17" s="3"/>
      <c r="F17" s="3"/>
      <c r="G17">
        <v>1.7299999999999999E-2</v>
      </c>
      <c r="H17">
        <v>0.1852</v>
      </c>
      <c r="I17">
        <v>2.3300000000000001E-2</v>
      </c>
      <c r="J17">
        <v>6.8000000000000005E-2</v>
      </c>
      <c r="K17">
        <v>0.23280000000000001</v>
      </c>
      <c r="L17">
        <v>0.28389999999999999</v>
      </c>
      <c r="M17">
        <v>0.91869999999999996</v>
      </c>
      <c r="N17">
        <v>0.96350000000000002</v>
      </c>
    </row>
    <row r="18" spans="1:14" ht="15" x14ac:dyDescent="0.25">
      <c r="A18" s="162"/>
      <c r="B18" s="3">
        <f t="shared" si="1"/>
        <v>14</v>
      </c>
      <c r="C18" s="3" t="s">
        <v>34</v>
      </c>
      <c r="D18" s="3">
        <v>11</v>
      </c>
      <c r="E18" s="3"/>
      <c r="F18" s="3"/>
      <c r="G18">
        <v>1.2999999999999999E-3</v>
      </c>
      <c r="H18">
        <v>0.1676</v>
      </c>
      <c r="I18">
        <v>9.9000000000000008E-3</v>
      </c>
      <c r="J18">
        <v>3.8399999999999997E-2</v>
      </c>
      <c r="K18">
        <v>0.2258</v>
      </c>
      <c r="L18">
        <v>0.28360000000000002</v>
      </c>
      <c r="M18">
        <v>0.89459999999999995</v>
      </c>
      <c r="N18">
        <v>0.95389999999999997</v>
      </c>
    </row>
    <row r="19" spans="1:14" ht="15" x14ac:dyDescent="0.25">
      <c r="A19" s="162"/>
      <c r="B19" s="3">
        <f t="shared" si="1"/>
        <v>15</v>
      </c>
      <c r="C19" s="3" t="s">
        <v>27</v>
      </c>
      <c r="D19" s="3">
        <v>15</v>
      </c>
      <c r="E19" s="3"/>
      <c r="F19" s="3"/>
      <c r="G19">
        <v>1.5E-3</v>
      </c>
      <c r="H19">
        <v>0.1694</v>
      </c>
      <c r="I19">
        <v>7.9000000000000008E-3</v>
      </c>
      <c r="J19">
        <v>4.1599999999999998E-2</v>
      </c>
      <c r="K19">
        <v>0.20469999999999999</v>
      </c>
      <c r="L19">
        <v>0.28010000000000002</v>
      </c>
      <c r="M19">
        <v>0.88049999999999995</v>
      </c>
      <c r="N19">
        <v>0.96899999999999997</v>
      </c>
    </row>
    <row r="20" spans="1:14" ht="15" x14ac:dyDescent="0.25">
      <c r="A20" s="162"/>
      <c r="B20" s="3">
        <f t="shared" si="1"/>
        <v>16</v>
      </c>
      <c r="C20" s="3" t="s">
        <v>105</v>
      </c>
      <c r="D20" s="3">
        <v>19</v>
      </c>
      <c r="E20" s="3"/>
      <c r="F20" s="3"/>
      <c r="G20">
        <v>2.58E-2</v>
      </c>
      <c r="H20">
        <v>0.19389999999999999</v>
      </c>
      <c r="I20">
        <v>2.8000000000000001E-2</v>
      </c>
      <c r="J20">
        <v>7.2400000000000006E-2</v>
      </c>
      <c r="K20">
        <v>0.17180000000000001</v>
      </c>
      <c r="L20">
        <v>0.31950000000000001</v>
      </c>
      <c r="M20">
        <v>0.81789999999999996</v>
      </c>
      <c r="N20">
        <v>0.96489999999999998</v>
      </c>
    </row>
    <row r="21" spans="1:14" ht="15" x14ac:dyDescent="0.25">
      <c r="A21" s="162"/>
      <c r="B21" s="3">
        <f t="shared" si="1"/>
        <v>17</v>
      </c>
      <c r="C21" s="3" t="s">
        <v>108</v>
      </c>
      <c r="D21" s="3">
        <v>16.5</v>
      </c>
      <c r="E21" s="3"/>
      <c r="F21" s="3"/>
      <c r="G21">
        <v>1.6899999999999998E-2</v>
      </c>
      <c r="H21">
        <v>0.18490000000000001</v>
      </c>
      <c r="I21">
        <v>1.6500000000000001E-2</v>
      </c>
      <c r="J21">
        <v>5.9900000000000002E-2</v>
      </c>
      <c r="K21">
        <v>0.1721</v>
      </c>
      <c r="L21">
        <v>0.3281</v>
      </c>
      <c r="M21">
        <v>0.79730000000000001</v>
      </c>
      <c r="N21">
        <v>0.98499999999999999</v>
      </c>
    </row>
    <row r="22" spans="1:14" ht="15" x14ac:dyDescent="0.25">
      <c r="A22" s="162"/>
      <c r="B22" s="3">
        <f t="shared" si="1"/>
        <v>18</v>
      </c>
      <c r="C22" s="3" t="s">
        <v>94</v>
      </c>
      <c r="D22" s="3">
        <v>11</v>
      </c>
      <c r="E22" s="3"/>
      <c r="F22" s="3"/>
      <c r="G22">
        <v>1.7600000000000001E-2</v>
      </c>
      <c r="H22">
        <v>0.18559999999999999</v>
      </c>
      <c r="I22">
        <v>1.7600000000000001E-2</v>
      </c>
      <c r="J22">
        <v>6.1499999999999999E-2</v>
      </c>
      <c r="K22">
        <v>0.1885</v>
      </c>
      <c r="L22">
        <v>0.3377</v>
      </c>
      <c r="M22">
        <v>0.79690000000000005</v>
      </c>
      <c r="N22">
        <v>0.99560000000000004</v>
      </c>
    </row>
    <row r="23" spans="1:14" ht="15" x14ac:dyDescent="0.25">
      <c r="A23" s="166"/>
      <c r="B23" s="166"/>
      <c r="C23" s="166"/>
      <c r="D23" s="166"/>
      <c r="E23" s="5" t="s">
        <v>165</v>
      </c>
      <c r="F23" s="5"/>
    </row>
    <row r="24" spans="1:14" ht="15" x14ac:dyDescent="0.25">
      <c r="A24" s="162" t="s">
        <v>152</v>
      </c>
      <c r="B24" s="3">
        <f>B22+1</f>
        <v>19</v>
      </c>
      <c r="C24" s="3" t="s">
        <v>43</v>
      </c>
      <c r="D24" s="3">
        <v>36</v>
      </c>
      <c r="E24" s="3"/>
      <c r="F24" s="3"/>
      <c r="G24">
        <v>2.2200000000000001E-2</v>
      </c>
      <c r="H24">
        <v>0.19020000000000001</v>
      </c>
      <c r="I24">
        <v>2.5700000000000001E-2</v>
      </c>
      <c r="J24">
        <v>7.0300000000000001E-2</v>
      </c>
      <c r="K24">
        <v>0.24410000000000001</v>
      </c>
      <c r="L24">
        <v>0.35239999999999999</v>
      </c>
      <c r="M24">
        <v>0.65759999999999996</v>
      </c>
      <c r="N24">
        <v>0.96540000000000004</v>
      </c>
    </row>
    <row r="25" spans="1:14" ht="15" x14ac:dyDescent="0.25">
      <c r="A25" s="162"/>
      <c r="B25" s="3">
        <f t="shared" ref="B25:B32" si="2">B24+1</f>
        <v>20</v>
      </c>
      <c r="C25" s="3" t="s">
        <v>93</v>
      </c>
      <c r="D25" s="3">
        <v>10.5</v>
      </c>
      <c r="E25" s="3"/>
      <c r="F25" s="3"/>
      <c r="G25">
        <v>3.2099999999999997E-2</v>
      </c>
      <c r="H25">
        <v>0.2001</v>
      </c>
      <c r="I25">
        <v>3.3799999999999997E-2</v>
      </c>
      <c r="J25">
        <v>7.8299999999999995E-2</v>
      </c>
      <c r="K25">
        <v>0.20580000000000001</v>
      </c>
      <c r="L25">
        <v>0.31330000000000002</v>
      </c>
      <c r="M25">
        <v>0.70269999999999999</v>
      </c>
      <c r="N25">
        <v>0.93779999999999997</v>
      </c>
    </row>
    <row r="26" spans="1:14" ht="15" x14ac:dyDescent="0.25">
      <c r="A26" s="162"/>
      <c r="B26" s="3">
        <f t="shared" si="2"/>
        <v>21</v>
      </c>
      <c r="C26" s="3" t="s">
        <v>34</v>
      </c>
      <c r="D26" s="3">
        <v>15.5</v>
      </c>
      <c r="E26" s="3"/>
      <c r="F26" s="3"/>
      <c r="G26">
        <v>1.5299999999999999E-2</v>
      </c>
      <c r="H26">
        <v>0.18329999999999999</v>
      </c>
      <c r="I26">
        <v>1.43E-2</v>
      </c>
      <c r="J26">
        <v>5.5300000000000002E-2</v>
      </c>
      <c r="K26">
        <v>0.20480000000000001</v>
      </c>
      <c r="L26">
        <v>0.30709999999999998</v>
      </c>
      <c r="M26">
        <v>0.69089999999999996</v>
      </c>
      <c r="N26">
        <v>0.95720000000000005</v>
      </c>
    </row>
    <row r="27" spans="1:14" ht="15" x14ac:dyDescent="0.25">
      <c r="A27" s="162"/>
      <c r="B27" s="3">
        <f t="shared" si="2"/>
        <v>22</v>
      </c>
      <c r="C27" s="3" t="s">
        <v>30</v>
      </c>
      <c r="D27" s="3">
        <v>7.5</v>
      </c>
      <c r="E27" s="3"/>
      <c r="F27" s="3"/>
      <c r="G27">
        <v>1.44E-2</v>
      </c>
      <c r="H27">
        <v>0.18240000000000001</v>
      </c>
      <c r="I27">
        <v>1.2800000000000001E-2</v>
      </c>
      <c r="J27">
        <v>5.2499999999999998E-2</v>
      </c>
      <c r="K27">
        <v>0.25459999999999999</v>
      </c>
      <c r="L27">
        <v>0.41189999999999999</v>
      </c>
      <c r="M27">
        <v>0.5454</v>
      </c>
      <c r="N27">
        <v>1.0365</v>
      </c>
    </row>
    <row r="28" spans="1:14" ht="15" x14ac:dyDescent="0.25">
      <c r="A28" s="162"/>
      <c r="B28" s="3">
        <f t="shared" si="2"/>
        <v>23</v>
      </c>
      <c r="C28" s="3" t="s">
        <v>16</v>
      </c>
      <c r="D28" s="3">
        <v>11</v>
      </c>
      <c r="E28" s="3"/>
      <c r="F28" s="3"/>
      <c r="G28">
        <v>2.3300000000000001E-2</v>
      </c>
      <c r="H28">
        <v>0.19139999999999999</v>
      </c>
      <c r="I28">
        <v>2.2200000000000001E-2</v>
      </c>
      <c r="J28">
        <v>6.5699999999999995E-2</v>
      </c>
      <c r="K28">
        <v>0.1328</v>
      </c>
      <c r="L28">
        <v>0.3604</v>
      </c>
      <c r="M28">
        <v>0.55310000000000004</v>
      </c>
      <c r="N28">
        <v>1.0508</v>
      </c>
    </row>
    <row r="29" spans="1:14" ht="15" x14ac:dyDescent="0.25">
      <c r="A29" s="162"/>
      <c r="B29" s="3">
        <f t="shared" si="2"/>
        <v>24</v>
      </c>
      <c r="C29" s="3" t="s">
        <v>19</v>
      </c>
      <c r="D29" s="3">
        <v>13.5</v>
      </c>
      <c r="E29" s="3"/>
      <c r="F29" s="3" t="s">
        <v>180</v>
      </c>
      <c r="G29">
        <v>2.4500000000000001E-2</v>
      </c>
      <c r="H29">
        <v>0.1925</v>
      </c>
      <c r="I29">
        <v>2.5499999999999998E-2</v>
      </c>
      <c r="J29">
        <v>6.9800000000000001E-2</v>
      </c>
      <c r="K29">
        <v>0.125</v>
      </c>
      <c r="L29">
        <v>0.36099999999999999</v>
      </c>
      <c r="M29">
        <v>0.54059999999999997</v>
      </c>
      <c r="N29">
        <v>1.0616000000000001</v>
      </c>
    </row>
    <row r="30" spans="1:14" ht="15" x14ac:dyDescent="0.25">
      <c r="A30" s="162"/>
      <c r="B30" s="3">
        <f t="shared" si="2"/>
        <v>25</v>
      </c>
      <c r="C30" s="3" t="s">
        <v>80</v>
      </c>
      <c r="D30" s="3">
        <v>8</v>
      </c>
      <c r="E30" s="3"/>
      <c r="F30" s="3"/>
      <c r="G30">
        <v>8.6E-3</v>
      </c>
      <c r="H30">
        <v>0.17649999999999999</v>
      </c>
      <c r="I30">
        <v>9.5999999999999992E-3</v>
      </c>
      <c r="J30">
        <v>5.21E-2</v>
      </c>
      <c r="K30">
        <v>8.48E-2</v>
      </c>
      <c r="L30">
        <v>0.40010000000000001</v>
      </c>
      <c r="M30">
        <v>0.4657</v>
      </c>
      <c r="N30">
        <v>1.1214</v>
      </c>
    </row>
    <row r="31" spans="1:14" ht="15" x14ac:dyDescent="0.25">
      <c r="A31" s="162"/>
      <c r="B31" s="3">
        <f t="shared" si="2"/>
        <v>26</v>
      </c>
      <c r="C31" s="3" t="s">
        <v>37</v>
      </c>
      <c r="D31" s="3">
        <v>4.5</v>
      </c>
      <c r="E31" s="3"/>
      <c r="F31" s="3"/>
      <c r="G31">
        <v>1.7899999999999999E-2</v>
      </c>
      <c r="H31">
        <v>0.186</v>
      </c>
      <c r="I31">
        <v>1.5100000000000001E-2</v>
      </c>
      <c r="J31">
        <v>5.5800000000000002E-2</v>
      </c>
      <c r="K31">
        <v>9.9199999999999997E-2</v>
      </c>
      <c r="L31">
        <v>0.39539999999999997</v>
      </c>
      <c r="M31">
        <v>0.47349999999999998</v>
      </c>
      <c r="N31">
        <v>1.1162000000000001</v>
      </c>
    </row>
    <row r="32" spans="1:14" ht="15" x14ac:dyDescent="0.25">
      <c r="A32" s="162"/>
      <c r="B32" s="3">
        <f t="shared" si="2"/>
        <v>27</v>
      </c>
      <c r="C32" s="3" t="s">
        <v>36</v>
      </c>
      <c r="D32" s="3">
        <v>5.5</v>
      </c>
      <c r="E32" s="3"/>
      <c r="F32" s="3"/>
      <c r="G32">
        <v>1.77E-2</v>
      </c>
      <c r="H32">
        <v>0.1857</v>
      </c>
      <c r="I32">
        <v>1.6299999999999999E-2</v>
      </c>
      <c r="J32">
        <v>5.1700000000000003E-2</v>
      </c>
      <c r="K32">
        <v>8.7999999999999995E-2</v>
      </c>
      <c r="L32">
        <v>0.3987</v>
      </c>
      <c r="M32">
        <v>0.46139999999999998</v>
      </c>
      <c r="N32">
        <v>1.1254999999999999</v>
      </c>
    </row>
    <row r="33" spans="1:14" ht="15" x14ac:dyDescent="0.25">
      <c r="A33" s="166"/>
      <c r="B33" s="166"/>
      <c r="C33" s="166"/>
      <c r="D33" s="166"/>
      <c r="E33" s="5" t="s">
        <v>92</v>
      </c>
      <c r="F33" s="5"/>
    </row>
    <row r="34" spans="1:14" ht="15" x14ac:dyDescent="0.25">
      <c r="A34" s="162" t="s">
        <v>152</v>
      </c>
      <c r="B34" s="3">
        <f>B32+1</f>
        <v>28</v>
      </c>
      <c r="C34" s="3" t="s">
        <v>36</v>
      </c>
      <c r="D34" s="3">
        <v>5</v>
      </c>
      <c r="E34" s="3"/>
      <c r="F34" s="3"/>
      <c r="G34">
        <v>2.5999999999999999E-3</v>
      </c>
      <c r="H34">
        <v>0.16930000000000001</v>
      </c>
      <c r="I34">
        <v>1.6899999999999998E-2</v>
      </c>
      <c r="J34">
        <v>3.7400000000000003E-2</v>
      </c>
      <c r="K34">
        <v>0.2084</v>
      </c>
      <c r="L34">
        <v>0.32329999999999998</v>
      </c>
      <c r="M34">
        <v>0.71650000000000003</v>
      </c>
      <c r="N34">
        <v>0.99050000000000005</v>
      </c>
    </row>
    <row r="35" spans="1:14" ht="15" x14ac:dyDescent="0.25">
      <c r="A35" s="162"/>
      <c r="B35" s="3">
        <f t="shared" ref="B35:B42" si="3">B34+1</f>
        <v>29</v>
      </c>
      <c r="C35" s="3" t="s">
        <v>30</v>
      </c>
      <c r="D35" s="3">
        <v>6</v>
      </c>
      <c r="E35" s="3"/>
      <c r="F35" s="3"/>
      <c r="G35">
        <v>2.12E-2</v>
      </c>
      <c r="H35">
        <v>0.18920000000000001</v>
      </c>
      <c r="I35">
        <v>1.7999999999999999E-2</v>
      </c>
      <c r="J35">
        <v>5.6000000000000001E-2</v>
      </c>
      <c r="K35">
        <v>0.16309999999999999</v>
      </c>
      <c r="L35">
        <v>0.32279999999999998</v>
      </c>
      <c r="M35">
        <v>0.73219999999999996</v>
      </c>
      <c r="N35">
        <v>0.99790000000000001</v>
      </c>
    </row>
    <row r="36" spans="1:14" ht="15" x14ac:dyDescent="0.25">
      <c r="A36" s="162"/>
      <c r="B36" s="3">
        <f t="shared" si="3"/>
        <v>30</v>
      </c>
      <c r="C36" s="3" t="s">
        <v>21</v>
      </c>
      <c r="D36" s="3">
        <v>5.5</v>
      </c>
      <c r="E36" s="3"/>
      <c r="F36" s="3"/>
      <c r="G36">
        <v>2.5600000000000001E-2</v>
      </c>
      <c r="H36">
        <v>0.19359999999999999</v>
      </c>
      <c r="I36">
        <v>2.2800000000000001E-2</v>
      </c>
      <c r="J36">
        <v>6.5799999999999997E-2</v>
      </c>
      <c r="K36">
        <v>0.1615</v>
      </c>
      <c r="L36">
        <v>0.33600000000000002</v>
      </c>
      <c r="M36">
        <v>0.73440000000000005</v>
      </c>
      <c r="N36">
        <v>1.0196000000000001</v>
      </c>
    </row>
    <row r="37" spans="1:14" ht="15" x14ac:dyDescent="0.25">
      <c r="A37" s="162"/>
      <c r="B37" s="3">
        <f t="shared" si="3"/>
        <v>31</v>
      </c>
      <c r="C37" s="3" t="s">
        <v>23</v>
      </c>
      <c r="D37" s="3">
        <v>32</v>
      </c>
      <c r="E37" s="3"/>
      <c r="F37" s="3"/>
      <c r="G37">
        <v>1.09E-2</v>
      </c>
      <c r="H37">
        <v>0.1789</v>
      </c>
      <c r="I37">
        <v>1.09E-2</v>
      </c>
      <c r="J37">
        <v>5.2299999999999999E-2</v>
      </c>
      <c r="K37">
        <v>0.13350000000000001</v>
      </c>
      <c r="L37">
        <v>0.3574</v>
      </c>
      <c r="M37">
        <v>0.69689999999999996</v>
      </c>
      <c r="N37">
        <v>0.99939999999999996</v>
      </c>
    </row>
    <row r="38" spans="1:14" ht="15" x14ac:dyDescent="0.25">
      <c r="A38" s="162"/>
      <c r="B38" s="3">
        <f t="shared" si="3"/>
        <v>32</v>
      </c>
      <c r="C38" s="3" t="s">
        <v>21</v>
      </c>
      <c r="D38" s="3">
        <v>3.5</v>
      </c>
      <c r="E38" s="3"/>
      <c r="F38" s="3"/>
      <c r="G38">
        <v>6.7999999999999996E-3</v>
      </c>
      <c r="H38">
        <v>0.17469999999999999</v>
      </c>
      <c r="I38">
        <v>1.24E-2</v>
      </c>
      <c r="J38">
        <v>4.3799999999999999E-2</v>
      </c>
      <c r="K38">
        <v>0.1227</v>
      </c>
      <c r="L38">
        <v>0.3624</v>
      </c>
      <c r="M38">
        <v>0.6502</v>
      </c>
      <c r="N38">
        <v>1.0353000000000001</v>
      </c>
    </row>
    <row r="39" spans="1:14" ht="15" x14ac:dyDescent="0.25">
      <c r="A39" s="162"/>
      <c r="B39" s="3">
        <f t="shared" si="3"/>
        <v>33</v>
      </c>
      <c r="C39" s="3" t="s">
        <v>66</v>
      </c>
      <c r="D39" s="3">
        <v>3.5</v>
      </c>
      <c r="E39" s="3"/>
      <c r="F39" s="3"/>
      <c r="G39">
        <v>1.17E-2</v>
      </c>
      <c r="H39">
        <v>0.17960000000000001</v>
      </c>
      <c r="I39">
        <v>1.24E-2</v>
      </c>
      <c r="J39">
        <v>5.0200000000000002E-2</v>
      </c>
      <c r="K39">
        <v>0.1192</v>
      </c>
      <c r="L39">
        <v>0.36549999999999999</v>
      </c>
      <c r="M39">
        <v>0.61650000000000005</v>
      </c>
      <c r="N39">
        <v>1.0565</v>
      </c>
    </row>
    <row r="40" spans="1:14" ht="15" x14ac:dyDescent="0.25">
      <c r="A40" s="162"/>
      <c r="B40" s="3">
        <f t="shared" si="3"/>
        <v>34</v>
      </c>
      <c r="C40" s="3" t="s">
        <v>17</v>
      </c>
      <c r="D40" s="3">
        <v>6.5</v>
      </c>
      <c r="E40" s="6"/>
      <c r="F40" s="6" t="s">
        <v>181</v>
      </c>
      <c r="G40">
        <v>1.7399999999999999E-2</v>
      </c>
      <c r="H40">
        <v>0.18529999999999999</v>
      </c>
      <c r="I40">
        <v>1.6799999999999999E-2</v>
      </c>
      <c r="J40">
        <v>5.8900000000000001E-2</v>
      </c>
      <c r="K40">
        <v>0.2321</v>
      </c>
      <c r="L40">
        <v>0.29670000000000002</v>
      </c>
      <c r="M40">
        <v>0.79730000000000001</v>
      </c>
      <c r="N40">
        <v>0.94010000000000005</v>
      </c>
    </row>
    <row r="41" spans="1:14" ht="15" x14ac:dyDescent="0.25">
      <c r="A41" s="162"/>
      <c r="B41" s="3">
        <f t="shared" si="3"/>
        <v>35</v>
      </c>
      <c r="C41" s="3" t="s">
        <v>48</v>
      </c>
      <c r="D41" s="3">
        <v>1</v>
      </c>
      <c r="E41" s="6"/>
      <c r="F41" s="6"/>
      <c r="G41">
        <v>2.5899999999999999E-2</v>
      </c>
      <c r="H41">
        <v>0.19389999999999999</v>
      </c>
      <c r="I41">
        <v>2.24E-2</v>
      </c>
      <c r="J41">
        <v>6.4899999999999999E-2</v>
      </c>
      <c r="K41">
        <v>0.24890000000000001</v>
      </c>
      <c r="L41">
        <v>0.29649999999999999</v>
      </c>
      <c r="M41">
        <v>0.78290000000000004</v>
      </c>
      <c r="N41">
        <v>0.94950000000000001</v>
      </c>
    </row>
    <row r="42" spans="1:14" ht="15" x14ac:dyDescent="0.25">
      <c r="A42" s="162"/>
      <c r="B42" s="7">
        <f t="shared" si="3"/>
        <v>36</v>
      </c>
      <c r="C42" s="7" t="s">
        <v>24</v>
      </c>
      <c r="D42" s="7">
        <v>5</v>
      </c>
      <c r="E42" s="8"/>
      <c r="F42" s="8"/>
      <c r="G42">
        <v>1.6299999999999999E-2</v>
      </c>
      <c r="H42">
        <v>0.18429999999999999</v>
      </c>
      <c r="I42">
        <v>1.6500000000000001E-2</v>
      </c>
      <c r="J42">
        <v>4.9500000000000002E-2</v>
      </c>
      <c r="K42">
        <v>0.2026</v>
      </c>
      <c r="L42">
        <v>0.2858</v>
      </c>
      <c r="M42">
        <v>0.77969999999999995</v>
      </c>
      <c r="N42">
        <v>0.96330000000000005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12" sqref="D12"/>
    </sheetView>
  </sheetViews>
  <sheetFormatPr baseColWidth="10" defaultRowHeight="13.2" x14ac:dyDescent="0.25"/>
  <sheetData>
    <row r="1" spans="1:14" ht="17.399999999999999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399999999999999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2" t="s">
        <v>152</v>
      </c>
      <c r="B4" s="3">
        <v>1</v>
      </c>
      <c r="C4" s="3" t="s">
        <v>26</v>
      </c>
      <c r="D4" s="3">
        <v>12</v>
      </c>
      <c r="E4" s="3" t="s">
        <v>133</v>
      </c>
      <c r="F4" s="3"/>
      <c r="G4">
        <v>6.1999999999999998E-3</v>
      </c>
      <c r="H4">
        <v>0.1618</v>
      </c>
      <c r="I4">
        <v>3.3E-3</v>
      </c>
      <c r="J4">
        <v>4.1599999999999998E-2</v>
      </c>
      <c r="K4">
        <v>0.1832</v>
      </c>
      <c r="L4">
        <v>0.31659999999999999</v>
      </c>
      <c r="M4">
        <v>0.86980000000000002</v>
      </c>
      <c r="N4">
        <v>0.75670000000000004</v>
      </c>
    </row>
    <row r="5" spans="1:14" ht="15" x14ac:dyDescent="0.25">
      <c r="A5" s="162"/>
      <c r="B5" s="3">
        <f t="shared" ref="B5:B12" si="0">B4+1</f>
        <v>2</v>
      </c>
      <c r="C5" s="14" t="s">
        <v>43</v>
      </c>
      <c r="D5" s="3">
        <v>17.5</v>
      </c>
      <c r="E5" s="3"/>
      <c r="F5" s="3"/>
      <c r="G5">
        <v>8.5000000000000006E-3</v>
      </c>
      <c r="H5">
        <v>0.15959999999999999</v>
      </c>
      <c r="I5">
        <v>5.7000000000000002E-3</v>
      </c>
      <c r="J5">
        <v>3.9199999999999999E-2</v>
      </c>
      <c r="K5">
        <v>0.27539999999999998</v>
      </c>
      <c r="L5">
        <v>0.35549999999999998</v>
      </c>
      <c r="M5">
        <v>0.8236</v>
      </c>
      <c r="N5">
        <v>0.75960000000000005</v>
      </c>
    </row>
    <row r="6" spans="1:14" ht="15" x14ac:dyDescent="0.25">
      <c r="A6" s="162"/>
      <c r="B6" s="3">
        <f t="shared" si="0"/>
        <v>3</v>
      </c>
      <c r="C6" s="3" t="s">
        <v>34</v>
      </c>
      <c r="D6" s="3">
        <v>15</v>
      </c>
      <c r="E6" s="3"/>
      <c r="F6" s="3"/>
      <c r="G6">
        <v>1.6299999999999999E-2</v>
      </c>
      <c r="H6">
        <v>0.1517</v>
      </c>
      <c r="I6">
        <v>1.4200000000000001E-2</v>
      </c>
      <c r="J6">
        <v>3.0700000000000002E-2</v>
      </c>
      <c r="K6">
        <v>0.22539999999999999</v>
      </c>
      <c r="L6">
        <v>0.31530000000000002</v>
      </c>
      <c r="M6">
        <v>0.83350000000000002</v>
      </c>
      <c r="N6">
        <v>0.75609999999999999</v>
      </c>
    </row>
    <row r="7" spans="1:14" ht="15" x14ac:dyDescent="0.25">
      <c r="A7" s="162"/>
      <c r="B7" s="3">
        <f t="shared" si="0"/>
        <v>4</v>
      </c>
      <c r="C7" s="3" t="s">
        <v>33</v>
      </c>
      <c r="D7" s="3">
        <v>29</v>
      </c>
      <c r="E7" s="3"/>
      <c r="F7" s="3"/>
      <c r="G7">
        <v>2.81E-2</v>
      </c>
      <c r="H7">
        <v>0.1399</v>
      </c>
      <c r="I7">
        <v>2.5899999999999999E-2</v>
      </c>
      <c r="J7">
        <v>1.9099999999999999E-2</v>
      </c>
      <c r="K7">
        <v>0.14499999999999999</v>
      </c>
      <c r="L7">
        <v>0.34660000000000002</v>
      </c>
      <c r="M7">
        <v>0.75860000000000005</v>
      </c>
      <c r="N7">
        <v>0.83199999999999996</v>
      </c>
    </row>
    <row r="8" spans="1:14" ht="15" x14ac:dyDescent="0.25">
      <c r="A8" s="162"/>
      <c r="B8" s="3">
        <f t="shared" si="0"/>
        <v>5</v>
      </c>
      <c r="C8" s="3" t="s">
        <v>16</v>
      </c>
      <c r="D8" s="3">
        <v>10.5</v>
      </c>
      <c r="E8" s="3"/>
      <c r="F8" s="3"/>
      <c r="G8">
        <v>8.0000000000000004E-4</v>
      </c>
      <c r="H8">
        <v>0.16719999999999999</v>
      </c>
      <c r="I8">
        <v>4.4000000000000003E-3</v>
      </c>
      <c r="J8">
        <v>4.9200000000000001E-2</v>
      </c>
      <c r="K8">
        <v>0.13669999999999999</v>
      </c>
      <c r="L8">
        <v>0.3659</v>
      </c>
      <c r="M8">
        <v>0.74809999999999999</v>
      </c>
      <c r="N8">
        <v>0.8639</v>
      </c>
    </row>
    <row r="9" spans="1:14" ht="15" x14ac:dyDescent="0.25">
      <c r="A9" s="162"/>
      <c r="B9" s="3">
        <f t="shared" si="0"/>
        <v>6</v>
      </c>
      <c r="C9" s="3" t="s">
        <v>70</v>
      </c>
      <c r="D9" s="3">
        <v>7.5</v>
      </c>
      <c r="E9" s="3"/>
      <c r="F9" s="3"/>
      <c r="G9">
        <v>1.8100000000000002E-2</v>
      </c>
      <c r="H9">
        <v>0.18609999999999999</v>
      </c>
      <c r="I9">
        <v>2.0400000000000001E-2</v>
      </c>
      <c r="J9">
        <v>6.5000000000000002E-2</v>
      </c>
      <c r="K9">
        <v>0.1338</v>
      </c>
      <c r="L9">
        <v>0.3518</v>
      </c>
      <c r="M9">
        <v>0.7036</v>
      </c>
      <c r="N9">
        <v>0.88519999999999999</v>
      </c>
    </row>
    <row r="10" spans="1:14" ht="15" x14ac:dyDescent="0.25">
      <c r="A10" s="162"/>
      <c r="B10" s="3">
        <f t="shared" si="0"/>
        <v>7</v>
      </c>
      <c r="C10" s="3" t="s">
        <v>103</v>
      </c>
      <c r="D10" s="3">
        <v>50</v>
      </c>
      <c r="E10" s="3"/>
      <c r="F10" s="3" t="s">
        <v>182</v>
      </c>
      <c r="G10">
        <v>4.3E-3</v>
      </c>
      <c r="H10">
        <v>0.17230000000000001</v>
      </c>
      <c r="I10">
        <v>9.7000000000000003E-3</v>
      </c>
      <c r="J10">
        <v>4.2700000000000002E-2</v>
      </c>
      <c r="K10">
        <v>0.31569999999999998</v>
      </c>
      <c r="L10">
        <v>0.4365</v>
      </c>
      <c r="M10">
        <v>0.65410000000000001</v>
      </c>
      <c r="N10">
        <v>0.90569999999999995</v>
      </c>
    </row>
    <row r="11" spans="1:14" ht="15" x14ac:dyDescent="0.25">
      <c r="A11" s="162"/>
      <c r="B11" s="3">
        <f t="shared" si="0"/>
        <v>8</v>
      </c>
      <c r="C11" s="3" t="s">
        <v>14</v>
      </c>
      <c r="D11" s="3">
        <v>49</v>
      </c>
      <c r="E11" s="3"/>
      <c r="F11" s="3"/>
      <c r="G11">
        <v>1.44E-2</v>
      </c>
      <c r="H11">
        <v>0.15359999999999999</v>
      </c>
      <c r="I11">
        <v>2.0299999999999999E-2</v>
      </c>
      <c r="J11">
        <v>2.58E-2</v>
      </c>
      <c r="K11">
        <v>0.26440000000000002</v>
      </c>
      <c r="L11">
        <v>0.42420000000000002</v>
      </c>
      <c r="M11">
        <v>0.67090000000000005</v>
      </c>
      <c r="N11">
        <v>0.88780000000000003</v>
      </c>
    </row>
    <row r="12" spans="1:14" ht="15" x14ac:dyDescent="0.25">
      <c r="A12" s="162"/>
      <c r="B12" s="3">
        <f t="shared" si="0"/>
        <v>9</v>
      </c>
      <c r="C12" s="3" t="s">
        <v>96</v>
      </c>
      <c r="D12" s="3">
        <v>10.5</v>
      </c>
      <c r="E12" s="3"/>
      <c r="F12" s="3"/>
      <c r="G12">
        <v>2.52E-2</v>
      </c>
      <c r="H12">
        <v>0.14280000000000001</v>
      </c>
      <c r="I12">
        <v>3.2500000000000001E-2</v>
      </c>
      <c r="J12">
        <v>1.3100000000000001E-2</v>
      </c>
      <c r="K12">
        <v>0.12609999999999999</v>
      </c>
      <c r="L12">
        <v>0.36549999999999999</v>
      </c>
      <c r="M12">
        <v>0.66859999999999997</v>
      </c>
      <c r="N12">
        <v>0.90700000000000003</v>
      </c>
    </row>
    <row r="13" spans="1:14" ht="15" x14ac:dyDescent="0.25">
      <c r="A13" s="166"/>
      <c r="B13" s="166"/>
      <c r="C13" s="166"/>
      <c r="D13" s="166"/>
      <c r="E13" s="5" t="s">
        <v>92</v>
      </c>
      <c r="F13" s="5"/>
    </row>
    <row r="14" spans="1:14" ht="15" x14ac:dyDescent="0.25">
      <c r="A14" s="162" t="s">
        <v>152</v>
      </c>
      <c r="B14" s="3">
        <f>B12+1</f>
        <v>10</v>
      </c>
      <c r="C14" s="3" t="s">
        <v>23</v>
      </c>
      <c r="D14" s="3">
        <v>17.5</v>
      </c>
      <c r="E14" s="3"/>
      <c r="F14" s="3"/>
      <c r="G14">
        <v>7.9000000000000008E-3</v>
      </c>
      <c r="H14">
        <v>0.1759</v>
      </c>
      <c r="I14">
        <v>1.38E-2</v>
      </c>
      <c r="J14">
        <v>5.8599999999999999E-2</v>
      </c>
      <c r="K14">
        <v>0.44519999999999998</v>
      </c>
      <c r="L14">
        <v>0.35959999999999998</v>
      </c>
      <c r="M14">
        <v>1.0105</v>
      </c>
      <c r="N14">
        <v>0.72909999999999997</v>
      </c>
    </row>
    <row r="15" spans="1:14" ht="15" x14ac:dyDescent="0.25">
      <c r="A15" s="162"/>
      <c r="B15" s="3">
        <f t="shared" ref="B15:B22" si="1">B14+1</f>
        <v>11</v>
      </c>
      <c r="C15" s="3" t="s">
        <v>40</v>
      </c>
      <c r="D15" s="3">
        <v>27</v>
      </c>
      <c r="E15" s="3"/>
      <c r="F15" s="3"/>
      <c r="G15">
        <v>1.17E-2</v>
      </c>
      <c r="H15">
        <v>0.1797</v>
      </c>
      <c r="I15">
        <v>1.7999999999999999E-2</v>
      </c>
      <c r="J15">
        <v>6.2899999999999998E-2</v>
      </c>
      <c r="K15">
        <v>0.41360000000000002</v>
      </c>
      <c r="L15">
        <v>0.33239999999999997</v>
      </c>
      <c r="M15">
        <v>1.0339</v>
      </c>
      <c r="N15">
        <v>0.68810000000000004</v>
      </c>
    </row>
    <row r="16" spans="1:14" ht="15" x14ac:dyDescent="0.25">
      <c r="A16" s="162"/>
      <c r="B16" s="3">
        <f t="shared" si="1"/>
        <v>12</v>
      </c>
      <c r="C16" s="3" t="s">
        <v>14</v>
      </c>
      <c r="D16" s="3">
        <v>27</v>
      </c>
      <c r="E16" s="3"/>
      <c r="F16" s="15"/>
      <c r="G16">
        <v>2.07E-2</v>
      </c>
      <c r="H16">
        <v>0.18859999999999999</v>
      </c>
      <c r="I16">
        <v>1.95E-2</v>
      </c>
      <c r="J16">
        <v>6.3500000000000001E-2</v>
      </c>
      <c r="K16">
        <v>0.31419999999999998</v>
      </c>
      <c r="L16">
        <v>0.2369</v>
      </c>
      <c r="M16">
        <v>1.0429999999999999</v>
      </c>
      <c r="N16">
        <v>0.73050000000000004</v>
      </c>
    </row>
    <row r="17" spans="1:14" ht="15" x14ac:dyDescent="0.25">
      <c r="A17" s="162"/>
      <c r="B17" s="3">
        <f t="shared" si="1"/>
        <v>13</v>
      </c>
      <c r="C17" s="3" t="s">
        <v>14</v>
      </c>
      <c r="D17" s="3">
        <v>30</v>
      </c>
      <c r="E17" s="3"/>
      <c r="F17" s="3"/>
      <c r="G17">
        <v>1.0500000000000001E-2</v>
      </c>
      <c r="H17">
        <v>0.1575</v>
      </c>
      <c r="I17">
        <v>1.0500000000000001E-2</v>
      </c>
      <c r="J17">
        <v>3.4500000000000003E-2</v>
      </c>
      <c r="K17">
        <v>0.35759999999999997</v>
      </c>
      <c r="L17">
        <v>0.27179999999999999</v>
      </c>
      <c r="M17">
        <v>1.0186999999999999</v>
      </c>
      <c r="N17">
        <v>0.75380000000000003</v>
      </c>
    </row>
    <row r="18" spans="1:14" ht="15" x14ac:dyDescent="0.25">
      <c r="A18" s="162"/>
      <c r="B18" s="3">
        <f t="shared" si="1"/>
        <v>14</v>
      </c>
      <c r="C18" s="3" t="s">
        <v>17</v>
      </c>
      <c r="D18" s="3">
        <v>9</v>
      </c>
      <c r="E18" s="3"/>
      <c r="F18" s="3"/>
      <c r="G18">
        <v>8.3999999999999995E-3</v>
      </c>
      <c r="H18">
        <v>0.15959999999999999</v>
      </c>
      <c r="I18">
        <v>8.5000000000000006E-3</v>
      </c>
      <c r="J18">
        <v>3.6700000000000003E-2</v>
      </c>
      <c r="K18">
        <v>0.24759999999999999</v>
      </c>
      <c r="L18">
        <v>0.23719999999999999</v>
      </c>
      <c r="M18">
        <v>1.0193000000000001</v>
      </c>
      <c r="N18">
        <v>0.80310000000000004</v>
      </c>
    </row>
    <row r="19" spans="1:14" ht="15" x14ac:dyDescent="0.25">
      <c r="A19" s="162"/>
      <c r="B19" s="3">
        <f t="shared" si="1"/>
        <v>15</v>
      </c>
      <c r="C19" s="3" t="s">
        <v>37</v>
      </c>
      <c r="D19" s="3">
        <v>5</v>
      </c>
      <c r="E19" s="3"/>
      <c r="F19" s="3"/>
      <c r="G19">
        <v>5.1000000000000004E-3</v>
      </c>
      <c r="H19">
        <v>0.16289999999999999</v>
      </c>
      <c r="I19">
        <v>4.4000000000000003E-3</v>
      </c>
      <c r="J19">
        <v>4.0899999999999999E-2</v>
      </c>
      <c r="K19">
        <v>0.2442</v>
      </c>
      <c r="L19">
        <v>0.24229999999999999</v>
      </c>
      <c r="M19">
        <v>0.99150000000000005</v>
      </c>
      <c r="N19">
        <v>0.80630000000000002</v>
      </c>
    </row>
    <row r="20" spans="1:14" ht="15" x14ac:dyDescent="0.25">
      <c r="A20" s="162"/>
      <c r="B20" s="3">
        <f t="shared" si="1"/>
        <v>16</v>
      </c>
      <c r="C20" s="3" t="s">
        <v>45</v>
      </c>
      <c r="D20" s="3">
        <v>5</v>
      </c>
      <c r="E20" s="3"/>
      <c r="F20" s="3"/>
      <c r="G20">
        <v>3.8999999999999998E-3</v>
      </c>
      <c r="H20">
        <v>0.16420000000000001</v>
      </c>
      <c r="I20">
        <v>9.7999999999999997E-3</v>
      </c>
      <c r="J20">
        <v>3.7600000000000001E-2</v>
      </c>
      <c r="K20">
        <v>0.2732</v>
      </c>
      <c r="L20">
        <v>0.25790000000000002</v>
      </c>
      <c r="M20">
        <v>0.97940000000000005</v>
      </c>
      <c r="N20">
        <v>0.83189999999999997</v>
      </c>
    </row>
    <row r="21" spans="1:14" ht="15" x14ac:dyDescent="0.25">
      <c r="A21" s="162"/>
      <c r="B21" s="3">
        <f t="shared" si="1"/>
        <v>17</v>
      </c>
      <c r="C21" s="3" t="s">
        <v>141</v>
      </c>
      <c r="D21" s="3">
        <v>10</v>
      </c>
      <c r="E21" s="3"/>
      <c r="F21" s="3"/>
      <c r="G21">
        <v>2.3E-3</v>
      </c>
      <c r="H21">
        <v>0.1658</v>
      </c>
      <c r="I21">
        <v>1.4E-2</v>
      </c>
      <c r="J21">
        <v>3.5799999999999998E-2</v>
      </c>
      <c r="K21">
        <v>0.2404</v>
      </c>
      <c r="L21">
        <v>0.26350000000000001</v>
      </c>
      <c r="M21">
        <v>0.99780000000000002</v>
      </c>
      <c r="N21">
        <v>0.85429999999999995</v>
      </c>
    </row>
    <row r="22" spans="1:14" ht="15" x14ac:dyDescent="0.25">
      <c r="A22" s="162"/>
      <c r="B22" s="3">
        <f t="shared" si="1"/>
        <v>18</v>
      </c>
      <c r="C22" s="3" t="s">
        <v>103</v>
      </c>
      <c r="D22" s="3">
        <v>50</v>
      </c>
      <c r="E22" s="3"/>
      <c r="F22" s="3" t="s">
        <v>182</v>
      </c>
      <c r="G22">
        <v>2.4E-2</v>
      </c>
      <c r="H22">
        <v>0.14410000000000001</v>
      </c>
      <c r="I22">
        <v>2.3199999999999998E-2</v>
      </c>
      <c r="J22">
        <v>2.18E-2</v>
      </c>
      <c r="K22">
        <v>0.24529999999999999</v>
      </c>
      <c r="L22">
        <v>0.26250000000000001</v>
      </c>
      <c r="M22">
        <v>0.97919999999999996</v>
      </c>
      <c r="N22">
        <v>0.81589999999999996</v>
      </c>
    </row>
    <row r="23" spans="1:14" ht="15" x14ac:dyDescent="0.25">
      <c r="A23" s="166"/>
      <c r="B23" s="166"/>
      <c r="C23" s="166"/>
      <c r="D23" s="166"/>
      <c r="E23" s="5" t="s">
        <v>165</v>
      </c>
      <c r="F23" s="5" t="s">
        <v>175</v>
      </c>
    </row>
    <row r="24" spans="1:14" ht="15" x14ac:dyDescent="0.25">
      <c r="A24" s="162" t="s">
        <v>152</v>
      </c>
      <c r="B24" s="3">
        <f>B22+1</f>
        <v>19</v>
      </c>
      <c r="C24" s="3" t="s">
        <v>103</v>
      </c>
      <c r="D24" s="3">
        <v>50</v>
      </c>
      <c r="E24" s="3"/>
      <c r="F24" s="3" t="s">
        <v>169</v>
      </c>
      <c r="G24">
        <v>1.09E-2</v>
      </c>
      <c r="H24">
        <v>0.1789</v>
      </c>
      <c r="I24">
        <v>1.1900000000000001E-2</v>
      </c>
      <c r="J24">
        <v>5.6000000000000001E-2</v>
      </c>
      <c r="K24">
        <v>0.30549999999999999</v>
      </c>
      <c r="L24">
        <v>0.18729999999999999</v>
      </c>
      <c r="M24">
        <v>1.1338999999999999</v>
      </c>
      <c r="N24">
        <v>0.63800000000000001</v>
      </c>
    </row>
    <row r="25" spans="1:14" ht="15" x14ac:dyDescent="0.25">
      <c r="A25" s="162"/>
      <c r="B25" s="3">
        <f t="shared" ref="B25:B32" si="2">B24+1</f>
        <v>20</v>
      </c>
      <c r="C25" s="3" t="s">
        <v>62</v>
      </c>
      <c r="D25" s="3">
        <v>4.5</v>
      </c>
      <c r="E25" s="3"/>
      <c r="F25" s="3"/>
      <c r="G25">
        <v>6.1000000000000004E-3</v>
      </c>
      <c r="H25">
        <v>0.1741</v>
      </c>
      <c r="I25">
        <v>7.1000000000000004E-3</v>
      </c>
      <c r="J25">
        <v>4.9599999999999998E-2</v>
      </c>
      <c r="K25">
        <v>0.28649999999999998</v>
      </c>
      <c r="L25">
        <v>0.19850000000000001</v>
      </c>
      <c r="M25">
        <v>1.1031</v>
      </c>
      <c r="N25">
        <v>0.66369999999999996</v>
      </c>
    </row>
    <row r="26" spans="1:14" ht="15" x14ac:dyDescent="0.25">
      <c r="A26" s="162"/>
      <c r="B26" s="3">
        <f t="shared" si="2"/>
        <v>21</v>
      </c>
      <c r="C26" s="3" t="s">
        <v>34</v>
      </c>
      <c r="D26" s="3">
        <v>11.5</v>
      </c>
      <c r="E26" s="3"/>
      <c r="F26" s="3"/>
      <c r="G26">
        <v>1.32E-2</v>
      </c>
      <c r="H26">
        <v>0.1812</v>
      </c>
      <c r="I26">
        <v>1.32E-2</v>
      </c>
      <c r="J26">
        <v>5.67E-2</v>
      </c>
      <c r="K26">
        <v>0.34389999999999998</v>
      </c>
      <c r="L26">
        <v>0.2321</v>
      </c>
      <c r="M26">
        <v>1.0749</v>
      </c>
      <c r="N26">
        <v>0.66300000000000003</v>
      </c>
    </row>
    <row r="27" spans="1:14" ht="15" x14ac:dyDescent="0.25">
      <c r="A27" s="162"/>
      <c r="B27" s="3">
        <f t="shared" si="2"/>
        <v>22</v>
      </c>
      <c r="C27" s="3" t="s">
        <v>37</v>
      </c>
      <c r="D27" s="3">
        <v>5.5</v>
      </c>
      <c r="E27" s="3"/>
      <c r="F27" s="3"/>
      <c r="G27">
        <v>1.1999999999999999E-3</v>
      </c>
      <c r="H27">
        <v>0.16830000000000001</v>
      </c>
      <c r="I27">
        <v>3.8999999999999998E-3</v>
      </c>
      <c r="J27">
        <v>4.5999999999999999E-2</v>
      </c>
      <c r="K27">
        <v>0.2631</v>
      </c>
      <c r="L27">
        <v>0.23080000000000001</v>
      </c>
      <c r="M27">
        <v>0.98760000000000003</v>
      </c>
      <c r="N27">
        <v>0.73060000000000003</v>
      </c>
    </row>
    <row r="28" spans="1:14" ht="15" x14ac:dyDescent="0.25">
      <c r="A28" s="162"/>
      <c r="B28" s="3">
        <f t="shared" si="2"/>
        <v>23</v>
      </c>
      <c r="C28" s="3" t="s">
        <v>76</v>
      </c>
      <c r="D28" s="3">
        <v>15</v>
      </c>
      <c r="E28" s="3"/>
      <c r="F28" s="3"/>
      <c r="G28">
        <v>3.1E-2</v>
      </c>
      <c r="H28">
        <v>0.13700000000000001</v>
      </c>
      <c r="I28">
        <v>3.7999999999999999E-2</v>
      </c>
      <c r="J28">
        <v>7.9000000000000008E-3</v>
      </c>
      <c r="K28">
        <v>0.2893</v>
      </c>
      <c r="L28">
        <v>0.2397</v>
      </c>
      <c r="M28">
        <v>0.98360000000000003</v>
      </c>
      <c r="N28">
        <v>0.71760000000000002</v>
      </c>
    </row>
    <row r="29" spans="1:14" ht="15" x14ac:dyDescent="0.25">
      <c r="A29" s="162"/>
      <c r="B29" s="3">
        <f t="shared" si="2"/>
        <v>24</v>
      </c>
      <c r="C29" s="3" t="s">
        <v>59</v>
      </c>
      <c r="D29" s="3">
        <v>13</v>
      </c>
      <c r="E29" s="3"/>
      <c r="F29" s="3"/>
      <c r="G29">
        <v>9.1000000000000004E-3</v>
      </c>
      <c r="H29">
        <v>0.15890000000000001</v>
      </c>
      <c r="I29">
        <v>5.7000000000000002E-3</v>
      </c>
      <c r="J29">
        <v>3.9199999999999999E-2</v>
      </c>
      <c r="K29">
        <v>0.43240000000000001</v>
      </c>
      <c r="L29">
        <v>0.3574</v>
      </c>
      <c r="M29">
        <v>0.97119999999999995</v>
      </c>
      <c r="N29">
        <v>0.71199999999999997</v>
      </c>
    </row>
    <row r="30" spans="1:14" ht="15" x14ac:dyDescent="0.25">
      <c r="A30" s="162"/>
      <c r="B30" s="3">
        <f t="shared" si="2"/>
        <v>25</v>
      </c>
      <c r="C30" s="3" t="s">
        <v>51</v>
      </c>
      <c r="D30" s="3">
        <v>9</v>
      </c>
      <c r="E30" s="3"/>
      <c r="F30" s="3"/>
      <c r="G30">
        <v>1.3899999999999999E-2</v>
      </c>
      <c r="H30">
        <v>0.18190000000000001</v>
      </c>
      <c r="I30">
        <v>1.52E-2</v>
      </c>
      <c r="J30">
        <v>5.9400000000000001E-2</v>
      </c>
      <c r="K30">
        <v>0.2399</v>
      </c>
      <c r="L30">
        <v>0.24490000000000001</v>
      </c>
      <c r="M30">
        <v>0.94420000000000004</v>
      </c>
      <c r="N30">
        <v>0.78649999999999998</v>
      </c>
    </row>
    <row r="31" spans="1:14" ht="15" x14ac:dyDescent="0.25">
      <c r="A31" s="162"/>
      <c r="B31" s="3">
        <f t="shared" si="2"/>
        <v>26</v>
      </c>
      <c r="C31" s="3" t="s">
        <v>69</v>
      </c>
      <c r="D31" s="3">
        <v>11</v>
      </c>
      <c r="E31" s="3"/>
      <c r="F31" s="3"/>
      <c r="G31">
        <v>1.04E-2</v>
      </c>
      <c r="H31">
        <v>0.15759999999999999</v>
      </c>
      <c r="I31">
        <v>8.6999999999999994E-3</v>
      </c>
      <c r="J31">
        <v>3.6200000000000003E-2</v>
      </c>
      <c r="K31">
        <v>0.23730000000000001</v>
      </c>
      <c r="L31">
        <v>0.25219999999999998</v>
      </c>
      <c r="M31">
        <v>0.93630000000000002</v>
      </c>
      <c r="N31">
        <v>0.78520000000000001</v>
      </c>
    </row>
    <row r="32" spans="1:14" ht="15" x14ac:dyDescent="0.25">
      <c r="A32" s="162"/>
      <c r="B32" s="3">
        <f t="shared" si="2"/>
        <v>27</v>
      </c>
      <c r="C32" s="3" t="s">
        <v>25</v>
      </c>
      <c r="D32" s="3">
        <v>13.5</v>
      </c>
      <c r="E32" s="3"/>
      <c r="F32" s="3"/>
      <c r="G32">
        <v>2.7699999999999999E-2</v>
      </c>
      <c r="H32">
        <v>0.1404</v>
      </c>
      <c r="I32">
        <v>2.4299999999999999E-2</v>
      </c>
      <c r="J32">
        <v>2.1100000000000001E-2</v>
      </c>
      <c r="K32">
        <v>0.33029999999999998</v>
      </c>
      <c r="L32">
        <v>0.32650000000000001</v>
      </c>
      <c r="M32">
        <v>0.8821</v>
      </c>
      <c r="N32">
        <v>0.79549999999999998</v>
      </c>
    </row>
    <row r="33" spans="1:14" ht="15" x14ac:dyDescent="0.25">
      <c r="A33" s="166"/>
      <c r="B33" s="166"/>
      <c r="C33" s="166"/>
      <c r="D33" s="166"/>
      <c r="E33" s="5" t="s">
        <v>165</v>
      </c>
      <c r="F33" s="5" t="s">
        <v>183</v>
      </c>
    </row>
    <row r="34" spans="1:14" ht="15" x14ac:dyDescent="0.25">
      <c r="A34" s="162" t="s">
        <v>152</v>
      </c>
      <c r="B34" s="3">
        <f>B32+1</f>
        <v>28</v>
      </c>
      <c r="C34" s="3" t="s">
        <v>18</v>
      </c>
      <c r="D34" s="3">
        <v>15.5</v>
      </c>
      <c r="E34" s="3"/>
      <c r="F34" s="3"/>
      <c r="G34">
        <v>4.7999999999999996E-3</v>
      </c>
      <c r="H34">
        <v>0.17280000000000001</v>
      </c>
      <c r="I34">
        <v>9.2999999999999992E-3</v>
      </c>
      <c r="J34">
        <v>4.4400000000000002E-2</v>
      </c>
      <c r="K34">
        <v>0.32340000000000002</v>
      </c>
      <c r="L34">
        <v>0.23150000000000001</v>
      </c>
      <c r="M34">
        <v>1.0255000000000001</v>
      </c>
      <c r="N34">
        <v>0.71850000000000003</v>
      </c>
    </row>
    <row r="35" spans="1:14" ht="15" x14ac:dyDescent="0.25">
      <c r="A35" s="162"/>
      <c r="B35" s="3">
        <f t="shared" ref="B35:B42" si="3">B34+1</f>
        <v>29</v>
      </c>
      <c r="C35" s="3" t="s">
        <v>25</v>
      </c>
      <c r="D35" s="3">
        <v>15.5</v>
      </c>
      <c r="E35" s="3"/>
      <c r="F35" s="3"/>
      <c r="G35">
        <v>7.9000000000000008E-3</v>
      </c>
      <c r="H35">
        <v>0.1759</v>
      </c>
      <c r="I35">
        <v>7.7000000000000002E-3</v>
      </c>
      <c r="J35">
        <v>5.0099999999999999E-2</v>
      </c>
      <c r="K35">
        <v>0.26650000000000001</v>
      </c>
      <c r="L35">
        <v>0.21890000000000001</v>
      </c>
      <c r="M35">
        <v>1.0422</v>
      </c>
      <c r="N35">
        <v>0.74129999999999996</v>
      </c>
    </row>
    <row r="36" spans="1:14" ht="15" x14ac:dyDescent="0.25">
      <c r="A36" s="162"/>
      <c r="B36" s="3">
        <f t="shared" si="3"/>
        <v>30</v>
      </c>
      <c r="C36" s="3" t="s">
        <v>62</v>
      </c>
      <c r="D36" s="3">
        <v>7</v>
      </c>
      <c r="E36" s="3"/>
      <c r="F36" s="3"/>
      <c r="G36">
        <v>7.9000000000000008E-3</v>
      </c>
      <c r="H36">
        <v>0.16009999999999999</v>
      </c>
      <c r="I36">
        <v>2.12E-2</v>
      </c>
      <c r="J36">
        <v>2.7799999999999998E-2</v>
      </c>
      <c r="K36">
        <v>0.30990000000000001</v>
      </c>
      <c r="L36">
        <v>0.2359</v>
      </c>
      <c r="M36">
        <v>1.0412999999999999</v>
      </c>
      <c r="N36">
        <v>0.72929999999999995</v>
      </c>
    </row>
    <row r="37" spans="1:14" ht="15" x14ac:dyDescent="0.25">
      <c r="A37" s="162"/>
      <c r="B37" s="3">
        <f t="shared" si="3"/>
        <v>31</v>
      </c>
      <c r="C37" s="13" t="s">
        <v>14</v>
      </c>
      <c r="D37" s="3">
        <v>38</v>
      </c>
      <c r="E37" s="3"/>
      <c r="F37" s="3"/>
      <c r="G37">
        <v>2.0799999999999999E-2</v>
      </c>
      <c r="H37">
        <v>0.1888</v>
      </c>
      <c r="I37">
        <v>2.7300000000000001E-2</v>
      </c>
      <c r="J37">
        <v>7.22E-2</v>
      </c>
      <c r="K37">
        <v>0.29530000000000001</v>
      </c>
      <c r="L37">
        <v>0.19020000000000001</v>
      </c>
      <c r="M37">
        <v>1.0751999999999999</v>
      </c>
      <c r="N37">
        <v>0.68830000000000002</v>
      </c>
    </row>
    <row r="38" spans="1:14" ht="15" x14ac:dyDescent="0.25">
      <c r="A38" s="162"/>
      <c r="B38" s="3">
        <f t="shared" si="3"/>
        <v>32</v>
      </c>
      <c r="C38" s="3" t="s">
        <v>43</v>
      </c>
      <c r="D38" s="3">
        <v>19.5</v>
      </c>
      <c r="E38" s="3"/>
      <c r="F38" s="3"/>
      <c r="G38">
        <v>9.2999999999999992E-3</v>
      </c>
      <c r="H38">
        <v>0.1774</v>
      </c>
      <c r="I38">
        <v>1.0500000000000001E-2</v>
      </c>
      <c r="J38">
        <v>4.7699999999999999E-2</v>
      </c>
      <c r="K38">
        <v>0.34910000000000002</v>
      </c>
      <c r="L38">
        <v>0.22209999999999999</v>
      </c>
      <c r="M38">
        <v>1.0576000000000001</v>
      </c>
      <c r="N38">
        <v>0.68540000000000001</v>
      </c>
    </row>
    <row r="39" spans="1:14" ht="15" x14ac:dyDescent="0.25">
      <c r="A39" s="162"/>
      <c r="B39" s="3">
        <f t="shared" si="3"/>
        <v>33</v>
      </c>
      <c r="C39" s="3" t="s">
        <v>15</v>
      </c>
      <c r="D39" s="3">
        <v>6</v>
      </c>
      <c r="E39" s="3"/>
      <c r="F39" s="3"/>
      <c r="G39">
        <v>3.04E-2</v>
      </c>
      <c r="H39">
        <v>0.1376</v>
      </c>
      <c r="I39">
        <v>3.7499999999999999E-2</v>
      </c>
      <c r="J39">
        <v>8.2000000000000007E-3</v>
      </c>
      <c r="K39">
        <v>0.31319999999999998</v>
      </c>
      <c r="L39">
        <v>0.2006</v>
      </c>
      <c r="M39">
        <v>1.0664</v>
      </c>
      <c r="N39">
        <v>0.73809999999999998</v>
      </c>
    </row>
    <row r="40" spans="1:14" ht="15" x14ac:dyDescent="0.25">
      <c r="A40" s="162"/>
      <c r="B40" s="3">
        <f t="shared" si="3"/>
        <v>34</v>
      </c>
      <c r="C40" s="3" t="s">
        <v>16</v>
      </c>
      <c r="D40" s="3">
        <v>11</v>
      </c>
      <c r="E40" s="6"/>
      <c r="F40" s="6"/>
      <c r="G40">
        <v>5.0000000000000001E-3</v>
      </c>
      <c r="H40">
        <v>0.16300000000000001</v>
      </c>
      <c r="I40">
        <v>1.7600000000000001E-2</v>
      </c>
      <c r="J40">
        <v>3.1399999999999997E-2</v>
      </c>
      <c r="K40">
        <v>0.28789999999999999</v>
      </c>
      <c r="L40">
        <v>0.19689999999999999</v>
      </c>
      <c r="M40">
        <v>1.08</v>
      </c>
      <c r="N40">
        <v>0.73550000000000004</v>
      </c>
    </row>
    <row r="41" spans="1:14" ht="15" x14ac:dyDescent="0.25">
      <c r="A41" s="162"/>
      <c r="B41" s="3">
        <f t="shared" si="3"/>
        <v>35</v>
      </c>
      <c r="C41" s="3" t="s">
        <v>63</v>
      </c>
      <c r="D41" s="3">
        <v>12.5</v>
      </c>
      <c r="E41" s="6"/>
      <c r="F41" s="6"/>
      <c r="G41">
        <v>7.9000000000000008E-3</v>
      </c>
      <c r="H41">
        <v>0.16009999999999999</v>
      </c>
      <c r="I41">
        <v>2.0199999999999999E-2</v>
      </c>
      <c r="J41">
        <v>2.86E-2</v>
      </c>
      <c r="K41">
        <v>0.30730000000000002</v>
      </c>
      <c r="L41">
        <v>0.21640000000000001</v>
      </c>
      <c r="M41">
        <v>1.0518000000000001</v>
      </c>
      <c r="N41">
        <v>0.72929999999999995</v>
      </c>
    </row>
    <row r="42" spans="1:14" ht="15" x14ac:dyDescent="0.25">
      <c r="A42" s="162"/>
      <c r="B42" s="7">
        <f t="shared" si="3"/>
        <v>36</v>
      </c>
      <c r="C42" s="7" t="s">
        <v>38</v>
      </c>
      <c r="D42" s="7">
        <v>9</v>
      </c>
      <c r="E42" s="8"/>
      <c r="F42" s="8"/>
      <c r="G42">
        <v>1.7100000000000001E-2</v>
      </c>
      <c r="H42">
        <v>0.15110000000000001</v>
      </c>
      <c r="I42">
        <v>3.4599999999999999E-2</v>
      </c>
      <c r="J42">
        <v>1.8200000000000001E-2</v>
      </c>
      <c r="K42">
        <v>0.30830000000000002</v>
      </c>
      <c r="L42">
        <v>0.1993</v>
      </c>
      <c r="M42">
        <v>1.0670999999999999</v>
      </c>
      <c r="N42">
        <v>0.71130000000000004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Performances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dcterms:created xsi:type="dcterms:W3CDTF">2019-11-07T13:34:18Z</dcterms:created>
  <dcterms:modified xsi:type="dcterms:W3CDTF">2019-11-22T09:50:33Z</dcterms:modified>
</cp:coreProperties>
</file>