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Agency FOIA Contacts" sheetId="1" state="visible" r:id="rId2"/>
    <sheet name="Dept. FOIA Contacts" sheetId="2" state="visible" r:id="rId3"/>
  </sheets>
  <calcPr iterateCount="100" refMode="A1" iterate="false" iterateDelta="0.0001"/>
</workbook>
</file>

<file path=xl/sharedStrings.xml><?xml version="1.0" encoding="utf-8"?>
<sst xmlns="http://schemas.openxmlformats.org/spreadsheetml/2006/main" count="9247" uniqueCount="3356">
  <si>
    <t>Administrative Conference of the United States</t>
  </si>
  <si>
    <t>Shawne McGibbon</t>
  </si>
  <si>
    <t>FOIA Officer</t>
  </si>
  <si>
    <t>Suite 706 South</t>
  </si>
  <si>
    <t>1120 20th Street, NW</t>
  </si>
  <si>
    <t>Washington</t>
  </si>
  <si>
    <t>DC</t>
  </si>
  <si>
    <t>(202) 480-2088</t>
  </si>
  <si>
    <t>(202) 386-7190</t>
  </si>
  <si>
    <t>http://www.acus.gov/foia/</t>
  </si>
  <si>
    <t>Government procedures</t>
  </si>
  <si>
    <t>Administrative process</t>
  </si>
  <si>
    <t>FOIA Requester Service Center</t>
  </si>
  <si>
    <t>(202) 480-2080</t>
  </si>
  <si>
    <t>David Pritzker</t>
  </si>
  <si>
    <t>FOIA Public Liaison</t>
  </si>
  <si>
    <t>U.S. Agency for International Development</t>
  </si>
  <si>
    <t>Sylvia Lankford</t>
  </si>
  <si>
    <t>FOIA Team Leader, Information &amp; Records Division, Office of Administrative Services</t>
  </si>
  <si>
    <t>Room 2.7C RRB</t>
  </si>
  <si>
    <t>20523-2701</t>
  </si>
  <si>
    <t>(202) 712-0960</t>
  </si>
  <si>
    <t>http://www.usaid.gov/about/foia/</t>
  </si>
  <si>
    <t>International development</t>
  </si>
  <si>
    <t>Foreign Aid, Democracy, Global, Governance, Economic Development, Security</t>
  </si>
  <si>
    <t>American Battle Monuments Commission</t>
  </si>
  <si>
    <t>Martha R. Sell</t>
  </si>
  <si>
    <t>FOIA Assistant</t>
  </si>
  <si>
    <t>Suite 500</t>
  </si>
  <si>
    <t>2300 Clarendon Boulevard</t>
  </si>
  <si>
    <t>Arlington</t>
  </si>
  <si>
    <t>VA</t>
  </si>
  <si>
    <t>(703) 696-6897</t>
  </si>
  <si>
    <t>http://www.abmc.gov/other/foia.php</t>
  </si>
  <si>
    <t>Monuments</t>
  </si>
  <si>
    <t>Commemorative cemeteries, Memorials, Armed Forces, Construction, Design, World War I,World War II</t>
  </si>
  <si>
    <t>Michael G. Conley</t>
  </si>
  <si>
    <t>(703) 696-6778</t>
  </si>
  <si>
    <t>AMTRAK (National Railroad Passenger Corporation)</t>
  </si>
  <si>
    <t>AMTRAK</t>
  </si>
  <si>
    <t>Sharron H. Hawkins</t>
  </si>
  <si>
    <t>60 Massachusetts Avenue, NE</t>
  </si>
  <si>
    <t>(202) 906-3741</t>
  </si>
  <si>
    <t>(202) 906-3285</t>
  </si>
  <si>
    <t>http://www.amtrak.com/servlet/ContentServer/Page/1241267362261/1241267362261</t>
  </si>
  <si>
    <t>Railroad</t>
  </si>
  <si>
    <t>Trains, Station, Travel, Tickets, Passengers</t>
  </si>
  <si>
    <t>(202) 906-3740</t>
  </si>
  <si>
    <t>Armed Forces Retirement Home</t>
  </si>
  <si>
    <t>Pebbles P. Young</t>
  </si>
  <si>
    <t>P.O. Box 2875</t>
  </si>
  <si>
    <t>3700 North Capitol Street NW
P.O. Box 2875</t>
  </si>
  <si>
    <t>(202) 541-7716</t>
  </si>
  <si>
    <t>(202) 541-7506</t>
  </si>
  <si>
    <t>Retirement HOME</t>
  </si>
  <si>
    <t>Armed Forces, Veterans,  Gulfport, Mississippi, Washington, Resident</t>
  </si>
  <si>
    <t>(202) 541-7566</t>
  </si>
  <si>
    <t>Sheila Abarr</t>
  </si>
  <si>
    <t>(202) 541-7550</t>
  </si>
  <si>
    <t>Broadcasting Board of Governors</t>
  </si>
  <si>
    <t>Andrew T. Krog</t>
  </si>
  <si>
    <t>FOIA/Privacy Act Officer, BBG/FOIA/PA Unit</t>
  </si>
  <si>
    <t>Room 3349</t>
  </si>
  <si>
    <t>330 Independence Avenue, SW</t>
  </si>
  <si>
    <t>(202) 203-4550</t>
  </si>
  <si>
    <t>(202) 203-4585</t>
  </si>
  <si>
    <t>http://www.bbg.gov/reports/foia/</t>
  </si>
  <si>
    <t>International Broadcasting</t>
  </si>
  <si>
    <t>Voice of America, VOA, Alhurra, Radio Sawa, 
Radio Farda, Radio Free Europe, Radio Free Asia, 
Radio Marti, TV Marti, radio, press, journalists, media, TV</t>
  </si>
  <si>
    <t>Central Intelligence Agency</t>
  </si>
  <si>
    <t>Michele Meeks</t>
  </si>
  <si>
    <t>Information and Privacy Coordinator</t>
  </si>
  <si>
    <t>(703) 613-1287</t>
  </si>
  <si>
    <t>(703) 613-3007</t>
  </si>
  <si>
    <t>Intelligence</t>
  </si>
  <si>
    <t>National Security, Terrorism, Transnational Issues, Organized Crime, Narcotics, Money Laundering, Counterintelligence, Weapons Intelligence, Arms Control, foreign intelligence, Cold War, Vietnam war, War in Iraq, Europe, Russia, Middle East, South Asia, North Africa, War on Terror, Geopolitics, World Factbook, CIA Maps, World Leaders, The Family Jewels, UFO, Bay of Pigs, Guatemala, Human Rights, Spies, Soviets, Nuclear Weapons,</t>
  </si>
  <si>
    <t>Scott Koch, Michele Meeks</t>
  </si>
  <si>
    <t>Chemical Safety and Hazard Investigation Board</t>
  </si>
  <si>
    <t>Christopher Kirkpatrick</t>
  </si>
  <si>
    <t>CSB FOIA Officer</t>
  </si>
  <si>
    <t>Suite C-100</t>
  </si>
  <si>
    <t>2175 K Street, NW</t>
  </si>
  <si>
    <t>(202) 261-7619</t>
  </si>
  <si>
    <t>(202) 974-7619</t>
  </si>
  <si>
    <t>mailto:Chris.Kirkpatrick@csb.gov</t>
  </si>
  <si>
    <t>http://www.csb.gov/service/legal.aspx</t>
  </si>
  <si>
    <t>Industrial chemical accidents</t>
  </si>
  <si>
    <t>safety, explosion, fireworks, disposal, fire, accidents, investigations,</t>
  </si>
  <si>
    <t>Commission on Civil Rights</t>
  </si>
  <si>
    <t>Jennifer Cron Helper</t>
  </si>
  <si>
    <t>Attorney-Advisor</t>
  </si>
  <si>
    <t>Suite 1150</t>
  </si>
  <si>
    <t>1331 Pennsylvania Ave, NW</t>
  </si>
  <si>
    <t>(202) 376-8351</t>
  </si>
  <si>
    <t>(202) 376-1163</t>
  </si>
  <si>
    <t>http://www.usccr.gov/foia/foiandx.htm</t>
  </si>
  <si>
    <t>Civil Rights</t>
  </si>
  <si>
    <t>statutory enforcement, bullying, violence, immigration, voting rights, Sexual Assault, Human Trafficking</t>
  </si>
  <si>
    <t>Marlene Sallo</t>
  </si>
  <si>
    <t>(202) 376-7796</t>
  </si>
  <si>
    <t>Committee for Purchase from People Who Are Blind or Severely Disabled</t>
  </si>
  <si>
    <t>Tina Ballard</t>
  </si>
  <si>
    <t>Executive Director</t>
  </si>
  <si>
    <t>Jefferson Plaza 2, Suite 10800</t>
  </si>
  <si>
    <t>1421 Jefferson Davis Highway</t>
  </si>
  <si>
    <t>22202-4302</t>
  </si>
  <si>
    <t>(703) 603-7740</t>
  </si>
  <si>
    <t>Disabilities</t>
  </si>
  <si>
    <t>blind, disabled, employment</t>
  </si>
  <si>
    <t>Janice Coleman</t>
  </si>
  <si>
    <t>(703) 603-2136</t>
  </si>
  <si>
    <t>Barry Lineback</t>
  </si>
  <si>
    <t>(703) 603-2118</t>
  </si>
  <si>
    <t>Commodity Futures Trading Commission</t>
  </si>
  <si>
    <t>FOIA Contact</t>
  </si>
  <si>
    <t>CFTC FOIA Compliance Office</t>
  </si>
  <si>
    <t>Three Lafayette Centre,</t>
  </si>
  <si>
    <t>1155 21st Street, NW</t>
  </si>
  <si>
    <t>(202) 418-5497</t>
  </si>
  <si>
    <t>(202) 418-5567</t>
  </si>
  <si>
    <t>Trading</t>
  </si>
  <si>
    <t>Commodity futures and option markets, protect market users, fraud, manipulation, abusive practices, sale of commodity, Futures contracts, agricultural commodities, energy markets, financial crisis</t>
  </si>
  <si>
    <t>Linda Mauldin</t>
  </si>
  <si>
    <t>Consumer Financial Protection Bureau</t>
  </si>
  <si>
    <t>Chief FOIA Officer</t>
  </si>
  <si>
    <t>1700 G Street, NW</t>
  </si>
  <si>
    <t>(855) 444-3642</t>
  </si>
  <si>
    <t>(855) 329-3642</t>
  </si>
  <si>
    <t>http://www.consumerfinance.gov/foia/</t>
  </si>
  <si>
    <t>Consumer protection</t>
  </si>
  <si>
    <t>Mortgage loan, Debt, Financial services, Predatory lending, Loan, Bank, Federal Register, Insurance, irresponsible mortgage lending, risky lending practices, remittance transfer rule, mortgage borrowers, housing collapse, student cards, bank accounts, fairer marketplace, comparing costs</t>
  </si>
  <si>
    <t>Martin Cichalosky</t>
  </si>
  <si>
    <t>(202) 435-7198</t>
  </si>
  <si>
    <t>Consumer Product Safety Commission</t>
  </si>
  <si>
    <t>Alberta E. Mills</t>
  </si>
  <si>
    <t>U.S. Consumer Product Safety Commission</t>
  </si>
  <si>
    <t>4330 East West Highway</t>
  </si>
  <si>
    <t>Bethesda</t>
  </si>
  <si>
    <t>MD</t>
  </si>
  <si>
    <t>20814-4408</t>
  </si>
  <si>
    <t>(301) 504-7923</t>
  </si>
  <si>
    <t>(301) 504-0127</t>
  </si>
  <si>
    <t>http://www.cpsc.gov/library/foia/foia.html</t>
  </si>
  <si>
    <t>Lynn Carter</t>
  </si>
  <si>
    <t>(301) 504-6890</t>
  </si>
  <si>
    <t>Deborah Acosta</t>
  </si>
  <si>
    <t>Corporation for National and Community Service</t>
  </si>
  <si>
    <t>Freedom of Information Act Officer, Office of the General Counsel</t>
  </si>
  <si>
    <t>Room 10606</t>
  </si>
  <si>
    <t>1201 New York Avenue, NW</t>
  </si>
  <si>
    <t>(202) 606-6671</t>
  </si>
  <si>
    <t>(202) 606-3467</t>
  </si>
  <si>
    <t>http://www.nationalservice.gov/home/foia/index.asp</t>
  </si>
  <si>
    <t>Wilsie Y. Minor</t>
  </si>
  <si>
    <t>(202) 606-6673</t>
  </si>
  <si>
    <t>Council of Inspectors General on Integrity and Efficiency</t>
  </si>
  <si>
    <t>Suite 825</t>
  </si>
  <si>
    <t>1717 H Street, NW</t>
  </si>
  <si>
    <t>(202) 292-2600</t>
  </si>
  <si>
    <t>(202) 254-0162</t>
  </si>
  <si>
    <t>Mark Jones</t>
  </si>
  <si>
    <t>Court Services and Offender Supervision Agency</t>
  </si>
  <si>
    <t>Renee Barley</t>
  </si>
  <si>
    <t>FOIA Officer, Office of the General Counsel</t>
  </si>
  <si>
    <t>Room 1220</t>
  </si>
  <si>
    <t>633 Indiana Avenue, NW</t>
  </si>
  <si>
    <t>20004-2902</t>
  </si>
  <si>
    <t>(202) 220-5300</t>
  </si>
  <si>
    <t>(202) 220-5350</t>
  </si>
  <si>
    <t>http://www.csosa.gov/about/foia/overview.aspx</t>
  </si>
  <si>
    <t>Defense Nuclear Facilities Safety Board</t>
  </si>
  <si>
    <t>Andrew L. Thibadeau</t>
  </si>
  <si>
    <t>Information/FOIA Officer</t>
  </si>
  <si>
    <t>Suite 700</t>
  </si>
  <si>
    <t>625 Indiana Avenue, NW</t>
  </si>
  <si>
    <t>(202) 694-7088</t>
  </si>
  <si>
    <t>http://www.dnfsb.gov/foia-reading-room</t>
  </si>
  <si>
    <t>National Headquarters</t>
  </si>
  <si>
    <t>Environmental Protection Agency</t>
  </si>
  <si>
    <t>Larry Gottesman</t>
  </si>
  <si>
    <t>National Freedom of Information Officer</t>
  </si>
  <si>
    <t>(2822T)</t>
  </si>
  <si>
    <t>1200 Pennsylvania Avenue, NW</t>
  </si>
  <si>
    <t>(202) 566-1667</t>
  </si>
  <si>
    <t>(202) 566-2147</t>
  </si>
  <si>
    <t>http://www.epa.gov/foia/index.html</t>
  </si>
  <si>
    <t>Environmental protection</t>
  </si>
  <si>
    <t>protecting human health, environmental assessment, fines, sanctions, Air, Water, Land, Endangered species, Hazardous waste, Energy Star, Pesticide, Environmental Impact Statement Review, Safer Detergents Stewardship Initiative, Fuel economy, Air quality, Oil pollution, WaterSense, Drinking water, Radiation Protection, Air quality standards review, Global warming, Mercury emissions, Environmental justice</t>
  </si>
  <si>
    <t>Deborah Williams</t>
  </si>
  <si>
    <t>Mail Code 2822T</t>
  </si>
  <si>
    <t>Region 1 (States: CT, ME, MA, NH, RI, VT)</t>
  </si>
  <si>
    <t>Regional Freedom of Information Officer</t>
  </si>
  <si>
    <t>U.S. EPA, Region 1 (OARM01-6)</t>
  </si>
  <si>
    <t>Suite 100</t>
  </si>
  <si>
    <t>5 Post Office Square</t>
  </si>
  <si>
    <t>Boston</t>
  </si>
  <si>
    <t>MA</t>
  </si>
  <si>
    <t>02109-3912</t>
  </si>
  <si>
    <t>(617) 918-1102</t>
  </si>
  <si>
    <t>(617) 918-0102</t>
  </si>
  <si>
    <t>mailto:r1foia@epa.gov</t>
  </si>
  <si>
    <t>http://www.epa.gov/ne/foia/index.html</t>
  </si>
  <si>
    <t>mailto:williams.deborah@epa.gov</t>
  </si>
  <si>
    <t>Region 2 (States: NJ, NY, PR VI)</t>
  </si>
  <si>
    <t>U.S. EPA, Region 2</t>
  </si>
  <si>
    <t>26th Floor</t>
  </si>
  <si>
    <t>290 Broadway</t>
  </si>
  <si>
    <t>New York</t>
  </si>
  <si>
    <t>NY</t>
  </si>
  <si>
    <t>10007-1866</t>
  </si>
  <si>
    <t>(212) 637-3668</t>
  </si>
  <si>
    <t>(212) 637-5046</t>
  </si>
  <si>
    <t>http://www.epa.gov/region02/foia/index.html</t>
  </si>
  <si>
    <t>Region 3 (States: DE, DC, MD, PA, VA, WV)</t>
  </si>
  <si>
    <t>U.S. EPA, Region 3</t>
  </si>
  <si>
    <t>(3C610)</t>
  </si>
  <si>
    <t>1650 Arch Street</t>
  </si>
  <si>
    <t>Philadelphia</t>
  </si>
  <si>
    <t>PA</t>
  </si>
  <si>
    <t>(215) 814-5553</t>
  </si>
  <si>
    <t>(215) 814-5102</t>
  </si>
  <si>
    <t>http://www.epa.gov/region03/foia/index.html</t>
  </si>
  <si>
    <t>Region 4 (States: AL, FL, GA, KY, MS, NC, SC, TN)</t>
  </si>
  <si>
    <t>U.S. EPA, Region 4</t>
  </si>
  <si>
    <t>AFC Building, 9th Floor (4PM/IF)</t>
  </si>
  <si>
    <t>61 Forsyth Street, SW</t>
  </si>
  <si>
    <t>Atlanta</t>
  </si>
  <si>
    <t>GA</t>
  </si>
  <si>
    <t>30303-8960</t>
  </si>
  <si>
    <t>(404) 562-9891</t>
  </si>
  <si>
    <t>(404) 562-8054</t>
  </si>
  <si>
    <t>http://www.epa.gov/region4/foiapgs</t>
  </si>
  <si>
    <t>Region 5 (States: IL, IN, MI, MN, OH, WI)</t>
  </si>
  <si>
    <t>U.S. EPA, Region 5</t>
  </si>
  <si>
    <t>(MI-9)</t>
  </si>
  <si>
    <t>77 West Jackson Boulevard</t>
  </si>
  <si>
    <t>Chicago</t>
  </si>
  <si>
    <t>IL</t>
  </si>
  <si>
    <t>60604-3590</t>
  </si>
  <si>
    <t>(312) 886-6686</t>
  </si>
  <si>
    <t>(312) 886-1515</t>
  </si>
  <si>
    <t>http://www.epa.gov/region5/foia.htm</t>
  </si>
  <si>
    <t>Region 6 (States: AR, LA, NM, OK, TX)</t>
  </si>
  <si>
    <t>U.S. EPA, Region 6</t>
  </si>
  <si>
    <t>(6MD-OE)</t>
  </si>
  <si>
    <t>1445 Ross Avenue</t>
  </si>
  <si>
    <t>Dallas</t>
  </si>
  <si>
    <t>TX</t>
  </si>
  <si>
    <t>75202-2733</t>
  </si>
  <si>
    <t>(214) 665-7202</t>
  </si>
  <si>
    <t>(214) 665-2146</t>
  </si>
  <si>
    <t>http://www.epa.gov/earth1r6/6md/foia/index.html</t>
  </si>
  <si>
    <t>Region 7 (States: IA, KS, MO, NE)</t>
  </si>
  <si>
    <t>U.S. EPA, Region 7</t>
  </si>
  <si>
    <t>901 N. 5th Street</t>
  </si>
  <si>
    <t>Kansas City</t>
  </si>
  <si>
    <t>KS</t>
  </si>
  <si>
    <t>(913) 551-7003</t>
  </si>
  <si>
    <t>(913) 551-7066</t>
  </si>
  <si>
    <t>http://www.epa.gov/region07/citizens/foia/index.htm</t>
  </si>
  <si>
    <t>(913) 551-7760</t>
  </si>
  <si>
    <t>Region 8 (States: CO, MT, ND, SD, UT, WY)</t>
  </si>
  <si>
    <t>U.S. EPA, Region 8</t>
  </si>
  <si>
    <t>1595 Wynkoop Street</t>
  </si>
  <si>
    <t>Denver</t>
  </si>
  <si>
    <t>CO</t>
  </si>
  <si>
    <t>80202-1129</t>
  </si>
  <si>
    <t>(303) 312-6856</t>
  </si>
  <si>
    <t>(303) 312-6589</t>
  </si>
  <si>
    <t>http://www.epa.gov/region8/foia/index.html</t>
  </si>
  <si>
    <t>Region 9 (States: AZ, CA, HI, NV, AS, GU)</t>
  </si>
  <si>
    <t>U.S. EPA, Region 9</t>
  </si>
  <si>
    <t>(OPPA-2)</t>
  </si>
  <si>
    <t>75 Hawthorne Street</t>
  </si>
  <si>
    <t>San Francisco</t>
  </si>
  <si>
    <t>CA</t>
  </si>
  <si>
    <t>(415) 947-4251</t>
  </si>
  <si>
    <t>(415) 947-3591</t>
  </si>
  <si>
    <t>http://www.epa.gov/region09/foia/index.html</t>
  </si>
  <si>
    <t>Region 10 (States: AK, ID, OR, WA)</t>
  </si>
  <si>
    <t>U.S. EPA, Region 10</t>
  </si>
  <si>
    <t>Office of External Affairs</t>
  </si>
  <si>
    <t>1200 6th Avenue (CEC-142)</t>
  </si>
  <si>
    <t>Seattle</t>
  </si>
  <si>
    <t>WA</t>
  </si>
  <si>
    <t>(206) 553-8665</t>
  </si>
  <si>
    <t>(206) 553-0059</t>
  </si>
  <si>
    <t>http://yosemite.epa.gov/r10/extaff.nsf/webpage/freedom+of+information+act</t>
  </si>
  <si>
    <t>I don't know which office</t>
  </si>
  <si>
    <t>Headquarters</t>
  </si>
  <si>
    <t>Equal Employment Opportunity Commission</t>
  </si>
  <si>
    <t>Stephanie Garner</t>
  </si>
  <si>
    <t>Assistant Legal Counsel/FOIA</t>
  </si>
  <si>
    <t>Suite 5NW02E</t>
  </si>
  <si>
    <t>131 M Street, NE</t>
  </si>
  <si>
    <t>(202) 663-4634, (202) 663-7026 (TTY)</t>
  </si>
  <si>
    <t>(202) 663-4679</t>
  </si>
  <si>
    <t>http://www.eeoc.gov/eeoc/foia/</t>
  </si>
  <si>
    <t>(202) 663-4500, (202) 663-7026 (TTY)</t>
  </si>
  <si>
    <t>(202) 663-4639</t>
  </si>
  <si>
    <t>Atlanta District Office (Savanna Local Office)</t>
  </si>
  <si>
    <t>William Batts</t>
  </si>
  <si>
    <t>Enforcement Manager</t>
  </si>
  <si>
    <t>Suite 4R30</t>
  </si>
  <si>
    <t>100 Alabama Street, SW</t>
  </si>
  <si>
    <t>(404) 562-6840, (404) 562-6801 (TTY)</t>
  </si>
  <si>
    <t>(404) 562-6909</t>
  </si>
  <si>
    <t>http://www.eeoc.gov/field/atlanta/foia.cfm</t>
  </si>
  <si>
    <t>Birmingham District Office (Mobile Local Office, Jackson Area Office)</t>
  </si>
  <si>
    <t>Willie Alford</t>
  </si>
  <si>
    <t>Records Disclosure Coordinator</t>
  </si>
  <si>
    <t>Ridge Park Place, Suite 2000</t>
  </si>
  <si>
    <t>1130 22nd Street</t>
  </si>
  <si>
    <t>Birmingham</t>
  </si>
  <si>
    <t>AL</t>
  </si>
  <si>
    <t>(205) 212-2074, (205) 212-2112 (TTY)</t>
  </si>
  <si>
    <t>(205) 212-2105</t>
  </si>
  <si>
    <t>http://www.eeoc.gov/field/birmingham/foia.cfm</t>
  </si>
  <si>
    <t>Charlotte District Office (Greensboro; Greenville, Norfolk, Richmond Local Offices; Raleigh Area Office</t>
  </si>
  <si>
    <t>Joyce Stafford</t>
  </si>
  <si>
    <t>Suite 400</t>
  </si>
  <si>
    <t>129 West Trade Street</t>
  </si>
  <si>
    <t>Charlotte</t>
  </si>
  <si>
    <t>NC</t>
  </si>
  <si>
    <t>(704) 954-6488, (704) 344-6684 (TTY)</t>
  </si>
  <si>
    <t>(704) 344-6734</t>
  </si>
  <si>
    <t>http://www.eeoc.gov/field/charlotte/foia.cfm</t>
  </si>
  <si>
    <t>Chicago District Office (Milwaukee and Minneapolis Area Offices)</t>
  </si>
  <si>
    <t>Sylvia Bustos</t>
  </si>
  <si>
    <t>Suite 2000</t>
  </si>
  <si>
    <t>500 West Madison Street</t>
  </si>
  <si>
    <t>(312) 353-8783, (312) 353-2421 (TTY)</t>
  </si>
  <si>
    <t>(312) 353-4041</t>
  </si>
  <si>
    <t>http://www.eeoc.gov/field/chicago/foia.cfm</t>
  </si>
  <si>
    <t>Dallas District Office (San Antonio Field Office, El Paso Area Office)</t>
  </si>
  <si>
    <t>Peter Robinson</t>
  </si>
  <si>
    <t>3rd Floor</t>
  </si>
  <si>
    <t>207 S. Houston Street</t>
  </si>
  <si>
    <t>75202-4726</t>
  </si>
  <si>
    <t>(214) 253-2732, (214) 253-2710 (TTY)</t>
  </si>
  <si>
    <t>http://www.eeoc.gov/field/dallas/foia.cfm</t>
  </si>
  <si>
    <t>Houston District Office (New Orleans Field Office)</t>
  </si>
  <si>
    <t>Susam Velasquez</t>
  </si>
  <si>
    <t>Mickey Leland Federal Building, 7th Floor</t>
  </si>
  <si>
    <t>1919 Smith Street</t>
  </si>
  <si>
    <t>Houston</t>
  </si>
  <si>
    <t>77002-8049</t>
  </si>
  <si>
    <t>(713) 209-3416, (713) 209-3439 (TTY)</t>
  </si>
  <si>
    <t>(713) 209-3381</t>
  </si>
  <si>
    <t>http://www.eeoc.gov/field/houston/foia.cfm</t>
  </si>
  <si>
    <t>Indianapolis District Office (Detroit Field Office, Cincinnati and Louisville Area Offices)</t>
  </si>
  <si>
    <t>Janice Andrews</t>
  </si>
  <si>
    <t>Suite 1900</t>
  </si>
  <si>
    <t>101 West Ohio Street</t>
  </si>
  <si>
    <t>Indianapolis</t>
  </si>
  <si>
    <t>IN</t>
  </si>
  <si>
    <t>46204-4203</t>
  </si>
  <si>
    <t>(317) 226-6654, (317) 226-5162 (TTY)</t>
  </si>
  <si>
    <t>(317) 226-5571</t>
  </si>
  <si>
    <t>http://www.eeoc.gov/field/indianapolis/foia.cfm</t>
  </si>
  <si>
    <t>Los Angeles District Office (Fresno, Honolulu, Las Vegas, and San Diego Local Offices)</t>
  </si>
  <si>
    <t>Lenee Sweeney</t>
  </si>
  <si>
    <t>4th Floor</t>
  </si>
  <si>
    <t>255 E. Temple Street</t>
  </si>
  <si>
    <t>Los Angeles</t>
  </si>
  <si>
    <t>(213) 894-1712, (213) 894-1121</t>
  </si>
  <si>
    <t>(213) 894-1118</t>
  </si>
  <si>
    <t>http://www.eeoc.gov/field/losangeles/foia.cfm</t>
  </si>
  <si>
    <t>Memphis District Office (Little Rock and Nashville Area Offices)</t>
  </si>
  <si>
    <t>Audrey Bonner</t>
  </si>
  <si>
    <t>Suite 900</t>
  </si>
  <si>
    <t>1407 Union Avenue</t>
  </si>
  <si>
    <t>Memphis</t>
  </si>
  <si>
    <t>TN</t>
  </si>
  <si>
    <t>(901) 544-0163, (901) 544-0112 (TTY)</t>
  </si>
  <si>
    <t>(901) 544-0111</t>
  </si>
  <si>
    <t>http://www.eeoc.gov/field/memphis/foia.cfm</t>
  </si>
  <si>
    <t>Miami District Office (Tampa Field Office and San Juan Local Office)</t>
  </si>
  <si>
    <t>Carmen Figueroa-Martinez</t>
  </si>
  <si>
    <t>One Biscayne Tower, Suite 2700</t>
  </si>
  <si>
    <t>2 South Biscayne Boulevard</t>
  </si>
  <si>
    <t>Miami</t>
  </si>
  <si>
    <t>FL</t>
  </si>
  <si>
    <t>(305) 808-1796, (305) 808-1742 (TTY)</t>
  </si>
  <si>
    <t>(305) 808-1855</t>
  </si>
  <si>
    <t>http://www.eeoc.gov/field/miami/foia.cfm</t>
  </si>
  <si>
    <t>New York District Office (Boston and Newark Area Offices, Buffalo Local Office)</t>
  </si>
  <si>
    <t>David Phillips</t>
  </si>
  <si>
    <t>5th Floor</t>
  </si>
  <si>
    <t>33 Whitehall Street</t>
  </si>
  <si>
    <t>(212) 336-3644, (212) 336-3622 (TTY)</t>
  </si>
  <si>
    <t>(212) 336-3625</t>
  </si>
  <si>
    <t>http://www.eeoc.gov/field/newyork/foia.cfm</t>
  </si>
  <si>
    <t>Philadelphia District Office (Baltimore and Cleveland Field Offices, Pittsburgh Area Office)</t>
  </si>
  <si>
    <t>Fredericka Warren</t>
  </si>
  <si>
    <t>Suite 1300</t>
  </si>
  <si>
    <t>801 Market Street</t>
  </si>
  <si>
    <t>19107-3127</t>
  </si>
  <si>
    <t>(215) 440-2681, (215) 440-2610 (TTY)</t>
  </si>
  <si>
    <t>(215) 440-2847</t>
  </si>
  <si>
    <t>http://www.eeoc.gov/field/philadelphia/foia.cfm</t>
  </si>
  <si>
    <t>Phoenix District Office (Denver Field Office, Albuquerque Area Office)</t>
  </si>
  <si>
    <t>Silvia M. Hart</t>
  </si>
  <si>
    <t>Records Disclosure Officer</t>
  </si>
  <si>
    <t>Suite 690</t>
  </si>
  <si>
    <t>3300 N. Central Avenue</t>
  </si>
  <si>
    <t>Phoenix</t>
  </si>
  <si>
    <t>AZ</t>
  </si>
  <si>
    <t>85012-2504</t>
  </si>
  <si>
    <t>(602) 640-5012, (602) 640-5072 (TTY)</t>
  </si>
  <si>
    <t>(602) 640-5071</t>
  </si>
  <si>
    <t>http://www.eeoc.gov/field/phoenix/foia.cfm</t>
  </si>
  <si>
    <t>San Francisco District Office (Seattle Field Office, Oakland and San Jose Local Offices)</t>
  </si>
  <si>
    <t>Vincent Clark</t>
  </si>
  <si>
    <t>350 The Embarcadero</t>
  </si>
  <si>
    <t>94105-1260</t>
  </si>
  <si>
    <t>(415) 625-5632, (415) 625-5610 (TTY)</t>
  </si>
  <si>
    <t>(415) 625-5609</t>
  </si>
  <si>
    <t>http://www.eeoc.gov/field/sanfrancisco/foia.cfm</t>
  </si>
  <si>
    <t>St. Louis District Office (Kansas City and Oklahoma Area Offices)</t>
  </si>
  <si>
    <t>Inez Shiloah</t>
  </si>
  <si>
    <t>Robert A. Young, Room 8100</t>
  </si>
  <si>
    <t>1222 Spruce Street</t>
  </si>
  <si>
    <t>St. Louis</t>
  </si>
  <si>
    <t>MO</t>
  </si>
  <si>
    <t>(314) 539-7846, (314) 539-7803 (TTY)</t>
  </si>
  <si>
    <t>(314) 539-7893</t>
  </si>
  <si>
    <t>http://www.eeoc.gov/field/stlouis/foia.cfm</t>
  </si>
  <si>
    <t>Washington Field Office</t>
  </si>
  <si>
    <t>Betsy Parrish</t>
  </si>
  <si>
    <t>Suite 4NE29F</t>
  </si>
  <si>
    <t>(202) 419-0705</t>
  </si>
  <si>
    <t>http://www.eeoc.gov/field/washington/foia.cfm</t>
  </si>
  <si>
    <t>Assistant Legal Counsel/FOIA, OLC/FOIA Programs</t>
  </si>
  <si>
    <t>Council on Environmental Quality</t>
  </si>
  <si>
    <t>Executive Office of the President</t>
  </si>
  <si>
    <t>Brandi Colander</t>
  </si>
  <si>
    <t>Deputy General Counsel</t>
  </si>
  <si>
    <t>722 Jackson Place, NW</t>
  </si>
  <si>
    <t>(202) 395-5750</t>
  </si>
  <si>
    <t>(202) 456-0753</t>
  </si>
  <si>
    <t>http://www.whitehouse.gov/administration/eop/ceq/foia/</t>
  </si>
  <si>
    <t>(202) 456-6550</t>
  </si>
  <si>
    <t>Diana Csank</t>
  </si>
  <si>
    <t>(202) 456-4327</t>
  </si>
  <si>
    <t>dcsank@ceq.eop.gov</t>
  </si>
  <si>
    <t>Office of Management and Budget</t>
  </si>
  <si>
    <t>Dionne Hardy</t>
  </si>
  <si>
    <t>Room 9026</t>
  </si>
  <si>
    <t>725 17th Street, NW</t>
  </si>
  <si>
    <t>(202) 395-3642</t>
  </si>
  <si>
    <t>(202) 395-3504</t>
  </si>
  <si>
    <t>http://www.whitehouse.gov/omb/foia_default</t>
  </si>
  <si>
    <t>Lauren Wright</t>
  </si>
  <si>
    <t>(202) 395-7250</t>
  </si>
  <si>
    <t>Office of National Drug Control Policy</t>
  </si>
  <si>
    <t>General Counsel</t>
  </si>
  <si>
    <t>Office of Legal Counsel</t>
  </si>
  <si>
    <t>750 17th Street, NW</t>
  </si>
  <si>
    <t>(202) 395-6622</t>
  </si>
  <si>
    <t>http://www.whitehouse.gov/ondcp/freedom-of-information-act-requests</t>
  </si>
  <si>
    <t>Daniel Petersen</t>
  </si>
  <si>
    <t>(202) 395-6745</t>
  </si>
  <si>
    <t>Office of Science and Technology Policy</t>
  </si>
  <si>
    <t>Rachael Leonard</t>
  </si>
  <si>
    <t>1650 Pennsylvania, NW</t>
  </si>
  <si>
    <t>(202) 456- 6125</t>
  </si>
  <si>
    <t>(202) 395-1224</t>
  </si>
  <si>
    <t>http://www.whitehouse.gov/administration/eop/ostp/library/compliance/foia</t>
  </si>
  <si>
    <t>Office of the United States Trade Representative</t>
  </si>
  <si>
    <t>Jacqueline B. Caldwell</t>
  </si>
  <si>
    <t>1724 F Street, NW</t>
  </si>
  <si>
    <t>(202) 395-3419</t>
  </si>
  <si>
    <t>(202) 395-9458</t>
  </si>
  <si>
    <t>http://www.ustr.gov/about-us/reading-room/freedom-information-act-foia</t>
  </si>
  <si>
    <t>Export-Import Bank of the U.S.</t>
  </si>
  <si>
    <t>Dawn R. Kral</t>
  </si>
  <si>
    <t>811 Vermont Avenue, NW</t>
  </si>
  <si>
    <t>(202) 565-3248</t>
  </si>
  <si>
    <t>(202) 565-3294</t>
  </si>
  <si>
    <t>http://www.exim.gov/about/disclosure/foia.cfm</t>
  </si>
  <si>
    <t>Farm Credit Administration</t>
  </si>
  <si>
    <t>Jeffrey C. Pienta</t>
  </si>
  <si>
    <t>1501 Farm Credit Drive</t>
  </si>
  <si>
    <t>McLean</t>
  </si>
  <si>
    <t>22102-5090</t>
  </si>
  <si>
    <t>(703) 883-4431</t>
  </si>
  <si>
    <t>(703) 790-0052</t>
  </si>
  <si>
    <t>http://www.fca.gov/home/freedom_info.html</t>
  </si>
  <si>
    <t>(703) 883-4129</t>
  </si>
  <si>
    <t>Christine D. Quinn</t>
  </si>
  <si>
    <t>(703) 883-4108</t>
  </si>
  <si>
    <t>Farm Credit System Insurance Corporation</t>
  </si>
  <si>
    <t>Freedom of Information Officer</t>
  </si>
  <si>
    <t>(703) 883-4020</t>
  </si>
  <si>
    <t>http://www.fcsic.gov/FCSIC%20FOIA.html</t>
  </si>
  <si>
    <t>Federal Communications Commission</t>
  </si>
  <si>
    <t>Walter Boswell</t>
  </si>
  <si>
    <t>Room 1-A105</t>
  </si>
  <si>
    <t>445 12th Street, SW</t>
  </si>
  <si>
    <t>(202) 418-0440</t>
  </si>
  <si>
    <t>(202) 418-0521</t>
  </si>
  <si>
    <t>http://www.fcc.gov/foia/</t>
  </si>
  <si>
    <t>(202) 418-0440, (202) 418-0212</t>
  </si>
  <si>
    <t>Stephanie Kost</t>
  </si>
  <si>
    <t>(202) 418-1379</t>
  </si>
  <si>
    <t>Federal Deposit Insurance Corporation</t>
  </si>
  <si>
    <t>Legal Division, FOIA/PA Group</t>
  </si>
  <si>
    <t>550 17th Street, NW</t>
  </si>
  <si>
    <t>(202) 898-7021</t>
  </si>
  <si>
    <t>(703) 562-2797</t>
  </si>
  <si>
    <t>http://www.fdic.gov/about/freedom/index.html</t>
  </si>
  <si>
    <t>Cottrell L. Webster</t>
  </si>
  <si>
    <t>(703) 562-6040</t>
  </si>
  <si>
    <t>Federal Election Commission</t>
  </si>
  <si>
    <t>Room 408</t>
  </si>
  <si>
    <t>999 E Street, NW</t>
  </si>
  <si>
    <t>(202) 694-1650</t>
  </si>
  <si>
    <t>(202) 219-1043</t>
  </si>
  <si>
    <t>http://www.fec.gov/press/foia.shtml</t>
  </si>
  <si>
    <t>Candace Salley</t>
  </si>
  <si>
    <t>Eyana J. Esters</t>
  </si>
  <si>
    <t>Federal Energy Regulatory Commission</t>
  </si>
  <si>
    <t>888 First Street, NE</t>
  </si>
  <si>
    <t>(202) 502-6088</t>
  </si>
  <si>
    <t>(202) 208-2106</t>
  </si>
  <si>
    <t>http://www.ferc.gov/legal/ceii-foia.asp</t>
  </si>
  <si>
    <t>Toyia Johnson</t>
  </si>
  <si>
    <t>Federal Financial Institutions Examination Council</t>
  </si>
  <si>
    <t>Judith E. Dupre</t>
  </si>
  <si>
    <t>Executive Secretary</t>
  </si>
  <si>
    <t>B7081a</t>
  </si>
  <si>
    <t>3501 Fairfax Drive</t>
  </si>
  <si>
    <t>22226-3550</t>
  </si>
  <si>
    <t>(703) 516-5590</t>
  </si>
  <si>
    <t>(703) 562-6446</t>
  </si>
  <si>
    <t>http://www.ffiec.gov/foia.htm</t>
  </si>
  <si>
    <t>(703) 516-5591</t>
  </si>
  <si>
    <t>Rosanna Piccirilli</t>
  </si>
  <si>
    <t>Federal Housing Finance Agency</t>
  </si>
  <si>
    <t>Stacy J. Easter</t>
  </si>
  <si>
    <t>Constitution Center</t>
  </si>
  <si>
    <t>400 7th Street, SW</t>
  </si>
  <si>
    <t>(202) 649-3803</t>
  </si>
  <si>
    <t>(202) 649-1703</t>
  </si>
  <si>
    <t>http://www.fhfa.gov/Default.aspx?Page=12</t>
  </si>
  <si>
    <t>(202) 414-8917</t>
  </si>
  <si>
    <t>The Authority</t>
  </si>
  <si>
    <t>Federal Labor Relations Authority</t>
  </si>
  <si>
    <t>Rosa M. Koppel</t>
  </si>
  <si>
    <t>Solicitor, Office of the Solicitor</t>
  </si>
  <si>
    <t>1400 K Street, NW</t>
  </si>
  <si>
    <t>(202) 218-7770</t>
  </si>
  <si>
    <t>(202) 343-1007</t>
  </si>
  <si>
    <t>http://www.flra.gov/FOIA</t>
  </si>
  <si>
    <t>Office of the General Counsel</t>
  </si>
  <si>
    <t>(202) 218-7910</t>
  </si>
  <si>
    <t>(202) 482-6608</t>
  </si>
  <si>
    <t>Atlanta Regional Office</t>
  </si>
  <si>
    <t>Suite 701</t>
  </si>
  <si>
    <t>285 Peachtree Center Avenue</t>
  </si>
  <si>
    <t>30303-1270</t>
  </si>
  <si>
    <t>(404) 331-5300</t>
  </si>
  <si>
    <t>(404) 331-5280</t>
  </si>
  <si>
    <t>Boston Regional Office</t>
  </si>
  <si>
    <t>Suite 472</t>
  </si>
  <si>
    <t>10 Causeway Street</t>
  </si>
  <si>
    <t>(617) 565-5100</t>
  </si>
  <si>
    <t>(617) 565-6262</t>
  </si>
  <si>
    <t>Chicago Regional Office</t>
  </si>
  <si>
    <t>55 West Monroe Street</t>
  </si>
  <si>
    <t>60603-9729</t>
  </si>
  <si>
    <t>(312) 886-3465</t>
  </si>
  <si>
    <t>(312) 886-5977</t>
  </si>
  <si>
    <t>Dallas Regional Office</t>
  </si>
  <si>
    <t>Suite 926, LB 107</t>
  </si>
  <si>
    <t>525 Griffin Street</t>
  </si>
  <si>
    <t>75202-1906</t>
  </si>
  <si>
    <t>(214) 767-6266</t>
  </si>
  <si>
    <t>(214) 767-0156</t>
  </si>
  <si>
    <t>Denver Regional Office</t>
  </si>
  <si>
    <t>1244 Speer Boulevard</t>
  </si>
  <si>
    <t>80204-3581</t>
  </si>
  <si>
    <t>(303) 844-5226</t>
  </si>
  <si>
    <t>(303) 844-2774</t>
  </si>
  <si>
    <t>San Francisco Regional Office</t>
  </si>
  <si>
    <t>Suite 220</t>
  </si>
  <si>
    <t>901 Market Street</t>
  </si>
  <si>
    <t>94103-1791</t>
  </si>
  <si>
    <t>(415) 356-5000</t>
  </si>
  <si>
    <t>(415) 356-5017</t>
  </si>
  <si>
    <t>http://www.flra.gov/foia_contact</t>
  </si>
  <si>
    <t>Washington Regional Office</t>
  </si>
  <si>
    <t>2nd Floor</t>
  </si>
  <si>
    <t>25424-0001</t>
  </si>
  <si>
    <t>(202) 482-6700</t>
  </si>
  <si>
    <t>(202) 482-6724</t>
  </si>
  <si>
    <t>The Federal Service Impasses Panel</t>
  </si>
  <si>
    <t>(202) 218-7790</t>
  </si>
  <si>
    <t>(202) 482-6674</t>
  </si>
  <si>
    <t>Office of the Inspector General</t>
  </si>
  <si>
    <t>(202) 218-7770 (ext. 7744), (202) 218-7970</t>
  </si>
  <si>
    <t>(202) 482-0573</t>
  </si>
  <si>
    <t>Gina Grippando</t>
  </si>
  <si>
    <t>(202) 218-7776</t>
  </si>
  <si>
    <t>Federal Maritime Commission</t>
  </si>
  <si>
    <t>Karen Gregory</t>
  </si>
  <si>
    <t>Secretary</t>
  </si>
  <si>
    <t>800 North Capitol Street, NW</t>
  </si>
  <si>
    <t>(202) 523-5725</t>
  </si>
  <si>
    <t>(202) 523-0014</t>
  </si>
  <si>
    <t>http://www.fmc.gov/about/freedom_of_information_act.aspx</t>
  </si>
  <si>
    <t>(202) 523-5707</t>
  </si>
  <si>
    <t>Federal Mediation and Conciliation Service</t>
  </si>
  <si>
    <t>Michael J. Bartlett</t>
  </si>
  <si>
    <t>2100 K Street, NW</t>
  </si>
  <si>
    <t>(202) 606-3737</t>
  </si>
  <si>
    <t>(202) 606-5345</t>
  </si>
  <si>
    <t>http://www.fmcs.gov/internet/itemDetailNoNav.asp?categoryID=90&amp;itemID=16303</t>
  </si>
  <si>
    <t>Mery Skolochenko</t>
  </si>
  <si>
    <t>(202) 606-5444</t>
  </si>
  <si>
    <t>Federal Mine Safety and Health Review Commission</t>
  </si>
  <si>
    <t>Linda H. Ghosal</t>
  </si>
  <si>
    <t>Suite 9500</t>
  </si>
  <si>
    <t>601 New Jersey Avenue, NW</t>
  </si>
  <si>
    <t>(202) 434-9935</t>
  </si>
  <si>
    <t>(202) 434-9944</t>
  </si>
  <si>
    <t>http://www.fmshrc.gov/foia/foia.html</t>
  </si>
  <si>
    <t>Emogene Johnson</t>
  </si>
  <si>
    <t>Federal Open Market Committee</t>
  </si>
  <si>
    <t>Matthew Luecke</t>
  </si>
  <si>
    <t>FOMC FOIA Service Center Manager</t>
  </si>
  <si>
    <t>Mail Stop 55</t>
  </si>
  <si>
    <t>20th &amp; Constitution Avenue, NW</t>
  </si>
  <si>
    <t>(202) 452-2576</t>
  </si>
  <si>
    <t>(202) 452-2921</t>
  </si>
  <si>
    <t>http://www.federalreserve.gov/generalinfo/foia/default.cfm</t>
  </si>
  <si>
    <t>David Caperton</t>
  </si>
  <si>
    <t>(202) 452-2899</t>
  </si>
  <si>
    <t>Federal Reserve System</t>
  </si>
  <si>
    <t>Jeanne McLaughlin</t>
  </si>
  <si>
    <t>FOIA Manager</t>
  </si>
  <si>
    <t>(202) 452-3648</t>
  </si>
  <si>
    <t>(202) 872-7565</t>
  </si>
  <si>
    <t>(202) 452-3236</t>
  </si>
  <si>
    <t>Federal Retirement Thrift Investment Board</t>
  </si>
  <si>
    <t>Amanda Haas</t>
  </si>
  <si>
    <t>1250 H Street, NW</t>
  </si>
  <si>
    <t>20005-3952</t>
  </si>
  <si>
    <t>(202) 942-1630</t>
  </si>
  <si>
    <t>http://www.frtib.gov/FOIA/index.html</t>
  </si>
  <si>
    <t>Federal Trade Commission</t>
  </si>
  <si>
    <t>Dione Stearns</t>
  </si>
  <si>
    <t>Assistant General Counsel for Information &amp; Legal Support</t>
  </si>
  <si>
    <t>600 Pennsylvania Avenue, NW</t>
  </si>
  <si>
    <t>(202) 326-3254</t>
  </si>
  <si>
    <t>(202) 326-2735</t>
  </si>
  <si>
    <t>http://www.ftc.gov/foia/</t>
  </si>
  <si>
    <t>(202) 326-2430</t>
  </si>
  <si>
    <t>Richard Gold</t>
  </si>
  <si>
    <t>(202) 326-3355</t>
  </si>
  <si>
    <t>General Services Administration</t>
  </si>
  <si>
    <t>Elizabeth Ivey</t>
  </si>
  <si>
    <t>FOIA Requester Service Center (H1A)</t>
  </si>
  <si>
    <t>Room 1221A</t>
  </si>
  <si>
    <t>1275 First Street, NE</t>
  </si>
  <si>
    <t>(202) 365-5419</t>
  </si>
  <si>
    <t>(202) 501-2727</t>
  </si>
  <si>
    <t>http://www.gsa.gov/portal/category/21416</t>
  </si>
  <si>
    <t>Kimberly Veach</t>
  </si>
  <si>
    <t>(202) 219-1603</t>
  </si>
  <si>
    <t>Ralph Boldt</t>
  </si>
  <si>
    <t>FOIA Public Liaison (Acting)</t>
  </si>
  <si>
    <t>(202) 501-3094</t>
  </si>
  <si>
    <t>Region 1 (States: CT, MA, ME, NH, RI, VT)</t>
  </si>
  <si>
    <t>Louise Brown</t>
  </si>
  <si>
    <t>Communications Specialist</t>
  </si>
  <si>
    <t>Thomas P. O'Neill Jr. Federal Building, Room 1095</t>
  </si>
  <si>
    <t>Building Client Solutions Division 10, Causeway Street</t>
  </si>
  <si>
    <t>Bost</t>
  </si>
  <si>
    <t>02222-1047</t>
  </si>
  <si>
    <t>(617) 565-7284</t>
  </si>
  <si>
    <t>(617) 565-5915</t>
  </si>
  <si>
    <t>http://www.gsa.gov/portal/staffDirectory/group/FOIA</t>
  </si>
  <si>
    <t>Peggy G. DeProspero</t>
  </si>
  <si>
    <t>(202) 501-2826</t>
  </si>
  <si>
    <t>Region 2 (States: NJ, NY, PR, VI)</t>
  </si>
  <si>
    <t>Jennifer Diala-Wu</t>
  </si>
  <si>
    <t>26 Federal Plaza</t>
  </si>
  <si>
    <t>10278-0000</t>
  </si>
  <si>
    <t>(212) 264-9723</t>
  </si>
  <si>
    <t>Region 3 (States: DE, MD, PA, VA, WV; Europe, Africa and the Middle East)</t>
  </si>
  <si>
    <t>Ginger Graves</t>
  </si>
  <si>
    <t>20 North Eighth Street</t>
  </si>
  <si>
    <t>19107-3191</t>
  </si>
  <si>
    <t>(215) 446-4922</t>
  </si>
  <si>
    <t>(215) 209-0429</t>
  </si>
  <si>
    <t>Debra Traylor</t>
  </si>
  <si>
    <t>77 Forsyth Street</t>
  </si>
  <si>
    <t>30303-0000</t>
  </si>
  <si>
    <t>(404) 562-2810</t>
  </si>
  <si>
    <t>Mike Mitchell</t>
  </si>
  <si>
    <t>230 Dearborn Street</t>
  </si>
  <si>
    <t>60604-1696</t>
  </si>
  <si>
    <t>(312) 385-3016</t>
  </si>
  <si>
    <t>mike.mitchell@gsa.gov</t>
  </si>
  <si>
    <t>Region 6 (States: IA, KS, MO, NE)</t>
  </si>
  <si>
    <t>Ruby Rice</t>
  </si>
  <si>
    <t>Regional FOIA Coordinator</t>
  </si>
  <si>
    <t>Room 1204</t>
  </si>
  <si>
    <t>1500 E Bannister Road</t>
  </si>
  <si>
    <t>64131-3009</t>
  </si>
  <si>
    <t>(816) 926-5305</t>
  </si>
  <si>
    <t>(816) 823-2668</t>
  </si>
  <si>
    <t>Region 7 (States: AR, LA, NM, OK, TX)</t>
  </si>
  <si>
    <t>Vinian Carrasco</t>
  </si>
  <si>
    <t>Regional FOIA Officer</t>
  </si>
  <si>
    <t>Room 11A3, Office 503</t>
  </si>
  <si>
    <t>819 Taylor Street</t>
  </si>
  <si>
    <t>Fort Worth</t>
  </si>
  <si>
    <t>76102-6118</t>
  </si>
  <si>
    <t>(817) 850-5583</t>
  </si>
  <si>
    <t>(817) 978-2250</t>
  </si>
  <si>
    <t>Leigh Ann Bunetta</t>
  </si>
  <si>
    <t>Room 218</t>
  </si>
  <si>
    <t>Denver Federal Center</t>
  </si>
  <si>
    <t>Lakewood</t>
  </si>
  <si>
    <t>80225-0006</t>
  </si>
  <si>
    <t>(303) 236-7352</t>
  </si>
  <si>
    <t>(303) 236-7175</t>
  </si>
  <si>
    <t>Region 9 (States: AZ, CA, HI, NV; Guam, American Samoa, Far East)</t>
  </si>
  <si>
    <t>Michael Bayon</t>
  </si>
  <si>
    <t>Management and Program Analyst</t>
  </si>
  <si>
    <t>450 Golden Gate Avenue</t>
  </si>
  <si>
    <t>(415) 522-3001</t>
  </si>
  <si>
    <t>(415) 522-3005</t>
  </si>
  <si>
    <t>Region 10 (States AK, ID, OR, WA)</t>
  </si>
  <si>
    <t>David Hyres</t>
  </si>
  <si>
    <t>Program Analyst</t>
  </si>
  <si>
    <t>400 15th Street SW</t>
  </si>
  <si>
    <t>Auburn</t>
  </si>
  <si>
    <t>98001-6599</t>
  </si>
  <si>
    <t>(253) 931-7028</t>
  </si>
  <si>
    <t>(253) 931-7758</t>
  </si>
  <si>
    <t>Washington, DC Office</t>
  </si>
  <si>
    <t>Toni LaBern Slappy</t>
  </si>
  <si>
    <t>409 12th Street, SW</t>
  </si>
  <si>
    <t>20024-0000</t>
  </si>
  <si>
    <t>(202) 755-1018</t>
  </si>
  <si>
    <t>FOIA Requester Service Center (ACMC)</t>
  </si>
  <si>
    <t>Room 3116</t>
  </si>
  <si>
    <t>1800 F Street, NW</t>
  </si>
  <si>
    <t>Institute of Museum and Library Services</t>
  </si>
  <si>
    <t>Mamie Bittner</t>
  </si>
  <si>
    <t>9th Floor</t>
  </si>
  <si>
    <t>1800 M Street, NW</t>
  </si>
  <si>
    <t>20036-5802</t>
  </si>
  <si>
    <t>(202) 653-4630</t>
  </si>
  <si>
    <t>(202) 653-4625</t>
  </si>
  <si>
    <t>http://www.imls.gov/about/freedom_of_information_act_foia.aspx</t>
  </si>
  <si>
    <t>Mae Ridges</t>
  </si>
  <si>
    <t>(202) 653-4642</t>
  </si>
  <si>
    <t>Inter-American Foundation</t>
  </si>
  <si>
    <t>Paul Zimmerman</t>
  </si>
  <si>
    <t>12th Floor North, Suite 1200</t>
  </si>
  <si>
    <t>1331 Pennsylvania, NW</t>
  </si>
  <si>
    <t>(202) 683-7118</t>
  </si>
  <si>
    <t>http://www.iaf.gov/FOIA.aspx?RMId=utJRXaBIjTQ=&amp;DT=rmPU+j3DPhQ=</t>
  </si>
  <si>
    <t>(202) 683-7117</t>
  </si>
  <si>
    <t>Juan Price</t>
  </si>
  <si>
    <t>(202) 688-3047</t>
  </si>
  <si>
    <t>Legal Services Corporation</t>
  </si>
  <si>
    <t>Cheryl DuHart</t>
  </si>
  <si>
    <t>Acting FOIA Officer, Office of Legal Affairs</t>
  </si>
  <si>
    <t>3333 K Street, NW</t>
  </si>
  <si>
    <t>(202) 295-1500</t>
  </si>
  <si>
    <t>(202) 337-6519</t>
  </si>
  <si>
    <t>http://www.lsc.gov/foia2/</t>
  </si>
  <si>
    <t>Merit Systems Protection Board</t>
  </si>
  <si>
    <t>Bernard Parker</t>
  </si>
  <si>
    <t>FOIA Public Liaison, Office of the Clerk</t>
  </si>
  <si>
    <t>1615 M Street, NW</t>
  </si>
  <si>
    <t>(202) 254-4475</t>
  </si>
  <si>
    <t>(202) 653-7130</t>
  </si>
  <si>
    <t>http://www.mspb.gov/FOIA/foia.htm</t>
  </si>
  <si>
    <t>Darryl Aaron</t>
  </si>
  <si>
    <t>(202) 254-4474</t>
  </si>
  <si>
    <t>Yvonnie Ellis</t>
  </si>
  <si>
    <t>FOIA Liaison</t>
  </si>
  <si>
    <t>10th Floor</t>
  </si>
  <si>
    <t>401 W. Peachtree Street, NW</t>
  </si>
  <si>
    <t>20208-3519</t>
  </si>
  <si>
    <t>(404) 730-2755 ext. 8019</t>
  </si>
  <si>
    <t>(404) 730-2767</t>
  </si>
  <si>
    <t>http://www.mspb.gov/contact/contact.htm#FOIA</t>
  </si>
  <si>
    <t>Central Regional Office</t>
  </si>
  <si>
    <t>Betty Capis</t>
  </si>
  <si>
    <t>31st Floor</t>
  </si>
  <si>
    <t>230 South Dearborn Street</t>
  </si>
  <si>
    <t>60604-1669</t>
  </si>
  <si>
    <t>(312) 353-2924 ext. 3113</t>
  </si>
  <si>
    <t>(313) 886-4231</t>
  </si>
  <si>
    <t>Betty Caplis</t>
  </si>
  <si>
    <t>Washington DC Regional Office</t>
  </si>
  <si>
    <t>Marie Sumner</t>
  </si>
  <si>
    <t>Suite 205</t>
  </si>
  <si>
    <t>1800 Diagonal Road</t>
  </si>
  <si>
    <t>Alexandria</t>
  </si>
  <si>
    <t>22314-2480</t>
  </si>
  <si>
    <t>(703) 756-7104 ext. 4109</t>
  </si>
  <si>
    <t>(703) 756-7112</t>
  </si>
  <si>
    <t>Northeastern Regional Office</t>
  </si>
  <si>
    <t>Dennis Matthews</t>
  </si>
  <si>
    <t>Suite 1700</t>
  </si>
  <si>
    <t>1601 Market Street</t>
  </si>
  <si>
    <t>(215) 597-9960 ext. 7108</t>
  </si>
  <si>
    <t>(215) 597-3456</t>
  </si>
  <si>
    <t>Bobbie Williams</t>
  </si>
  <si>
    <t>Room 620</t>
  </si>
  <si>
    <t>1100 Commerce Street</t>
  </si>
  <si>
    <t>75242-9979</t>
  </si>
  <si>
    <t>(214) 767-0810 ext. 5100</t>
  </si>
  <si>
    <t>(214) 767-0102</t>
  </si>
  <si>
    <t>Crystal Wilson</t>
  </si>
  <si>
    <t>Western Regional Office</t>
  </si>
  <si>
    <t>Joyce Thomas</t>
  </si>
  <si>
    <t>Suite 2130</t>
  </si>
  <si>
    <t>201 Mission Street</t>
  </si>
  <si>
    <t>94105-1831</t>
  </si>
  <si>
    <t>(415) 904-6772 ext. 2101</t>
  </si>
  <si>
    <t>(415) 904-0580</t>
  </si>
  <si>
    <t>New York Field Office</t>
  </si>
  <si>
    <t>Gwendolyn Gatling</t>
  </si>
  <si>
    <t>Room 3137-A</t>
  </si>
  <si>
    <t>10278-0022</t>
  </si>
  <si>
    <t>(212) 264-6183 ext. 7504</t>
  </si>
  <si>
    <t>(212) 264-1417</t>
  </si>
  <si>
    <t>Denver Field Office</t>
  </si>
  <si>
    <t>Nicole Remmich</t>
  </si>
  <si>
    <t>Suite 318</t>
  </si>
  <si>
    <t>165 South Union Boulevard</t>
  </si>
  <si>
    <t>80228-2211</t>
  </si>
  <si>
    <t>(303) 969-5101 ext. 6104</t>
  </si>
  <si>
    <t>(303) 969-5109</t>
  </si>
  <si>
    <t>FOIA Public Liaiso, Office of the Clerk</t>
  </si>
  <si>
    <t>(202) 653-7200</t>
  </si>
  <si>
    <t>Millennium Challenge Corporation</t>
  </si>
  <si>
    <t>John Mantini</t>
  </si>
  <si>
    <t>875 15th Street, NW</t>
  </si>
  <si>
    <t>(202) 521-3863</t>
  </si>
  <si>
    <t>http://www.mcc.gov/pages/foia</t>
  </si>
  <si>
    <t>Headquarters - NASW Contracts Only</t>
  </si>
  <si>
    <t>National Aeronautics and Space Administration</t>
  </si>
  <si>
    <t>Josephine Sibley</t>
  </si>
  <si>
    <t>HQFOIA Officer</t>
  </si>
  <si>
    <t>Room 2 X71</t>
  </si>
  <si>
    <t>300 E Street, SW</t>
  </si>
  <si>
    <t>S.W. Washington</t>
  </si>
  <si>
    <t>(202) 358-2462</t>
  </si>
  <si>
    <t>(202) 358-4332</t>
  </si>
  <si>
    <t>http://www.hq.nasa.gov/office/pao/FOIA/index.htm</t>
  </si>
  <si>
    <t>Mail Stop 5-L19</t>
  </si>
  <si>
    <t>(202) 358-2562</t>
  </si>
  <si>
    <t>Ames Research Center - NAS2 Contracts Only</t>
  </si>
  <si>
    <t>Lubna Shirazi</t>
  </si>
  <si>
    <t>ARC FOIA Officer</t>
  </si>
  <si>
    <t>MS 943-4</t>
  </si>
  <si>
    <t>Moffett Field</t>
  </si>
  <si>
    <t>94035-1000</t>
  </si>
  <si>
    <t>(650) 604-1138</t>
  </si>
  <si>
    <t>(650) 604-0688</t>
  </si>
  <si>
    <t>http://www.nasa.gov/centers/ames/business/foia/index.html</t>
  </si>
  <si>
    <t>(650) 604-3273</t>
  </si>
  <si>
    <t>Dryden Flight Research Center - NAS4 Contracts Only</t>
  </si>
  <si>
    <t>Kim Lewis</t>
  </si>
  <si>
    <t>DFRC FOIA Officer</t>
  </si>
  <si>
    <t>Building 4839</t>
  </si>
  <si>
    <t>4800 Lily Drive</t>
  </si>
  <si>
    <t>Edwards</t>
  </si>
  <si>
    <t>(661) 276-2704</t>
  </si>
  <si>
    <t>(661) 276-3566</t>
  </si>
  <si>
    <t>http://www.nasa.gov/centers/dryden/about/FOIA/index.html</t>
  </si>
  <si>
    <t>P.O. Box 273</t>
  </si>
  <si>
    <t>Glenn Research Center - NAS3 Contracts Only</t>
  </si>
  <si>
    <t>Angela Pierce</t>
  </si>
  <si>
    <t>GRC FOIA Officer</t>
  </si>
  <si>
    <t>Mail Code 21-14</t>
  </si>
  <si>
    <t>Cleveland</t>
  </si>
  <si>
    <t>OH</t>
  </si>
  <si>
    <t>(216) 443-2813</t>
  </si>
  <si>
    <t>(216) 433-5489</t>
  </si>
  <si>
    <t>http://www.grc.nasa.gov/WWW/FOIA/FOIA.htm</t>
  </si>
  <si>
    <t>2100 Brookpark Road</t>
  </si>
  <si>
    <t>Goddard Space Flight Center - NAS5 Contracts Only</t>
  </si>
  <si>
    <t>Joan Belt</t>
  </si>
  <si>
    <t>GSFC FOIA Officer</t>
  </si>
  <si>
    <t>Code 130</t>
  </si>
  <si>
    <t>Greenbelt</t>
  </si>
  <si>
    <t>(301) 286-4271</t>
  </si>
  <si>
    <t>(301) 286-1712</t>
  </si>
  <si>
    <t>http://www.nasa.gov/centers/goddard/business/foia/index.html</t>
  </si>
  <si>
    <t>Jet Propulsion Laboratory - NAS7 Contracts Only</t>
  </si>
  <si>
    <t>Dennis Mahon</t>
  </si>
  <si>
    <t>JPL FOIA Officer</t>
  </si>
  <si>
    <t>M/S: 180-200K</t>
  </si>
  <si>
    <t>4800 Oak Grove</t>
  </si>
  <si>
    <t>Pasadena</t>
  </si>
  <si>
    <t>91109-8001</t>
  </si>
  <si>
    <t>(818) 393-6779</t>
  </si>
  <si>
    <t>(818) 393-3160</t>
  </si>
  <si>
    <t>http://nmo.nasa.gov/cfm_nasa/foia.cfm</t>
  </si>
  <si>
    <t>Johnson Space Center - NAS9 Contracts Only</t>
  </si>
  <si>
    <t>Jessica Cordero</t>
  </si>
  <si>
    <t>JSC FOIA Officer</t>
  </si>
  <si>
    <t>Mail Code: AP2</t>
  </si>
  <si>
    <t>(281) 483-8252</t>
  </si>
  <si>
    <t>(281) 483-4876</t>
  </si>
  <si>
    <t>http://www.nasa.gov/centers/johnson/news/foia.html</t>
  </si>
  <si>
    <t>Kennedy Space Center - NAS10 Contracts Only</t>
  </si>
  <si>
    <t>Penny Myers</t>
  </si>
  <si>
    <t>KSC FOIA Officer</t>
  </si>
  <si>
    <t>XA-A1</t>
  </si>
  <si>
    <t>Kennedy Space Center</t>
  </si>
  <si>
    <t>(321) 867-9280</t>
  </si>
  <si>
    <t>(321) 867-8007</t>
  </si>
  <si>
    <t>http://www.nasa.gov/centers/kennedy/about/foia/index.html</t>
  </si>
  <si>
    <t>Langley Research Center - NAS1 Contracts Only</t>
  </si>
  <si>
    <t>Carissa Wheeler</t>
  </si>
  <si>
    <t>LaRC FOIA Officer</t>
  </si>
  <si>
    <t>Mail Stop 218</t>
  </si>
  <si>
    <t>17 West Taylor Street</t>
  </si>
  <si>
    <t>Hampton</t>
  </si>
  <si>
    <t>23681-2199</t>
  </si>
  <si>
    <t>(757) 864-4274</t>
  </si>
  <si>
    <t>(757) 864-6333</t>
  </si>
  <si>
    <t>http://foia.larc.nasa.gov/</t>
  </si>
  <si>
    <t>Marshall Space Flight Center - NAS8 Contracts Only</t>
  </si>
  <si>
    <t>Judi Hollingsworth</t>
  </si>
  <si>
    <t>MSFC FOIA Officer</t>
  </si>
  <si>
    <t>Mail Stop CD50</t>
  </si>
  <si>
    <t>Marshall Space Flight Center</t>
  </si>
  <si>
    <t>Huntsville</t>
  </si>
  <si>
    <t>(256) 544-1837</t>
  </si>
  <si>
    <t>(256) 544-007</t>
  </si>
  <si>
    <t>http://foia.msfc.nasa.gov/</t>
  </si>
  <si>
    <t>Frank LaRocca</t>
  </si>
  <si>
    <t>OIG FOIA Officer</t>
  </si>
  <si>
    <t>Room 8V69</t>
  </si>
  <si>
    <t>(202) 358-2582</t>
  </si>
  <si>
    <t>(202) 358-2767</t>
  </si>
  <si>
    <t>http://oig.nasa.gov/FOIA_requests.html</t>
  </si>
  <si>
    <t>Shared Services Center</t>
  </si>
  <si>
    <t>Paula Roy</t>
  </si>
  <si>
    <t>NSSC FOIA Officer</t>
  </si>
  <si>
    <t>Building 1111</t>
  </si>
  <si>
    <t>Stennis Space Center</t>
  </si>
  <si>
    <t>MS</t>
  </si>
  <si>
    <t>(228) 813-6174</t>
  </si>
  <si>
    <t>(228) 779-6772</t>
  </si>
  <si>
    <t>http://www.nssc.nasa.gov/foia/</t>
  </si>
  <si>
    <t>Veronica Causey</t>
  </si>
  <si>
    <t>Building 5100</t>
  </si>
  <si>
    <t>Stennis Space Center - NAS13 Contracts Only</t>
  </si>
  <si>
    <t>Sally Bilbo</t>
  </si>
  <si>
    <t>SSC FOIA Officer</t>
  </si>
  <si>
    <t>(228) 688-3182</t>
  </si>
  <si>
    <t>(228) 668-7499</t>
  </si>
  <si>
    <t>http://www.nasa.gov/centers/stennis/about/foia/index.html</t>
  </si>
  <si>
    <t>Miriam Brown-Lam</t>
  </si>
  <si>
    <t>Principal Agency FOIA Officer</t>
  </si>
  <si>
    <t>Room 2 W80</t>
  </si>
  <si>
    <t>(202) 358-0718</t>
  </si>
  <si>
    <t>http://www.hq.nasa.gov/office/pao/FOIA/agency/</t>
  </si>
  <si>
    <t>(202) 358-3642</t>
  </si>
  <si>
    <t>Main Office</t>
  </si>
  <si>
    <t>National Archives and Records Administration</t>
  </si>
  <si>
    <t>Joseph Scanlon</t>
  </si>
  <si>
    <t>Room 3110</t>
  </si>
  <si>
    <t>8601 Adelphi Road</t>
  </si>
  <si>
    <t>College Park</t>
  </si>
  <si>
    <t>(301) 837-3642</t>
  </si>
  <si>
    <t>(301) 837-0293</t>
  </si>
  <si>
    <t>http://www.archives.gov/foia/index.html</t>
  </si>
  <si>
    <t>Gary Stern</t>
  </si>
  <si>
    <t>(301) 837-2024</t>
  </si>
  <si>
    <t>Room 1300</t>
  </si>
  <si>
    <t>(301) 837-3000</t>
  </si>
  <si>
    <t>(301) 837-3197</t>
  </si>
  <si>
    <t>John Simms</t>
  </si>
  <si>
    <t>Accessioned Executive Branch Agency Records - Washington, DC Area</t>
  </si>
  <si>
    <t>Special Access and FOIA Staff (NWCTF)</t>
  </si>
  <si>
    <t>Room 6350</t>
  </si>
  <si>
    <t>(301) 837-3190</t>
  </si>
  <si>
    <t>(301) 837-1864</t>
  </si>
  <si>
    <t>Steven Tilley</t>
  </si>
  <si>
    <t>(301) 837-3059</t>
  </si>
  <si>
    <t>Pacific Alaska Region (Anchorage)</t>
  </si>
  <si>
    <t>Regional Director</t>
  </si>
  <si>
    <t>654 West Third Avenue</t>
  </si>
  <si>
    <t>Anchorage</t>
  </si>
  <si>
    <t>AK</t>
  </si>
  <si>
    <t>99501-2145</t>
  </si>
  <si>
    <t>(907) 261-7820</t>
  </si>
  <si>
    <t>(907) 261-7813</t>
  </si>
  <si>
    <t>http://www.archives.gov/pacific-alaska/anchorage/</t>
  </si>
  <si>
    <t>(979) 691-4000</t>
  </si>
  <si>
    <t>R. Bruce Parham</t>
  </si>
  <si>
    <t>(907) 261-7801</t>
  </si>
  <si>
    <t>Southeast Region (Atlanta)</t>
  </si>
  <si>
    <t>57800 Jonesboro Road</t>
  </si>
  <si>
    <t>Morrow</t>
  </si>
  <si>
    <t>(770) 968-2100</t>
  </si>
  <si>
    <t>(770) 968-2547</t>
  </si>
  <si>
    <t>http://www.archives.gov/southeast/</t>
  </si>
  <si>
    <t>Richard Rayburn</t>
  </si>
  <si>
    <t>Northeast Region (Boston)</t>
  </si>
  <si>
    <t>Frederick C. Murphy Federal Center</t>
  </si>
  <si>
    <t>380 Trapelo Road</t>
  </si>
  <si>
    <t>Waltham</t>
  </si>
  <si>
    <t>02452-6399</t>
  </si>
  <si>
    <t>(781) 663-0130</t>
  </si>
  <si>
    <t>(781) 663-0154</t>
  </si>
  <si>
    <t>Patricia Foley</t>
  </si>
  <si>
    <t>(781) 663-0121</t>
  </si>
  <si>
    <t>Great Lakes Region (Chicago)</t>
  </si>
  <si>
    <t>7358 South Pulaski Road</t>
  </si>
  <si>
    <t>60629-5898</t>
  </si>
  <si>
    <t>(773) 948-9001</t>
  </si>
  <si>
    <t>(773) 948-9050</t>
  </si>
  <si>
    <t>http://www.archives.gov/great-lakes/</t>
  </si>
  <si>
    <t>(773) 581-7816</t>
  </si>
  <si>
    <t>Douglas Bicknese</t>
  </si>
  <si>
    <t>(773) 948-0009</t>
  </si>
  <si>
    <t>Rocky Mountain Region (Denver)</t>
  </si>
  <si>
    <t>P.O. Box 25307</t>
  </si>
  <si>
    <t>(303) 407-5740</t>
  </si>
  <si>
    <t>(303) 407-5709</t>
  </si>
  <si>
    <t>http://www.archives.gov/rocky-mountain/</t>
  </si>
  <si>
    <t>Eileen Bolger</t>
  </si>
  <si>
    <t>(303) 407-5749</t>
  </si>
  <si>
    <t>Southwest Region (Fort Worth)</t>
  </si>
  <si>
    <t>1400 John Burgess Drive</t>
  </si>
  <si>
    <t>(817) 831-5620</t>
  </si>
  <si>
    <t>(817) 551-2034</t>
  </si>
  <si>
    <t>http://www.archives.gov/southwest/</t>
  </si>
  <si>
    <t>(817) 334-5525</t>
  </si>
  <si>
    <t>Meg Hacker</t>
  </si>
  <si>
    <t>(917) 831-5643</t>
  </si>
  <si>
    <t>Central Plains Region (Kansas City)</t>
  </si>
  <si>
    <t>400 West Pershing Road</t>
  </si>
  <si>
    <t>(816) 268-8000</t>
  </si>
  <si>
    <t>(816) 268-8038</t>
  </si>
  <si>
    <t>http://www.archives.gov/locations/regional-archives.html</t>
  </si>
  <si>
    <t>(816) 268-8017</t>
  </si>
  <si>
    <t>Northeast Region (New York)</t>
  </si>
  <si>
    <t>12th Floor</t>
  </si>
  <si>
    <t>201 Varick Street</t>
  </si>
  <si>
    <t>(212) 401-1620</t>
  </si>
  <si>
    <t>(212) 401-1638</t>
  </si>
  <si>
    <t>http://www.archives.gov/northeast/nyc/</t>
  </si>
  <si>
    <t>Nancy Shader</t>
  </si>
  <si>
    <t>(212) 401-1626</t>
  </si>
  <si>
    <t>Mid-Atlantic Region (City Center Philadelphia)</t>
  </si>
  <si>
    <t>900 Market Street</t>
  </si>
  <si>
    <t>19107-4292</t>
  </si>
  <si>
    <t>(215) 606-0100</t>
  </si>
  <si>
    <t>(215) 606-0116</t>
  </si>
  <si>
    <t>http://www.archives.gov/midatlantic/</t>
  </si>
  <si>
    <t>(215) 305-2000</t>
  </si>
  <si>
    <t>John McEvoy</t>
  </si>
  <si>
    <t>(215) 305-2005</t>
  </si>
  <si>
    <t>Pacific Region (San Francisco)</t>
  </si>
  <si>
    <t>100 Commodore Drive</t>
  </si>
  <si>
    <t>San Bruno</t>
  </si>
  <si>
    <t>94066-2350</t>
  </si>
  <si>
    <t>(650) 238-3501</t>
  </si>
  <si>
    <t>(650) 238-3510</t>
  </si>
  <si>
    <t>http://www.archives.gov/pacific/san-francisco/</t>
  </si>
  <si>
    <t>(949) 360-2641</t>
  </si>
  <si>
    <t>Dan Nealand</t>
  </si>
  <si>
    <t>(650) 238-3478</t>
  </si>
  <si>
    <t>Pacific Region (Seattle)</t>
  </si>
  <si>
    <t>6125 Sand Point Way, NE</t>
  </si>
  <si>
    <t>98115-7999</t>
  </si>
  <si>
    <t>(206) 336-5115</t>
  </si>
  <si>
    <t>(206) 336-5112</t>
  </si>
  <si>
    <t>http://www.archives.gov/pacific-alaska/seattle/</t>
  </si>
  <si>
    <t>Sue Karren</t>
  </si>
  <si>
    <t>(206) 336-5141</t>
  </si>
  <si>
    <t>National Capital Planning Commission</t>
  </si>
  <si>
    <t>Deborah Young</t>
  </si>
  <si>
    <t>North Lobby, Suite 500</t>
  </si>
  <si>
    <t>401 9th Street, NW</t>
  </si>
  <si>
    <t>(202)-482-7228</t>
  </si>
  <si>
    <t>(202) 482-7272</t>
  </si>
  <si>
    <t>http://www.ncpc.gov/ncpc/FooterPages/PrivacyFOIADisclosure.html</t>
  </si>
  <si>
    <t>Marcella Brown</t>
  </si>
  <si>
    <t>(202)-482-7227</t>
  </si>
  <si>
    <t>National Credit Union Administration</t>
  </si>
  <si>
    <t>Linda Dent</t>
  </si>
  <si>
    <t>Staff Attorney/FOIA Officer, Office of General Counsel</t>
  </si>
  <si>
    <t>1775 Duke Street</t>
  </si>
  <si>
    <t>(703) 518-6540</t>
  </si>
  <si>
    <t>(703) 518-6569</t>
  </si>
  <si>
    <t>http://www.ncua.gov/Resources/FOIA/Pages/default.aspx</t>
  </si>
  <si>
    <t>Staff Attorney/FOIA Officer, Office of the Inspector General</t>
  </si>
  <si>
    <t>(703) 518-6349</t>
  </si>
  <si>
    <t>National Endowment for the Arts</t>
  </si>
  <si>
    <t>Monica Ashar</t>
  </si>
  <si>
    <t>Room 608</t>
  </si>
  <si>
    <t>1100 Pennsylvania Avenue, NW</t>
  </si>
  <si>
    <t>(202) 682-5418</t>
  </si>
  <si>
    <t>(202) 682-5572</t>
  </si>
  <si>
    <t>http://www.arts.gov/about/FOIA/index.html</t>
  </si>
  <si>
    <t>National Endowment for the Humanities</t>
  </si>
  <si>
    <t>Michelle Ghim</t>
  </si>
  <si>
    <t>Attorney Advisor</t>
  </si>
  <si>
    <t>Room 529</t>
  </si>
  <si>
    <t>(202) 606-8322</t>
  </si>
  <si>
    <t>(202) 606-8600</t>
  </si>
  <si>
    <t>http://www.neh.gov/whoweare/foiamain.html</t>
  </si>
  <si>
    <t>Lisette Voyatzis</t>
  </si>
  <si>
    <t>National Indian Gaming Commission</t>
  </si>
  <si>
    <t>AnDrea Choate'</t>
  </si>
  <si>
    <t>Assistant Records Manager</t>
  </si>
  <si>
    <t>Suite 9100</t>
  </si>
  <si>
    <t>1441 L Street, NW</t>
  </si>
  <si>
    <t>(202) 632-7003</t>
  </si>
  <si>
    <t>(202) 632-7066</t>
  </si>
  <si>
    <t>http://www.nigc.gov/Reading_Room/Freedom_of_Information_Act.aspx</t>
  </si>
  <si>
    <t>National Labor Relations Board</t>
  </si>
  <si>
    <t>Jacqueline Young</t>
  </si>
  <si>
    <t>Room 10600</t>
  </si>
  <si>
    <t>1099 14th Street, NW</t>
  </si>
  <si>
    <t>(202) 273-3825</t>
  </si>
  <si>
    <t>(202) 273-3642</t>
  </si>
  <si>
    <t>http://www.nlrb.gov/FOIA/</t>
  </si>
  <si>
    <t>(202) 273-1991</t>
  </si>
  <si>
    <t>Jayme Sophir</t>
  </si>
  <si>
    <t>(202) 273-3800</t>
  </si>
  <si>
    <t>National Mediation Board</t>
  </si>
  <si>
    <t>Mary L. Johnson</t>
  </si>
  <si>
    <t>Suite 250E</t>
  </si>
  <si>
    <t>1301 K Street, NW</t>
  </si>
  <si>
    <t>(202) 692-5040</t>
  </si>
  <si>
    <t>(202) 692-5085</t>
  </si>
  <si>
    <t>http://www.nmb.gov/publicinfo/foia.html</t>
  </si>
  <si>
    <t>Timoth Sweeney</t>
  </si>
  <si>
    <t>Susanna Parker</t>
  </si>
  <si>
    <t>National Science Foundation</t>
  </si>
  <si>
    <t>Leslie A. Jensen</t>
  </si>
  <si>
    <t>Room 1265</t>
  </si>
  <si>
    <t>4201 Wilson Boulevard</t>
  </si>
  <si>
    <t>(703) 292-8060</t>
  </si>
  <si>
    <t>(703) 292-9041</t>
  </si>
  <si>
    <t>http://www.nsf.gov/policies/foia.jsp</t>
  </si>
  <si>
    <t>(703) 292-5065</t>
  </si>
  <si>
    <t>National Transportation Safety Board</t>
  </si>
  <si>
    <t>Melba D. Moye</t>
  </si>
  <si>
    <t>Chief, Records Management Division</t>
  </si>
  <si>
    <t>CIO-40</t>
  </si>
  <si>
    <t>490 L&amp;acute;Enfant Plaza, SW</t>
  </si>
  <si>
    <t>(202) 314-6540</t>
  </si>
  <si>
    <t>(240) 752-6257</t>
  </si>
  <si>
    <t>http://www.ntsb.gov/foia/index.html</t>
  </si>
  <si>
    <t>Nuclear Regulatory Commission</t>
  </si>
  <si>
    <t>Donna L. Sealing</t>
  </si>
  <si>
    <t>FOIA/Privacy Officer</t>
  </si>
  <si>
    <t>Mail Stop T5-F09</t>
  </si>
  <si>
    <t>20555-0001</t>
  </si>
  <si>
    <t>(301) 415-7169</t>
  </si>
  <si>
    <t>(301) 415-5130</t>
  </si>
  <si>
    <t>http://www.nrc.gov/reading-rm/foia/foia-privacy.html</t>
  </si>
  <si>
    <t>Russell A. Nichols</t>
  </si>
  <si>
    <t>Mail Stop T5-F53</t>
  </si>
  <si>
    <t>11545 Rockville Pike</t>
  </si>
  <si>
    <t>Rockville</t>
  </si>
  <si>
    <t>(301) 415-6874</t>
  </si>
  <si>
    <t>Mail Stop T5-F509</t>
  </si>
  <si>
    <t>(301) 415-5804</t>
  </si>
  <si>
    <t>Deborah Dennis</t>
  </si>
  <si>
    <t>FOIA Public Liaison (for Japan-Related Requests)</t>
  </si>
  <si>
    <t>(301) 415-5704</t>
  </si>
  <si>
    <t>Occupational Safety and Health Review Commission</t>
  </si>
  <si>
    <t>FOIA Request - OSHRC</t>
  </si>
  <si>
    <t>20036-3457</t>
  </si>
  <si>
    <t>(202) 606-5700</t>
  </si>
  <si>
    <t>(202) 606-5417</t>
  </si>
  <si>
    <t>http://www.oshrc.gov/foia/foia.html</t>
  </si>
  <si>
    <t>Jennifer Marr</t>
  </si>
  <si>
    <t>Office of the Director of National Intelligence</t>
  </si>
  <si>
    <t>John F. Hackett</t>
  </si>
  <si>
    <t>Director, Information Management Office</t>
  </si>
  <si>
    <t>(703) 874-8500</t>
  </si>
  <si>
    <t>(703) 874-8910</t>
  </si>
  <si>
    <t>http://www.dni.gov/foia.htm</t>
  </si>
  <si>
    <t>John F. Hackett, Jennifer Hudson</t>
  </si>
  <si>
    <t>Office of Government Ethics</t>
  </si>
  <si>
    <t>Kerri Cox</t>
  </si>
  <si>
    <t>OGE FOIA Officer</t>
  </si>
  <si>
    <t>20005-3917</t>
  </si>
  <si>
    <t>(202) 482-9312</t>
  </si>
  <si>
    <t>(202) 482-9237</t>
  </si>
  <si>
    <t>http://www.usoge.gov/FOIA-and-Privacy-Act/The-Freedom-of-Information-Act-and-the-Privacy-Act/</t>
  </si>
  <si>
    <t>(202) 482-9267</t>
  </si>
  <si>
    <t>Office of Navajo and Hopi Indian Relocation</t>
  </si>
  <si>
    <t>Scott Kuhr</t>
  </si>
  <si>
    <t>Freedom of Information/Privacy Act Officer</t>
  </si>
  <si>
    <t>P.O. Box KK</t>
  </si>
  <si>
    <t>201 E. Birch Avenue</t>
  </si>
  <si>
    <t>Flagstaff</t>
  </si>
  <si>
    <t>(928) 779-2727, ext. 145</t>
  </si>
  <si>
    <t>(978) 774-1977</t>
  </si>
  <si>
    <t>http://onhir.gov/</t>
  </si>
  <si>
    <t>Lawrence A. Ruzzow</t>
  </si>
  <si>
    <t>(928) 779-2721</t>
  </si>
  <si>
    <t>Office of Personnel Management</t>
  </si>
  <si>
    <t>Tanya Bennett</t>
  </si>
  <si>
    <t>Room 5415</t>
  </si>
  <si>
    <t>1900 E Street, NW</t>
  </si>
  <si>
    <t>20415-7900</t>
  </si>
  <si>
    <t>(202) 606-1153</t>
  </si>
  <si>
    <t>(202) 418-3251</t>
  </si>
  <si>
    <t>http://www.opm.gov/efoia/index.asp</t>
  </si>
  <si>
    <t>(202) 606-3642</t>
  </si>
  <si>
    <t>Office of Special Counsel</t>
  </si>
  <si>
    <t>Christopher M. Kurt</t>
  </si>
  <si>
    <t>Suite 218</t>
  </si>
  <si>
    <t>1730 M Street, NW</t>
  </si>
  <si>
    <t>20036-4505</t>
  </si>
  <si>
    <t>(202) 254-3716</t>
  </si>
  <si>
    <t>(202) 653-5151</t>
  </si>
  <si>
    <t>http://www.osc.gov/foia.htm</t>
  </si>
  <si>
    <t>Kenneth Hendricks</t>
  </si>
  <si>
    <t>(202) 254-3733</t>
  </si>
  <si>
    <t>Overseas Private Investment Corporation</t>
  </si>
  <si>
    <t>Nichole Cadiente</t>
  </si>
  <si>
    <t>FOIA Director</t>
  </si>
  <si>
    <t>1100 New York Avenue, NW</t>
  </si>
  <si>
    <t>(202) 336-8400</t>
  </si>
  <si>
    <t>http://www.opic.gov/publications/foia</t>
  </si>
  <si>
    <t>Peace Corps</t>
  </si>
  <si>
    <t>Denora Miller</t>
  </si>
  <si>
    <t>FOIA/Privacy Act Officer, Office of Management</t>
  </si>
  <si>
    <t>1111 20th Street, NW</t>
  </si>
  <si>
    <t>20536-0001</t>
  </si>
  <si>
    <t>(202) 692-1236</t>
  </si>
  <si>
    <t>(202) 692-1385</t>
  </si>
  <si>
    <t>http://www.peacecorps.gov/index.cfm?shell=about.policies.foia</t>
  </si>
  <si>
    <t>Jeffrey Reichert</t>
  </si>
  <si>
    <t>(202) 692-2922</t>
  </si>
  <si>
    <t>Pension Benefit Guaranty Corporation</t>
  </si>
  <si>
    <t>E. William Fitzgerald</t>
  </si>
  <si>
    <t>Disclosure Officer</t>
  </si>
  <si>
    <t>Suite 11101</t>
  </si>
  <si>
    <t>1200 K Street, NW</t>
  </si>
  <si>
    <t>(202) 326-4040</t>
  </si>
  <si>
    <t>(202) 326-4042</t>
  </si>
  <si>
    <t>http://www.pbgc.gov/about/foia.html</t>
  </si>
  <si>
    <t>Michelle Y. Chase</t>
  </si>
  <si>
    <t>Postal Regulatory Commission</t>
  </si>
  <si>
    <t>Ruth Ann Abrams</t>
  </si>
  <si>
    <t>Assistant Secretary</t>
  </si>
  <si>
    <t>Suite 200 West</t>
  </si>
  <si>
    <t>901 New York Avenue, NW</t>
  </si>
  <si>
    <t>(202) 789-6800</t>
  </si>
  <si>
    <t>(202) 789-6891</t>
  </si>
  <si>
    <t>Jennie Jbara</t>
  </si>
  <si>
    <t>Railroad Retirement Board</t>
  </si>
  <si>
    <t>Eric Wooden</t>
  </si>
  <si>
    <t>844 North Rush Street</t>
  </si>
  <si>
    <t>60611-2092</t>
  </si>
  <si>
    <t>(312) 751-4936</t>
  </si>
  <si>
    <t>(312) 751-7102</t>
  </si>
  <si>
    <t>http://www.rrb.gov/blaw/foia/foia.asp</t>
  </si>
  <si>
    <t>(312) 751-4948</t>
  </si>
  <si>
    <t>Marguerite P. Dadabo</t>
  </si>
  <si>
    <t>Room 450</t>
  </si>
  <si>
    <t>(312) 751-4350</t>
  </si>
  <si>
    <t>Recovery Accountablity and Transparency Board</t>
  </si>
  <si>
    <t>1717 Pennsylvania Ave., NW</t>
  </si>
  <si>
    <t>(202) 254-7900</t>
  </si>
  <si>
    <t>(202) 254-7970</t>
  </si>
  <si>
    <t>http://www.recovery.gov/Pages/foia.aspx</t>
  </si>
  <si>
    <t>Roy Kime</t>
  </si>
  <si>
    <t>Securities and Exchange Commission</t>
  </si>
  <si>
    <t>John Livornese</t>
  </si>
  <si>
    <t>FOIA Officer, Office of FOIA, Records Management, and Seccurity (OFRMS)</t>
  </si>
  <si>
    <t>Mail Stop 2736</t>
  </si>
  <si>
    <t>100 F Street, NE</t>
  </si>
  <si>
    <t>20549-2736</t>
  </si>
  <si>
    <t>(202) 551-8300</t>
  </si>
  <si>
    <t>(202) 772-9337</t>
  </si>
  <si>
    <t>http://www.sec.gov/foia.shtml</t>
  </si>
  <si>
    <t>John Livornese, Lizzette Katilius, David Henshall, Jeffrey Ovall and Ray McInerny</t>
  </si>
  <si>
    <t>(202) 551-7900</t>
  </si>
  <si>
    <t>Selective Service System</t>
  </si>
  <si>
    <t>Paula A. Sweeney</t>
  </si>
  <si>
    <t>22209-2425</t>
  </si>
  <si>
    <t>(703) 605-4100</t>
  </si>
  <si>
    <t>(703) 605-4106</t>
  </si>
  <si>
    <t>http://www.sss.gov/freedomhome.htm</t>
  </si>
  <si>
    <t>Richard Flahavan</t>
  </si>
  <si>
    <t>Small Business Administration</t>
  </si>
  <si>
    <t>Lisa Babcock</t>
  </si>
  <si>
    <t>Chief, Office of FOI/PA</t>
  </si>
  <si>
    <t>409 3rd Street, SW</t>
  </si>
  <si>
    <t>(202) 401-8203</t>
  </si>
  <si>
    <t>(202) 205-7059</t>
  </si>
  <si>
    <t>http://archive.sba.gov/aboutsba/sbaprograms/foia/index.html</t>
  </si>
  <si>
    <t>Social Security Administration</t>
  </si>
  <si>
    <t>Dawn S. Wiggins</t>
  </si>
  <si>
    <t>Principal Public FOIA Liaison</t>
  </si>
  <si>
    <t>Room 3-A-6 Operations</t>
  </si>
  <si>
    <t>6401 Security Boulevard</t>
  </si>
  <si>
    <t>Baltimore</t>
  </si>
  <si>
    <t>(410) 965-1727</t>
  </si>
  <si>
    <t>(410) 966-0869</t>
  </si>
  <si>
    <t>http://www.ssa.gov/foia/</t>
  </si>
  <si>
    <t>Mary Ann Zimmerman, Pamela J. Carcirieri</t>
  </si>
  <si>
    <t>FOIA Requester Service Center, Office of Privacy &amp; Disclosure</t>
  </si>
  <si>
    <t>Rhonda Smith</t>
  </si>
  <si>
    <t>FOIA Requester Service Center, Office of Central Operations, Division of Earnings Records Operations</t>
  </si>
  <si>
    <t>(410) 966-4034</t>
  </si>
  <si>
    <t>Special Inspector General for Afghanistan Reconstruction</t>
  </si>
  <si>
    <t>Office of Privacy, Records and Disclosure</t>
  </si>
  <si>
    <t>2530 Crystal Drive</t>
  </si>
  <si>
    <t>(703) 545-5993</t>
  </si>
  <si>
    <t>(703) 601-3804</t>
  </si>
  <si>
    <t>http://www.sigar.mil/foia.asp</t>
  </si>
  <si>
    <t>Special Inspector General for Iraq Reconstruction</t>
  </si>
  <si>
    <t>Lolita Mancheno-Smoak</t>
  </si>
  <si>
    <t>400 Army Navy Drive</t>
  </si>
  <si>
    <t>(703) 604-0487</t>
  </si>
  <si>
    <t>(703) 428-0818</t>
  </si>
  <si>
    <t>http://www.sigir.mil/foia/index.html</t>
  </si>
  <si>
    <t>Surface Transportation Board</t>
  </si>
  <si>
    <t>Marilyn R. Levitt</t>
  </si>
  <si>
    <t>FOIA/Privacy Act Officer</t>
  </si>
  <si>
    <t>395 E Street, SW</t>
  </si>
  <si>
    <t>20423-0001</t>
  </si>
  <si>
    <t>(202) 245-0269</t>
  </si>
  <si>
    <t>(202) 245-0460</t>
  </si>
  <si>
    <t>http://www.stb.dot.gov/stb/foia.html</t>
  </si>
  <si>
    <t>Craig Keats</t>
  </si>
  <si>
    <t>(202) 245-0264</t>
  </si>
  <si>
    <t>Tennessee Valley Authority</t>
  </si>
  <si>
    <t>Denise Smith</t>
  </si>
  <si>
    <t>TVA FOIA Officer</t>
  </si>
  <si>
    <t>WT 7D</t>
  </si>
  <si>
    <t>400 West Summit Hill Drive WT 7C</t>
  </si>
  <si>
    <t>Knoxville</t>
  </si>
  <si>
    <t>37902-1499</t>
  </si>
  <si>
    <t>(865) 632-6945</t>
  </si>
  <si>
    <t>(865) 632-6901</t>
  </si>
  <si>
    <t>http://www.tva.gov/foia/</t>
  </si>
  <si>
    <t>Wilson Taylor, III</t>
  </si>
  <si>
    <t>(865) 632-8133</t>
  </si>
  <si>
    <t>(865) 632-9393</t>
  </si>
  <si>
    <t>United States African Development Foundation</t>
  </si>
  <si>
    <t>June B. Brown</t>
  </si>
  <si>
    <t>FOIA Contact, Associate General Counsel</t>
  </si>
  <si>
    <t>1400 Eye Street, NW</t>
  </si>
  <si>
    <t>20005-2248</t>
  </si>
  <si>
    <t>(202) 673-3916</t>
  </si>
  <si>
    <t>(202) 673-3810</t>
  </si>
  <si>
    <t>http://www.adf.gov/OpenGovernment.html</t>
  </si>
  <si>
    <t>United States Copyright Office</t>
  </si>
  <si>
    <t>Denise Garrett</t>
  </si>
  <si>
    <t>Supervisory Copyright Information Specialist, GC/I&amp;R</t>
  </si>
  <si>
    <t>P.O. Box 70400, SW</t>
  </si>
  <si>
    <t>(202) 707-6800</t>
  </si>
  <si>
    <t>(202) 707-6859</t>
  </si>
  <si>
    <t>http://www.copyright.gov/foia/</t>
  </si>
  <si>
    <t>United States International Boundary and Water Commission</t>
  </si>
  <si>
    <t>Eric Meza</t>
  </si>
  <si>
    <t>FOIA Officer &amp; Public Liaison</t>
  </si>
  <si>
    <t>FOIA - Legal Office, Suite C100</t>
  </si>
  <si>
    <t>4171 N. Mesa</t>
  </si>
  <si>
    <t>El Paso</t>
  </si>
  <si>
    <t>(915) 832-4704</t>
  </si>
  <si>
    <t>(915) 832-4196</t>
  </si>
  <si>
    <t>http://www.ibwc.gov/Organization/FOIA.html</t>
  </si>
  <si>
    <t>United States International Trade Commission</t>
  </si>
  <si>
    <t>Lisa R. Barton</t>
  </si>
  <si>
    <t>500 E Street, SW</t>
  </si>
  <si>
    <t>(202) 205-2000</t>
  </si>
  <si>
    <t>(202) 205-2104</t>
  </si>
  <si>
    <t>http://www.usitc.gov/secretary/foia/index.htm</t>
  </si>
  <si>
    <t>(202) 205-2595</t>
  </si>
  <si>
    <t>Jacqueline N. Gross</t>
  </si>
  <si>
    <t>(202) 205-1816</t>
  </si>
  <si>
    <t>United States Postal Service</t>
  </si>
  <si>
    <t>Manager, Records Office</t>
  </si>
  <si>
    <t>Room 9431</t>
  </si>
  <si>
    <t>475 L&amp;acute;Enfant Plaza, SW</t>
  </si>
  <si>
    <t>(202) 268-2608</t>
  </si>
  <si>
    <t>(202) 268-5353</t>
  </si>
  <si>
    <t>http://www.usps.com/foia/welcome.htm</t>
  </si>
  <si>
    <t>Jane Eyre</t>
  </si>
  <si>
    <t>Postal Inspection Service</t>
  </si>
  <si>
    <t>Office of Counsel</t>
  </si>
  <si>
    <t>Room 3301</t>
  </si>
  <si>
    <t>(202) 268-7004</t>
  </si>
  <si>
    <t>(202) 268-4538</t>
  </si>
  <si>
    <t>Betty White</t>
  </si>
  <si>
    <t>Suite 10000</t>
  </si>
  <si>
    <t>1735 North Lynn Street</t>
  </si>
  <si>
    <t>22209-2020</t>
  </si>
  <si>
    <t>(703) 248-2100</t>
  </si>
  <si>
    <t>(703) 248-4626</t>
  </si>
  <si>
    <t>http://www.uspsoig.gov/foia.htm</t>
  </si>
  <si>
    <t>Betsy Cuthbertson</t>
  </si>
  <si>
    <t>United States Trade and Development Agency</t>
  </si>
  <si>
    <t>Alain Lopez</t>
  </si>
  <si>
    <t>Assistant General Counsel</t>
  </si>
  <si>
    <t>Suite 1600</t>
  </si>
  <si>
    <t>1000 Wilson Boulevard</t>
  </si>
  <si>
    <t>22209-3901</t>
  </si>
  <si>
    <t>(703) 875-4357</t>
  </si>
  <si>
    <t>(703) 875-4009</t>
  </si>
  <si>
    <t>http://www.ustda.gov/pubs/foia/</t>
  </si>
  <si>
    <t>(703) 875-5578</t>
  </si>
  <si>
    <t>Agency</t>
  </si>
  <si>
    <t>Department</t>
  </si>
  <si>
    <t>Name</t>
  </si>
  <si>
    <t>Title</t>
  </si>
  <si>
    <t>Room Number</t>
  </si>
  <si>
    <t>Street Address</t>
  </si>
  <si>
    <t>City</t>
  </si>
  <si>
    <t>State</t>
  </si>
  <si>
    <t>Zip Code</t>
  </si>
  <si>
    <t>Telephone</t>
  </si>
  <si>
    <t>Fax</t>
  </si>
  <si>
    <t>Email Address</t>
  </si>
  <si>
    <t>Website</t>
  </si>
  <si>
    <t>Agricultural Marketing Service</t>
  </si>
  <si>
    <t>Department of Agriculture</t>
  </si>
  <si>
    <t>Valerie L. Emmer-Scott</t>
  </si>
  <si>
    <t>FOIA/PA Officer</t>
  </si>
  <si>
    <t>Room 2622-S, AG Stop 0202</t>
  </si>
  <si>
    <t>1400 Independence Avenue, SW</t>
  </si>
  <si>
    <t>20250-0273</t>
  </si>
  <si>
    <t>(202) 720-2498</t>
  </si>
  <si>
    <t>(202) 690-3767</t>
  </si>
  <si>
    <t>http://www.ams.usda.gov/AMSv1.0/ams.fetchTemplateData.do?template=TemplateN&amp;navID=Home&amp;topNav=Home&amp;page=FOIA&amp;description=Freedom%20of%20Information%20Act%20(FOIA)</t>
  </si>
  <si>
    <t>Christine Sarcone</t>
  </si>
  <si>
    <t>(202) 720-3203</t>
  </si>
  <si>
    <t>Animal &amp; Plant Health Inspection</t>
  </si>
  <si>
    <t>Tonya Woods</t>
  </si>
  <si>
    <t>Unit 50</t>
  </si>
  <si>
    <t>4700 River Road</t>
  </si>
  <si>
    <t>Riverdale</t>
  </si>
  <si>
    <t>20737-1232</t>
  </si>
  <si>
    <t>(301) 734-8296</t>
  </si>
  <si>
    <t>(301) 734-5941</t>
  </si>
  <si>
    <t>http://www.aphis.usda.gov/foia/</t>
  </si>
  <si>
    <t>(301) 734-5267</t>
  </si>
  <si>
    <t>Departmental Management</t>
  </si>
  <si>
    <t>Phyllis Holmes</t>
  </si>
  <si>
    <t>Room 2916</t>
  </si>
  <si>
    <t>(202) 720-0068</t>
  </si>
  <si>
    <t>(202) 720-0105</t>
  </si>
  <si>
    <t>http://www.dm.usda.gov/foia.htm</t>
  </si>
  <si>
    <t>Farm Service Agency</t>
  </si>
  <si>
    <t>Sue Ellen Sloca</t>
  </si>
  <si>
    <t>Stop 0506</t>
  </si>
  <si>
    <t>(202) 720-1598</t>
  </si>
  <si>
    <t>(202) 690-2828</t>
  </si>
  <si>
    <t>http://www.fsa.usda.gov/FSA/webapp?area=newsroom&amp;subject=landing&amp;topic=foi</t>
  </si>
  <si>
    <t>(202) 720-5534</t>
  </si>
  <si>
    <t>Food, Nutrition &amp; Consumer Services</t>
  </si>
  <si>
    <t>Jennifer Weatherly</t>
  </si>
  <si>
    <t>Agency FOIA Officer</t>
  </si>
  <si>
    <t>Room 302</t>
  </si>
  <si>
    <t>3101 Park Center Drive</t>
  </si>
  <si>
    <t>(703) 605-0773</t>
  </si>
  <si>
    <t>(703) 605-0793</t>
  </si>
  <si>
    <t>http://www.fns.usda.gov/foia/</t>
  </si>
  <si>
    <t>Joseph X. Tangredi</t>
  </si>
  <si>
    <t>Food Safety &amp; Inspection Service</t>
  </si>
  <si>
    <t>Shelia Wright</t>
  </si>
  <si>
    <t>Room 1140-South Building</t>
  </si>
  <si>
    <t>20250-3700</t>
  </si>
  <si>
    <t>(202) 690-2760</t>
  </si>
  <si>
    <t>(202) 690-3023</t>
  </si>
  <si>
    <t>http://www.fsis.usda.gov/FOIA/index.asp</t>
  </si>
  <si>
    <t>(202) 690-3882</t>
  </si>
  <si>
    <t>Foreign Agricultural Service</t>
  </si>
  <si>
    <t>Henry Noland</t>
  </si>
  <si>
    <t>Stop 1004</t>
  </si>
  <si>
    <t>20250-1004</t>
  </si>
  <si>
    <t>(202) 720-0154</t>
  </si>
  <si>
    <t>http://www.fas.usda.gov/info/FOIA/freedom.asp</t>
  </si>
  <si>
    <t>(202) 720-3101</t>
  </si>
  <si>
    <t>Sally Klusaritz</t>
  </si>
  <si>
    <t>(202) 720-3448</t>
  </si>
  <si>
    <t>Forest Service - Headquarters</t>
  </si>
  <si>
    <t>Sherry Turner</t>
  </si>
  <si>
    <t>FOIA/PA Officer - ATTN: FOIA/PA Team</t>
  </si>
  <si>
    <t>Stop 1143</t>
  </si>
  <si>
    <t>20250-1143</t>
  </si>
  <si>
    <t>(202) 205-2497</t>
  </si>
  <si>
    <t>(202) 260-3245</t>
  </si>
  <si>
    <t>http://www.fs.fed.us/im/foia/</t>
  </si>
  <si>
    <t>(202) 205-1542</t>
  </si>
  <si>
    <t>Grain Inspection, Packers &amp; Stockyards Administration</t>
  </si>
  <si>
    <t>Joanne Peterson</t>
  </si>
  <si>
    <t>Room 1647 - AG Stop 3604</t>
  </si>
  <si>
    <t>20250-3604</t>
  </si>
  <si>
    <t>(202) 720-8087</t>
  </si>
  <si>
    <t>(202) 690-2755</t>
  </si>
  <si>
    <t>http://www.gipsa.usda.gov/foia.html</t>
  </si>
  <si>
    <t>(202) 690-2173</t>
  </si>
  <si>
    <t>Albert Conerly</t>
  </si>
  <si>
    <t>(202) 720-0234</t>
  </si>
  <si>
    <t>National Appeals Division</t>
  </si>
  <si>
    <t>Brenda V. Seegars</t>
  </si>
  <si>
    <t>FOIA Officer and Legal Affairs Officer</t>
  </si>
  <si>
    <t>Rom 1100</t>
  </si>
  <si>
    <t>(703) 305-1164</t>
  </si>
  <si>
    <t>(703) 305-2825</t>
  </si>
  <si>
    <t>http://www.nad.usda.gov/foia.html</t>
  </si>
  <si>
    <t>National Finance Center</t>
  </si>
  <si>
    <t>John Hemstreet</t>
  </si>
  <si>
    <t>P.O. Box 60000</t>
  </si>
  <si>
    <t>New Orleans</t>
  </si>
  <si>
    <t>LA</t>
  </si>
  <si>
    <t>(504) 426-0168</t>
  </si>
  <si>
    <t>(504) 426-9703</t>
  </si>
  <si>
    <t>http://i2i.nfc.usda.gov/FOIA/FOIA_home.html</t>
  </si>
  <si>
    <t>(504) 426-0162</t>
  </si>
  <si>
    <t>Patricia Blumenthal</t>
  </si>
  <si>
    <t>(504) 426-168</t>
  </si>
  <si>
    <t>Natural Resources Conservation Service</t>
  </si>
  <si>
    <t>Chalmer Rennie</t>
  </si>
  <si>
    <t>National FOIA Officer</t>
  </si>
  <si>
    <t>Room 4242-S</t>
  </si>
  <si>
    <t>(202) 690-4985</t>
  </si>
  <si>
    <t>(202) 720-9030</t>
  </si>
  <si>
    <t>http://www.nrcs.usda.gov/wps/portal/nrcs/detailfull/national/about/?cid=NRCS143_021450</t>
  </si>
  <si>
    <t>Office of Budget &amp; Program Analysis</t>
  </si>
  <si>
    <t>Julie Hetrick</t>
  </si>
  <si>
    <t>Room 102-E</t>
  </si>
  <si>
    <t>Whitten Building</t>
  </si>
  <si>
    <t>(202) 720-1269</t>
  </si>
  <si>
    <t>(202) 690-3673</t>
  </si>
  <si>
    <t>Office of the Chief Financial Officer</t>
  </si>
  <si>
    <t>Richard Saafeld</t>
  </si>
  <si>
    <t>FOIA Officer, Planning and Accountability Division</t>
  </si>
  <si>
    <t>Room 3444B-South Building</t>
  </si>
  <si>
    <t>Stop Box 9020</t>
  </si>
  <si>
    <t>(202) 720-0995</t>
  </si>
  <si>
    <t>(202) 690-3536</t>
  </si>
  <si>
    <t>(202) 720-1893</t>
  </si>
  <si>
    <t>Office of the Chief Information Officer</t>
  </si>
  <si>
    <t>Wilbur Crawley</t>
  </si>
  <si>
    <t>Room 555 - Reporters Building</t>
  </si>
  <si>
    <t>300 7th Street, SW</t>
  </si>
  <si>
    <t>(202) 690-0028</t>
  </si>
  <si>
    <t>(301) 504-4154</t>
  </si>
  <si>
    <t>Richard Ciampa</t>
  </si>
  <si>
    <t>(202)720-6355</t>
  </si>
  <si>
    <t>Office of Civil Rights</t>
  </si>
  <si>
    <t>Michael G. Watts</t>
  </si>
  <si>
    <t>Director, Office of Adjudication and Compliance</t>
  </si>
  <si>
    <t>20250-9410</t>
  </si>
  <si>
    <t>(202) 720-5212</t>
  </si>
  <si>
    <t>(202) 720-0953</t>
  </si>
  <si>
    <t>http://www.ascr.usda.gov/foia_cr.html</t>
  </si>
  <si>
    <t>Betty Ollila</t>
  </si>
  <si>
    <t>FOIA Officer, General Law Division</t>
  </si>
  <si>
    <t>Room 3311-South Building</t>
  </si>
  <si>
    <t>20250-1400</t>
  </si>
  <si>
    <t>(202) 720-5824</t>
  </si>
  <si>
    <t>(202) 720-5837</t>
  </si>
  <si>
    <t>Assistant General Counsel for General Law Division</t>
  </si>
  <si>
    <t>(202) 720-5565</t>
  </si>
  <si>
    <t>Office of the Secretary</t>
  </si>
  <si>
    <t>Ravoyne Peyton</t>
  </si>
  <si>
    <t>Departmental FOIA Officer</t>
  </si>
  <si>
    <t>355 E Street SW</t>
  </si>
  <si>
    <t>(202) 260-2657</t>
  </si>
  <si>
    <t>(202) 720-8164</t>
  </si>
  <si>
    <t>Risk Management Agency</t>
  </si>
  <si>
    <t>Bill Crews</t>
  </si>
  <si>
    <t>Stop 0821</t>
  </si>
  <si>
    <t>(202) 720-9507</t>
  </si>
  <si>
    <t>(202) 720-1162</t>
  </si>
  <si>
    <t>http://www.rma.usda.gov/aboutrma/foia/foia.html</t>
  </si>
  <si>
    <t>Wes Azama</t>
  </si>
  <si>
    <t>(202) 260-0080</t>
  </si>
  <si>
    <t>Research, Education &amp; Economics</t>
  </si>
  <si>
    <t>Stasia Hutchison and Monica Williams</t>
  </si>
  <si>
    <t>FOIA Officers</t>
  </si>
  <si>
    <t>Room 1-2248 - Building GWCC, Mail Stop 5128</t>
  </si>
  <si>
    <t>5601 Sunnyside Avenue</t>
  </si>
  <si>
    <t>Beltsville</t>
  </si>
  <si>
    <t>20705-5128</t>
  </si>
  <si>
    <t>(301) 504-1655, (301) 504-1640</t>
  </si>
  <si>
    <t>(301) 504-1647</t>
  </si>
  <si>
    <t>http://www.ars.usda.gov/Services/docs.htm?docid=1398</t>
  </si>
  <si>
    <t>(301) 504-1743</t>
  </si>
  <si>
    <t>Stasia Hutchison, Monica Williams</t>
  </si>
  <si>
    <t>Rural Development</t>
  </si>
  <si>
    <t>Sara Bradshaw</t>
  </si>
  <si>
    <t>Stop 0706-Room 3028</t>
  </si>
  <si>
    <t>20250-0706</t>
  </si>
  <si>
    <t>(202) 692-0015</t>
  </si>
  <si>
    <t>(202) 205-5053</t>
  </si>
  <si>
    <t>http://www.rurdev.usda.gov/RD_EFOIA.html</t>
  </si>
  <si>
    <t>(202) 692-0004</t>
  </si>
  <si>
    <t>Joseph Shunk</t>
  </si>
  <si>
    <t>(202) 692-0032</t>
  </si>
  <si>
    <t>Ray Payton</t>
  </si>
  <si>
    <t>Departmental FOIA Officer, Office of the Secretary</t>
  </si>
  <si>
    <t>Census Bureau</t>
  </si>
  <si>
    <t>Department of Commerce</t>
  </si>
  <si>
    <t>Michael Toland, Ph.D.</t>
  </si>
  <si>
    <t>Freedom of Information Act Officer</t>
  </si>
  <si>
    <t>Room 8H207</t>
  </si>
  <si>
    <t>4600 Silver Hill Road</t>
  </si>
  <si>
    <t>20233-3700</t>
  </si>
  <si>
    <t>(301) 763-2127</t>
  </si>
  <si>
    <t>(301) 763-6239</t>
  </si>
  <si>
    <t>Jennifer Goode, PH.D.,</t>
  </si>
  <si>
    <t>Economics and Statistics Administration Bureau</t>
  </si>
  <si>
    <t>Pamela Moulder</t>
  </si>
  <si>
    <t>Office of the Under Secretary for Economic Affairs</t>
  </si>
  <si>
    <t>Rom 4836</t>
  </si>
  <si>
    <t>(202) 482-5997</t>
  </si>
  <si>
    <t>(202) 482-2889</t>
  </si>
  <si>
    <t>https://www.esa.doc.gov/freedom-information-act</t>
  </si>
  <si>
    <t>Economic Development Administration</t>
  </si>
  <si>
    <t>Jamie Lipsey</t>
  </si>
  <si>
    <t>Room D-100</t>
  </si>
  <si>
    <t>14th Street and Constitution Avenue, NW</t>
  </si>
  <si>
    <t>(202) 482-4687</t>
  </si>
  <si>
    <t>(202) 482-5671</t>
  </si>
  <si>
    <t>O. Barry Bird</t>
  </si>
  <si>
    <t>Bureau of Industry and Security</t>
  </si>
  <si>
    <t>Mark Crace</t>
  </si>
  <si>
    <t>Freedom of Information Officer, Office of Administration</t>
  </si>
  <si>
    <t>Room 6622</t>
  </si>
  <si>
    <t>(202) 482-8093</t>
  </si>
  <si>
    <t>(202) 482-0326</t>
  </si>
  <si>
    <t>http://www.bis.doc.gov/foia/default.htm</t>
  </si>
  <si>
    <t>Marck Crace</t>
  </si>
  <si>
    <t>International Trade Administration</t>
  </si>
  <si>
    <t>Justin Guz</t>
  </si>
  <si>
    <t>ITA FOIA Officer</t>
  </si>
  <si>
    <t>Room 40003</t>
  </si>
  <si>
    <t>1401 Constitution Avenue, NW</t>
  </si>
  <si>
    <t>(202) 482-7937</t>
  </si>
  <si>
    <t>(202) 482-1584</t>
  </si>
  <si>
    <t>http://www.ita.doc.gov/foia/</t>
  </si>
  <si>
    <t>Minority Business Development Agency</t>
  </si>
  <si>
    <t>Clara Colbert</t>
  </si>
  <si>
    <t>(202) 481-5045</t>
  </si>
  <si>
    <t>(202) 482-2798</t>
  </si>
  <si>
    <t>http://www.mbda.gov/foia-reading-room</t>
  </si>
  <si>
    <t>(202) 482-5045</t>
  </si>
  <si>
    <t>Josephine Arnold</t>
  </si>
  <si>
    <t>(202) 482-5461</t>
  </si>
  <si>
    <t>National Institute of Standards and Technology</t>
  </si>
  <si>
    <t>Catherine S. Fletcher</t>
  </si>
  <si>
    <t>FOIA &amp; Privacy Act Officer</t>
  </si>
  <si>
    <t>Stop 1710</t>
  </si>
  <si>
    <t>100 Bureau Drive</t>
  </si>
  <si>
    <t>Gaithersburg</t>
  </si>
  <si>
    <t>20899-1710</t>
  </si>
  <si>
    <t>(301) 975-4074</t>
  </si>
  <si>
    <t>(301) 975-5301</t>
  </si>
  <si>
    <t>http://www.nist.gov/director/foia/</t>
  </si>
  <si>
    <t>National Technical Information Service</t>
  </si>
  <si>
    <t>Lee Halvorsen</t>
  </si>
  <si>
    <t>Number 305 - Sils Building</t>
  </si>
  <si>
    <t>5301 Shawnee Road</t>
  </si>
  <si>
    <t>(703) 605-6710</t>
  </si>
  <si>
    <t>(703) 605-6764</t>
  </si>
  <si>
    <t>http://www.ntis.gov/about/FOIA.aspx</t>
  </si>
  <si>
    <t>(703) 605-6404</t>
  </si>
  <si>
    <t>Steve Needle</t>
  </si>
  <si>
    <t>National Telecommunications and Information Administration</t>
  </si>
  <si>
    <t>Stacy Cheney</t>
  </si>
  <si>
    <t>FOIA Officer, Office of the Chief Counsel</t>
  </si>
  <si>
    <t>Room 4713</t>
  </si>
  <si>
    <t>(202) 482-1816</t>
  </si>
  <si>
    <t>(202) 501-8013</t>
  </si>
  <si>
    <t>http://www.ntia.doc.gov/ntiahome/occ/foia.html</t>
  </si>
  <si>
    <t>National Oceanic and Atmospheric Administration</t>
  </si>
  <si>
    <t>Wendy Schmacher</t>
  </si>
  <si>
    <t>Room 7437 - Public Reference Facility (OFA 56)</t>
  </si>
  <si>
    <t>1305 East-West Highway (SSMC4)</t>
  </si>
  <si>
    <t>Silver Spring</t>
  </si>
  <si>
    <t>(301) 713-3540</t>
  </si>
  <si>
    <t>(301) 713-1169</t>
  </si>
  <si>
    <t>Mark Cato</t>
  </si>
  <si>
    <t>(301) 713-1148, ext. 126</t>
  </si>
  <si>
    <t>U.S. Patent and Trademark Office</t>
  </si>
  <si>
    <t>Kathryn Siehndel</t>
  </si>
  <si>
    <t>P.O. Box 1450</t>
  </si>
  <si>
    <t>22313-1450</t>
  </si>
  <si>
    <t>(571) 272-3000</t>
  </si>
  <si>
    <t>(571) 501-7335</t>
  </si>
  <si>
    <t>http://www.uspto.gov/ip/boards/foia_rr/index.jsp</t>
  </si>
  <si>
    <t>Dahlia George</t>
  </si>
  <si>
    <t>Office of Inspector General</t>
  </si>
  <si>
    <t>Wade Green, Jr.</t>
  </si>
  <si>
    <t>Acting Counsel to the Inspector General</t>
  </si>
  <si>
    <t>Room 7892</t>
  </si>
  <si>
    <t>(202) 482-5992</t>
  </si>
  <si>
    <t>(202) 501-7335</t>
  </si>
  <si>
    <t>http://www.oig.doc.gov/pages/Freedom-of-Information-Act.aspx</t>
  </si>
  <si>
    <t>Bobbie Parsons</t>
  </si>
  <si>
    <t>FOIA Contact, Immediate Office of the Secretary, Office of Privacy and Open Government</t>
  </si>
  <si>
    <t>Mail Stop H6204</t>
  </si>
  <si>
    <t>(202) 482-3257</t>
  </si>
  <si>
    <t>(202) 482-0827</t>
  </si>
  <si>
    <t>http://www.osec.doc.gov/omo/FOIA/FOIAWebsite.htm</t>
  </si>
  <si>
    <t>Brenda Dolan</t>
  </si>
  <si>
    <t>Departmental FOIA Officer, Office of Privacy and Open Government</t>
  </si>
  <si>
    <t>(202) 482-3258</t>
  </si>
  <si>
    <t>Office of the Secretary and Joint Staff</t>
  </si>
  <si>
    <t>Department of Defense</t>
  </si>
  <si>
    <t>OSD/JS FOIA Requester Service Center, Office of Freedom of Information</t>
  </si>
  <si>
    <t>1155 Defense Pentagon</t>
  </si>
  <si>
    <t>20301-1155</t>
  </si>
  <si>
    <t>(866) 574-4970</t>
  </si>
  <si>
    <t>(571) 372-0500</t>
  </si>
  <si>
    <t>http://www.dod.gov/pubs/foi/</t>
  </si>
  <si>
    <t>Paul Jacobsmeyer</t>
  </si>
  <si>
    <t>(571) 372-0462</t>
  </si>
  <si>
    <t>Department of the Air Force - Headquarters/ICIO (FOIA)</t>
  </si>
  <si>
    <t>Anh Trinh</t>
  </si>
  <si>
    <t>SAF/AAII (FOIA) 
Attn:  Raymond Bailey</t>
  </si>
  <si>
    <t>1000 Air Force Pentagon</t>
  </si>
  <si>
    <t>20330-1000</t>
  </si>
  <si>
    <t>(703) 696-2735</t>
  </si>
  <si>
    <t>(703) 696-7273</t>
  </si>
  <si>
    <t>http://www.foia.af.mil/</t>
  </si>
  <si>
    <t>(703) 693-9979, (703) 693-2579, (703) 693-2736</t>
  </si>
  <si>
    <t>Kenneth LaClair</t>
  </si>
  <si>
    <t>1800 Air Force Pentagon</t>
  </si>
  <si>
    <t>20330-1800</t>
  </si>
  <si>
    <t>(703) 695-6807</t>
  </si>
  <si>
    <t>(703) 696-4421</t>
  </si>
  <si>
    <t>Department of the Army - Freedom of Information and Privacy Office</t>
  </si>
  <si>
    <t>Alecia Bolling</t>
  </si>
  <si>
    <t>Freedom of Information Act Office
Suite 144</t>
  </si>
  <si>
    <t>7701 Telegraph Road</t>
  </si>
  <si>
    <t>22315-3905</t>
  </si>
  <si>
    <t>(703) 428-7128</t>
  </si>
  <si>
    <t>(703) 428-6522</t>
  </si>
  <si>
    <t>https://www.rmda.army.mil/organization/foia.shtml</t>
  </si>
  <si>
    <t>(703) 428-6081</t>
  </si>
  <si>
    <t>Bruno Leuyer</t>
  </si>
  <si>
    <t>(703) 428-6462</t>
  </si>
  <si>
    <t>Department of the Navy - Main Office</t>
  </si>
  <si>
    <t>Robin Patterson</t>
  </si>
  <si>
    <t>FOIA Contact, Chief of Naval Operations</t>
  </si>
  <si>
    <t>(DNS-36)</t>
  </si>
  <si>
    <t>2000 Navy Pentagon</t>
  </si>
  <si>
    <t>20350-2000</t>
  </si>
  <si>
    <t>(202) 685-0412</t>
  </si>
  <si>
    <t>(202) 685-6580</t>
  </si>
  <si>
    <t>https://foia.navy.mil</t>
  </si>
  <si>
    <t>Steve Muck</t>
  </si>
  <si>
    <t>(202) 695-1297</t>
  </si>
  <si>
    <t>Marine Corps - FOIA Program Office (ARSF)</t>
  </si>
  <si>
    <t>LaDonne White</t>
  </si>
  <si>
    <t>FOIA/PA Coordinator</t>
  </si>
  <si>
    <t>Commandant of the Marine Corps, Headquarters</t>
  </si>
  <si>
    <t>2 Navy Annex</t>
  </si>
  <si>
    <t>20380-1775</t>
  </si>
  <si>
    <t>(571) 256-9042</t>
  </si>
  <si>
    <t>(703) 614-6287</t>
  </si>
  <si>
    <t>http://www.marines.mil/unit/hqmc/foia/Pages/default.aspx</t>
  </si>
  <si>
    <t>(703) 695-6192</t>
  </si>
  <si>
    <t>(703) 695-1297</t>
  </si>
  <si>
    <t>Defense Commissary Agency</t>
  </si>
  <si>
    <t>Comillo DeSantis</t>
  </si>
  <si>
    <t>1300 E Avenue</t>
  </si>
  <si>
    <t>Fort Lee</t>
  </si>
  <si>
    <t>23801-1800</t>
  </si>
  <si>
    <t>(804) 734-8116</t>
  </si>
  <si>
    <t>http://www.commissaries.com/foiainfo.cfm</t>
  </si>
  <si>
    <t>William E. Sherman</t>
  </si>
  <si>
    <t>Defense Contract Audit Agency - Headquarters</t>
  </si>
  <si>
    <t>Keith Mastromichalis</t>
  </si>
  <si>
    <t>ATTN: CMR, FOIA Service Center</t>
  </si>
  <si>
    <t>Suite 2135</t>
  </si>
  <si>
    <t>8725 John J. Kingman Road</t>
  </si>
  <si>
    <t>Fort Belvoir</t>
  </si>
  <si>
    <t>22060-6219</t>
  </si>
  <si>
    <t>(703) 767-1022</t>
  </si>
  <si>
    <t>(703) 767-1011</t>
  </si>
  <si>
    <t>http://www.dcaa.mil/foia.htm</t>
  </si>
  <si>
    <t>(703) 767-4939</t>
  </si>
  <si>
    <t>Defense Contract Management Agency</t>
  </si>
  <si>
    <t>Donna Williamson/Kimberly Turner</t>
  </si>
  <si>
    <t>FOIA/PA Privacy Officer/FOIA Analyst</t>
  </si>
  <si>
    <t>3901 A Avenue</t>
  </si>
  <si>
    <t>BLDG 10500</t>
  </si>
  <si>
    <t>(804) 734-1488, (804) 734-1466</t>
  </si>
  <si>
    <t>(804) 734-0109</t>
  </si>
  <si>
    <t>(804) 734-1488</t>
  </si>
  <si>
    <t>Kimball Brown</t>
  </si>
  <si>
    <t>(804) 734-1487</t>
  </si>
  <si>
    <t>Defense Finance and Accounting Service</t>
  </si>
  <si>
    <t>Gregory Outlaw</t>
  </si>
  <si>
    <t>FOIA/PA Program Manager/FOIA Liaison officer</t>
  </si>
  <si>
    <t>Corporate Communications</t>
  </si>
  <si>
    <t>8899 E. 56th Street</t>
  </si>
  <si>
    <t>46249-0150</t>
  </si>
  <si>
    <t>(317) 212-4591</t>
  </si>
  <si>
    <t>(317) 212-8802</t>
  </si>
  <si>
    <t>http://www.dfas.mil/foia.html</t>
  </si>
  <si>
    <t>Defense Information Systems Agency</t>
  </si>
  <si>
    <t>Robin M. Berger</t>
  </si>
  <si>
    <t>ATTN: Headquarters FOIA Requester Service Center</t>
  </si>
  <si>
    <t>P.O. Box 549</t>
  </si>
  <si>
    <t>Ft. Meade</t>
  </si>
  <si>
    <t>(301) 225-6104</t>
  </si>
  <si>
    <t>(301)225-0510</t>
  </si>
  <si>
    <t>http://www.disa.mil/about/legal/foia/index.html</t>
  </si>
  <si>
    <t>Robert S. Gorman</t>
  </si>
  <si>
    <t>(301) 255-6111</t>
  </si>
  <si>
    <t>Defense Intelligence Agency</t>
  </si>
  <si>
    <t>Alesia Y. Williams</t>
  </si>
  <si>
    <t>Chief, FOIA Services Branch</t>
  </si>
  <si>
    <t>ATTN: DAN-1A (FOIA)</t>
  </si>
  <si>
    <t>200 MacDill Boulevard</t>
  </si>
  <si>
    <t>20340-5100</t>
  </si>
  <si>
    <t>(301) 394-5587</t>
  </si>
  <si>
    <t>(301) 394-5356</t>
  </si>
  <si>
    <t>http://www.dia.mil/public-affairs/foia/</t>
  </si>
  <si>
    <t>Margaret A. Bestrain, Alesia Y. Williams</t>
  </si>
  <si>
    <t>Defense Logistics Agency - Headquarters</t>
  </si>
  <si>
    <t>Debbie Teer</t>
  </si>
  <si>
    <t>FOIA Contact, ATTN: DGA</t>
  </si>
  <si>
    <t>Suite 1644</t>
  </si>
  <si>
    <t>22060-6221</t>
  </si>
  <si>
    <t>(703) 767-5247, (703) 767-6183</t>
  </si>
  <si>
    <t>(703) 767-6091</t>
  </si>
  <si>
    <t>http://www.dla.mil/foia-privacy/</t>
  </si>
  <si>
    <t>Lewis Oleinick</t>
  </si>
  <si>
    <t>(703) 767-6194</t>
  </si>
  <si>
    <t>Defense Security Service</t>
  </si>
  <si>
    <t>Leslie Blake</t>
  </si>
  <si>
    <t>Office of FOI and Privacy</t>
  </si>
  <si>
    <t>27130 Telegraph Road</t>
  </si>
  <si>
    <t>Quantico</t>
  </si>
  <si>
    <t>(571) 305-6740</t>
  </si>
  <si>
    <t>(571) 305-6931</t>
  </si>
  <si>
    <t>https://www.dss.mil/foia/foia_program.html</t>
  </si>
  <si>
    <t>(703) 325-9450</t>
  </si>
  <si>
    <t>Jay Fraude</t>
  </si>
  <si>
    <t>(703) 325-5337</t>
  </si>
  <si>
    <t>Defense Threat Reduction Agency</t>
  </si>
  <si>
    <t>Juanita Y. Gaines</t>
  </si>
  <si>
    <t>FOIA/Privacy Act Ofc (JOXGP-F)</t>
  </si>
  <si>
    <t>MSC 6201</t>
  </si>
  <si>
    <t>22060-6201</t>
  </si>
  <si>
    <t>(703) 767-1771</t>
  </si>
  <si>
    <t>(703) 767-3623</t>
  </si>
  <si>
    <t>http://www.dtra.mil/Info/FOIA/FOIAHome.aspx</t>
  </si>
  <si>
    <t>(703) 767-1792</t>
  </si>
  <si>
    <t>Richard M. Cole</t>
  </si>
  <si>
    <t>(703) 767-5859</t>
  </si>
  <si>
    <t>Defense Technical Information Center</t>
  </si>
  <si>
    <t>Michael A. Hamilton</t>
  </si>
  <si>
    <t>FOIA Contact (DTIC-R)</t>
  </si>
  <si>
    <t>Suite 0944</t>
  </si>
  <si>
    <t>22060-6218</t>
  </si>
  <si>
    <t>(703) 767-9204</t>
  </si>
  <si>
    <t>(703) 767-9201</t>
  </si>
  <si>
    <t>http://www.dtic.mil/dtic/foia.html</t>
  </si>
  <si>
    <t>Jim Hogan</t>
  </si>
  <si>
    <t>Department of Defense Education Activity</t>
  </si>
  <si>
    <t>James Revell</t>
  </si>
  <si>
    <t>Requester Service Center</t>
  </si>
  <si>
    <t>4800 Mark Center Drive</t>
  </si>
  <si>
    <t>22350-1400</t>
  </si>
  <si>
    <t>(571) 372-1892</t>
  </si>
  <si>
    <t>(571) 372-5829</t>
  </si>
  <si>
    <t>National Geospatial-Intelligence Agency</t>
  </si>
  <si>
    <t>FOIA Program Manager</t>
  </si>
  <si>
    <t>Mail Stop S01-EGM</t>
  </si>
  <si>
    <t>7500 GEOINT Drive</t>
  </si>
  <si>
    <t>Springfield</t>
  </si>
  <si>
    <t>(571) 557-4141</t>
  </si>
  <si>
    <t>(571) 557-3130</t>
  </si>
  <si>
    <t>Karen M. Willils</t>
  </si>
  <si>
    <t>(571) 557-4305</t>
  </si>
  <si>
    <t>National Guard Bureau</t>
  </si>
  <si>
    <t>Jennifer Nikolaisen</t>
  </si>
  <si>
    <t>Suite 11300</t>
  </si>
  <si>
    <t>1411 Jefferson Davis Highway</t>
  </si>
  <si>
    <t>(703) 607-3195</t>
  </si>
  <si>
    <t>(703) 607-3684</t>
  </si>
  <si>
    <t>http://www.ng.mil/sitelinks/foia.aspx</t>
  </si>
  <si>
    <t>National Reconnaissance Office</t>
  </si>
  <si>
    <t>Stephen R. Glenn</t>
  </si>
  <si>
    <t>Chief, Information Access and Release</t>
  </si>
  <si>
    <t>ATTN: MS&amp;O/Information Access and Release Team</t>
  </si>
  <si>
    <t>14675 Lee Road</t>
  </si>
  <si>
    <t>Chantilly</t>
  </si>
  <si>
    <t>20151-1715</t>
  </si>
  <si>
    <t>(703) 227-9326</t>
  </si>
  <si>
    <t>(703) 227-9198</t>
  </si>
  <si>
    <t>http://www.nro.gov/foia/submit_foia.html</t>
  </si>
  <si>
    <t>(703) 227-9128</t>
  </si>
  <si>
    <t>National Security Agency</t>
  </si>
  <si>
    <t>Michele Smith</t>
  </si>
  <si>
    <t>FOIA Contact, FOIA Requester Service Center/DJP4</t>
  </si>
  <si>
    <t>Suite 6248</t>
  </si>
  <si>
    <t>9800 Savage Road</t>
  </si>
  <si>
    <t>Fort George G. Meade</t>
  </si>
  <si>
    <t>20755-6248</t>
  </si>
  <si>
    <t>(301) 688-6527</t>
  </si>
  <si>
    <t>(443) 479-3612</t>
  </si>
  <si>
    <t>http://www.nsa.gov/public_info/foia/index.shtml</t>
  </si>
  <si>
    <t>Pamela N. Phillips</t>
  </si>
  <si>
    <t>Jeanne Miller</t>
  </si>
  <si>
    <t>Chief, Freedom of Information &amp; Privacy Office</t>
  </si>
  <si>
    <t>Suite 14L24</t>
  </si>
  <si>
    <t>22350-1500</t>
  </si>
  <si>
    <t>(866) 993-7005; (703) 604-9775</t>
  </si>
  <si>
    <t>(571) 372-7475</t>
  </si>
  <si>
    <t>http://www.dodig.mil/fo/Foia/foia.htm</t>
  </si>
  <si>
    <t>(703) 604-9775</t>
  </si>
  <si>
    <t>(703) 604-9785</t>
  </si>
  <si>
    <t>TRICARE Management Activity</t>
  </si>
  <si>
    <t>Glinda Hodgkin</t>
  </si>
  <si>
    <t>TMA FOIA Officer</t>
  </si>
  <si>
    <t>16401 East Centretech Parkway</t>
  </si>
  <si>
    <t>Aurora</t>
  </si>
  <si>
    <t>80011-9066</t>
  </si>
  <si>
    <t>(303) 676-3418</t>
  </si>
  <si>
    <t>(303) 371-4170</t>
  </si>
  <si>
    <t>http://www.tricare.mil/tma/privacy/foia.aspx</t>
  </si>
  <si>
    <t>(303) 676-3674</t>
  </si>
  <si>
    <t>U.S. Africa Command</t>
  </si>
  <si>
    <t>HQ U.S. Africa Command</t>
  </si>
  <si>
    <t>Unit 29951</t>
  </si>
  <si>
    <t>APO</t>
  </si>
  <si>
    <t>AE</t>
  </si>
  <si>
    <t>+49 (0)711 729-4287</t>
  </si>
  <si>
    <t>+49 (0)711 729-4732</t>
  </si>
  <si>
    <t>http://www.africom.mil/FOIA.asp</t>
  </si>
  <si>
    <t>U.S. Central Command</t>
  </si>
  <si>
    <t>U.S. Central Command CCJ6-RDF (FOIA)</t>
  </si>
  <si>
    <t>7115 South Boundary Boulevard</t>
  </si>
  <si>
    <t>MacDill AFB</t>
  </si>
  <si>
    <t>33621-5101</t>
  </si>
  <si>
    <t>(813) 827-1810, (813) 827-6413</t>
  </si>
  <si>
    <t>(813) 827-1241</t>
  </si>
  <si>
    <t>http://www.centcom.mil/en/freedom-of-information-act.html</t>
  </si>
  <si>
    <t>U.S. European Command</t>
  </si>
  <si>
    <t>HQ USEUCOM</t>
  </si>
  <si>
    <t>Unit 30400</t>
  </si>
  <si>
    <t>49 011 711 680-7161</t>
  </si>
  <si>
    <t>49 011 711 680-8092</t>
  </si>
  <si>
    <t>http://www.eucom.mil/english/FOIA.asp</t>
  </si>
  <si>
    <t>U.S. Joint Forces Command</t>
  </si>
  <si>
    <t>U.S. Northern Command</t>
  </si>
  <si>
    <t>HQ NORAD USNORTHCOM/CS</t>
  </si>
  <si>
    <t>Suite B016</t>
  </si>
  <si>
    <t>250 Vandenberg Street</t>
  </si>
  <si>
    <t>Peterson AFB</t>
  </si>
  <si>
    <t>80914-3804</t>
  </si>
  <si>
    <t>(719) 554-6889</t>
  </si>
  <si>
    <t>(719) 554-4431</t>
  </si>
  <si>
    <t>http://www.northcom.mil/FOIA.html</t>
  </si>
  <si>
    <t>U.S. Pacific Command</t>
  </si>
  <si>
    <t>ATTN: J151 FOIA Requester Service Center</t>
  </si>
  <si>
    <t>Box 64017</t>
  </si>
  <si>
    <t>Camp H.M. Smith</t>
  </si>
  <si>
    <t>HI</t>
  </si>
  <si>
    <t>96861-4017</t>
  </si>
  <si>
    <t>(808) 477-0995</t>
  </si>
  <si>
    <t>(808) 447-6685</t>
  </si>
  <si>
    <t>http://www.pacom.mil/web/Site_Pages/Home_Page/FOIA.shtml</t>
  </si>
  <si>
    <t>U.S. Southern Command</t>
  </si>
  <si>
    <t>Marco T. Villalobos</t>
  </si>
  <si>
    <t>ATTN: SCJ224 (FOIA)</t>
  </si>
  <si>
    <t>9301 NW 33rd Street</t>
  </si>
  <si>
    <t>Doral</t>
  </si>
  <si>
    <t>(305) 437-1108</t>
  </si>
  <si>
    <t>http://www.southcom.mil/foia/Pages/FOIA.aspx</t>
  </si>
  <si>
    <t>U.S. Special Operations Command</t>
  </si>
  <si>
    <t>HQ USSOCOM</t>
  </si>
  <si>
    <t>ATTN: SOCS-SJS-I/FOIA Requester Service Fenter</t>
  </si>
  <si>
    <t>7701 Tampa Point Boulevard</t>
  </si>
  <si>
    <t>33621-5323</t>
  </si>
  <si>
    <t>(813) 826) 3212</t>
  </si>
  <si>
    <t>(813) 826-5482</t>
  </si>
  <si>
    <t>http://www.socom.mil/foia/Pages/FOIARequesterServiceCenter.aspx</t>
  </si>
  <si>
    <t>U.S. Strategic Command</t>
  </si>
  <si>
    <t>USSTRATCOM/J011 (FOIA)</t>
  </si>
  <si>
    <t>Suite 1A6</t>
  </si>
  <si>
    <t>901 Sac Boulevard</t>
  </si>
  <si>
    <t>Offutt AFB</t>
  </si>
  <si>
    <t>NE</t>
  </si>
  <si>
    <t>(402) 294-4100</t>
  </si>
  <si>
    <t>(402) 232-1764</t>
  </si>
  <si>
    <t>http://www.stratcom.mil/foia/</t>
  </si>
  <si>
    <t>mailto:FOIA.LIAISON@WHS.MIL</t>
  </si>
  <si>
    <t>U.S. Transportation Command</t>
  </si>
  <si>
    <t>Jolynn Bien</t>
  </si>
  <si>
    <t>Command FOIA Officer</t>
  </si>
  <si>
    <t>USTRANSCOM/TCCS-FO</t>
  </si>
  <si>
    <t>508 Scott Drive</t>
  </si>
  <si>
    <t>Scott AFB</t>
  </si>
  <si>
    <t>62225-5357</t>
  </si>
  <si>
    <t>(618) 220-4100</t>
  </si>
  <si>
    <t>(618) 229-4711</t>
  </si>
  <si>
    <t>http://www.transcom.mil/Foia/generalInfoFoia.action</t>
  </si>
  <si>
    <t>(618) 229-3828</t>
  </si>
  <si>
    <t>Department of Education</t>
  </si>
  <si>
    <t>Gregory Smith</t>
  </si>
  <si>
    <t>Director, FOIA Service Center, Office of Management</t>
  </si>
  <si>
    <t>LBJ 2E305</t>
  </si>
  <si>
    <t>400 Maryland Avenue, SW</t>
  </si>
  <si>
    <t>20202-4536</t>
  </si>
  <si>
    <t>(202) 401-8365</t>
  </si>
  <si>
    <t>(202) 401-0920</t>
  </si>
  <si>
    <t>http://www2.ed.gov/policy/gen/leg/foia/foiatoc.html</t>
  </si>
  <si>
    <t>Elise Cook, Marie-Teresa Cueva, Linda Darby, Bennie Jessup, Robert Wehausen, or Christie Swafford</t>
  </si>
  <si>
    <t>FOIA Public Liaisons</t>
  </si>
  <si>
    <t>Department of Energy</t>
  </si>
  <si>
    <t>Alexander Morris</t>
  </si>
  <si>
    <t>1000 Independence Avenue, SW</t>
  </si>
  <si>
    <t>(202) 586-3159</t>
  </si>
  <si>
    <t>http://management.energy.gov/foia_pa.htm</t>
  </si>
  <si>
    <t>(202) 586-5955</t>
  </si>
  <si>
    <t>Kevin Hagerty</t>
  </si>
  <si>
    <t>Chicago Office</t>
  </si>
  <si>
    <t>Miriam Legan</t>
  </si>
  <si>
    <t>9800 South Cass Avenue</t>
  </si>
  <si>
    <t>Argonne</t>
  </si>
  <si>
    <t>(630) 252-2041</t>
  </si>
  <si>
    <t>(630) 252-2183</t>
  </si>
  <si>
    <t>http://doe.lib.uic.edu/</t>
  </si>
  <si>
    <t>Brian Quirke</t>
  </si>
  <si>
    <t>(630) 252-2423</t>
  </si>
  <si>
    <t>Idaho Operations Office</t>
  </si>
  <si>
    <t>Clayton Ogilvie</t>
  </si>
  <si>
    <t>MS 1203</t>
  </si>
  <si>
    <t>1955 Fremont Avenue</t>
  </si>
  <si>
    <t>Idaho Falls</t>
  </si>
  <si>
    <t>ID</t>
  </si>
  <si>
    <t>(208) 526-5190</t>
  </si>
  <si>
    <t>http://www.id.doe.gov/foia/</t>
  </si>
  <si>
    <t>Brad Bugger</t>
  </si>
  <si>
    <t>(208) 526-0833</t>
  </si>
  <si>
    <t>Oak Ridge Office</t>
  </si>
  <si>
    <t>Amy Rothrock</t>
  </si>
  <si>
    <t>P.O. Box 2001</t>
  </si>
  <si>
    <t>Oak Ridge</t>
  </si>
  <si>
    <t>(865) 576-1216</t>
  </si>
  <si>
    <t>(865) 576-1556</t>
  </si>
  <si>
    <t>http://www.oakridge.doe.gov/external/PublicActivities/FOIA/tabid/328/Default.aspx/ORO_FOIA.htm</t>
  </si>
  <si>
    <t>DiAnn Fields</t>
  </si>
  <si>
    <t>(865) 576-0885</t>
  </si>
  <si>
    <t>Office of Scientific and Technical Information</t>
  </si>
  <si>
    <t>Brenda Harrison</t>
  </si>
  <si>
    <t>P.O. Box 62</t>
  </si>
  <si>
    <t>175 South Oak Ridge Turnpike</t>
  </si>
  <si>
    <t>(865) 576-1261</t>
  </si>
  <si>
    <t>David Gottholm</t>
  </si>
  <si>
    <t>(865) 576-2623</t>
  </si>
  <si>
    <t>Richland Operations Office</t>
  </si>
  <si>
    <t>Dorothy Riehle</t>
  </si>
  <si>
    <t>Mail Stop A7-75</t>
  </si>
  <si>
    <t>P.O. Box 550</t>
  </si>
  <si>
    <t>Richland</t>
  </si>
  <si>
    <t>(509) 376-6288</t>
  </si>
  <si>
    <t>(509) 376-9704</t>
  </si>
  <si>
    <t>http://www.hanford.gov/page.cfm/foia</t>
  </si>
  <si>
    <t>Richard Buel</t>
  </si>
  <si>
    <t>(509) 376-3375</t>
  </si>
  <si>
    <t>Savannah River Operations Office</t>
  </si>
  <si>
    <t>Pauline Conner</t>
  </si>
  <si>
    <t>P.O. Box A</t>
  </si>
  <si>
    <t>Aiken</t>
  </si>
  <si>
    <t>SC</t>
  </si>
  <si>
    <t>(803) 952-8134</t>
  </si>
  <si>
    <t>http://sro.srs.gov/foia.htm</t>
  </si>
  <si>
    <t>Lucy Knowles</t>
  </si>
  <si>
    <t>(803) 952-7618</t>
  </si>
  <si>
    <t>National Nuclear Security Administration Service Center</t>
  </si>
  <si>
    <t>Carolyn Becknell</t>
  </si>
  <si>
    <t>P.O. Box 5400</t>
  </si>
  <si>
    <t>Albuquerque</t>
  </si>
  <si>
    <t>NM</t>
  </si>
  <si>
    <t>87185-5400</t>
  </si>
  <si>
    <t>(505) 845-4869</t>
  </si>
  <si>
    <t>(505) 845-5438</t>
  </si>
  <si>
    <t>http://www.doeal.gov/opa/FOIAt.aspx</t>
  </si>
  <si>
    <t>(505) 845-6202</t>
  </si>
  <si>
    <t>National Nuclear Security Administration Office of Naval Reactors</t>
  </si>
  <si>
    <t>Lukas McMichael</t>
  </si>
  <si>
    <t>Stop 8037</t>
  </si>
  <si>
    <t>1240 Isaac Hull Avenue, SE</t>
  </si>
  <si>
    <t>20376-8037</t>
  </si>
  <si>
    <t>(202) 781-6172</t>
  </si>
  <si>
    <t>Jeffrey Avery</t>
  </si>
  <si>
    <t>(202) 781-6236</t>
  </si>
  <si>
    <t>Carlsbad Field Office – Waste Isolation Pilot Program</t>
  </si>
  <si>
    <t>George Hellstrom</t>
  </si>
  <si>
    <t>P.O. Box 3090</t>
  </si>
  <si>
    <t>4021 National Parks Highway</t>
  </si>
  <si>
    <t>Carlsbad</t>
  </si>
  <si>
    <t>(575) 234-7010</t>
  </si>
  <si>
    <t>(505) 234-7025</t>
  </si>
  <si>
    <t>http://www.wipp.energy.gov/library/foia/index.htm</t>
  </si>
  <si>
    <t>(575) 234-7406</t>
  </si>
  <si>
    <t>Golden Field Office</t>
  </si>
  <si>
    <t>Michele Harrington Altieri</t>
  </si>
  <si>
    <t>1617 Cole Boulevard</t>
  </si>
  <si>
    <t>Golden</t>
  </si>
  <si>
    <t>(720) 356-1427</t>
  </si>
  <si>
    <t>(720) 356-1780</t>
  </si>
  <si>
    <t>http://www.eere.energy.gov/golden/reading_room.aspx</t>
  </si>
  <si>
    <t>Derek Passarelli</t>
  </si>
  <si>
    <t>(720) 356-1742</t>
  </si>
  <si>
    <t>Environmental Management Consolidated Business Center (EMCBC)</t>
  </si>
  <si>
    <t>Marion Wilcox</t>
  </si>
  <si>
    <t>250 East 5th Street</t>
  </si>
  <si>
    <t>Cincinnati</t>
  </si>
  <si>
    <t>(513) 246-0539</t>
  </si>
  <si>
    <t>(513) 246-0524</t>
  </si>
  <si>
    <t>http://www.emcbc.doe.gov/dept/legal/foia.php</t>
  </si>
  <si>
    <t>(513) 246-0489</t>
  </si>
  <si>
    <t>William Taylor</t>
  </si>
  <si>
    <t>Bonneville Power Administration</t>
  </si>
  <si>
    <t>Christy Brannon</t>
  </si>
  <si>
    <t>P.O. Box 3621-DK-7</t>
  </si>
  <si>
    <t>Portland</t>
  </si>
  <si>
    <t>OR</t>
  </si>
  <si>
    <t>97208-3621</t>
  </si>
  <si>
    <t>(503) 230-7303</t>
  </si>
  <si>
    <t>http://www.bpa.gov/corporate/public_affairs/foia/index.cfm</t>
  </si>
  <si>
    <t>(503) 230-5511</t>
  </si>
  <si>
    <t>Southeastern Power Administration</t>
  </si>
  <si>
    <t>Joel Seymour</t>
  </si>
  <si>
    <t>1166 Athens Tech Road</t>
  </si>
  <si>
    <t>Elberton</t>
  </si>
  <si>
    <t>30635-6711</t>
  </si>
  <si>
    <t>(706) 213-3810</t>
  </si>
  <si>
    <t>(706) 213-3884</t>
  </si>
  <si>
    <t>http://www.sepa.doe.gov/overview/?c=8</t>
  </si>
  <si>
    <t>Southwestern Power Administration</t>
  </si>
  <si>
    <t>Marti Ayers</t>
  </si>
  <si>
    <t>S1200</t>
  </si>
  <si>
    <t>One West Third</t>
  </si>
  <si>
    <t>Tulsa</t>
  </si>
  <si>
    <t>OK</t>
  </si>
  <si>
    <t>(918) 595-6609</t>
  </si>
  <si>
    <t>(918) 595-6755</t>
  </si>
  <si>
    <t>http://www.swpa.gov/foia-privacyact.aspx</t>
  </si>
  <si>
    <t>Larry Yadon</t>
  </si>
  <si>
    <t>(918) 595-6607</t>
  </si>
  <si>
    <t>Western Area Power Administration</t>
  </si>
  <si>
    <t>Patricia S. Land</t>
  </si>
  <si>
    <t>P.O. Box 281213</t>
  </si>
  <si>
    <t>12155 West Alameda Parkway</t>
  </si>
  <si>
    <t>80228-8213</t>
  </si>
  <si>
    <t>(720) 962-7010</t>
  </si>
  <si>
    <t>(720) 962-7009</t>
  </si>
  <si>
    <t>http://www.wapa.gov/FOIA/default.htm</t>
  </si>
  <si>
    <t>(720) 962-7014</t>
  </si>
  <si>
    <t>Liova Juarez</t>
  </si>
  <si>
    <t>Strategic Petroleum Reserve Project</t>
  </si>
  <si>
    <t>Deanna Harvey</t>
  </si>
  <si>
    <t>MS FE-445</t>
  </si>
  <si>
    <t>900 Commerce Road East</t>
  </si>
  <si>
    <t>(504) 734-4316</t>
  </si>
  <si>
    <t>http://www.spr.doe.gov/FOIA/default.htm</t>
  </si>
  <si>
    <t>Charlene Reynolds</t>
  </si>
  <si>
    <t>(504) 734-4565</t>
  </si>
  <si>
    <t>National Energy Technology Laboratory</t>
  </si>
  <si>
    <t>Ann Dunlap</t>
  </si>
  <si>
    <t>M/S 922/M210</t>
  </si>
  <si>
    <t>P.O. Box 10940</t>
  </si>
  <si>
    <t>Pittsburgh</t>
  </si>
  <si>
    <t>15236-0940</t>
  </si>
  <si>
    <t>(412) 386-6167</t>
  </si>
  <si>
    <t>http://www.netl.doe.gov/general/foia.html</t>
  </si>
  <si>
    <t>Department of Health and Human Services</t>
  </si>
  <si>
    <t>Robert Eckert</t>
  </si>
  <si>
    <t>Mary E. Switzer Building, Room 2221</t>
  </si>
  <si>
    <t>300 C Street, SW</t>
  </si>
  <si>
    <t>(202) 690-7453</t>
  </si>
  <si>
    <t>(202) 690-8320</t>
  </si>
  <si>
    <t>http://www.hhs.gov/foia/index.html</t>
  </si>
  <si>
    <t>Michael J. Robinson</t>
  </si>
  <si>
    <t>(202) 690-6885</t>
  </si>
  <si>
    <t>Public Health Service</t>
  </si>
  <si>
    <t>Carol Maloney</t>
  </si>
  <si>
    <t>Parklawn Building, Room 17-66</t>
  </si>
  <si>
    <t>5600 Fishers Lane</t>
  </si>
  <si>
    <t>(301) 443-5252</t>
  </si>
  <si>
    <t>http://www.psc.gov/information/foias/foia/index.html</t>
  </si>
  <si>
    <t>Robin Brooks</t>
  </si>
  <si>
    <t>Wilbur J. Cohen Building, Room 1062</t>
  </si>
  <si>
    <t>(202) 619-2541</t>
  </si>
  <si>
    <t>(202) 205-4030</t>
  </si>
  <si>
    <t>http://oig.hhs.gov/foia/</t>
  </si>
  <si>
    <t>Administration on Aging</t>
  </si>
  <si>
    <t>Jason Bennett</t>
  </si>
  <si>
    <t>Acting FOIA Officer</t>
  </si>
  <si>
    <t>(202) 401-4634</t>
  </si>
  <si>
    <t>http://www.aoa.gov/AoARoot/Site_Utilities/FOIA/index.aspx</t>
  </si>
  <si>
    <t>(202) 357-3470</t>
  </si>
  <si>
    <t>(202) 357-0129</t>
  </si>
  <si>
    <t>Administration for Children and Families</t>
  </si>
  <si>
    <t>Marty Hudson</t>
  </si>
  <si>
    <t>7th Floor West</t>
  </si>
  <si>
    <t>901 D Street, SW</t>
  </si>
  <si>
    <t>(888) 747-1861</t>
  </si>
  <si>
    <t>http://www.acf.hhs.gov/acf_foia.html</t>
  </si>
  <si>
    <t>Kenneth Wolfe</t>
  </si>
  <si>
    <t>(202) 401-9215</t>
  </si>
  <si>
    <t>Agency for Healthcare Research and Quality</t>
  </si>
  <si>
    <t>Nancy Comfort</t>
  </si>
  <si>
    <t>The Eisenberg Building</t>
  </si>
  <si>
    <t>540 Gaither Road</t>
  </si>
  <si>
    <t>(301) 427-1866</t>
  </si>
  <si>
    <t>(301) 427-1873</t>
  </si>
  <si>
    <t>http://www.ahrq.gov/news/foia.htm</t>
  </si>
  <si>
    <t>Centers for Disease Control and Prevention</t>
  </si>
  <si>
    <t>Katherine Norris</t>
  </si>
  <si>
    <t>Building 16, D-54</t>
  </si>
  <si>
    <t>1600 Clifton Road, N.E.</t>
  </si>
  <si>
    <t>(770) 488-6399</t>
  </si>
  <si>
    <t>(404) 235-1852</t>
  </si>
  <si>
    <t>http://www.cdc.gov/od/foia/index.htm</t>
  </si>
  <si>
    <t>Katherine Norris, Bruno Viana</t>
  </si>
  <si>
    <t>Agency for Toxic Substances and Disease Registry</t>
  </si>
  <si>
    <t>Center for Medicare and Medicaid Services</t>
  </si>
  <si>
    <t>Michael Marquis</t>
  </si>
  <si>
    <t>North Building, Room N2-20-06</t>
  </si>
  <si>
    <t>7500 Security Boulevard</t>
  </si>
  <si>
    <t>(410) 786-5353</t>
  </si>
  <si>
    <t>(410) 786-0474</t>
  </si>
  <si>
    <t>http://www.cms.gov/foia/</t>
  </si>
  <si>
    <t>Joseph Tripline</t>
  </si>
  <si>
    <t>Food and Drug Administration</t>
  </si>
  <si>
    <t>Frederick J. Sadler</t>
  </si>
  <si>
    <t>Director, Division of Freedom of Information
Office of the Executive Secretariat
Office of the Commissioner</t>
  </si>
  <si>
    <t>Room 1020</t>
  </si>
  <si>
    <t>12420 Parklawn Drive</t>
  </si>
  <si>
    <t>(301) 796-3900</t>
  </si>
  <si>
    <t>(301) 827-9267</t>
  </si>
  <si>
    <t>http://www.fda.gov/RegulatoryInformation/foi/default.htm</t>
  </si>
  <si>
    <t>Fred Sadler</t>
  </si>
  <si>
    <t>Health Resources and Services Administration</t>
  </si>
  <si>
    <t>Tom Flavin</t>
  </si>
  <si>
    <t>Parklawn Building, Room 6C-18</t>
  </si>
  <si>
    <t>(301) 443-3376</t>
  </si>
  <si>
    <t>(301) 480-5285</t>
  </si>
  <si>
    <t>http://www.hrsa.gov/foia/</t>
  </si>
  <si>
    <t>Indian Health Service</t>
  </si>
  <si>
    <t>William Tibbits</t>
  </si>
  <si>
    <t>Suite 450 TMP</t>
  </si>
  <si>
    <t>801 Thompson Avenue</t>
  </si>
  <si>
    <t>(301) 443-1116</t>
  </si>
  <si>
    <t>(301) 443-9879</t>
  </si>
  <si>
    <t>http://www.ihs.gov/AdminMngrResources/FOIA/index.cfm</t>
  </si>
  <si>
    <t>Janet Ingersoll</t>
  </si>
  <si>
    <t>(301) 443-6177</t>
  </si>
  <si>
    <t>National Institutes of Health</t>
  </si>
  <si>
    <t>Susan Cornell</t>
  </si>
  <si>
    <t>Building 31, Room 5B35</t>
  </si>
  <si>
    <t>9000 Rockville Pike</t>
  </si>
  <si>
    <t>(301) 496-5633</t>
  </si>
  <si>
    <t>(301) 402-4541</t>
  </si>
  <si>
    <t>http://www.nih.gov/icd/od/foia/index.htm</t>
  </si>
  <si>
    <t>Program Support Center</t>
  </si>
  <si>
    <t>Suite 920</t>
  </si>
  <si>
    <t>7700 Wisconsin Avenue</t>
  </si>
  <si>
    <t>20857(if sending by courier use zc 20814)</t>
  </si>
  <si>
    <t>(301) 492-4800</t>
  </si>
  <si>
    <t>Substance Abuse and Mental Health Services Administration</t>
  </si>
  <si>
    <t>Jeanette Hite</t>
  </si>
  <si>
    <t>Room 8-1042</t>
  </si>
  <si>
    <t>1 Choke Cherry Road</t>
  </si>
  <si>
    <t>(240) 276-2137</t>
  </si>
  <si>
    <t>(240) 276-2135</t>
  </si>
  <si>
    <t>http://www.samhsa.gov/foia/</t>
  </si>
  <si>
    <t>FOIA Officer, Headquarters</t>
  </si>
  <si>
    <t>Headquarters &amp; Privacy Office</t>
  </si>
  <si>
    <t>Department of Homeland Security</t>
  </si>
  <si>
    <t>Delores Barber</t>
  </si>
  <si>
    <t>Deputy Chief FOIA Officer, Director, Disclosure &amp; FOIA, The Privacy Office</t>
  </si>
  <si>
    <t>Building 410, STOP-0655</t>
  </si>
  <si>
    <t>245 Murray Drive, SW</t>
  </si>
  <si>
    <t>20528-0655</t>
  </si>
  <si>
    <t>(703) 235-0790</t>
  </si>
  <si>
    <t>(703) 235-0443</t>
  </si>
  <si>
    <t>http://www.dhs.gov/xfoia/editorial_0579.shtm</t>
  </si>
  <si>
    <t>Sabrina Burroughs</t>
  </si>
  <si>
    <t>U.S. Citizenship &amp; Immigration Services</t>
  </si>
  <si>
    <t>Jill Eggleston</t>
  </si>
  <si>
    <t>National Records Center, FOIA/PA Office</t>
  </si>
  <si>
    <t>P.O. Box 648010</t>
  </si>
  <si>
    <t>Lee's Summit</t>
  </si>
  <si>
    <t>64064-8010</t>
  </si>
  <si>
    <t>(816) 350-5521 (USCIS National Customer Service Unit)</t>
  </si>
  <si>
    <t>(816) 350-5785</t>
  </si>
  <si>
    <t>http://www.uscis.gov/portal/site/uscis/menuitem.eb1d4c2a3e5b9ac89243c6a7543f6d1a/?vgnextoid=34139c7755cb9010VgnVCM10000045f3d6a1RCRD&amp;vgnextchannel=34139c7755cb9010VgnVCM10000045f3d6a1RCRD</t>
  </si>
  <si>
    <t>(816) 350-5521</t>
  </si>
  <si>
    <t>Office for Civil Rights and Civil Liberties</t>
  </si>
  <si>
    <t>Fernando Pineiro, Jr.</t>
  </si>
  <si>
    <t>Building 410, Mail Stop #0190</t>
  </si>
  <si>
    <t>245 Murray Lane, SW</t>
  </si>
  <si>
    <t>(202) 357-7672</t>
  </si>
  <si>
    <t>(202) 357-1196</t>
  </si>
  <si>
    <t>http://www.dhs.gov/xabout/structure/editorial_0371.shtm</t>
  </si>
  <si>
    <t>U.S. Coast Guard</t>
  </si>
  <si>
    <t>Gaston Brewer</t>
  </si>
  <si>
    <t>Commandant (CG-611), ATTN: FOIA Coordinator</t>
  </si>
  <si>
    <t>2100 2nd Street, SW</t>
  </si>
  <si>
    <t>20593-0001</t>
  </si>
  <si>
    <t>(202) 475-3525</t>
  </si>
  <si>
    <t>(202) 475-3927</t>
  </si>
  <si>
    <t>mailto:efoia@uscg.mil</t>
  </si>
  <si>
    <t>http://www.uscg.mil/foia/</t>
  </si>
  <si>
    <t>Amanda Carter</t>
  </si>
  <si>
    <t>(202) 475-3522</t>
  </si>
  <si>
    <t>U.S. Customs &amp; Border Protection</t>
  </si>
  <si>
    <t>Dale Martin</t>
  </si>
  <si>
    <t>799 9th Street, NW</t>
  </si>
  <si>
    <t>20229-1181</t>
  </si>
  <si>
    <t>(202) 325-0150</t>
  </si>
  <si>
    <t>(202) 325-0230</t>
  </si>
  <si>
    <t>http://www.cbp.gov/xp/cgov/admin/fl/foia/</t>
  </si>
  <si>
    <t>Federal Emergency Management Agency</t>
  </si>
  <si>
    <t>Dr. Anthony M. Bennett</t>
  </si>
  <si>
    <t>Room 840</t>
  </si>
  <si>
    <t>500 C Street, SW</t>
  </si>
  <si>
    <t>(202) 646-3323</t>
  </si>
  <si>
    <t>(202) 646-3347</t>
  </si>
  <si>
    <t>http://www.fema.gov/help/foia.shtm</t>
  </si>
  <si>
    <t>Federal Law Enforcement Training Center</t>
  </si>
  <si>
    <t>Mary Zimmerman-Pate</t>
  </si>
  <si>
    <t>Building #681, Suite 187B</t>
  </si>
  <si>
    <t>Glynco</t>
  </si>
  <si>
    <t>(912) 267-3103</t>
  </si>
  <si>
    <t>(912) 267-3113</t>
  </si>
  <si>
    <t>http://www.fletc.gov/reference/public-information/freedom-of-information-act-foia</t>
  </si>
  <si>
    <t>Mail Stop 3560</t>
  </si>
  <si>
    <t>20528-0001</t>
  </si>
  <si>
    <t>(202) 282-9822</t>
  </si>
  <si>
    <t>(202) 282-9186</t>
  </si>
  <si>
    <t>http://www.dhs.gov/xabout/structure/gc_1193248570775.shtm</t>
  </si>
  <si>
    <t>U.S. Immigration &amp; Customs Enforcement</t>
  </si>
  <si>
    <t>Catrina Pavlick-Keenan</t>
  </si>
  <si>
    <t>Mail Stop 5009</t>
  </si>
  <si>
    <t>500 12th Street, SW</t>
  </si>
  <si>
    <t>20536-5009</t>
  </si>
  <si>
    <t>(866) 633-1182</t>
  </si>
  <si>
    <t>(202) 732-0660</t>
  </si>
  <si>
    <t>http://www.ice.gov/foia/index.htm</t>
  </si>
  <si>
    <t>Ryan Law</t>
  </si>
  <si>
    <t>(202) 732-0600</t>
  </si>
  <si>
    <t>Katherine Gallo</t>
  </si>
  <si>
    <t>Building 410, Mail Stop - 2600</t>
  </si>
  <si>
    <t>245 Murray Drive</t>
  </si>
  <si>
    <t>(202) 254-4001</t>
  </si>
  <si>
    <t>(202) 254-4398</t>
  </si>
  <si>
    <t>http://www.dhs.gov/xfoia/editorial_0788.shtm</t>
  </si>
  <si>
    <t>Nikki Gramian</t>
  </si>
  <si>
    <t>Office of Intelligence &amp; Analysis</t>
  </si>
  <si>
    <t>Tony Tucker</t>
  </si>
  <si>
    <t>(202) 447-4190</t>
  </si>
  <si>
    <t>(202) 282-8191</t>
  </si>
  <si>
    <t>http://www.dhs.gov/xfoia/gc_1294073392661.shtm</t>
  </si>
  <si>
    <t>Quinton Mason</t>
  </si>
  <si>
    <t>Directorate for Management</t>
  </si>
  <si>
    <t>Mark Dorgan</t>
  </si>
  <si>
    <t>(703) 235-0755</t>
  </si>
  <si>
    <t>http://www.dhs.gov/xabout/structure/editorial_0096.shtm</t>
  </si>
  <si>
    <t>Directorate for National Protection and Programs</t>
  </si>
  <si>
    <t>Gayle Worthy</t>
  </si>
  <si>
    <t>(703) 235-2211</t>
  </si>
  <si>
    <t>(703) 235-2052</t>
  </si>
  <si>
    <t>http://www.dhs.gov/xabout/structure/editorial_0794.shtm</t>
  </si>
  <si>
    <t>Office of Operations Coordination and Planning</t>
  </si>
  <si>
    <t>Michael Page</t>
  </si>
  <si>
    <t>(202) 357-7626</t>
  </si>
  <si>
    <t>(202) 357-7678</t>
  </si>
  <si>
    <t>http://www.dhs.gov/xabout/structure/editorial_0797.shtm</t>
  </si>
  <si>
    <t>mailto:foia@hq.dhs.gov</t>
  </si>
  <si>
    <t>Office of Policy</t>
  </si>
  <si>
    <t>Traci Ballard</t>
  </si>
  <si>
    <t>(202) 447-3497</t>
  </si>
  <si>
    <t>(202) 282-9512</t>
  </si>
  <si>
    <t>http://www.dhs.gov/xabout/structure/editorial_0870.shtm</t>
  </si>
  <si>
    <t>Science &amp; Technology Directorate</t>
  </si>
  <si>
    <t>Katrina Hagan</t>
  </si>
  <si>
    <t>(202) 254-6342</t>
  </si>
  <si>
    <t>(202) 254-6739</t>
  </si>
  <si>
    <t>http://www.dhs.gov/xabout/structure/editorial_0530.shtm</t>
  </si>
  <si>
    <t>United States Secret Service</t>
  </si>
  <si>
    <t>Latita Payne</t>
  </si>
  <si>
    <t>Disclosure Officer, FOIA/PA Program, Liaison Division</t>
  </si>
  <si>
    <t>Building 410</t>
  </si>
  <si>
    <t>(202) 406-6370</t>
  </si>
  <si>
    <t>(202) 406-5586</t>
  </si>
  <si>
    <t>http://www.secretservice.gov/foia.shtml</t>
  </si>
  <si>
    <t>(202) 406-5154</t>
  </si>
  <si>
    <t>Transportation Security Administration</t>
  </si>
  <si>
    <t>Yvonne Coates</t>
  </si>
  <si>
    <t>11th Floor, East Tower</t>
  </si>
  <si>
    <t>601 S. 12th Street</t>
  </si>
  <si>
    <t>22202-4220</t>
  </si>
  <si>
    <t>(866) 364-2872, (571) 227-2300</t>
  </si>
  <si>
    <t>(571) 227-1406</t>
  </si>
  <si>
    <t>http://www.tsa.gov/research/foia/index.shtm</t>
  </si>
  <si>
    <t>(866) 364-2872</t>
  </si>
  <si>
    <t>Office of US-VISIT</t>
  </si>
  <si>
    <t>Michael Johnson</t>
  </si>
  <si>
    <t>20528-0675</t>
  </si>
  <si>
    <t>(202) 298-5200</t>
  </si>
  <si>
    <t>(202) 295-5457</t>
  </si>
  <si>
    <t>http://www.dhs.gov/files/programs/usv.shtm</t>
  </si>
  <si>
    <t>Department of Housing and Urban Development</t>
  </si>
  <si>
    <t>Dolores Cole</t>
  </si>
  <si>
    <t>Office of the Executive Secretariat</t>
  </si>
  <si>
    <t>Room 10139</t>
  </si>
  <si>
    <t>451 7th Street, SW</t>
  </si>
  <si>
    <t>20410-3000</t>
  </si>
  <si>
    <t>(202) 708-3866</t>
  </si>
  <si>
    <t>(202) 619-8365</t>
  </si>
  <si>
    <t>http://portal.hud.gov/hudportal/HUD?src=/program_offices/administration/foia</t>
  </si>
  <si>
    <t>Eugenia Harris</t>
  </si>
  <si>
    <t>Vicky J. Lewis</t>
  </si>
  <si>
    <t>(202) 708-3054</t>
  </si>
  <si>
    <t>Region I (Boston, Hartford, Manchester, Providence)</t>
  </si>
  <si>
    <t>Kristine G. Foye</t>
  </si>
  <si>
    <t>Deputy Regional Administrator</t>
  </si>
  <si>
    <t>Room 301</t>
  </si>
  <si>
    <t>02222-1092</t>
  </si>
  <si>
    <t>(617) 994-8218</t>
  </si>
  <si>
    <t>http://portal.hud.gov/hudportal/HUD?src=/program_offices/administration/foia/requests</t>
  </si>
  <si>
    <t>Region II (New York, Albany, Buffalo, Camden, Newark, Syracuse)</t>
  </si>
  <si>
    <t>Mirza Morales</t>
  </si>
  <si>
    <t>Suite 3541</t>
  </si>
  <si>
    <t>10278-0068</t>
  </si>
  <si>
    <t>(212) 542-7109</t>
  </si>
  <si>
    <t>Region III (Philadelphia, Baltimore, Pittsburgh, Richmond, Washington, D.C., Charleston, Wilmington)</t>
  </si>
  <si>
    <t>Brenda Laroche</t>
  </si>
  <si>
    <t>100 Penn Square East Building</t>
  </si>
  <si>
    <t>(215) 656-0600</t>
  </si>
  <si>
    <t>Region IV (Atlanta, Birmingham, Caribbean, Columbia, Greensboro, Jackson, Jacksonville, Knoxville, Louisville, Nashville, Memphis, Miami, Orlando, Tampa)</t>
  </si>
  <si>
    <t>Thomacina Brown</t>
  </si>
  <si>
    <t>Supervisory Operations Officer</t>
  </si>
  <si>
    <t>40 Marietta Street</t>
  </si>
  <si>
    <t>(404) 331-5001, ext. 2380</t>
  </si>
  <si>
    <t>Region V (Chicago, Columbus, Cleveland, Detroit, Indianapolis, Milwaukee, Minneapolis-St. Paul)</t>
  </si>
  <si>
    <t>Beverly Bishop</t>
  </si>
  <si>
    <t>Deputy Regional Director</t>
  </si>
  <si>
    <t>Suite 2608</t>
  </si>
  <si>
    <t>77 W. Jackson Boulevard</t>
  </si>
  <si>
    <t>(312) 353-5680, ext. 2139</t>
  </si>
  <si>
    <t>Region VI (Ft. Worth, Albuquerque, Houston, Little Rock, New Orleans, Oklahoma, San Antonio)</t>
  </si>
  <si>
    <t>Patricia Campbell</t>
  </si>
  <si>
    <t>Unit #45, Suite 2500</t>
  </si>
  <si>
    <t>801 Cherry Street</t>
  </si>
  <si>
    <t>Ft. Worth</t>
  </si>
  <si>
    <t>(817) 978-5974, ext. 1010</t>
  </si>
  <si>
    <t>Region VII (Kansas City, Des Moines, Omaha, St. Louis)</t>
  </si>
  <si>
    <t>Eugene (Gene) Lipscomb</t>
  </si>
  <si>
    <t>400 State Avenue</t>
  </si>
  <si>
    <t>(913) 551-5476</t>
  </si>
  <si>
    <t>Region VIII (Denver)</t>
  </si>
  <si>
    <t>Deborah Griswold</t>
  </si>
  <si>
    <t>1670 Broadway</t>
  </si>
  <si>
    <t>80202-4801</t>
  </si>
  <si>
    <t>(303) 672-5440, ext. 1442</t>
  </si>
  <si>
    <t>Region IX (San Francisco, Honolulu, Los Angeles, Phoenix, Sacramento)</t>
  </si>
  <si>
    <t>Suzie Hernandez</t>
  </si>
  <si>
    <t>John E. Moss Federal Building, Suite 4-200</t>
  </si>
  <si>
    <t>650 Capitol Mall</t>
  </si>
  <si>
    <t>Sacramento</t>
  </si>
  <si>
    <t>95814-3702</t>
  </si>
  <si>
    <t>(916) 498-7381</t>
  </si>
  <si>
    <t>Region X (Seattle, Anchorage, Portland)</t>
  </si>
  <si>
    <t>Patty Huster</t>
  </si>
  <si>
    <t>Regional Lead</t>
  </si>
  <si>
    <t>Suite 200</t>
  </si>
  <si>
    <t>909 First Avenue</t>
  </si>
  <si>
    <t>98104-1000</t>
  </si>
  <si>
    <t>(206) 220-5101</t>
  </si>
  <si>
    <t>Dolores W. Cole</t>
  </si>
  <si>
    <t>Office of the Executive Secretariat, Headquarters</t>
  </si>
  <si>
    <t>Bureau of Indian Affairs</t>
  </si>
  <si>
    <t>Department of Interior</t>
  </si>
  <si>
    <t>Laura Cloud</t>
  </si>
  <si>
    <t>Office of the Assistant Secretary, Bureau of Indian Affairs</t>
  </si>
  <si>
    <t>MS-3071, MIB</t>
  </si>
  <si>
    <t>1849 C Street, NW</t>
  </si>
  <si>
    <t>(202) 208-4542</t>
  </si>
  <si>
    <t>(202) 208-6597</t>
  </si>
  <si>
    <t>http://www.bia.gov/FOIA/index.htm</t>
  </si>
  <si>
    <t>(202) 208-4174</t>
  </si>
  <si>
    <t>Bureau of Land Management</t>
  </si>
  <si>
    <t>Laura Bell</t>
  </si>
  <si>
    <t>Room 745 (WO-560)</t>
  </si>
  <si>
    <t>(202) 912-7562</t>
  </si>
  <si>
    <t>(202) 912-7356</t>
  </si>
  <si>
    <t>http://www.blm.gov/wo/st/en/res/FOIA.html</t>
  </si>
  <si>
    <t>(202) 912-7564</t>
  </si>
  <si>
    <t>Bureau of Ocean Energy Management</t>
  </si>
  <si>
    <t>Rosemary Melendy</t>
  </si>
  <si>
    <t>HM3127</t>
  </si>
  <si>
    <t>381 Elden Street</t>
  </si>
  <si>
    <t>Herndon</t>
  </si>
  <si>
    <t>20170-4817</t>
  </si>
  <si>
    <t>(703) 787-1315</t>
  </si>
  <si>
    <t>(703) 787-1209</t>
  </si>
  <si>
    <t>(703) 787-1327</t>
  </si>
  <si>
    <t>Bureau of Reclamation</t>
  </si>
  <si>
    <t>Regina Magno-Judd (Acting)</t>
  </si>
  <si>
    <t>P.O. Box 25007</t>
  </si>
  <si>
    <t>80225-0007</t>
  </si>
  <si>
    <t>(303) 445-2056, (888) 231-7779</t>
  </si>
  <si>
    <t>(303) 445-6575, (888) 808-5104</t>
  </si>
  <si>
    <t>http://www.usbr.gov/foia/</t>
  </si>
  <si>
    <t>(303) 445-2056</t>
  </si>
  <si>
    <t>Bureau of Safety and Environmental Enforcement</t>
  </si>
  <si>
    <t>Debbie Kimball</t>
  </si>
  <si>
    <t>MS:  HE-2204</t>
  </si>
  <si>
    <t>(703) 787-1689</t>
  </si>
  <si>
    <t>(703) 787-1207</t>
  </si>
  <si>
    <t>U.S. Fish and Wildlife Service</t>
  </si>
  <si>
    <t>Johnny Hunt</t>
  </si>
  <si>
    <t>FOIA Contact, Division of Information Resources &amp; Technology Management</t>
  </si>
  <si>
    <t>Arlington Square MS-380</t>
  </si>
  <si>
    <t>4401 North Fairfax Drive</t>
  </si>
  <si>
    <t>(703) 358-2504</t>
  </si>
  <si>
    <t>(703) 358-2698</t>
  </si>
  <si>
    <t>http://www.fws.gov/irm/bpim/foia.html</t>
  </si>
  <si>
    <t>U.S. Geological Survey</t>
  </si>
  <si>
    <t>David Newman</t>
  </si>
  <si>
    <t>MS-807, National Center</t>
  </si>
  <si>
    <t>12201 Sunrise Valley Drive</t>
  </si>
  <si>
    <t>Reston</t>
  </si>
  <si>
    <t>(703) 648-7196</t>
  </si>
  <si>
    <t>(703) 648-7199</t>
  </si>
  <si>
    <t>http://www.usgs.gov/foia/</t>
  </si>
  <si>
    <t>National Park Service</t>
  </si>
  <si>
    <t>Charis Wilson</t>
  </si>
  <si>
    <t>NPS FOIA Officer</t>
  </si>
  <si>
    <t>P.O. Box 25287</t>
  </si>
  <si>
    <t>12795 W. Alameda Parkway</t>
  </si>
  <si>
    <t>1-855-NPS-FOIA (677-3642); (303) 969-2959</t>
  </si>
  <si>
    <t>(303) 969-2557</t>
  </si>
  <si>
    <t>http://www.nps.gov/foia.htm</t>
  </si>
  <si>
    <t>(202) 354-1925</t>
  </si>
  <si>
    <t>(303) 969-2959</t>
  </si>
  <si>
    <t>Sandra Evans</t>
  </si>
  <si>
    <t>MS-4428, MIB</t>
  </si>
  <si>
    <t>(703) 487-5436</t>
  </si>
  <si>
    <t>(703) 487-5406</t>
  </si>
  <si>
    <t>http://www.doioig.gov/freedom-of-information-act</t>
  </si>
  <si>
    <t>(703) 487-5438</t>
  </si>
  <si>
    <t>Office of Natural Resources Revenue</t>
  </si>
  <si>
    <t>Richard Lopez</t>
  </si>
  <si>
    <t>MS-61023A</t>
  </si>
  <si>
    <t>PO Box 25165</t>
  </si>
  <si>
    <t>80225-0165</t>
  </si>
  <si>
    <t>(303) 231-3078</t>
  </si>
  <si>
    <t>(303) 445-4288</t>
  </si>
  <si>
    <t>Clarice Julka</t>
  </si>
  <si>
    <t>MS-116, SIB</t>
  </si>
  <si>
    <t>1951 Constitution Avenue, NW</t>
  </si>
  <si>
    <t>(202) 565-6045</t>
  </si>
  <si>
    <t>(202) 219-2374</t>
  </si>
  <si>
    <t>(202) 513-0756</t>
  </si>
  <si>
    <t>(202) 565-1076</t>
  </si>
  <si>
    <t>Office of the Solicitor</t>
  </si>
  <si>
    <t>Lance Purvis</t>
  </si>
  <si>
    <t>Acting FOIA Contact</t>
  </si>
  <si>
    <t>MS-6429, M1B</t>
  </si>
  <si>
    <t>(202) 208-5817</t>
  </si>
  <si>
    <t>(202) 208-5206</t>
  </si>
  <si>
    <t>http://www.doi.gov/foia/</t>
  </si>
  <si>
    <t>(202) 208-6503</t>
  </si>
  <si>
    <t>Office of Surface Mining</t>
  </si>
  <si>
    <t>Dele Awoniyi</t>
  </si>
  <si>
    <t>MS-233, S1B</t>
  </si>
  <si>
    <t>(202) 208-5840</t>
  </si>
  <si>
    <t>(202) 219-3092</t>
  </si>
  <si>
    <t>http://www.osmre.gov/contacts/Foia.shtm</t>
  </si>
  <si>
    <t>(202) 208-2909</t>
  </si>
  <si>
    <t>Office of the Special Trustee</t>
  </si>
  <si>
    <t>Veronica Herkshan</t>
  </si>
  <si>
    <t>MS-5140, MIB</t>
  </si>
  <si>
    <t>(505) 816-1645</t>
  </si>
  <si>
    <t>Office of the Attorney General</t>
  </si>
  <si>
    <t>Department of Justice</t>
  </si>
  <si>
    <t>Carmen L. Mallon</t>
  </si>
  <si>
    <t>Chief of Staff, Office of Information Policy</t>
  </si>
  <si>
    <t>Suite 11050</t>
  </si>
  <si>
    <t>1425 New York Avenue, NW</t>
  </si>
  <si>
    <t>20530-0001</t>
  </si>
  <si>
    <t>(202) 514-3642</t>
  </si>
  <si>
    <t>(202) 514-1009</t>
  </si>
  <si>
    <t>http://www.justice.gov/ag/foia.htm</t>
  </si>
  <si>
    <t>(202) 616-5459</t>
  </si>
  <si>
    <t>Laurie A. Day</t>
  </si>
  <si>
    <t>Office of the Deputy Attorney General</t>
  </si>
  <si>
    <t>http://www.justice.gov/dag/foia.htm</t>
  </si>
  <si>
    <t>Office of the Associate Attorney General</t>
  </si>
  <si>
    <t>http://www.justice.gov/asg/foia.htm</t>
  </si>
  <si>
    <t>Antitrust Division</t>
  </si>
  <si>
    <t>Sue Ann Slates</t>
  </si>
  <si>
    <t>Chief, FOIA/PA Unit</t>
  </si>
  <si>
    <t>Liberty Square Building</t>
  </si>
  <si>
    <t>Suite 1000, 450 5th Street, NW</t>
  </si>
  <si>
    <t>(202) 514-2692</t>
  </si>
  <si>
    <t>(202) 616-4529</t>
  </si>
  <si>
    <t>http://www.justice.gov/atr/foia/index.html</t>
  </si>
  <si>
    <t>Ronald Wiercioch</t>
  </si>
  <si>
    <t>Bureau of Alcohol, Tobacco, Firearms, and Explosives</t>
  </si>
  <si>
    <t>Peter Chisholm</t>
  </si>
  <si>
    <t>Division Chief</t>
  </si>
  <si>
    <t>Room 1E-400</t>
  </si>
  <si>
    <t>99 New York Avenue, NE</t>
  </si>
  <si>
    <t>(202) 648-8740</t>
  </si>
  <si>
    <t>(202) 648-9619</t>
  </si>
  <si>
    <t>http://www.atf.gov/about/foia/</t>
  </si>
  <si>
    <t>Civil Division</t>
  </si>
  <si>
    <t>James M. Kovakas</t>
  </si>
  <si>
    <t>Freedom of Information/Privacy Act Office</t>
  </si>
  <si>
    <t>Room 7304</t>
  </si>
  <si>
    <t>20 Massachusetts Avenue, NW</t>
  </si>
  <si>
    <t>(202) 514-3319</t>
  </si>
  <si>
    <t>(202) 616-8202</t>
  </si>
  <si>
    <t>http://www.justice.gov/civil/foia.html</t>
  </si>
  <si>
    <t>202) 514-2319</t>
  </si>
  <si>
    <t>Civil Rights Division</t>
  </si>
  <si>
    <t>Nelson D. Hermilla</t>
  </si>
  <si>
    <t>Chief, FOI/PA Branch</t>
  </si>
  <si>
    <t>BICN Bldg., Room 3219B</t>
  </si>
  <si>
    <t>950 Pennsylvania Avenue, NW</t>
  </si>
  <si>
    <t>(202) 514-4209</t>
  </si>
  <si>
    <t>http://www.justice.gov/crt/foia/index.php</t>
  </si>
  <si>
    <t>(202) 514-4210</t>
  </si>
  <si>
    <t>Sylvia Cabrera</t>
  </si>
  <si>
    <t>(202) 514-6195</t>
  </si>
  <si>
    <t>Community Relations Service</t>
  </si>
  <si>
    <t>George Henderson</t>
  </si>
  <si>
    <t>Suite 6000</t>
  </si>
  <si>
    <t>600 E Street, NW</t>
  </si>
  <si>
    <t>(202) 305-2935</t>
  </si>
  <si>
    <t>http://www.justice.gov/crs/foia.htm</t>
  </si>
  <si>
    <t>(202) 305-2964</t>
  </si>
  <si>
    <t>Criminal Division</t>
  </si>
  <si>
    <t>Rena Y. Kim</t>
  </si>
  <si>
    <t>Suite 1127</t>
  </si>
  <si>
    <t>Keeney Building, NW</t>
  </si>
  <si>
    <t>(202) 616-0307</t>
  </si>
  <si>
    <t>(202) 514-6117</t>
  </si>
  <si>
    <t>http://www.justice.gov/criminal/foia/</t>
  </si>
  <si>
    <t>Margaret Harris</t>
  </si>
  <si>
    <t>Drug Enforcement Administration</t>
  </si>
  <si>
    <t>Katherine L. Myrick</t>
  </si>
  <si>
    <t>Chief, Freedom of Information Operations Unit, FOI/Records Management Section</t>
  </si>
  <si>
    <t>West Building, 6th Floor</t>
  </si>
  <si>
    <t>700 Army Navy Drive</t>
  </si>
  <si>
    <t>(202) 305-7596</t>
  </si>
  <si>
    <t>(202) 307-8556</t>
  </si>
  <si>
    <t>http://www.justice.gov/dea/foia/dea.htm</t>
  </si>
  <si>
    <t>(202) 307-7596</t>
  </si>
  <si>
    <t>Phyllis Scott Drewery</t>
  </si>
  <si>
    <t>(202) 307-7618</t>
  </si>
  <si>
    <t>Environment and Natural Resources Division</t>
  </si>
  <si>
    <t>Sarah Lu</t>
  </si>
  <si>
    <t>FOIA Coordinator, Law and Policy Section</t>
  </si>
  <si>
    <t>P.O. Box 7415</t>
  </si>
  <si>
    <t>Ben Franklin Station</t>
  </si>
  <si>
    <t>20044-7415</t>
  </si>
  <si>
    <t>(202) 514-0424</t>
  </si>
  <si>
    <t>(202) 514-4231</t>
  </si>
  <si>
    <t>http://www.justice.gov/enrd/ENRD_FOIA.html</t>
  </si>
  <si>
    <t>Amber Blaha</t>
  </si>
  <si>
    <t>(202) 616-5515</t>
  </si>
  <si>
    <t>Executive Office for Immigration Review</t>
  </si>
  <si>
    <t>Cecelia Espenoza</t>
  </si>
  <si>
    <t>Senior Associate General Counsel, Office of the General Counsel</t>
  </si>
  <si>
    <t>Suite 1903</t>
  </si>
  <si>
    <t>5107 Leesburg Pike</t>
  </si>
  <si>
    <t>Falls Church</t>
  </si>
  <si>
    <t>(703) 605-1297</t>
  </si>
  <si>
    <t>(703) 605-0570</t>
  </si>
  <si>
    <t>http://www.justice.gov/eoir/mainfoia.html</t>
  </si>
  <si>
    <t>Crystal Souza</t>
  </si>
  <si>
    <t>Executive Office for Organized Crime Drug Enforcement Task Forces</t>
  </si>
  <si>
    <t>Jill Aronica</t>
  </si>
  <si>
    <t>OCDETF Executive Office, Suite 9218</t>
  </si>
  <si>
    <t>601 D Street, NW</t>
  </si>
  <si>
    <t>(202) 514-0296</t>
  </si>
  <si>
    <t>Jennifer Bilinski</t>
  </si>
  <si>
    <t>Executive Office for United States Attorneys</t>
  </si>
  <si>
    <t>Susan B. Gerson</t>
  </si>
  <si>
    <t>Acting Assistant Director, FOIA/Privacy Unit</t>
  </si>
  <si>
    <t>Room 7300</t>
  </si>
  <si>
    <t>(202) 252-6020</t>
  </si>
  <si>
    <t>(202) 252-6047</t>
  </si>
  <si>
    <t>http://www.justice.gov/usao/reading_room/index.html</t>
  </si>
  <si>
    <t>Donna Preston</t>
  </si>
  <si>
    <t>Executive Office for United States Trustees</t>
  </si>
  <si>
    <t>Larry Wahlquist</t>
  </si>
  <si>
    <t>FOIA/Privacy Counsel, Office of the General Counsel</t>
  </si>
  <si>
    <t>Suite 8100</t>
  </si>
  <si>
    <t>(202) 307-1399</t>
  </si>
  <si>
    <t>(202) 307-2397</t>
  </si>
  <si>
    <t>http://www.justice.gov/ust/eo/foia/index.htm</t>
  </si>
  <si>
    <t>Federal Bureau of Investigation</t>
  </si>
  <si>
    <t>David M. Hardy</t>
  </si>
  <si>
    <t>Chief, Record/Information Dissemination Section, Records Management Division</t>
  </si>
  <si>
    <t>170 Marcel Drive</t>
  </si>
  <si>
    <t>Winchester</t>
  </si>
  <si>
    <t>22602-4843</t>
  </si>
  <si>
    <t>(540) 868-4500</t>
  </si>
  <si>
    <t>(540) 868-4997</t>
  </si>
  <si>
    <t>mailto:foiparequest@ic.fbi.gov</t>
  </si>
  <si>
    <t>http://www.fbi.gov/foia/</t>
  </si>
  <si>
    <t>(540) 868-1535</t>
  </si>
  <si>
    <t>Dennis J. Argall</t>
  </si>
  <si>
    <t>(540) 868-4516</t>
  </si>
  <si>
    <t>Federal Bureau of Prisons</t>
  </si>
  <si>
    <t>Wanda M. Hunt</t>
  </si>
  <si>
    <t>Chief, FOIA/PA Section</t>
  </si>
  <si>
    <t>Room 841, HOLC Building</t>
  </si>
  <si>
    <t>320 First Street, NW</t>
  </si>
  <si>
    <t>(202) 514-6655</t>
  </si>
  <si>
    <t>mailto:ogc_efoia@bop.gov</t>
  </si>
  <si>
    <t>http://www.bop.gov/foia/index.jsp</t>
  </si>
  <si>
    <t>(202) 616-7750</t>
  </si>
  <si>
    <t>Wilson Moorer</t>
  </si>
  <si>
    <t>Foreign Claims Settlement Commission</t>
  </si>
  <si>
    <t>Jeremy LaFrancois</t>
  </si>
  <si>
    <t>Attorney Advisor - International</t>
  </si>
  <si>
    <t>Room 6002</t>
  </si>
  <si>
    <t>20579-0001</t>
  </si>
  <si>
    <t>(202) 616-6975</t>
  </si>
  <si>
    <t>(202) 616-6993</t>
  </si>
  <si>
    <t>mailto:info.fcsc@usdoj.gov</t>
  </si>
  <si>
    <t>http://www.justice.gov/fcsc/foia.htm</t>
  </si>
  <si>
    <t>Judith Lock</t>
  </si>
  <si>
    <t>INTERPOL-United States National Central Bureau</t>
  </si>
  <si>
    <t>Gordon Johnson</t>
  </si>
  <si>
    <t>FOIA/PA Specialist, Office of General Counsel</t>
  </si>
  <si>
    <t>Two Constitution Square, 145 N Street, NE</t>
  </si>
  <si>
    <t>INTERPOL</t>
  </si>
  <si>
    <t>(202) 616-9000</t>
  </si>
  <si>
    <t>(202) 616-8400</t>
  </si>
  <si>
    <t>mailto:Interpol-USNCB.FOIA@usdoj.gov</t>
  </si>
  <si>
    <t>http://www.justice.gov/usncb/whoweare/foia.php</t>
  </si>
  <si>
    <t>(202) 616-0201</t>
  </si>
  <si>
    <t>Justice Management Division</t>
  </si>
  <si>
    <t>Karen McFadden</t>
  </si>
  <si>
    <t>Room 1111, Robert F. Kennedy Building</t>
  </si>
  <si>
    <t>(202) 514-3101</t>
  </si>
  <si>
    <t>(202) 616-6695</t>
  </si>
  <si>
    <t>mailto:JMDFOIA@usdoj.gov</t>
  </si>
  <si>
    <t>http://www.justice.gov/jmd/foia.htm</t>
  </si>
  <si>
    <t>Michael Allen</t>
  </si>
  <si>
    <t>National Security Division</t>
  </si>
  <si>
    <t>Arnetta Mallory</t>
  </si>
  <si>
    <t>FOIA Initiatives Coordinator</t>
  </si>
  <si>
    <t>Room 6150</t>
  </si>
  <si>
    <t>(202) 307-3525</t>
  </si>
  <si>
    <t>mailto:nsdfoia@usdoj.gov</t>
  </si>
  <si>
    <t>http://www.justice.gov/nsd/foia/foia.htm</t>
  </si>
  <si>
    <t>Patricia Matthews</t>
  </si>
  <si>
    <t>(202) 233-0756</t>
  </si>
  <si>
    <t>Office of Community Oriented Policing Services</t>
  </si>
  <si>
    <t>Gary L. Baude</t>
  </si>
  <si>
    <t>FOIA/PA Officer - Legal Division</t>
  </si>
  <si>
    <t>Two Constitution Square, #11E 1405</t>
  </si>
  <si>
    <t>145 N Street, NE</t>
  </si>
  <si>
    <t>(202) 353-9864</t>
  </si>
  <si>
    <t>(202) 514-3456</t>
  </si>
  <si>
    <t>http://www.cops.usdoj.gov/Default.asp?Item=40</t>
  </si>
  <si>
    <t>Office of the Federal Detention Trustee</t>
  </si>
  <si>
    <t>Katherine Day</t>
  </si>
  <si>
    <t>4601 N Fairfax Drive</t>
  </si>
  <si>
    <t>(202) 353-4601</t>
  </si>
  <si>
    <t>http://www.justice.gov/ofdt/foia.htm</t>
  </si>
  <si>
    <t>Office of Information Policy</t>
  </si>
  <si>
    <t>Chief of Staff</t>
  </si>
  <si>
    <t>Deborah M. Waller</t>
  </si>
  <si>
    <t>Paralegal Specialist, Office of General Counsel</t>
  </si>
  <si>
    <t>Room 4726</t>
  </si>
  <si>
    <t>(202) 616-0646</t>
  </si>
  <si>
    <t>(202) 616-9152</t>
  </si>
  <si>
    <t>Office of Justice Programs</t>
  </si>
  <si>
    <t>Dorothy Lee</t>
  </si>
  <si>
    <t>Paralegal Specialist</t>
  </si>
  <si>
    <t>Room 5400</t>
  </si>
  <si>
    <t>810 7th Street, NW</t>
  </si>
  <si>
    <t>(202) 307-6235</t>
  </si>
  <si>
    <t>(202) 307-1419</t>
  </si>
  <si>
    <t>mailto:FOIAOJP@usdoj.gov</t>
  </si>
  <si>
    <t>http://www.ojp.usdoj.gov/about/foia/foia.htm</t>
  </si>
  <si>
    <t>George Pruden</t>
  </si>
  <si>
    <t>(202) 307-0790</t>
  </si>
  <si>
    <t>Bette Farris</t>
  </si>
  <si>
    <t>Supervisory Paralegal</t>
  </si>
  <si>
    <t>Room 5515</t>
  </si>
  <si>
    <t>(202) 514-2038</t>
  </si>
  <si>
    <t>mailto:usdoj-officeoflegalcounsel@usdoj.gov</t>
  </si>
  <si>
    <t>http://www.justice.gov/olc/foia.htm</t>
  </si>
  <si>
    <t>Arline Gause</t>
  </si>
  <si>
    <t>(202) 305-9250</t>
  </si>
  <si>
    <t>Office of Legal Policy</t>
  </si>
  <si>
    <t>mailto:DOJ.OIP.Initial.Requests@usdoj.gov</t>
  </si>
  <si>
    <t>http://www.justice.gov/olp/foia.htm</t>
  </si>
  <si>
    <t>Office of Legislative Affairs</t>
  </si>
  <si>
    <t>http://www.justice.gov/ola/ola-foia.htm</t>
  </si>
  <si>
    <t>Office of the Pardon Attorney</t>
  </si>
  <si>
    <t>Brenda McElroy</t>
  </si>
  <si>
    <t>Suite 11000</t>
  </si>
  <si>
    <t>(202) 616-6070</t>
  </si>
  <si>
    <t>(202) 616-6069</t>
  </si>
  <si>
    <t>mailto:PardonAttorneyFOIA@usdoj.gov</t>
  </si>
  <si>
    <t>http://www.justice.gov/pardon/pardon_foia.htm</t>
  </si>
  <si>
    <t>Ronald L. Rodgers</t>
  </si>
  <si>
    <t>Office of Professional Responsibility</t>
  </si>
  <si>
    <t>Lyn Hardy</t>
  </si>
  <si>
    <t>Special Counsel for Freedom of Information and Privacy Acts</t>
  </si>
  <si>
    <t>Suite 3266</t>
  </si>
  <si>
    <t>(202) 514-3365</t>
  </si>
  <si>
    <t>(202) 514-5050</t>
  </si>
  <si>
    <t>mailto:OPR.FOIA@usdoj.gov</t>
  </si>
  <si>
    <t>http://www.justice.gov/opr/foia.htm</t>
  </si>
  <si>
    <t>Patricia Reiersen</t>
  </si>
  <si>
    <t>Office of Public Affairs</t>
  </si>
  <si>
    <t>http://www.justice.gov/opa/readingroom/pub_aff.htm</t>
  </si>
  <si>
    <t>Office of the Solicitor General</t>
  </si>
  <si>
    <t>James K. Davis</t>
  </si>
  <si>
    <t>FOIA Coordinator</t>
  </si>
  <si>
    <t>Room 6627</t>
  </si>
  <si>
    <t>(202) 616-9406</t>
  </si>
  <si>
    <t>mailto:OSGFOIA@usdoj.gov</t>
  </si>
  <si>
    <t>http://www.justice.gov/osg/foia.html</t>
  </si>
  <si>
    <t>Valerie H. Hall</t>
  </si>
  <si>
    <t>(202) 514-2203</t>
  </si>
  <si>
    <t>Office of Tribal Justice</t>
  </si>
  <si>
    <t>Office on Violence Against Women</t>
  </si>
  <si>
    <t>Catherine Poston</t>
  </si>
  <si>
    <t>Suite 10W.121</t>
  </si>
  <si>
    <t>(202) 307-6026</t>
  </si>
  <si>
    <t>http://www.ovw.usdoj.gov/ovwfoia.htm</t>
  </si>
  <si>
    <t>Professional Responsibility Advisory Office</t>
  </si>
  <si>
    <t>Michael Kingsley</t>
  </si>
  <si>
    <t>Information Management Specialist</t>
  </si>
  <si>
    <t>Suite 12000</t>
  </si>
  <si>
    <t>(202) 514-0458</t>
  </si>
  <si>
    <t>(202) 353-7483</t>
  </si>
  <si>
    <t>http://www.justice.gov/prao/foia.htm</t>
  </si>
  <si>
    <t>Tax Division</t>
  </si>
  <si>
    <t>Carmen M. Banerjee</t>
  </si>
  <si>
    <t>Division Counsel for FOIA and PA Matters</t>
  </si>
  <si>
    <t>P.O. Box 227</t>
  </si>
  <si>
    <t>(202) 307-6320</t>
  </si>
  <si>
    <t>http://www.justice.gov/tax/readingroom/foia/foia1.htm</t>
  </si>
  <si>
    <t>Billie Willis</t>
  </si>
  <si>
    <t>(202) 307-0462</t>
  </si>
  <si>
    <t>United States Marshals Service</t>
  </si>
  <si>
    <t>William E. Bordley</t>
  </si>
  <si>
    <t>Associate General Counsel, Office of General Counsel</t>
  </si>
  <si>
    <t>2604 Jefferson Davis Highway</t>
  </si>
  <si>
    <t>(202) 307-9054</t>
  </si>
  <si>
    <t>http://www.usmarshals.gov/foia/index.html</t>
  </si>
  <si>
    <t>Nancy Robinson, Arleta Cunningham</t>
  </si>
  <si>
    <t>(202) 307-9071, (202) 307-9052</t>
  </si>
  <si>
    <t>United States Parole Commission</t>
  </si>
  <si>
    <t>Anissa Hunter</t>
  </si>
  <si>
    <t>FOIA/PA Specialist</t>
  </si>
  <si>
    <t>Suite 420</t>
  </si>
  <si>
    <t>5500 Friendship Boulevard</t>
  </si>
  <si>
    <t>Chevy Chase</t>
  </si>
  <si>
    <t>(301) 492-5959 (ext 237)</t>
  </si>
  <si>
    <t>(301) 492-5563</t>
  </si>
  <si>
    <t>http://www.justice.gov/uspc/foia.htm</t>
  </si>
  <si>
    <t>(301) 492-5959</t>
  </si>
  <si>
    <t>Rockne Chickinell</t>
  </si>
  <si>
    <t>(301) 492-5959 ext. 244</t>
  </si>
  <si>
    <t>FOIA/PA Mail Referral Unit</t>
  </si>
  <si>
    <t>Room 115</t>
  </si>
  <si>
    <t>LOC Building</t>
  </si>
  <si>
    <t>(301) 583-7354</t>
  </si>
  <si>
    <t>(301) 341-0772</t>
  </si>
  <si>
    <t>Michael Clay</t>
  </si>
  <si>
    <t>(202) 514-0217</t>
  </si>
  <si>
    <t>Department of Labor</t>
  </si>
  <si>
    <t>Ramona Branch Oliver</t>
  </si>
  <si>
    <t>Director, Office of Information Services , Office of the Solicitor/MALS Division</t>
  </si>
  <si>
    <t>Room N-2420</t>
  </si>
  <si>
    <t>200 Constitution Avenue, NW</t>
  </si>
  <si>
    <t>(202) 693-5391</t>
  </si>
  <si>
    <t>(202) 693-5389</t>
  </si>
  <si>
    <t>http://www.dol.gov/dol/foia/main.htm</t>
  </si>
  <si>
    <t>(202) 693-3642</t>
  </si>
  <si>
    <t>Thomas G. Hicks, Sr.</t>
  </si>
  <si>
    <t>(202) 693-5427</t>
  </si>
  <si>
    <t>Bureau of International Labor Affairs</t>
  </si>
  <si>
    <t>Room S-5317</t>
  </si>
  <si>
    <t>20210-001</t>
  </si>
  <si>
    <t>(202) 693-4877</t>
  </si>
  <si>
    <t>http://www.dol.gov/ilab/</t>
  </si>
  <si>
    <t>Bureau of Labor Statistics</t>
  </si>
  <si>
    <t>FOIA Disclosure Officer</t>
  </si>
  <si>
    <t>Room 4080 Postal Square Building</t>
  </si>
  <si>
    <t>2 Massachusetts Avenue, NE</t>
  </si>
  <si>
    <t>20212-0001</t>
  </si>
  <si>
    <t>(202) 691-7628</t>
  </si>
  <si>
    <t>(202) 691-5111</t>
  </si>
  <si>
    <t>http://www.bls.gov/bls/blsfoia.htm</t>
  </si>
  <si>
    <t>Employee Benefits Security Administration</t>
  </si>
  <si>
    <t>Sharon Watson</t>
  </si>
  <si>
    <t>Public Disclosure Room, Suite N-1513</t>
  </si>
  <si>
    <t>(202) 693-8673</t>
  </si>
  <si>
    <t>http://www.dol.gov/ebsa/foia/foia.html</t>
  </si>
  <si>
    <t>(202) 693-8655</t>
  </si>
  <si>
    <t>Employment &amp; Training Administration</t>
  </si>
  <si>
    <t>20210-0002</t>
  </si>
  <si>
    <t>(202) 693-3676</t>
  </si>
  <si>
    <t>(202) 693-2844</t>
  </si>
  <si>
    <t>http://www.doleta.gov/foia/</t>
  </si>
  <si>
    <t>Jobs Corps</t>
  </si>
  <si>
    <t>http://www.jobcorps.gov/foia.aspx</t>
  </si>
  <si>
    <t>(202) 693-5500</t>
  </si>
  <si>
    <t>Mine Safety &amp; Health Administration</t>
  </si>
  <si>
    <t>Room 2314</t>
  </si>
  <si>
    <t>1100 Wilson Boulevard</t>
  </si>
  <si>
    <t>22209-3939</t>
  </si>
  <si>
    <t>(202) 693-9542</t>
  </si>
  <si>
    <t>(202) 963-9441</t>
  </si>
  <si>
    <t>http://www.msha.gov/READROOM/READROOM.HTM</t>
  </si>
  <si>
    <t>(202) 693-9424</t>
  </si>
  <si>
    <t>Office of the Administrative Law Judges</t>
  </si>
  <si>
    <t>Suite 400 North</t>
  </si>
  <si>
    <t>800 K Street</t>
  </si>
  <si>
    <t>N.W. Washington</t>
  </si>
  <si>
    <t>20001-8002</t>
  </si>
  <si>
    <t>(202) 693-7348</t>
  </si>
  <si>
    <t>(202) 693-7365</t>
  </si>
  <si>
    <t>http://www.oalj.dol.gov/libfoia.htm</t>
  </si>
  <si>
    <t>(202) 693-7440</t>
  </si>
  <si>
    <t>Office of the Assistant Secretary for Administration and Management</t>
  </si>
  <si>
    <t>Room S-3317</t>
  </si>
  <si>
    <t>(202) 693-7126</t>
  </si>
  <si>
    <t>(202) 693-7954</t>
  </si>
  <si>
    <t>http://www.dol.gov/oasam/foia/</t>
  </si>
  <si>
    <t>Office of Federal Contract Compliance Programs</t>
  </si>
  <si>
    <t>Room N-2428</t>
  </si>
  <si>
    <t>(202) 693-5538</t>
  </si>
  <si>
    <t>http://www.dol.gov/ofccp/ofccp-foia.htm</t>
  </si>
  <si>
    <t>Office of Labor-Management Standards</t>
  </si>
  <si>
    <t>Suite N-5609</t>
  </si>
  <si>
    <t>(202) 693-0125</t>
  </si>
  <si>
    <t>http://www.dol.gov/olms/regs/compliance/OLMS_FOIA.htm</t>
  </si>
  <si>
    <t>Office of Workers' Compensation Programs</t>
  </si>
  <si>
    <t>http://www.dol.gov/owcp/foia/owcp-foia.htm</t>
  </si>
  <si>
    <t>Room S-5506</t>
  </si>
  <si>
    <t>(202) 693-7020</t>
  </si>
  <si>
    <t>http://www.oig.dol.gov/foia.htm</t>
  </si>
  <si>
    <t>(202) 693-5116</t>
  </si>
  <si>
    <t>Occupational Safety &amp; Health Administration</t>
  </si>
  <si>
    <t>Room N3647</t>
  </si>
  <si>
    <t>(202) 693-1999</t>
  </si>
  <si>
    <t>(202) 693-1635</t>
  </si>
  <si>
    <t>http://www.osha.gov/as/opa/foia/foia.html</t>
  </si>
  <si>
    <t>Veterans' Employment &amp; Training Service</t>
  </si>
  <si>
    <t>Carrie Timus</t>
  </si>
  <si>
    <t>Room S-1325</t>
  </si>
  <si>
    <t>(202) 693-4700</t>
  </si>
  <si>
    <t>http://www.dol.gov/vets/foia/</t>
  </si>
  <si>
    <t>Wage and Hour Division</t>
  </si>
  <si>
    <t>Room S-3201</t>
  </si>
  <si>
    <t>http://www.dol.gov/whd/foia/</t>
  </si>
  <si>
    <t>Women's Bureau</t>
  </si>
  <si>
    <t>Room S-3305</t>
  </si>
  <si>
    <t>(202) 693-6746</t>
  </si>
  <si>
    <t>http://www.dol.gov/wb/e-foia.htm</t>
  </si>
  <si>
    <t>Department of State</t>
  </si>
  <si>
    <t>Sheryl L. Walter</t>
  </si>
  <si>
    <t>Director, Office of Information Programs and Services</t>
  </si>
  <si>
    <t>Building SA-2</t>
  </si>
  <si>
    <t>515 22nd Street, NW</t>
  </si>
  <si>
    <t>20522-8100</t>
  </si>
  <si>
    <t>(202) 261-8484</t>
  </si>
  <si>
    <t>(202) 261-8579</t>
  </si>
  <si>
    <t>http://www.state.gov/m/a/ips/</t>
  </si>
  <si>
    <t>Marianne Manheim</t>
  </si>
  <si>
    <t>(202) 663-2764</t>
  </si>
  <si>
    <t>ATTN:  Zipora Bullard</t>
  </si>
  <si>
    <t>FOIA Office</t>
  </si>
  <si>
    <t>Office of Inspector General
Office of General Counsel</t>
  </si>
  <si>
    <t>20520-0308</t>
  </si>
  <si>
    <t>(202) 663-0383</t>
  </si>
  <si>
    <t>(202) 663-0390</t>
  </si>
  <si>
    <t>(202) 261-8359</t>
  </si>
  <si>
    <t>Department of Transportation</t>
  </si>
  <si>
    <t>Kathy Ray</t>
  </si>
  <si>
    <t>W94-122</t>
  </si>
  <si>
    <t>1200 New Jersey Avenue, SE</t>
  </si>
  <si>
    <t>(202) 366-4542</t>
  </si>
  <si>
    <t>(202) 366-8536</t>
  </si>
  <si>
    <t>http://www.dot.gov/foia/ostefoiaweb.html</t>
  </si>
  <si>
    <t>Fern Kaufman</t>
  </si>
  <si>
    <t>(202) 366-8067</t>
  </si>
  <si>
    <t>7th Floor</t>
  </si>
  <si>
    <t>(202) 366-1544</t>
  </si>
  <si>
    <t>https://www.oig.dot.gov/freedom-information-act</t>
  </si>
  <si>
    <t>Regina Raiford</t>
  </si>
  <si>
    <t>(202) 366-6131</t>
  </si>
  <si>
    <t>David Wonnenberg</t>
  </si>
  <si>
    <t>(202) 366-8751</t>
  </si>
  <si>
    <t>Federal Aviation Administration</t>
  </si>
  <si>
    <t>JoAnn Noonan</t>
  </si>
  <si>
    <t>National FOIA Staff (ARC-40)</t>
  </si>
  <si>
    <t>800 Independence Avenue, SW</t>
  </si>
  <si>
    <t>(202) 267-9165</t>
  </si>
  <si>
    <t>(202) 493-5032</t>
  </si>
  <si>
    <t>http://www.faa.gov/foia/foia_coordinators/index.cfm?action=other_requests</t>
  </si>
  <si>
    <t>Melanie Yohe</t>
  </si>
  <si>
    <t>(2020) 267-7799</t>
  </si>
  <si>
    <t>Federal Highway Administration</t>
  </si>
  <si>
    <t>Jeb Kreischer</t>
  </si>
  <si>
    <t>FOIA/PA Contact</t>
  </si>
  <si>
    <t>HAIM-12/E64-409</t>
  </si>
  <si>
    <t>(202) 366-9076</t>
  </si>
  <si>
    <t>(202) 366-1938</t>
  </si>
  <si>
    <t>http://www.fhwa.dot.gov/foia/index.htm</t>
  </si>
  <si>
    <t>(202) 366-0534</t>
  </si>
  <si>
    <t>Grace Reidy</t>
  </si>
  <si>
    <t>(202) 366-6226</t>
  </si>
  <si>
    <t>Federal Railroad Administration</t>
  </si>
  <si>
    <t>Denise Kollehlon</t>
  </si>
  <si>
    <t>FOIA/PA Contact, Office of the Chief Counsel</t>
  </si>
  <si>
    <t>Stop 10</t>
  </si>
  <si>
    <t>(202) 493-6039</t>
  </si>
  <si>
    <t>(202) 493-6068</t>
  </si>
  <si>
    <t>http://www.fra.dot.gov/pages/foia.shtml</t>
  </si>
  <si>
    <t>(202) 493-6065</t>
  </si>
  <si>
    <t>Warren Flatau</t>
  </si>
  <si>
    <t>(202) 493-6019</t>
  </si>
  <si>
    <t>Federal Transit Administration</t>
  </si>
  <si>
    <t>Nancy Sipes</t>
  </si>
  <si>
    <t>E42-315</t>
  </si>
  <si>
    <t>(202) 366-4022</t>
  </si>
  <si>
    <t>(202) 366-7164</t>
  </si>
  <si>
    <t>http://www.fta.dot.gov/newsroom/12814.html</t>
  </si>
  <si>
    <t>(202) 366-2494</t>
  </si>
  <si>
    <t>David Longo</t>
  </si>
  <si>
    <t>(202) 366-0608</t>
  </si>
  <si>
    <t>Federal Motor Carrier Safety Administration</t>
  </si>
  <si>
    <t>Tiffanie C. Coleman</t>
  </si>
  <si>
    <t>FOIA/PA Contact (MC-MMI)</t>
  </si>
  <si>
    <t>W66-458</t>
  </si>
  <si>
    <t>(202) 366-2960</t>
  </si>
  <si>
    <t>http://www.fmcsa.dot.gov/Foia/Index.htm</t>
  </si>
  <si>
    <t>Duane DeBruyne</t>
  </si>
  <si>
    <t>(202) 366-9999</t>
  </si>
  <si>
    <t>National Highway Traffic Safety Administration</t>
  </si>
  <si>
    <t>NHTSA Executive Secretariat</t>
  </si>
  <si>
    <t>West Building, 41-304</t>
  </si>
  <si>
    <t>(202) 266-1834</t>
  </si>
  <si>
    <t>(202) 366-3820</t>
  </si>
  <si>
    <t>http://www.nhtsa.gov/FOIA</t>
  </si>
  <si>
    <t>(202) 366-2870</t>
  </si>
  <si>
    <t>Greg Walter</t>
  </si>
  <si>
    <t>(202) 366-2330</t>
  </si>
  <si>
    <t>Maritime Administration</t>
  </si>
  <si>
    <t>Christine S. Gurland</t>
  </si>
  <si>
    <t>FOIA Officer, Division of Legislation and Regulations</t>
  </si>
  <si>
    <t>Second Floor, West Building, W24-233</t>
  </si>
  <si>
    <t>(202) 366-5181</t>
  </si>
  <si>
    <t>(202) 366-7485</t>
  </si>
  <si>
    <t>http://www.marad.dot.gov/about_us_landing_page/freedom_of_information_act/FOIA.htm</t>
  </si>
  <si>
    <t>(202) 366-2666</t>
  </si>
  <si>
    <t>Ann Herchenrider</t>
  </si>
  <si>
    <t>(202) 366-5165</t>
  </si>
  <si>
    <t>Pipeline and Hazardous Materials Safety Administration</t>
  </si>
  <si>
    <t>Marilyn Burke</t>
  </si>
  <si>
    <t>FOIA Officer, Office of the Chief Counsel, PHC-30</t>
  </si>
  <si>
    <t>East Building, 2nd Floor, E23-306</t>
  </si>
  <si>
    <t>(202) 366-6119</t>
  </si>
  <si>
    <t>(202) 336-7041</t>
  </si>
  <si>
    <t>http://www.phmsa.dot.gov/about/foia.html</t>
  </si>
  <si>
    <t>(202) 366-4400</t>
  </si>
  <si>
    <t>Patricia Klinger</t>
  </si>
  <si>
    <t>(202) 366-4831</t>
  </si>
  <si>
    <t>Research and Innovative Technology Administration</t>
  </si>
  <si>
    <t>Robert A. Monniere</t>
  </si>
  <si>
    <t>RITA/E35-330</t>
  </si>
  <si>
    <t>(202) 366-5498</t>
  </si>
  <si>
    <t>(202) 366-3671</t>
  </si>
  <si>
    <t>http://www.rita.dot.gov/freedom_of_information_act/</t>
  </si>
  <si>
    <t>Saint Lawrence Seaway Development Corporation</t>
  </si>
  <si>
    <t>Mary C. Fregoe</t>
  </si>
  <si>
    <t>P.O. Box 520</t>
  </si>
  <si>
    <t>Massena</t>
  </si>
  <si>
    <t>13662-0520</t>
  </si>
  <si>
    <t>(315) 764-3210</t>
  </si>
  <si>
    <t>(315) 764-3235</t>
  </si>
  <si>
    <t>http://www.dot.gov/foia/foia_contacts.htm</t>
  </si>
  <si>
    <t>(315) 764-3275</t>
  </si>
  <si>
    <t>Departmental FOIA Office</t>
  </si>
  <si>
    <t>http://www.dot.gov/foia/</t>
  </si>
  <si>
    <t>Departmental Offices</t>
  </si>
  <si>
    <t>Department of the Treasury</t>
  </si>
  <si>
    <t>Hugh Gilmore</t>
  </si>
  <si>
    <t>Director, Disclosure Services</t>
  </si>
  <si>
    <t>1500 Pennsylvania Avenue, NW</t>
  </si>
  <si>
    <t>(202) 622-0930</t>
  </si>
  <si>
    <t>(202) 622-3895</t>
  </si>
  <si>
    <t>http://www.treasury.gov/foia/Pages/index.aspx</t>
  </si>
  <si>
    <t>(202) 622-0876</t>
  </si>
  <si>
    <t>Alcohol and Tobacco Tax and Trade Bureau</t>
  </si>
  <si>
    <t>Brandy Croscost</t>
  </si>
  <si>
    <t>FOIA Contact, Disclosure Services</t>
  </si>
  <si>
    <t>2nd Floor East</t>
  </si>
  <si>
    <t>1310 G Street, NW</t>
  </si>
  <si>
    <t>(202) 453-2048</t>
  </si>
  <si>
    <t>(202) 453-2350</t>
  </si>
  <si>
    <t>http://www.ttb.gov/foia/index.shtml</t>
  </si>
  <si>
    <t>(202) 927-1024</t>
  </si>
  <si>
    <t>Bureau of Engraving and Printing</t>
  </si>
  <si>
    <t>Sherrylyn Bell</t>
  </si>
  <si>
    <t>FOIA Contact, FOIA Office</t>
  </si>
  <si>
    <t>Room 646 PD</t>
  </si>
  <si>
    <t>14th &amp; C Street, SW</t>
  </si>
  <si>
    <t>(202) 874-2058</t>
  </si>
  <si>
    <t>(202) 874-2951</t>
  </si>
  <si>
    <t>http://www.bep.treas.gov/foia.html</t>
  </si>
  <si>
    <t>Comptroller of the Currency</t>
  </si>
  <si>
    <t>Frank Vance</t>
  </si>
  <si>
    <t>Disclosures Services
Communications Division</t>
  </si>
  <si>
    <t>Mail Stop 2-3</t>
  </si>
  <si>
    <t>(202) 874-4700</t>
  </si>
  <si>
    <t>http://www.occ.gov/about/foia/index-foia.html</t>
  </si>
  <si>
    <t>Financial Crimes Enforcement Network</t>
  </si>
  <si>
    <t>Amanda Michanczyk</t>
  </si>
  <si>
    <t>Disclosure (FOIA) Office</t>
  </si>
  <si>
    <t>P.O. Box 39</t>
  </si>
  <si>
    <t>Vienna</t>
  </si>
  <si>
    <t>(703) 905-5034</t>
  </si>
  <si>
    <t>(703) 905-5126</t>
  </si>
  <si>
    <t>http://www.fincen.gov/foia/</t>
  </si>
  <si>
    <t>Financial Management Service</t>
  </si>
  <si>
    <t>Cynthia Sydnor</t>
  </si>
  <si>
    <t>Room 553B</t>
  </si>
  <si>
    <t>401 14th Street, SW</t>
  </si>
  <si>
    <t>(202) 874-1502</t>
  </si>
  <si>
    <t>(202) 874-2391</t>
  </si>
  <si>
    <t>http://www.fms.treas.gov/foia/index.html</t>
  </si>
  <si>
    <t>(202) 874-6837</t>
  </si>
  <si>
    <t>Internal Revenue Service - Headquarters Office</t>
  </si>
  <si>
    <t>Stop 211</t>
  </si>
  <si>
    <t>2385 Chamblee Tucker Road</t>
  </si>
  <si>
    <t>Chamblee</t>
  </si>
  <si>
    <t>(770) 234-4374</t>
  </si>
  <si>
    <t>http://www.irs.gov/foia/article/0,,id=120681,00.html</t>
  </si>
  <si>
    <t>Marie Twarog</t>
  </si>
  <si>
    <t>United States Mint</t>
  </si>
  <si>
    <t>Kathleen Saunders-Mitchell</t>
  </si>
  <si>
    <t>8th Floor</t>
  </si>
  <si>
    <t>801 9th Street, NW</t>
  </si>
  <si>
    <t>(202) 354-4600</t>
  </si>
  <si>
    <t>(202) 756-6153</t>
  </si>
  <si>
    <t>http://www.usmint.gov/FOIA/</t>
  </si>
  <si>
    <t>(202) 354-6788</t>
  </si>
  <si>
    <t>Bureau of Public Debt</t>
  </si>
  <si>
    <t>Denise Nelson</t>
  </si>
  <si>
    <t>Disclosure Officer, Division of Administrative Services</t>
  </si>
  <si>
    <t>Avery A5-A</t>
  </si>
  <si>
    <t>200 Third Street</t>
  </si>
  <si>
    <t>Parkersburg</t>
  </si>
  <si>
    <t>WV</t>
  </si>
  <si>
    <t>(304) 480-8402</t>
  </si>
  <si>
    <t>(304) 480-8188</t>
  </si>
  <si>
    <t>http://www.treasurydirect.gov/foia.htm</t>
  </si>
  <si>
    <t>Office of Thrift Supervision</t>
  </si>
  <si>
    <t>Marilyn K. Burton</t>
  </si>
  <si>
    <t>(202) 906-5922</t>
  </si>
  <si>
    <t>(202) 906-6353</t>
  </si>
  <si>
    <t>http://www.ots.treas.gov/?p=FreedomOfInformationAct</t>
  </si>
  <si>
    <t>Dick Roberts</t>
  </si>
  <si>
    <t>(202) 906-7631</t>
  </si>
  <si>
    <t>Treasury Inspector General for Tax Administration</t>
  </si>
  <si>
    <t>Amy P. Jones</t>
  </si>
  <si>
    <t>FOIA Contact, Office of the Chief Counsel, Disclosure Branch</t>
  </si>
  <si>
    <t>Suite 469</t>
  </si>
  <si>
    <t>1401 H Street, NW</t>
  </si>
  <si>
    <t>(202) 622-4068</t>
  </si>
  <si>
    <t>(202) 622-3339</t>
  </si>
  <si>
    <t>http://www.treasury.gov/tigta/important_foia.shtml</t>
  </si>
  <si>
    <t>Central Office FOIA/Privacy Act Office</t>
  </si>
  <si>
    <t>Department of Veterans Affairs</t>
  </si>
  <si>
    <t>Laurie Karnay</t>
  </si>
  <si>
    <t>FOIA Team Lead</t>
  </si>
  <si>
    <t>(005R1C) VACO</t>
  </si>
  <si>
    <t>810 Vermont Avenue, NW</t>
  </si>
  <si>
    <t>(202) 632-7465</t>
  </si>
  <si>
    <t>(202)-632-7581</t>
  </si>
  <si>
    <t>mailto:vacofoiaservice@va.gov</t>
  </si>
  <si>
    <t>http://www.foia.va.gov/</t>
  </si>
  <si>
    <t>National Cemetery Administration</t>
  </si>
  <si>
    <t>Raynell Lazier</t>
  </si>
  <si>
    <t>Chief Executive Correspondence  &amp; FOIA</t>
  </si>
  <si>
    <t>(41C1) VACO</t>
  </si>
  <si>
    <t>(202) 461-6214</t>
  </si>
  <si>
    <t>(202) 273-6695</t>
  </si>
  <si>
    <t>mailto:nca.foia@va.gov</t>
  </si>
  <si>
    <t>Veterans Benefits Administration</t>
  </si>
  <si>
    <t>Sean Burns</t>
  </si>
  <si>
    <t>(20M33) VACO</t>
  </si>
  <si>
    <t>(202) 491-9439</t>
  </si>
  <si>
    <t>(202) 275-5947</t>
  </si>
  <si>
    <t>mailto:foia.vbaco@va.gov</t>
  </si>
  <si>
    <t>Veterans Health Administration</t>
  </si>
  <si>
    <t>Timothy Graham</t>
  </si>
  <si>
    <t>(19F2) VACO</t>
  </si>
  <si>
    <t>(215) 823-4146</t>
  </si>
  <si>
    <t>(202) 273-9387</t>
  </si>
  <si>
    <t>mailto:vhafoia2@va.gov</t>
  </si>
  <si>
    <t>Office of Assistant Secretary for Policy and Intergovernmental Affairs</t>
  </si>
  <si>
    <t>Inez Sidbury</t>
  </si>
  <si>
    <t>(002B) VACO</t>
  </si>
  <si>
    <t>(202) 461-7442</t>
  </si>
  <si>
    <t>(202) 273-7635</t>
  </si>
  <si>
    <t>Office of Deputy Assistant Secretary for Public Affairs</t>
  </si>
  <si>
    <t>Gary Tallman</t>
  </si>
  <si>
    <t>(80A) VACO</t>
  </si>
  <si>
    <t>(202) 461-7430</t>
  </si>
  <si>
    <t>(202) 273-6705</t>
  </si>
  <si>
    <t>Nathan Naylor</t>
  </si>
  <si>
    <t>Office of the Deputy Assistant Secretary for Intergovernmental Affairs</t>
  </si>
  <si>
    <t>Susan McCrea</t>
  </si>
  <si>
    <t>(075) VACO</t>
  </si>
  <si>
    <t>(202) 461-7379</t>
  </si>
  <si>
    <t>(202) 273-5716</t>
  </si>
  <si>
    <t>Fran Heimrich</t>
  </si>
  <si>
    <t>Office of Assistant Secretary for Management</t>
  </si>
  <si>
    <t>Miriam Smith</t>
  </si>
  <si>
    <t>(004A) VACO</t>
  </si>
  <si>
    <t>(202) 461-6677</t>
  </si>
  <si>
    <t>(202) 273-6892</t>
  </si>
  <si>
    <t>Office of Asset Enterprise Management</t>
  </si>
  <si>
    <t>Kelli Emery</t>
  </si>
  <si>
    <t>(044) VACO</t>
  </si>
  <si>
    <t>(202) 590-8793</t>
  </si>
  <si>
    <t>(202) 632-7146</t>
  </si>
  <si>
    <t>Office of Deputy Assistant Secretary for Budget</t>
  </si>
  <si>
    <t>Cynthia Manurs</t>
  </si>
  <si>
    <t>(041C/D) VACO</t>
  </si>
  <si>
    <t>(202)461-5170</t>
  </si>
  <si>
    <t>(202) 273-6628</t>
  </si>
  <si>
    <t>Office of Deputy Assistant Secretary for Finance</t>
  </si>
  <si>
    <t>Karen Barber</t>
  </si>
  <si>
    <t>(047GC1) VACO</t>
  </si>
  <si>
    <t>(202) 461-6432</t>
  </si>
  <si>
    <t>(202) 273-6574</t>
  </si>
  <si>
    <t>Corporate Data Center Operations</t>
  </si>
  <si>
    <t>Timothy Clifton</t>
  </si>
  <si>
    <t>Philadelphia Information Technology Center</t>
  </si>
  <si>
    <t>5000 Wissahickon Avenue (284)</t>
  </si>
  <si>
    <t>(215) 842-2000 ext 4503</t>
  </si>
  <si>
    <t>(215) 381-3527</t>
  </si>
  <si>
    <t>mailto:cdcofoia@va.gov</t>
  </si>
  <si>
    <t>Office of Assistant Secretary for Information and Technology</t>
  </si>
  <si>
    <t>(202) 632-7581</t>
  </si>
  <si>
    <t>(877) 750-3642</t>
  </si>
  <si>
    <t>James Horan</t>
  </si>
  <si>
    <t>Office of Assistant Secretary for Human Resources and Administration</t>
  </si>
  <si>
    <t>Yolanda Johnson</t>
  </si>
  <si>
    <t>(006V) VACO</t>
  </si>
  <si>
    <t>(202) 632-7310</t>
  </si>
  <si>
    <t>(202) 632-7536</t>
  </si>
  <si>
    <t>Office of Deputy Assistant Secretary for Human Resources Management</t>
  </si>
  <si>
    <t>Jean Hayes</t>
  </si>
  <si>
    <t>(054A) VACO</t>
  </si>
  <si>
    <t>(202) 461-7863</t>
  </si>
  <si>
    <t>(202) 273-7871</t>
  </si>
  <si>
    <t>Office of Deputy Assistant Secretary for Diversity and Inclusion</t>
  </si>
  <si>
    <t>Betty Cook</t>
  </si>
  <si>
    <t>(06) VACO</t>
  </si>
  <si>
    <t>(202) 461-4010</t>
  </si>
  <si>
    <t>(202) 501-1970</t>
  </si>
  <si>
    <t>Office of Resolution Management</t>
  </si>
  <si>
    <t>Nigel Collie</t>
  </si>
  <si>
    <t>(08) (I Street) VACO</t>
  </si>
  <si>
    <t>(202) 501-2827</t>
  </si>
  <si>
    <t>(202) 501-2885</t>
  </si>
  <si>
    <t>Office of Deputy Assistant Secretary for Administration</t>
  </si>
  <si>
    <t>Shelia Gaskins</t>
  </si>
  <si>
    <t>(032A) VACO</t>
  </si>
  <si>
    <t>(202) 461-5046</t>
  </si>
  <si>
    <t>(202) 273-7091</t>
  </si>
  <si>
    <t>Office of the Assistant Secretary for Operations, Security, and Preparedness</t>
  </si>
  <si>
    <t>Tanya Al-Khateeb</t>
  </si>
  <si>
    <t>(007) VACO</t>
  </si>
  <si>
    <t>(202) 461-6587</t>
  </si>
  <si>
    <t>(202) 461-0963</t>
  </si>
  <si>
    <t>Office of Policy and Planning</t>
  </si>
  <si>
    <t>Stephanie Way</t>
  </si>
  <si>
    <t>(008) VACO, Room 314</t>
  </si>
  <si>
    <t>(202) 461-5918</t>
  </si>
  <si>
    <t>(202) 273-5993</t>
  </si>
  <si>
    <t>(202) 461-5198</t>
  </si>
  <si>
    <t>Office of Assistant Secretary for Congressional and Legislative Affairs</t>
  </si>
  <si>
    <t>Pamela Balsley</t>
  </si>
  <si>
    <t>(009) VACO</t>
  </si>
  <si>
    <t>(202) 461-6619</t>
  </si>
  <si>
    <t>(202) 273-6792</t>
  </si>
  <si>
    <t>Office of Construction &amp; Facilities Management</t>
  </si>
  <si>
    <t>Lynn Buell</t>
  </si>
  <si>
    <t>(OOCM2) VACO</t>
  </si>
  <si>
    <t>(202) 461-8212</t>
  </si>
  <si>
    <t>(202) 495-5538</t>
  </si>
  <si>
    <t>Office of Acquisition &amp; Logistics</t>
  </si>
  <si>
    <t>Phillip E. Wood</t>
  </si>
  <si>
    <t>(001AL-A1-1) VACO</t>
  </si>
  <si>
    <t>(202) 756-1385</t>
  </si>
  <si>
    <t>Board of Veterans Appeals</t>
  </si>
  <si>
    <t>Margaret L. Peak</t>
  </si>
  <si>
    <t>(01C1) VACO</t>
  </si>
  <si>
    <t>(202) 461-8111</t>
  </si>
  <si>
    <t>(202) 565-9733</t>
  </si>
  <si>
    <t>J. Thomas Burch, Jr.</t>
  </si>
  <si>
    <t>(026H) VACO</t>
  </si>
  <si>
    <t>(202) 461-7717</t>
  </si>
  <si>
    <t>(202) 273-9299</t>
  </si>
  <si>
    <t>mailto:ogcfoiarequests@va.gov</t>
  </si>
  <si>
    <t>Darryl Joe</t>
  </si>
  <si>
    <t>(50CI) VACO</t>
  </si>
  <si>
    <t>(202) 461-4591</t>
  </si>
  <si>
    <t>(202) 565-8667</t>
  </si>
  <si>
    <t>Office of Small and Disadvantaged Business Utilization</t>
  </si>
  <si>
    <t>Karen Zhussanbay</t>
  </si>
  <si>
    <t>(00SB) VACO</t>
  </si>
  <si>
    <t>(202) 303-3260 ext 5429</t>
  </si>
  <si>
    <t>(202) 303-3313</t>
  </si>
  <si>
    <t>(202) 632-7600</t>
  </si>
</sst>
</file>

<file path=xl/styles.xml><?xml version="1.0" encoding="utf-8"?>
<styleSheet xmlns="http://schemas.openxmlformats.org/spreadsheetml/2006/main">
  <numFmts count="3">
    <numFmt formatCode="GENERAL" numFmtId="164"/>
    <numFmt formatCode="@" numFmtId="165"/>
    <numFmt formatCode="00000" numFmtId="166"/>
  </numFmts>
  <fonts count="6">
    <font>
      <name val="Arial"/>
      <charset val="1"/>
      <family val="2"/>
      <color rgb="00000000"/>
      <sz val="10"/>
    </font>
    <font>
      <name val="Arial"/>
      <family val="0"/>
      <sz val="10"/>
    </font>
    <font>
      <name val="Arial"/>
      <family val="0"/>
      <sz val="10"/>
    </font>
    <font>
      <name val="Arial"/>
      <family val="0"/>
      <sz val="10"/>
    </font>
    <font>
      <name val="Arial"/>
      <charset val="1"/>
      <family val="2"/>
      <color rgb="00000000"/>
      <sz val="11"/>
    </font>
    <font>
      <name val="Arial"/>
      <charset val="1"/>
      <family val="2"/>
      <color rgb="000000D4"/>
      <sz val="10"/>
      <u val="single"/>
    </font>
  </fonts>
  <fills count="4">
    <fill>
      <patternFill patternType="none"/>
    </fill>
    <fill>
      <patternFill patternType="gray125"/>
    </fill>
    <fill>
      <patternFill patternType="solid">
        <fgColor rgb="00C0C0C0"/>
        <bgColor rgb="00CCCCFF"/>
      </patternFill>
    </fill>
    <fill>
      <patternFill patternType="solid">
        <fgColor rgb="00FFFF00"/>
        <bgColor rgb="00FFFF00"/>
      </patternFill>
    </fill>
  </fills>
  <borders count="11">
    <border diagonalDown="false" diagonalUp="false">
      <left/>
      <right/>
      <top/>
      <bottom/>
      <diagonal/>
    </border>
    <border diagonalDown="false" diagonalUp="false">
      <left style="thick"/>
      <right style="thick"/>
      <top style="thick"/>
      <bottom style="thick"/>
      <diagonal/>
    </border>
    <border diagonalDown="false" diagonalUp="false">
      <left/>
      <right/>
      <top style="thick"/>
      <bottom/>
      <diagonal/>
    </border>
    <border diagonalDown="false" diagonalUp="false">
      <left/>
      <right style="thick"/>
      <top style="thick"/>
      <bottom/>
      <diagonal/>
    </border>
    <border diagonalDown="false" diagonalUp="false">
      <left/>
      <right style="thick"/>
      <top/>
      <bottom/>
      <diagonal/>
    </border>
    <border diagonalDown="false" diagonalUp="false">
      <left/>
      <right/>
      <top/>
      <bottom style="thick"/>
      <diagonal/>
    </border>
    <border diagonalDown="false" diagonalUp="false">
      <left/>
      <right style="thick"/>
      <top/>
      <bottom style="thick"/>
      <diagonal/>
    </border>
    <border diagonalDown="false" diagonalUp="false">
      <left style="thick"/>
      <right style="thick"/>
      <top style="thick"/>
      <bottom/>
      <diagonal/>
    </border>
    <border diagonalDown="false" diagonalUp="false">
      <left style="thick"/>
      <right/>
      <top style="thick"/>
      <bottom style="thick"/>
      <diagonal/>
    </border>
    <border diagonalDown="false" diagonalUp="false">
      <left/>
      <right style="thick"/>
      <top style="thick"/>
      <bottom style="thick"/>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6">
    <xf applyAlignment="false" applyBorder="false" applyFont="false" applyProtection="false" borderId="0" fillId="0" fontId="0" numFmtId="164" xfId="0"/>
    <xf applyAlignment="true" applyBorder="true" applyFont="true" applyProtection="false" borderId="1" fillId="2" fontId="4" numFmtId="164" xfId="0">
      <alignment horizontal="center" indent="0" shrinkToFit="false" textRotation="0" vertical="bottom" wrapText="false"/>
    </xf>
    <xf applyAlignment="true" applyBorder="true" applyFont="true" applyProtection="false" borderId="2" fillId="0" fontId="4" numFmtId="164" xfId="0">
      <alignment horizontal="left" indent="0" shrinkToFit="false" textRotation="0" vertical="bottom" wrapText="false"/>
    </xf>
    <xf applyAlignment="true" applyBorder="true" applyFont="true" applyProtection="false" borderId="3" fillId="0" fontId="4" numFmtId="164" xfId="0">
      <alignment horizontal="left" indent="0" shrinkToFit="false" textRotation="0" vertical="bottom" wrapText="false"/>
    </xf>
    <xf applyAlignment="true" applyBorder="true" applyFont="true" applyProtection="false" borderId="1" fillId="0" fontId="4" numFmtId="164" xfId="0">
      <alignment horizontal="general" indent="0" shrinkToFit="false" textRotation="0" vertical="bottom" wrapText="true"/>
    </xf>
    <xf applyAlignment="true" applyBorder="true" applyFont="true" applyProtection="false" borderId="1" fillId="0" fontId="5" numFmtId="164" xfId="0">
      <alignment horizontal="general" indent="0" shrinkToFit="false" textRotation="0" vertical="bottom" wrapText="true"/>
    </xf>
    <xf applyAlignment="true" applyBorder="true" applyFont="true" applyProtection="false" borderId="1" fillId="3" fontId="0" numFmtId="164" xfId="0">
      <alignment horizontal="general" indent="0" shrinkToFit="false" textRotation="0" vertical="bottom" wrapText="true"/>
    </xf>
    <xf applyAlignment="true" applyBorder="true" applyFont="true" applyProtection="false" borderId="1" fillId="3" fontId="0" numFmtId="164" xfId="0">
      <alignment horizontal="left" indent="0" shrinkToFit="false" textRotation="0" vertical="bottom" wrapText="false"/>
    </xf>
    <xf applyAlignment="true" applyBorder="false" applyFont="true" applyProtection="false" borderId="0" fillId="0" fontId="4" numFmtId="164" xfId="0">
      <alignment horizontal="left" indent="0" shrinkToFit="false" textRotation="0" vertical="bottom" wrapText="false"/>
    </xf>
    <xf applyAlignment="true" applyBorder="true" applyFont="true" applyProtection="false" borderId="4" fillId="0" fontId="4" numFmtId="164" xfId="0">
      <alignment horizontal="left" indent="0" shrinkToFit="false" textRotation="0" vertical="bottom" wrapText="false"/>
    </xf>
    <xf applyAlignment="true" applyBorder="true" applyFont="true" applyProtection="false" borderId="5" fillId="0" fontId="4" numFmtId="164" xfId="0">
      <alignment horizontal="left" indent="0" shrinkToFit="false" textRotation="0" vertical="bottom" wrapText="false"/>
    </xf>
    <xf applyAlignment="true" applyBorder="true" applyFont="true" applyProtection="false" borderId="6" fillId="0" fontId="4" numFmtId="164" xfId="0">
      <alignment horizontal="left" indent="0" shrinkToFit="false" textRotation="0" vertical="bottom" wrapText="false"/>
    </xf>
    <xf applyAlignment="true" applyBorder="true" applyFont="true" applyProtection="false" borderId="1" fillId="3" fontId="0" numFmtId="164" xfId="0">
      <alignment horizontal="general" indent="0" shrinkToFit="false" textRotation="0" vertical="top" wrapText="true"/>
    </xf>
    <xf applyAlignment="true" applyBorder="true" applyFont="true" applyProtection="false" borderId="1" fillId="0" fontId="4" numFmtId="165" xfId="0">
      <alignment horizontal="general" indent="0" shrinkToFit="false" textRotation="0" vertical="bottom" wrapText="true"/>
    </xf>
    <xf applyAlignment="true" applyBorder="true" applyFont="true" applyProtection="false" borderId="1" fillId="0" fontId="4" numFmtId="166" xfId="0">
      <alignment horizontal="general" indent="0" shrinkToFit="false" textRotation="0" vertical="bottom" wrapText="true"/>
    </xf>
    <xf applyAlignment="false" applyBorder="true" applyFont="true" applyProtection="false" borderId="1" fillId="0" fontId="5" numFmtId="164" xfId="0"/>
    <xf applyAlignment="true" applyBorder="true" applyFont="true" applyProtection="false" borderId="7" fillId="0" fontId="5" numFmtId="164" xfId="0">
      <alignment horizontal="general" indent="0" shrinkToFit="false" textRotation="0" vertical="bottom" wrapText="true"/>
    </xf>
    <xf applyAlignment="true" applyBorder="true" applyFont="true" applyProtection="false" borderId="8"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bottom" wrapText="true"/>
    </xf>
    <xf applyAlignment="true" applyBorder="true" applyFont="true" applyProtection="false" borderId="9" fillId="0" fontId="4" numFmtId="164" xfId="0">
      <alignment horizontal="general" indent="0" shrinkToFit="false" textRotation="0" vertical="bottom" wrapText="true"/>
    </xf>
    <xf applyAlignment="true" applyBorder="true" applyFont="true" applyProtection="false" borderId="10" fillId="0" fontId="5" numFmtId="164" xfId="0">
      <alignment horizontal="general" indent="0" shrinkToFit="false" textRotation="0" vertical="bottom" wrapText="true"/>
    </xf>
    <xf applyAlignment="true" applyBorder="true" applyFont="true" applyProtection="false" borderId="7" fillId="0" fontId="4" numFmtId="164" xfId="0">
      <alignment horizontal="general" indent="0" shrinkToFit="false" textRotation="0" vertical="bottom" wrapText="true"/>
    </xf>
    <xf applyAlignment="true" applyBorder="false" applyFont="true" applyProtection="false" borderId="0" fillId="0" fontId="4" numFmtId="164" xfId="0">
      <alignment horizontal="general" indent="0" shrinkToFit="false" textRotation="0" vertical="bottom" wrapText="true"/>
    </xf>
    <xf applyAlignment="false" applyBorder="false" applyFont="true" applyProtection="false" borderId="0" fillId="0" fontId="5" numFmtId="164" xfId="0"/>
    <xf applyAlignment="true" applyBorder="true" applyFont="true" applyProtection="false" borderId="10" fillId="0" fontId="4" numFmtId="164" xfId="0">
      <alignment horizontal="general" indent="0" shrinkToFit="false" textRotation="0" vertical="bottom" wrapText="true"/>
    </xf>
    <xf applyAlignment="false" applyBorder="true" applyFont="true" applyProtection="false" borderId="2" fillId="0" fontId="5"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D4"/>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560"/>
  <sheetViews>
    <sheetView colorId="64" defaultGridColor="true" rightToLeft="false" showFormulas="false" showGridLines="true" showOutlineSymbols="true" showRowColHeaders="true" showZeros="true" tabSelected="true" topLeftCell="M1" view="normal" windowProtection="false" workbookViewId="0" zoomScale="100" zoomScaleNormal="100" zoomScalePageLayoutView="100">
      <selection activeCell="N1" activeCellId="0" pane="topLeft" sqref="N1:Q1"/>
    </sheetView>
  </sheetViews>
  <sheetFormatPr defaultRowHeight="12.75"/>
  <cols>
    <col collapsed="false" hidden="false" max="1" min="1" style="0" width="45.8622448979592"/>
    <col collapsed="false" hidden="false" max="2" min="2" style="0" width="24.8673469387755"/>
    <col collapsed="false" hidden="false" max="3" min="3" style="0" width="16.4336734693878"/>
    <col collapsed="false" hidden="false" max="4" min="4" style="0" width="27.3316326530612"/>
    <col collapsed="false" hidden="false" max="5" min="5" style="0" width="28.0408163265306"/>
    <col collapsed="false" hidden="false" max="6" min="6" style="0" width="17.2857142857143"/>
    <col collapsed="false" hidden="false" max="13" min="7" style="0" width="13.2908163265306"/>
    <col collapsed="false" hidden="false" max="14" min="14" style="0" width="24"/>
    <col collapsed="false" hidden="false" max="15" min="15" style="0" width="26.8622448979592"/>
    <col collapsed="false" hidden="false" max="16" min="16" style="0" width="24"/>
    <col collapsed="false" hidden="false" max="17" min="17" style="0" width="26.8622448979592"/>
    <col collapsed="false" hidden="false" max="20" min="18" style="0" width="34.4336734693878"/>
    <col collapsed="false" hidden="false" max="1025" min="21" style="0" width="8.86224489795918"/>
  </cols>
  <sheetData>
    <row collapsed="false" customFormat="false" customHeight="true" hidden="false" ht="15" outlineLevel="0" r="1">
      <c r="A1" s="1" t="n">
        <f aca="false">0</f>
        <v>0</v>
      </c>
      <c r="B1" s="1" t="n">
        <f aca="false">A1+1</f>
        <v>1</v>
      </c>
      <c r="C1" s="1" t="n">
        <f aca="false">B1+1</f>
        <v>2</v>
      </c>
      <c r="D1" s="1" t="n">
        <f aca="false">C1+1</f>
        <v>3</v>
      </c>
      <c r="E1" s="1" t="n">
        <f aca="false">D1+1</f>
        <v>4</v>
      </c>
      <c r="F1" s="1" t="n">
        <f aca="false">E1+1</f>
        <v>5</v>
      </c>
      <c r="G1" s="1" t="n">
        <f aca="false">F1+1</f>
        <v>6</v>
      </c>
      <c r="H1" s="1" t="n">
        <f aca="false">G1+1</f>
        <v>7</v>
      </c>
      <c r="I1" s="1" t="n">
        <f aca="false">H1+1</f>
        <v>8</v>
      </c>
      <c r="J1" s="1" t="n">
        <f aca="false">I1+1</f>
        <v>9</v>
      </c>
      <c r="K1" s="1" t="n">
        <f aca="false">J1+1</f>
        <v>10</v>
      </c>
      <c r="L1" s="1" t="n">
        <f aca="false">K1+1</f>
        <v>11</v>
      </c>
      <c r="M1" s="1" t="n">
        <f aca="false">L1+1</f>
        <v>12</v>
      </c>
      <c r="N1" s="1" t="n">
        <f aca="false">M1+1</f>
        <v>13</v>
      </c>
      <c r="O1" s="1" t="n">
        <f aca="false">N1+1</f>
        <v>14</v>
      </c>
      <c r="P1" s="1" t="n">
        <f aca="false">O1+1</f>
        <v>15</v>
      </c>
      <c r="Q1" s="1" t="n">
        <f aca="false">P1+1</f>
        <v>16</v>
      </c>
      <c r="R1" s="1"/>
    </row>
    <row collapsed="false" customFormat="false" customHeight="true" hidden="false" ht="15" outlineLevel="0" r="2">
      <c r="A2" s="2" t="s">
        <v>0</v>
      </c>
      <c r="B2" s="3" t="s">
        <v>0</v>
      </c>
      <c r="C2" s="4" t="s">
        <v>1</v>
      </c>
      <c r="D2" s="4" t="s">
        <v>2</v>
      </c>
      <c r="E2" s="4" t="s">
        <v>3</v>
      </c>
      <c r="F2" s="4" t="s">
        <v>4</v>
      </c>
      <c r="G2" s="4" t="s">
        <v>5</v>
      </c>
      <c r="H2" s="4" t="s">
        <v>6</v>
      </c>
      <c r="I2" s="4" t="n">
        <v>20036</v>
      </c>
      <c r="J2" s="4" t="s">
        <v>7</v>
      </c>
      <c r="K2" s="4" t="s">
        <v>8</v>
      </c>
      <c r="L2" s="5"/>
      <c r="M2" s="4" t="s">
        <v>9</v>
      </c>
      <c r="P2" s="6" t="s">
        <v>10</v>
      </c>
      <c r="Q2" s="7" t="s">
        <v>11</v>
      </c>
      <c r="R2" s="4" t="s">
        <v>9</v>
      </c>
    </row>
    <row collapsed="false" customFormat="false" customHeight="true" hidden="false" ht="15" outlineLevel="0" r="3">
      <c r="A3" s="8" t="s">
        <v>0</v>
      </c>
      <c r="B3" s="9" t="s">
        <v>0</v>
      </c>
      <c r="C3" s="4"/>
      <c r="D3" s="4" t="s">
        <v>12</v>
      </c>
      <c r="E3" s="4"/>
      <c r="F3" s="4"/>
      <c r="G3" s="4"/>
      <c r="H3" s="4"/>
      <c r="I3" s="4"/>
      <c r="J3" s="4" t="s">
        <v>13</v>
      </c>
      <c r="K3" s="4"/>
      <c r="L3" s="5"/>
      <c r="M3" s="4"/>
      <c r="P3" s="6"/>
      <c r="Q3" s="6"/>
      <c r="R3" s="4"/>
    </row>
    <row collapsed="false" customFormat="false" customHeight="true" hidden="false" ht="15" outlineLevel="0" r="4">
      <c r="A4" s="10" t="s">
        <v>0</v>
      </c>
      <c r="B4" s="11" t="s">
        <v>0</v>
      </c>
      <c r="C4" s="4" t="s">
        <v>14</v>
      </c>
      <c r="D4" s="4" t="s">
        <v>15</v>
      </c>
      <c r="E4" s="4"/>
      <c r="F4" s="4"/>
      <c r="G4" s="4"/>
      <c r="H4" s="4"/>
      <c r="I4" s="4"/>
      <c r="J4" s="4" t="s">
        <v>13</v>
      </c>
      <c r="K4" s="4"/>
      <c r="L4" s="5" t="str">
        <f aca="false">HYPERLINK("mailto:dpritzker@acus.gov","mailto:dpritzker@acus.gov")</f>
        <v>mailto:dpritzker@acus.gov</v>
      </c>
      <c r="M4" s="4"/>
      <c r="P4" s="6"/>
      <c r="Q4" s="6"/>
      <c r="R4" s="4"/>
    </row>
    <row collapsed="false" customFormat="false" customHeight="true" hidden="false" ht="15" outlineLevel="0" r="5">
      <c r="A5" s="4" t="s">
        <v>16</v>
      </c>
      <c r="B5" s="4" t="s">
        <v>16</v>
      </c>
      <c r="C5" s="4" t="s">
        <v>17</v>
      </c>
      <c r="D5" s="4" t="s">
        <v>18</v>
      </c>
      <c r="E5" s="4" t="s">
        <v>19</v>
      </c>
      <c r="F5" s="4"/>
      <c r="G5" s="4" t="s">
        <v>5</v>
      </c>
      <c r="H5" s="4" t="s">
        <v>6</v>
      </c>
      <c r="I5" s="4" t="s">
        <v>20</v>
      </c>
      <c r="J5" s="4" t="s">
        <v>21</v>
      </c>
      <c r="K5" s="4"/>
      <c r="L5" s="5" t="str">
        <f aca="false">HYPERLINK("mailto:FOIA@usaid.gov","mailto:FOIA@usaid.gov")</f>
        <v>mailto:FOIA@usaid.gov</v>
      </c>
      <c r="M5" s="4" t="s">
        <v>22</v>
      </c>
      <c r="P5" s="6" t="s">
        <v>23</v>
      </c>
      <c r="Q5" s="12" t="s">
        <v>24</v>
      </c>
      <c r="R5" s="4" t="s">
        <v>22</v>
      </c>
    </row>
    <row collapsed="false" customFormat="false" customHeight="true" hidden="false" ht="15" outlineLevel="0" r="6">
      <c r="A6" s="4" t="s">
        <v>16</v>
      </c>
      <c r="B6" s="4" t="s">
        <v>16</v>
      </c>
      <c r="C6" s="4"/>
      <c r="D6" s="4" t="s">
        <v>12</v>
      </c>
      <c r="E6" s="4"/>
      <c r="F6" s="4"/>
      <c r="G6" s="4"/>
      <c r="H6" s="4"/>
      <c r="I6" s="4"/>
      <c r="J6" s="4" t="s">
        <v>21</v>
      </c>
      <c r="K6" s="4"/>
      <c r="L6" s="5"/>
      <c r="M6" s="4"/>
      <c r="P6" s="6"/>
      <c r="Q6" s="6"/>
      <c r="R6" s="4"/>
    </row>
    <row collapsed="false" customFormat="false" customHeight="true" hidden="false" ht="15" outlineLevel="0" r="7">
      <c r="A7" s="4" t="s">
        <v>16</v>
      </c>
      <c r="B7" s="4" t="s">
        <v>16</v>
      </c>
      <c r="C7" s="4"/>
      <c r="D7" s="4" t="s">
        <v>15</v>
      </c>
      <c r="E7" s="4"/>
      <c r="F7" s="4"/>
      <c r="G7" s="4"/>
      <c r="H7" s="4"/>
      <c r="I7" s="4"/>
      <c r="J7" s="4" t="s">
        <v>21</v>
      </c>
      <c r="K7" s="4"/>
      <c r="L7" s="5"/>
      <c r="M7" s="4"/>
      <c r="P7" s="6"/>
      <c r="Q7" s="6"/>
      <c r="R7" s="4"/>
    </row>
    <row collapsed="false" customFormat="false" customHeight="true" hidden="false" ht="15" outlineLevel="0" r="8">
      <c r="A8" s="4" t="s">
        <v>25</v>
      </c>
      <c r="B8" s="4" t="s">
        <v>25</v>
      </c>
      <c r="C8" s="4" t="s">
        <v>26</v>
      </c>
      <c r="D8" s="4" t="s">
        <v>27</v>
      </c>
      <c r="E8" s="4" t="s">
        <v>28</v>
      </c>
      <c r="F8" s="4" t="s">
        <v>29</v>
      </c>
      <c r="G8" s="4" t="s">
        <v>30</v>
      </c>
      <c r="H8" s="4" t="s">
        <v>31</v>
      </c>
      <c r="I8" s="4" t="n">
        <v>22201</v>
      </c>
      <c r="J8" s="4" t="s">
        <v>32</v>
      </c>
      <c r="K8" s="4"/>
      <c r="L8" s="5"/>
      <c r="M8" s="4" t="s">
        <v>33</v>
      </c>
      <c r="P8" s="6" t="s">
        <v>34</v>
      </c>
      <c r="Q8" s="6" t="s">
        <v>35</v>
      </c>
      <c r="R8" s="4" t="s">
        <v>33</v>
      </c>
    </row>
    <row collapsed="false" customFormat="false" customHeight="true" hidden="false" ht="15" outlineLevel="0" r="9">
      <c r="A9" s="4" t="s">
        <v>25</v>
      </c>
      <c r="B9" s="4" t="s">
        <v>25</v>
      </c>
      <c r="C9" s="4"/>
      <c r="D9" s="4" t="s">
        <v>12</v>
      </c>
      <c r="E9" s="4"/>
      <c r="F9" s="4"/>
      <c r="G9" s="4"/>
      <c r="H9" s="4"/>
      <c r="I9" s="4"/>
      <c r="J9" s="4" t="s">
        <v>32</v>
      </c>
      <c r="K9" s="4"/>
      <c r="L9" s="5"/>
      <c r="M9" s="4"/>
      <c r="P9" s="6"/>
      <c r="Q9" s="6"/>
      <c r="R9" s="4"/>
    </row>
    <row collapsed="false" customFormat="false" customHeight="true" hidden="false" ht="15" outlineLevel="0" r="10">
      <c r="A10" s="4" t="s">
        <v>25</v>
      </c>
      <c r="B10" s="4" t="s">
        <v>25</v>
      </c>
      <c r="C10" s="4" t="s">
        <v>36</v>
      </c>
      <c r="D10" s="4" t="s">
        <v>15</v>
      </c>
      <c r="E10" s="4"/>
      <c r="F10" s="4"/>
      <c r="G10" s="4"/>
      <c r="H10" s="4"/>
      <c r="I10" s="4"/>
      <c r="J10" s="4" t="s">
        <v>37</v>
      </c>
      <c r="K10" s="4"/>
      <c r="L10" s="5"/>
      <c r="M10" s="4"/>
      <c r="P10" s="6"/>
      <c r="Q10" s="6"/>
      <c r="R10" s="4"/>
    </row>
    <row collapsed="false" customFormat="false" customHeight="true" hidden="false" ht="15" outlineLevel="0" r="11">
      <c r="A11" s="4" t="s">
        <v>38</v>
      </c>
      <c r="B11" s="4" t="s">
        <v>39</v>
      </c>
      <c r="C11" s="4" t="s">
        <v>40</v>
      </c>
      <c r="D11" s="4" t="s">
        <v>2</v>
      </c>
      <c r="E11" s="4"/>
      <c r="F11" s="4" t="s">
        <v>41</v>
      </c>
      <c r="G11" s="4" t="s">
        <v>5</v>
      </c>
      <c r="H11" s="4" t="s">
        <v>6</v>
      </c>
      <c r="I11" s="4" t="n">
        <v>20002</v>
      </c>
      <c r="J11" s="4" t="s">
        <v>42</v>
      </c>
      <c r="K11" s="4" t="s">
        <v>43</v>
      </c>
      <c r="L11" s="5" t="str">
        <f aca="false">HYPERLINK("mailto:foiarequests@amtrak.com","mailto:foiarequests@amtrak.com")</f>
        <v>mailto:foiarequests@amtrak.com</v>
      </c>
      <c r="M11" s="4" t="s">
        <v>44</v>
      </c>
      <c r="P11" s="6" t="s">
        <v>45</v>
      </c>
      <c r="Q11" s="6" t="s">
        <v>46</v>
      </c>
      <c r="R11" s="4" t="s">
        <v>44</v>
      </c>
    </row>
    <row collapsed="false" customFormat="false" customHeight="true" hidden="false" ht="15" outlineLevel="0" r="12">
      <c r="A12" s="4" t="s">
        <v>38</v>
      </c>
      <c r="B12" s="4" t="s">
        <v>39</v>
      </c>
      <c r="C12" s="4"/>
      <c r="D12" s="4" t="s">
        <v>12</v>
      </c>
      <c r="E12" s="4"/>
      <c r="F12" s="4"/>
      <c r="G12" s="4"/>
      <c r="H12" s="4"/>
      <c r="I12" s="4"/>
      <c r="J12" s="4" t="s">
        <v>47</v>
      </c>
      <c r="K12" s="4"/>
      <c r="L12" s="5"/>
      <c r="M12" s="4"/>
      <c r="P12" s="6"/>
      <c r="Q12" s="6"/>
      <c r="R12" s="4"/>
    </row>
    <row collapsed="false" customFormat="false" customHeight="true" hidden="false" ht="15" outlineLevel="0" r="13">
      <c r="A13" s="4" t="s">
        <v>38</v>
      </c>
      <c r="B13" s="4" t="s">
        <v>39</v>
      </c>
      <c r="C13" s="4" t="s">
        <v>40</v>
      </c>
      <c r="D13" s="4" t="s">
        <v>15</v>
      </c>
      <c r="E13" s="4"/>
      <c r="F13" s="4"/>
      <c r="G13" s="4"/>
      <c r="H13" s="4"/>
      <c r="I13" s="4"/>
      <c r="J13" s="4" t="s">
        <v>47</v>
      </c>
      <c r="K13" s="4"/>
      <c r="L13" s="5"/>
      <c r="M13" s="4"/>
      <c r="P13" s="6"/>
      <c r="Q13" s="6"/>
      <c r="R13" s="4"/>
    </row>
    <row collapsed="false" customFormat="false" customHeight="true" hidden="false" ht="15" outlineLevel="0" r="14">
      <c r="A14" s="4" t="s">
        <v>48</v>
      </c>
      <c r="B14" s="4" t="s">
        <v>48</v>
      </c>
      <c r="C14" s="4" t="s">
        <v>49</v>
      </c>
      <c r="D14" s="4"/>
      <c r="E14" s="4" t="s">
        <v>50</v>
      </c>
      <c r="F14" s="4" t="s">
        <v>51</v>
      </c>
      <c r="G14" s="4" t="s">
        <v>5</v>
      </c>
      <c r="H14" s="4" t="s">
        <v>6</v>
      </c>
      <c r="I14" s="4" t="n">
        <v>20011</v>
      </c>
      <c r="J14" s="4" t="s">
        <v>52</v>
      </c>
      <c r="K14" s="4" t="s">
        <v>53</v>
      </c>
      <c r="L14" s="5" t="str">
        <f aca="false">HYPERLINK("mailto:Pebbles.Young@AFRH.Gov","mailto:Pebbles.Young@AFRH.Gov")</f>
        <v>mailto:Pebbles.Young@AFRH.Gov</v>
      </c>
      <c r="M14" s="5" t="str">
        <f aca="false">HYPERLINK("https://www.afrh.gov/afrh/foia.htm","https://www.afrh.gov/afrh/foia.htm")</f>
        <v>https://www.afrh.gov/afrh/foia.htm</v>
      </c>
      <c r="P14" s="6" t="s">
        <v>54</v>
      </c>
      <c r="Q14" s="6" t="s">
        <v>55</v>
      </c>
      <c r="R14" s="5" t="str">
        <f aca="false">HYPERLINK("https://www.afrh.gov/afrh/foia.htm","https://www.afrh.gov/afrh/foia.htm")</f>
        <v>https://www.afrh.gov/afrh/foia.htm</v>
      </c>
    </row>
    <row collapsed="false" customFormat="false" customHeight="true" hidden="false" ht="15" outlineLevel="0" r="15">
      <c r="A15" s="4" t="s">
        <v>48</v>
      </c>
      <c r="B15" s="4" t="s">
        <v>48</v>
      </c>
      <c r="C15" s="4"/>
      <c r="D15" s="4" t="s">
        <v>12</v>
      </c>
      <c r="E15" s="4"/>
      <c r="F15" s="4"/>
      <c r="G15" s="4"/>
      <c r="H15" s="4"/>
      <c r="I15" s="4"/>
      <c r="J15" s="4" t="s">
        <v>56</v>
      </c>
      <c r="K15" s="4"/>
      <c r="L15" s="5"/>
      <c r="M15" s="4"/>
      <c r="P15" s="6"/>
      <c r="Q15" s="6"/>
      <c r="R15" s="4"/>
    </row>
    <row collapsed="false" customFormat="false" customHeight="true" hidden="false" ht="15" outlineLevel="0" r="16">
      <c r="A16" s="4" t="s">
        <v>48</v>
      </c>
      <c r="B16" s="4" t="s">
        <v>48</v>
      </c>
      <c r="C16" s="4" t="s">
        <v>57</v>
      </c>
      <c r="D16" s="4" t="s">
        <v>15</v>
      </c>
      <c r="E16" s="4"/>
      <c r="F16" s="4"/>
      <c r="G16" s="4"/>
      <c r="H16" s="4"/>
      <c r="I16" s="4"/>
      <c r="J16" s="4" t="s">
        <v>58</v>
      </c>
      <c r="K16" s="4"/>
      <c r="L16" s="5"/>
      <c r="M16" s="4"/>
      <c r="P16" s="6"/>
      <c r="Q16" s="6"/>
      <c r="R16" s="4"/>
    </row>
    <row collapsed="false" customFormat="false" customHeight="true" hidden="false" ht="15" outlineLevel="0" r="17">
      <c r="A17" s="4" t="s">
        <v>59</v>
      </c>
      <c r="B17" s="4" t="s">
        <v>59</v>
      </c>
      <c r="C17" s="4" t="s">
        <v>60</v>
      </c>
      <c r="D17" s="4" t="s">
        <v>61</v>
      </c>
      <c r="E17" s="4" t="s">
        <v>62</v>
      </c>
      <c r="F17" s="4" t="s">
        <v>63</v>
      </c>
      <c r="G17" s="4" t="s">
        <v>5</v>
      </c>
      <c r="H17" s="4" t="s">
        <v>6</v>
      </c>
      <c r="I17" s="4" t="n">
        <v>20237</v>
      </c>
      <c r="J17" s="4" t="s">
        <v>64</v>
      </c>
      <c r="K17" s="4" t="s">
        <v>65</v>
      </c>
      <c r="L17" s="5"/>
      <c r="M17" s="4" t="s">
        <v>66</v>
      </c>
      <c r="P17" s="6" t="s">
        <v>67</v>
      </c>
      <c r="Q17" s="6" t="s">
        <v>68</v>
      </c>
      <c r="R17" s="4" t="s">
        <v>66</v>
      </c>
    </row>
    <row collapsed="false" customFormat="false" customHeight="true" hidden="false" ht="15" outlineLevel="0" r="18">
      <c r="A18" s="4" t="s">
        <v>59</v>
      </c>
      <c r="B18" s="4" t="s">
        <v>59</v>
      </c>
      <c r="C18" s="4"/>
      <c r="D18" s="4" t="s">
        <v>12</v>
      </c>
      <c r="E18" s="4"/>
      <c r="F18" s="4"/>
      <c r="G18" s="4"/>
      <c r="H18" s="4"/>
      <c r="I18" s="4"/>
      <c r="J18" s="4" t="s">
        <v>64</v>
      </c>
      <c r="K18" s="4"/>
      <c r="L18" s="5"/>
      <c r="M18" s="4"/>
      <c r="P18" s="6"/>
      <c r="Q18" s="6"/>
      <c r="R18" s="4"/>
    </row>
    <row collapsed="false" customFormat="false" customHeight="true" hidden="false" ht="15" outlineLevel="0" r="19">
      <c r="A19" s="4" t="s">
        <v>59</v>
      </c>
      <c r="B19" s="4" t="s">
        <v>59</v>
      </c>
      <c r="C19" s="4" t="s">
        <v>60</v>
      </c>
      <c r="D19" s="4" t="s">
        <v>15</v>
      </c>
      <c r="E19" s="4"/>
      <c r="F19" s="4"/>
      <c r="G19" s="4"/>
      <c r="H19" s="4"/>
      <c r="I19" s="4"/>
      <c r="J19" s="4" t="s">
        <v>64</v>
      </c>
      <c r="K19" s="4"/>
      <c r="L19" s="5"/>
      <c r="M19" s="4"/>
      <c r="P19" s="6"/>
      <c r="Q19" s="6"/>
      <c r="R19" s="4"/>
    </row>
    <row collapsed="false" customFormat="false" customHeight="true" hidden="false" ht="15" outlineLevel="0" r="20">
      <c r="A20" s="4" t="s">
        <v>69</v>
      </c>
      <c r="B20" s="4" t="s">
        <v>69</v>
      </c>
      <c r="C20" s="4" t="s">
        <v>70</v>
      </c>
      <c r="D20" s="4" t="s">
        <v>71</v>
      </c>
      <c r="E20" s="4"/>
      <c r="F20" s="4" t="s">
        <v>69</v>
      </c>
      <c r="G20" s="4" t="s">
        <v>5</v>
      </c>
      <c r="H20" s="4" t="s">
        <v>6</v>
      </c>
      <c r="I20" s="4" t="n">
        <v>20505</v>
      </c>
      <c r="J20" s="4" t="s">
        <v>72</v>
      </c>
      <c r="K20" s="4" t="s">
        <v>73</v>
      </c>
      <c r="L20" s="5"/>
      <c r="M20" s="5" t="str">
        <f aca="false">HYPERLINK("http://www.foia.cia.gov/","http://www.foia.cia.gov/")</f>
        <v>http://www.foia.cia.gov/</v>
      </c>
      <c r="P20" s="6" t="s">
        <v>74</v>
      </c>
      <c r="Q20" s="6" t="s">
        <v>75</v>
      </c>
      <c r="R20" s="5" t="str">
        <f aca="false">HYPERLINK("http://www.foia.cia.gov/","http://www.foia.cia.gov/")</f>
        <v>http://www.foia.cia.gov/</v>
      </c>
    </row>
    <row collapsed="false" customFormat="false" customHeight="true" hidden="false" ht="15" outlineLevel="0" r="21">
      <c r="A21" s="4" t="s">
        <v>69</v>
      </c>
      <c r="B21" s="4" t="s">
        <v>69</v>
      </c>
      <c r="C21" s="4"/>
      <c r="D21" s="4" t="s">
        <v>12</v>
      </c>
      <c r="E21" s="4" t="s">
        <v>69</v>
      </c>
      <c r="F21" s="4" t="s">
        <v>12</v>
      </c>
      <c r="G21" s="4" t="s">
        <v>5</v>
      </c>
      <c r="H21" s="4" t="s">
        <v>6</v>
      </c>
      <c r="I21" s="4" t="n">
        <v>20505</v>
      </c>
      <c r="J21" s="4" t="s">
        <v>72</v>
      </c>
      <c r="K21" s="4"/>
      <c r="L21" s="5"/>
      <c r="M21" s="4"/>
      <c r="P21" s="6"/>
      <c r="Q21" s="6"/>
      <c r="R21" s="4"/>
    </row>
    <row collapsed="false" customFormat="false" customHeight="true" hidden="false" ht="15" outlineLevel="0" r="22">
      <c r="A22" s="4" t="s">
        <v>69</v>
      </c>
      <c r="B22" s="4" t="s">
        <v>69</v>
      </c>
      <c r="C22" s="4" t="s">
        <v>76</v>
      </c>
      <c r="D22" s="4" t="s">
        <v>15</v>
      </c>
      <c r="E22" s="4"/>
      <c r="F22" s="4"/>
      <c r="G22" s="4"/>
      <c r="H22" s="4"/>
      <c r="I22" s="4"/>
      <c r="J22" s="4" t="s">
        <v>72</v>
      </c>
      <c r="K22" s="4"/>
      <c r="L22" s="5"/>
      <c r="M22" s="4"/>
      <c r="P22" s="6"/>
      <c r="Q22" s="6"/>
      <c r="R22" s="4"/>
    </row>
    <row collapsed="false" customFormat="false" customHeight="true" hidden="false" ht="15" outlineLevel="0" r="23">
      <c r="A23" s="4" t="s">
        <v>77</v>
      </c>
      <c r="B23" s="4" t="s">
        <v>77</v>
      </c>
      <c r="C23" s="4" t="s">
        <v>78</v>
      </c>
      <c r="D23" s="4" t="s">
        <v>79</v>
      </c>
      <c r="E23" s="4" t="s">
        <v>80</v>
      </c>
      <c r="F23" s="4" t="s">
        <v>81</v>
      </c>
      <c r="G23" s="4" t="s">
        <v>5</v>
      </c>
      <c r="H23" s="4" t="s">
        <v>6</v>
      </c>
      <c r="I23" s="4" t="n">
        <v>20037</v>
      </c>
      <c r="J23" s="4" t="s">
        <v>82</v>
      </c>
      <c r="K23" s="4" t="s">
        <v>83</v>
      </c>
      <c r="L23" s="5" t="s">
        <v>84</v>
      </c>
      <c r="M23" s="4" t="s">
        <v>85</v>
      </c>
      <c r="P23" s="6" t="s">
        <v>86</v>
      </c>
      <c r="Q23" s="6" t="s">
        <v>87</v>
      </c>
      <c r="R23" s="4" t="s">
        <v>85</v>
      </c>
    </row>
    <row collapsed="false" customFormat="false" customHeight="true" hidden="false" ht="15" outlineLevel="0" r="24">
      <c r="A24" s="4" t="s">
        <v>77</v>
      </c>
      <c r="B24" s="4" t="s">
        <v>77</v>
      </c>
      <c r="C24" s="4"/>
      <c r="D24" s="4" t="s">
        <v>12</v>
      </c>
      <c r="E24" s="4"/>
      <c r="F24" s="4"/>
      <c r="G24" s="4"/>
      <c r="H24" s="4"/>
      <c r="I24" s="4"/>
      <c r="J24" s="4" t="s">
        <v>82</v>
      </c>
      <c r="K24" s="4"/>
      <c r="L24" s="5"/>
      <c r="M24" s="4"/>
      <c r="P24" s="6"/>
      <c r="Q24" s="6"/>
      <c r="R24" s="4"/>
    </row>
    <row collapsed="false" customFormat="false" customHeight="true" hidden="false" ht="15" outlineLevel="0" r="25">
      <c r="A25" s="4" t="s">
        <v>77</v>
      </c>
      <c r="B25" s="4" t="s">
        <v>77</v>
      </c>
      <c r="C25" s="4" t="s">
        <v>78</v>
      </c>
      <c r="D25" s="4" t="s">
        <v>15</v>
      </c>
      <c r="E25" s="4"/>
      <c r="F25" s="4"/>
      <c r="G25" s="4"/>
      <c r="H25" s="4"/>
      <c r="I25" s="4"/>
      <c r="J25" s="4" t="s">
        <v>82</v>
      </c>
      <c r="K25" s="4"/>
      <c r="L25" s="5" t="str">
        <f aca="false">HYPERLINK("mailto:Chris.Kirkpatrick@csb.gov","mailto:Chris.Kirkpatrick@csb.gov")</f>
        <v>mailto:Chris.Kirkpatrick@csb.gov</v>
      </c>
      <c r="M25" s="4"/>
      <c r="P25" s="6"/>
      <c r="Q25" s="6"/>
      <c r="R25" s="4"/>
    </row>
    <row collapsed="false" customFormat="false" customHeight="true" hidden="false" ht="15" outlineLevel="0" r="26">
      <c r="A26" s="4" t="s">
        <v>88</v>
      </c>
      <c r="B26" s="4" t="s">
        <v>88</v>
      </c>
      <c r="C26" s="4" t="s">
        <v>89</v>
      </c>
      <c r="D26" s="4" t="s">
        <v>90</v>
      </c>
      <c r="E26" s="4" t="s">
        <v>91</v>
      </c>
      <c r="F26" s="4" t="s">
        <v>92</v>
      </c>
      <c r="G26" s="4" t="s">
        <v>5</v>
      </c>
      <c r="H26" s="4" t="s">
        <v>6</v>
      </c>
      <c r="I26" s="4" t="n">
        <v>20425</v>
      </c>
      <c r="J26" s="4" t="s">
        <v>93</v>
      </c>
      <c r="K26" s="4" t="s">
        <v>94</v>
      </c>
      <c r="L26" s="5" t="str">
        <f aca="false">HYPERLINK("mailto:foia@usccr.gov","mailto:foia@usccr.gov")</f>
        <v>mailto:foia@usccr.gov</v>
      </c>
      <c r="M26" s="4" t="s">
        <v>95</v>
      </c>
      <c r="P26" s="6" t="s">
        <v>96</v>
      </c>
      <c r="Q26" s="6" t="s">
        <v>97</v>
      </c>
      <c r="R26" s="4" t="s">
        <v>95</v>
      </c>
    </row>
    <row collapsed="false" customFormat="false" customHeight="true" hidden="false" ht="15" outlineLevel="0" r="27">
      <c r="A27" s="4" t="s">
        <v>88</v>
      </c>
      <c r="B27" s="4" t="s">
        <v>88</v>
      </c>
      <c r="C27" s="4"/>
      <c r="D27" s="4" t="s">
        <v>12</v>
      </c>
      <c r="E27" s="4"/>
      <c r="F27" s="4"/>
      <c r="G27" s="4"/>
      <c r="H27" s="4"/>
      <c r="I27" s="4"/>
      <c r="J27" s="4" t="s">
        <v>93</v>
      </c>
      <c r="K27" s="4" t="s">
        <v>94</v>
      </c>
      <c r="L27" s="5" t="str">
        <f aca="false">HYPERLINK("mailto:foia@usccr.gov","mailto:foia@usccr.gov")</f>
        <v>mailto:foia@usccr.gov</v>
      </c>
      <c r="M27" s="4"/>
      <c r="P27" s="6"/>
      <c r="Q27" s="6"/>
      <c r="R27" s="4"/>
    </row>
    <row collapsed="false" customFormat="false" customHeight="true" hidden="false" ht="15" outlineLevel="0" r="28">
      <c r="A28" s="4" t="s">
        <v>88</v>
      </c>
      <c r="B28" s="4" t="s">
        <v>88</v>
      </c>
      <c r="C28" s="4" t="s">
        <v>98</v>
      </c>
      <c r="D28" s="4" t="s">
        <v>15</v>
      </c>
      <c r="E28" s="4"/>
      <c r="F28" s="4"/>
      <c r="G28" s="4"/>
      <c r="H28" s="4"/>
      <c r="I28" s="4"/>
      <c r="J28" s="4" t="s">
        <v>99</v>
      </c>
      <c r="K28" s="4"/>
      <c r="L28" s="5"/>
      <c r="M28" s="4"/>
      <c r="P28" s="6"/>
      <c r="Q28" s="6"/>
      <c r="R28" s="4"/>
    </row>
    <row collapsed="false" customFormat="false" customHeight="true" hidden="false" ht="15" outlineLevel="0" r="29">
      <c r="A29" s="4" t="s">
        <v>100</v>
      </c>
      <c r="B29" s="4" t="s">
        <v>100</v>
      </c>
      <c r="C29" s="4" t="s">
        <v>101</v>
      </c>
      <c r="D29" s="4" t="s">
        <v>102</v>
      </c>
      <c r="E29" s="4" t="s">
        <v>103</v>
      </c>
      <c r="F29" s="4" t="s">
        <v>104</v>
      </c>
      <c r="G29" s="4" t="s">
        <v>30</v>
      </c>
      <c r="H29" s="4" t="s">
        <v>31</v>
      </c>
      <c r="I29" s="4" t="s">
        <v>105</v>
      </c>
      <c r="J29" s="4" t="s">
        <v>106</v>
      </c>
      <c r="K29" s="4"/>
      <c r="L29" s="5"/>
      <c r="M29" s="5" t="str">
        <f aca="false">HYPERLINK("http://www.abilityone.gov/laws_and_regulations/foia.html","http://www.abilityone.gov/laws_and_regulations/foia.html")</f>
        <v>http://www.abilityone.gov/laws_and_regulations/foia.html</v>
      </c>
      <c r="P29" s="6" t="s">
        <v>107</v>
      </c>
      <c r="Q29" s="6" t="s">
        <v>108</v>
      </c>
      <c r="R29" s="5" t="str">
        <f aca="false">HYPERLINK("http://www.abilityone.gov/laws_and_regulations/foia.html","http://www.abilityone.gov/laws_and_regulations/foia.html")</f>
        <v>http://www.abilityone.gov/laws_and_regulations/foia.html</v>
      </c>
    </row>
    <row collapsed="false" customFormat="false" customHeight="true" hidden="false" ht="15" outlineLevel="0" r="30">
      <c r="A30" s="4" t="s">
        <v>100</v>
      </c>
      <c r="B30" s="4" t="s">
        <v>100</v>
      </c>
      <c r="C30" s="4" t="s">
        <v>109</v>
      </c>
      <c r="D30" s="4" t="s">
        <v>12</v>
      </c>
      <c r="E30" s="4"/>
      <c r="F30" s="4"/>
      <c r="G30" s="4"/>
      <c r="H30" s="4"/>
      <c r="I30" s="4"/>
      <c r="J30" s="4" t="s">
        <v>110</v>
      </c>
      <c r="K30" s="4"/>
      <c r="L30" s="5" t="str">
        <f aca="false">HYPERLINK("mailto:FOIA@AbilityOne.gov","mailto:FOIA@AbilityOne.gov")</f>
        <v>mailto:FOIA@AbilityOne.gov</v>
      </c>
      <c r="M30" s="4"/>
      <c r="P30" s="6"/>
      <c r="Q30" s="6"/>
      <c r="R30" s="4"/>
    </row>
    <row collapsed="false" customFormat="false" customHeight="true" hidden="false" ht="15" outlineLevel="0" r="31">
      <c r="A31" s="4" t="s">
        <v>100</v>
      </c>
      <c r="B31" s="4" t="s">
        <v>100</v>
      </c>
      <c r="C31" s="4" t="s">
        <v>111</v>
      </c>
      <c r="D31" s="4" t="s">
        <v>15</v>
      </c>
      <c r="E31" s="4"/>
      <c r="F31" s="4"/>
      <c r="G31" s="4"/>
      <c r="H31" s="4"/>
      <c r="I31" s="4"/>
      <c r="J31" s="4" t="s">
        <v>112</v>
      </c>
      <c r="K31" s="4"/>
      <c r="L31" s="5" t="str">
        <f aca="false">HYPERLINK("mailto:blineback@abilityone.gov","mailto:blineback@abilityone.gov")</f>
        <v>mailto:blineback@abilityone.gov</v>
      </c>
      <c r="M31" s="4"/>
      <c r="P31" s="6"/>
      <c r="Q31" s="6"/>
      <c r="R31" s="4"/>
    </row>
    <row collapsed="false" customFormat="false" customHeight="true" hidden="false" ht="15" outlineLevel="0" r="32">
      <c r="A32" s="4" t="s">
        <v>113</v>
      </c>
      <c r="B32" s="4" t="s">
        <v>113</v>
      </c>
      <c r="C32" s="4" t="s">
        <v>114</v>
      </c>
      <c r="D32" s="4" t="s">
        <v>115</v>
      </c>
      <c r="E32" s="4" t="s">
        <v>116</v>
      </c>
      <c r="F32" s="4" t="s">
        <v>117</v>
      </c>
      <c r="G32" s="4" t="s">
        <v>5</v>
      </c>
      <c r="H32" s="4" t="s">
        <v>6</v>
      </c>
      <c r="I32" s="4" t="n">
        <v>20581</v>
      </c>
      <c r="J32" s="4" t="s">
        <v>118</v>
      </c>
      <c r="K32" s="4" t="s">
        <v>119</v>
      </c>
      <c r="L32" s="5"/>
      <c r="M32" s="5" t="str">
        <f aca="false">HYPERLINK("http://www.cftc.gov/FOI/index.htm","http://www.cftc.gov/FOI/index.htm")</f>
        <v>http://www.cftc.gov/FOI/index.htm</v>
      </c>
      <c r="P32" s="6" t="s">
        <v>120</v>
      </c>
      <c r="Q32" s="6" t="s">
        <v>121</v>
      </c>
      <c r="R32" s="5" t="str">
        <f aca="false">HYPERLINK("http://www.cftc.gov/FOI/index.htm","http://www.cftc.gov/FOI/index.htm")</f>
        <v>http://www.cftc.gov/FOI/index.htm</v>
      </c>
    </row>
    <row collapsed="false" customFormat="false" customHeight="true" hidden="false" ht="15" outlineLevel="0" r="33">
      <c r="A33" s="4" t="s">
        <v>113</v>
      </c>
      <c r="B33" s="4" t="s">
        <v>113</v>
      </c>
      <c r="C33" s="4"/>
      <c r="D33" s="4" t="s">
        <v>12</v>
      </c>
      <c r="E33" s="4"/>
      <c r="F33" s="4"/>
      <c r="G33" s="4"/>
      <c r="H33" s="4"/>
      <c r="I33" s="4"/>
      <c r="J33" s="4" t="s">
        <v>118</v>
      </c>
      <c r="K33" s="4"/>
      <c r="L33" s="5"/>
      <c r="M33" s="4"/>
      <c r="P33" s="6"/>
      <c r="Q33" s="6"/>
      <c r="R33" s="4"/>
    </row>
    <row collapsed="false" customFormat="false" customHeight="true" hidden="false" ht="15" outlineLevel="0" r="34">
      <c r="A34" s="4" t="s">
        <v>113</v>
      </c>
      <c r="B34" s="4" t="s">
        <v>113</v>
      </c>
      <c r="C34" s="4" t="s">
        <v>122</v>
      </c>
      <c r="D34" s="4" t="s">
        <v>15</v>
      </c>
      <c r="E34" s="4"/>
      <c r="F34" s="4"/>
      <c r="G34" s="4"/>
      <c r="H34" s="4"/>
      <c r="I34" s="4"/>
      <c r="J34" s="4" t="s">
        <v>118</v>
      </c>
      <c r="K34" s="4"/>
      <c r="L34" s="5"/>
      <c r="M34" s="4"/>
      <c r="P34" s="6"/>
      <c r="Q34" s="6"/>
      <c r="R34" s="4"/>
    </row>
    <row collapsed="false" customFormat="false" customHeight="true" hidden="false" ht="15" outlineLevel="0" r="35">
      <c r="A35" s="4" t="s">
        <v>123</v>
      </c>
      <c r="B35" s="4" t="s">
        <v>123</v>
      </c>
      <c r="C35" s="4"/>
      <c r="D35" s="4" t="s">
        <v>124</v>
      </c>
      <c r="E35" s="4"/>
      <c r="F35" s="4" t="s">
        <v>125</v>
      </c>
      <c r="G35" s="4" t="s">
        <v>5</v>
      </c>
      <c r="H35" s="4" t="s">
        <v>6</v>
      </c>
      <c r="I35" s="4" t="n">
        <v>20552</v>
      </c>
      <c r="J35" s="4" t="s">
        <v>126</v>
      </c>
      <c r="K35" s="4" t="s">
        <v>127</v>
      </c>
      <c r="L35" s="5" t="str">
        <f aca="false">HYPERLINK("mailto:foia@cfpb.gov","mailto:foia@cfpb.gov")</f>
        <v>mailto:foia@cfpb.gov</v>
      </c>
      <c r="M35" s="4" t="s">
        <v>128</v>
      </c>
      <c r="P35" s="6" t="s">
        <v>129</v>
      </c>
      <c r="Q35" s="6" t="s">
        <v>130</v>
      </c>
      <c r="R35" s="4" t="s">
        <v>128</v>
      </c>
    </row>
    <row collapsed="false" customFormat="false" customHeight="true" hidden="false" ht="15" outlineLevel="0" r="36">
      <c r="A36" s="4" t="s">
        <v>123</v>
      </c>
      <c r="B36" s="4" t="s">
        <v>123</v>
      </c>
      <c r="C36" s="4"/>
      <c r="D36" s="4" t="s">
        <v>12</v>
      </c>
      <c r="E36" s="4"/>
      <c r="F36" s="4"/>
      <c r="G36" s="4"/>
      <c r="H36" s="4"/>
      <c r="I36" s="4"/>
      <c r="J36" s="4" t="s">
        <v>126</v>
      </c>
      <c r="K36" s="4"/>
      <c r="L36" s="4"/>
      <c r="M36" s="4"/>
      <c r="P36" s="6"/>
      <c r="Q36" s="6"/>
      <c r="R36" s="4"/>
    </row>
    <row collapsed="false" customFormat="false" customHeight="true" hidden="false" ht="15" outlineLevel="0" r="37">
      <c r="A37" s="4" t="s">
        <v>123</v>
      </c>
      <c r="B37" s="4" t="s">
        <v>123</v>
      </c>
      <c r="C37" s="4" t="s">
        <v>131</v>
      </c>
      <c r="D37" s="4" t="s">
        <v>15</v>
      </c>
      <c r="E37" s="4"/>
      <c r="F37" s="4"/>
      <c r="G37" s="4"/>
      <c r="H37" s="4"/>
      <c r="I37" s="4"/>
      <c r="J37" s="4" t="s">
        <v>132</v>
      </c>
      <c r="K37" s="4"/>
      <c r="L37" s="4"/>
      <c r="M37" s="4"/>
      <c r="P37" s="6"/>
      <c r="Q37" s="6"/>
      <c r="R37" s="4"/>
    </row>
    <row collapsed="false" customFormat="false" customHeight="true" hidden="false" ht="15" outlineLevel="0" r="38">
      <c r="A38" s="4" t="s">
        <v>133</v>
      </c>
      <c r="B38" s="4" t="s">
        <v>133</v>
      </c>
      <c r="C38" s="4" t="s">
        <v>134</v>
      </c>
      <c r="D38" s="4" t="s">
        <v>2</v>
      </c>
      <c r="E38" s="4" t="s">
        <v>135</v>
      </c>
      <c r="F38" s="4" t="s">
        <v>136</v>
      </c>
      <c r="G38" s="4" t="s">
        <v>137</v>
      </c>
      <c r="H38" s="4" t="s">
        <v>138</v>
      </c>
      <c r="I38" s="4" t="s">
        <v>139</v>
      </c>
      <c r="J38" s="4" t="s">
        <v>140</v>
      </c>
      <c r="K38" s="4" t="s">
        <v>141</v>
      </c>
      <c r="L38" s="5" t="str">
        <f aca="false">HYPERLINK("mailto:cpsc-foia@cpsc.gov","mailto:cpsc-foia@cpsc.gov")</f>
        <v>mailto:cpsc-foia@cpsc.gov</v>
      </c>
      <c r="M38" s="4" t="s">
        <v>142</v>
      </c>
      <c r="P38" s="6"/>
      <c r="Q38" s="6"/>
      <c r="R38" s="4" t="s">
        <v>142</v>
      </c>
    </row>
    <row collapsed="false" customFormat="false" customHeight="true" hidden="false" ht="15" outlineLevel="0" r="39">
      <c r="A39" s="4" t="s">
        <v>133</v>
      </c>
      <c r="B39" s="4" t="s">
        <v>133</v>
      </c>
      <c r="C39" s="4"/>
      <c r="D39" s="4" t="s">
        <v>12</v>
      </c>
      <c r="E39" s="4"/>
      <c r="F39" s="4"/>
      <c r="G39" s="4"/>
      <c r="H39" s="4"/>
      <c r="I39" s="4"/>
      <c r="J39" s="4" t="s">
        <v>140</v>
      </c>
      <c r="K39" s="4" t="s">
        <v>141</v>
      </c>
      <c r="L39" s="5"/>
      <c r="M39" s="4"/>
      <c r="P39" s="6"/>
      <c r="Q39" s="6"/>
      <c r="R39" s="4"/>
    </row>
    <row collapsed="false" customFormat="false" customHeight="true" hidden="false" ht="15" outlineLevel="0" r="40">
      <c r="A40" s="4" t="s">
        <v>133</v>
      </c>
      <c r="B40" s="4" t="s">
        <v>133</v>
      </c>
      <c r="C40" s="4" t="s">
        <v>143</v>
      </c>
      <c r="D40" s="4" t="s">
        <v>15</v>
      </c>
      <c r="E40" s="4"/>
      <c r="F40" s="4"/>
      <c r="G40" s="4"/>
      <c r="H40" s="4"/>
      <c r="I40" s="4"/>
      <c r="J40" s="4" t="s">
        <v>144</v>
      </c>
      <c r="K40" s="4"/>
      <c r="L40" s="5" t="str">
        <f aca="false">HYPERLINK("mailto:lcarter@cpsc.gov","mailto:lcarter@cpsc.gov")</f>
        <v>mailto:lcarter@cpsc.gov</v>
      </c>
      <c r="M40" s="4"/>
      <c r="P40" s="6"/>
      <c r="Q40" s="6"/>
      <c r="R40" s="4"/>
    </row>
    <row collapsed="false" customFormat="false" customHeight="true" hidden="false" ht="15" outlineLevel="0" r="41">
      <c r="A41" s="4" t="s">
        <v>133</v>
      </c>
      <c r="B41" s="4" t="s">
        <v>133</v>
      </c>
      <c r="C41" s="4" t="s">
        <v>145</v>
      </c>
      <c r="D41" s="4" t="s">
        <v>15</v>
      </c>
      <c r="E41" s="4"/>
      <c r="F41" s="4"/>
      <c r="G41" s="4"/>
      <c r="H41" s="4"/>
      <c r="I41" s="4"/>
      <c r="J41" s="4" t="s">
        <v>144</v>
      </c>
      <c r="K41" s="4"/>
      <c r="L41" s="5" t="str">
        <f aca="false">HYPERLINK("mailto:dacosta@cpsc.gov","mailto:dacosta@cpsc.gov")</f>
        <v>mailto:dacosta@cpsc.gov</v>
      </c>
      <c r="M41" s="4"/>
      <c r="P41" s="6"/>
      <c r="Q41" s="6"/>
      <c r="R41" s="4"/>
    </row>
    <row collapsed="false" customFormat="false" customHeight="true" hidden="false" ht="15" outlineLevel="0" r="42">
      <c r="A42" s="4" t="s">
        <v>146</v>
      </c>
      <c r="B42" s="4" t="s">
        <v>146</v>
      </c>
      <c r="C42" s="4"/>
      <c r="D42" s="4" t="s">
        <v>147</v>
      </c>
      <c r="E42" s="4" t="s">
        <v>148</v>
      </c>
      <c r="F42" s="4" t="s">
        <v>149</v>
      </c>
      <c r="G42" s="4" t="s">
        <v>5</v>
      </c>
      <c r="H42" s="4" t="s">
        <v>6</v>
      </c>
      <c r="I42" s="4" t="n">
        <v>20525</v>
      </c>
      <c r="J42" s="4" t="s">
        <v>150</v>
      </c>
      <c r="K42" s="4" t="s">
        <v>151</v>
      </c>
      <c r="L42" s="5" t="str">
        <f aca="false">HYPERLINK("mailto:foia@cns.gov","mailto:foia@cns.gov")</f>
        <v>mailto:foia@cns.gov</v>
      </c>
      <c r="M42" s="4" t="s">
        <v>152</v>
      </c>
      <c r="P42" s="6"/>
      <c r="Q42" s="6"/>
      <c r="R42" s="4" t="s">
        <v>152</v>
      </c>
    </row>
    <row collapsed="false" customFormat="false" customHeight="true" hidden="false" ht="15" outlineLevel="0" r="43">
      <c r="A43" s="4" t="s">
        <v>146</v>
      </c>
      <c r="B43" s="4" t="s">
        <v>146</v>
      </c>
      <c r="C43" s="4"/>
      <c r="D43" s="4" t="s">
        <v>12</v>
      </c>
      <c r="E43" s="4" t="s">
        <v>148</v>
      </c>
      <c r="F43" s="4" t="s">
        <v>149</v>
      </c>
      <c r="G43" s="4" t="s">
        <v>5</v>
      </c>
      <c r="H43" s="4" t="s">
        <v>6</v>
      </c>
      <c r="I43" s="4" t="n">
        <v>20525</v>
      </c>
      <c r="J43" s="4" t="s">
        <v>150</v>
      </c>
      <c r="K43" s="4" t="s">
        <v>151</v>
      </c>
      <c r="L43" s="5" t="str">
        <f aca="false">HYPERLINK("mailto:asimmons@cns.gov","mailto:asimmons@cns.gov")</f>
        <v>mailto:asimmons@cns.gov</v>
      </c>
      <c r="M43" s="4"/>
      <c r="P43" s="6"/>
      <c r="Q43" s="6"/>
      <c r="R43" s="4"/>
    </row>
    <row collapsed="false" customFormat="false" customHeight="true" hidden="false" ht="15" outlineLevel="0" r="44">
      <c r="A44" s="4" t="s">
        <v>146</v>
      </c>
      <c r="B44" s="4" t="s">
        <v>146</v>
      </c>
      <c r="C44" s="4" t="s">
        <v>153</v>
      </c>
      <c r="D44" s="4" t="s">
        <v>15</v>
      </c>
      <c r="E44" s="4"/>
      <c r="F44" s="4"/>
      <c r="G44" s="4"/>
      <c r="H44" s="4"/>
      <c r="I44" s="4"/>
      <c r="J44" s="4" t="s">
        <v>154</v>
      </c>
      <c r="K44" s="4"/>
      <c r="L44" s="5"/>
      <c r="M44" s="4"/>
      <c r="P44" s="6"/>
      <c r="Q44" s="6"/>
      <c r="R44" s="4"/>
    </row>
    <row collapsed="false" customFormat="false" customHeight="true" hidden="false" ht="15" outlineLevel="0" r="45">
      <c r="A45" s="4" t="s">
        <v>155</v>
      </c>
      <c r="B45" s="4" t="s">
        <v>155</v>
      </c>
      <c r="C45" s="4"/>
      <c r="D45" s="4" t="s">
        <v>114</v>
      </c>
      <c r="E45" s="4" t="s">
        <v>156</v>
      </c>
      <c r="F45" s="4" t="s">
        <v>157</v>
      </c>
      <c r="G45" s="4" t="s">
        <v>5</v>
      </c>
      <c r="H45" s="4" t="s">
        <v>6</v>
      </c>
      <c r="I45" s="4" t="n">
        <v>20006</v>
      </c>
      <c r="J45" s="4" t="s">
        <v>158</v>
      </c>
      <c r="K45" s="4" t="s">
        <v>159</v>
      </c>
      <c r="L45" s="5" t="str">
        <f aca="false">HYPERLINK("mailto:CIGIE.information@cigie.gov","mailto:CIGIE.information@cigie.gov")</f>
        <v>mailto:CIGIE.information@cigie.gov</v>
      </c>
      <c r="M45" s="5" t="str">
        <f aca="false">HYPERLINK("http://www.ignet.gov/foia.html","http://www.ignet.gov/foia.html")</f>
        <v>http://www.ignet.gov/foia.html</v>
      </c>
      <c r="P45" s="6"/>
      <c r="Q45" s="6"/>
      <c r="R45" s="5" t="str">
        <f aca="false">HYPERLINK("http://www.ignet.gov/foia.html","http://www.ignet.gov/foia.html")</f>
        <v>http://www.ignet.gov/foia.html</v>
      </c>
    </row>
    <row collapsed="false" customFormat="false" customHeight="true" hidden="false" ht="15" outlineLevel="0" r="46">
      <c r="A46" s="4" t="s">
        <v>155</v>
      </c>
      <c r="B46" s="4" t="s">
        <v>155</v>
      </c>
      <c r="C46" s="4"/>
      <c r="D46" s="4" t="s">
        <v>12</v>
      </c>
      <c r="E46" s="4"/>
      <c r="F46" s="4"/>
      <c r="G46" s="4"/>
      <c r="H46" s="4"/>
      <c r="I46" s="4"/>
      <c r="J46" s="4" t="s">
        <v>158</v>
      </c>
      <c r="K46" s="4"/>
      <c r="L46" s="5"/>
      <c r="M46" s="4"/>
      <c r="P46" s="6"/>
      <c r="Q46" s="6"/>
      <c r="R46" s="4"/>
    </row>
    <row collapsed="false" customFormat="false" customHeight="true" hidden="false" ht="15" outlineLevel="0" r="47">
      <c r="A47" s="4" t="s">
        <v>155</v>
      </c>
      <c r="B47" s="4" t="s">
        <v>155</v>
      </c>
      <c r="C47" s="4" t="s">
        <v>160</v>
      </c>
      <c r="D47" s="4" t="s">
        <v>15</v>
      </c>
      <c r="E47" s="4"/>
      <c r="F47" s="4"/>
      <c r="G47" s="4"/>
      <c r="H47" s="4"/>
      <c r="I47" s="4"/>
      <c r="J47" s="4" t="s">
        <v>158</v>
      </c>
      <c r="K47" s="4"/>
      <c r="L47" s="5"/>
      <c r="M47" s="4"/>
      <c r="P47" s="6"/>
      <c r="Q47" s="6"/>
      <c r="R47" s="4"/>
    </row>
    <row collapsed="false" customFormat="false" customHeight="true" hidden="false" ht="15" outlineLevel="0" r="48">
      <c r="A48" s="4" t="s">
        <v>161</v>
      </c>
      <c r="B48" s="4" t="s">
        <v>161</v>
      </c>
      <c r="C48" s="4" t="s">
        <v>162</v>
      </c>
      <c r="D48" s="4" t="s">
        <v>163</v>
      </c>
      <c r="E48" s="4" t="s">
        <v>164</v>
      </c>
      <c r="F48" s="4" t="s">
        <v>165</v>
      </c>
      <c r="G48" s="4" t="s">
        <v>5</v>
      </c>
      <c r="H48" s="4" t="s">
        <v>6</v>
      </c>
      <c r="I48" s="4" t="s">
        <v>166</v>
      </c>
      <c r="J48" s="4" t="s">
        <v>167</v>
      </c>
      <c r="K48" s="4" t="s">
        <v>168</v>
      </c>
      <c r="L48" s="5"/>
      <c r="M48" s="4" t="s">
        <v>169</v>
      </c>
      <c r="P48" s="6"/>
      <c r="Q48" s="6"/>
      <c r="R48" s="4" t="s">
        <v>169</v>
      </c>
    </row>
    <row collapsed="false" customFormat="false" customHeight="true" hidden="false" ht="15" outlineLevel="0" r="49">
      <c r="A49" s="4" t="s">
        <v>161</v>
      </c>
      <c r="B49" s="4" t="s">
        <v>161</v>
      </c>
      <c r="C49" s="4"/>
      <c r="D49" s="4" t="s">
        <v>12</v>
      </c>
      <c r="E49" s="4"/>
      <c r="F49" s="4"/>
      <c r="G49" s="4"/>
      <c r="H49" s="4"/>
      <c r="I49" s="4"/>
      <c r="J49" s="4" t="s">
        <v>167</v>
      </c>
      <c r="K49" s="4"/>
      <c r="L49" s="5"/>
      <c r="M49" s="4"/>
      <c r="P49" s="6"/>
      <c r="Q49" s="6"/>
      <c r="R49" s="4"/>
    </row>
    <row collapsed="false" customFormat="false" customHeight="true" hidden="false" ht="15" outlineLevel="0" r="50">
      <c r="A50" s="4" t="s">
        <v>161</v>
      </c>
      <c r="B50" s="4" t="s">
        <v>161</v>
      </c>
      <c r="C50" s="4" t="s">
        <v>162</v>
      </c>
      <c r="D50" s="4" t="s">
        <v>15</v>
      </c>
      <c r="E50" s="4"/>
      <c r="F50" s="4"/>
      <c r="G50" s="4"/>
      <c r="H50" s="4"/>
      <c r="I50" s="4"/>
      <c r="J50" s="4" t="s">
        <v>167</v>
      </c>
      <c r="K50" s="4"/>
      <c r="L50" s="5" t="str">
        <f aca="false">HYPERLINK("mailto:Renee.Barley@csosa.gov","mailto:Renee.Barley@csosa.gov")</f>
        <v>mailto:Renee.Barley@csosa.gov</v>
      </c>
      <c r="M50" s="4"/>
      <c r="P50" s="6"/>
      <c r="Q50" s="6"/>
      <c r="R50" s="4"/>
    </row>
    <row collapsed="false" customFormat="false" customHeight="true" hidden="false" ht="15" outlineLevel="0" r="51">
      <c r="A51" s="4" t="s">
        <v>170</v>
      </c>
      <c r="B51" s="4" t="s">
        <v>170</v>
      </c>
      <c r="C51" s="4" t="s">
        <v>171</v>
      </c>
      <c r="D51" s="4" t="s">
        <v>172</v>
      </c>
      <c r="E51" s="4" t="s">
        <v>173</v>
      </c>
      <c r="F51" s="4" t="s">
        <v>174</v>
      </c>
      <c r="G51" s="4" t="s">
        <v>5</v>
      </c>
      <c r="H51" s="4" t="s">
        <v>6</v>
      </c>
      <c r="I51" s="4" t="n">
        <v>20004</v>
      </c>
      <c r="J51" s="4" t="s">
        <v>175</v>
      </c>
      <c r="K51" s="4"/>
      <c r="L51" s="5" t="str">
        <f aca="false">HYPERLINK("mailto:andrewt@dnfsb.gov","mailto:andrewt@dnfsb.gov")</f>
        <v>mailto:andrewt@dnfsb.gov</v>
      </c>
      <c r="M51" s="4" t="s">
        <v>176</v>
      </c>
      <c r="P51" s="6"/>
      <c r="Q51" s="6"/>
      <c r="R51" s="4" t="s">
        <v>176</v>
      </c>
    </row>
    <row collapsed="false" customFormat="false" customHeight="true" hidden="false" ht="15" outlineLevel="0" r="52">
      <c r="A52" s="4" t="s">
        <v>170</v>
      </c>
      <c r="B52" s="4" t="s">
        <v>170</v>
      </c>
      <c r="C52" s="4" t="s">
        <v>171</v>
      </c>
      <c r="D52" s="4" t="s">
        <v>12</v>
      </c>
      <c r="E52" s="4"/>
      <c r="F52" s="4"/>
      <c r="G52" s="4"/>
      <c r="H52" s="4"/>
      <c r="I52" s="4"/>
      <c r="J52" s="4" t="s">
        <v>175</v>
      </c>
      <c r="K52" s="4"/>
      <c r="L52" s="5"/>
      <c r="M52" s="4"/>
      <c r="P52" s="6"/>
      <c r="Q52" s="6"/>
      <c r="R52" s="4"/>
    </row>
    <row collapsed="false" customFormat="false" customHeight="true" hidden="false" ht="15" outlineLevel="0" r="53">
      <c r="A53" s="4" t="s">
        <v>170</v>
      </c>
      <c r="B53" s="4" t="s">
        <v>170</v>
      </c>
      <c r="C53" s="4" t="s">
        <v>171</v>
      </c>
      <c r="D53" s="4" t="s">
        <v>15</v>
      </c>
      <c r="E53" s="4"/>
      <c r="F53" s="4"/>
      <c r="G53" s="4"/>
      <c r="H53" s="4"/>
      <c r="I53" s="4"/>
      <c r="J53" s="4" t="s">
        <v>175</v>
      </c>
      <c r="K53" s="4"/>
      <c r="L53" s="5"/>
      <c r="M53" s="4"/>
      <c r="P53" s="6"/>
      <c r="Q53" s="6"/>
      <c r="R53" s="4"/>
    </row>
    <row collapsed="false" customFormat="false" customHeight="true" hidden="false" ht="15" outlineLevel="0" r="54">
      <c r="A54" s="4" t="s">
        <v>177</v>
      </c>
      <c r="B54" s="4" t="s">
        <v>178</v>
      </c>
      <c r="C54" s="4" t="s">
        <v>179</v>
      </c>
      <c r="D54" s="4" t="s">
        <v>180</v>
      </c>
      <c r="E54" s="4" t="s">
        <v>181</v>
      </c>
      <c r="F54" s="4" t="s">
        <v>182</v>
      </c>
      <c r="G54" s="4" t="s">
        <v>5</v>
      </c>
      <c r="H54" s="4" t="s">
        <v>6</v>
      </c>
      <c r="I54" s="4" t="n">
        <v>20460</v>
      </c>
      <c r="J54" s="4" t="s">
        <v>183</v>
      </c>
      <c r="K54" s="4" t="s">
        <v>184</v>
      </c>
      <c r="L54" s="5" t="str">
        <f aca="false">HYPERLINK("mailto:hq.foia@epa.gov","mailto:hq.foia@epa.gov")</f>
        <v>mailto:hq.foia@epa.gov</v>
      </c>
      <c r="M54" s="4" t="s">
        <v>185</v>
      </c>
      <c r="P54" s="6" t="s">
        <v>186</v>
      </c>
      <c r="Q54" s="6" t="s">
        <v>187</v>
      </c>
      <c r="R54" s="4" t="s">
        <v>185</v>
      </c>
    </row>
    <row collapsed="false" customFormat="false" customHeight="true" hidden="false" ht="15" outlineLevel="0" r="55">
      <c r="A55" s="4" t="s">
        <v>177</v>
      </c>
      <c r="B55" s="4" t="s">
        <v>178</v>
      </c>
      <c r="C55" s="4"/>
      <c r="D55" s="4" t="s">
        <v>12</v>
      </c>
      <c r="E55" s="4"/>
      <c r="F55" s="4"/>
      <c r="G55" s="4"/>
      <c r="H55" s="4"/>
      <c r="I55" s="4"/>
      <c r="J55" s="4" t="s">
        <v>183</v>
      </c>
      <c r="K55" s="4"/>
      <c r="L55" s="5"/>
      <c r="M55" s="4"/>
      <c r="P55" s="6"/>
      <c r="Q55" s="6"/>
      <c r="R55" s="4"/>
    </row>
    <row collapsed="false" customFormat="false" customHeight="true" hidden="false" ht="15" outlineLevel="0" r="56">
      <c r="A56" s="4" t="s">
        <v>177</v>
      </c>
      <c r="B56" s="4" t="s">
        <v>178</v>
      </c>
      <c r="C56" s="4" t="s">
        <v>188</v>
      </c>
      <c r="D56" s="4" t="s">
        <v>15</v>
      </c>
      <c r="E56" s="4" t="s">
        <v>189</v>
      </c>
      <c r="F56" s="4" t="s">
        <v>182</v>
      </c>
      <c r="G56" s="4" t="s">
        <v>5</v>
      </c>
      <c r="H56" s="4" t="s">
        <v>6</v>
      </c>
      <c r="I56" s="4" t="n">
        <v>20460</v>
      </c>
      <c r="J56" s="4" t="s">
        <v>183</v>
      </c>
      <c r="K56" s="4"/>
      <c r="L56" s="5" t="str">
        <f aca="false">HYPERLINK("mailto:williams.deborah@epa.gov","mailto:williams.deborah@epa.gov")</f>
        <v>mailto:williams.deborah@epa.gov</v>
      </c>
      <c r="M56" s="4"/>
      <c r="P56" s="6"/>
      <c r="Q56" s="6"/>
      <c r="R56" s="4"/>
    </row>
    <row collapsed="false" customFormat="false" customHeight="true" hidden="false" ht="15" outlineLevel="0" r="57">
      <c r="A57" s="4" t="s">
        <v>190</v>
      </c>
      <c r="B57" s="4" t="s">
        <v>178</v>
      </c>
      <c r="C57" s="4" t="s">
        <v>191</v>
      </c>
      <c r="D57" s="4" t="s">
        <v>192</v>
      </c>
      <c r="E57" s="4" t="s">
        <v>193</v>
      </c>
      <c r="F57" s="4" t="s">
        <v>194</v>
      </c>
      <c r="G57" s="4" t="s">
        <v>195</v>
      </c>
      <c r="H57" s="4" t="s">
        <v>196</v>
      </c>
      <c r="I57" s="4" t="s">
        <v>197</v>
      </c>
      <c r="J57" s="4" t="s">
        <v>198</v>
      </c>
      <c r="K57" s="4" t="s">
        <v>199</v>
      </c>
      <c r="L57" s="5" t="s">
        <v>200</v>
      </c>
      <c r="M57" s="4" t="s">
        <v>201</v>
      </c>
      <c r="P57" s="6"/>
      <c r="Q57" s="6"/>
      <c r="R57" s="4" t="s">
        <v>201</v>
      </c>
    </row>
    <row collapsed="false" customFormat="false" customHeight="true" hidden="false" ht="15" outlineLevel="0" r="58">
      <c r="A58" s="4" t="s">
        <v>190</v>
      </c>
      <c r="B58" s="4" t="s">
        <v>178</v>
      </c>
      <c r="C58" s="4"/>
      <c r="D58" s="4" t="s">
        <v>12</v>
      </c>
      <c r="E58" s="4"/>
      <c r="F58" s="4"/>
      <c r="G58" s="4"/>
      <c r="H58" s="4"/>
      <c r="I58" s="4"/>
      <c r="J58" s="4" t="s">
        <v>198</v>
      </c>
      <c r="K58" s="4"/>
      <c r="L58" s="5"/>
      <c r="M58" s="4"/>
      <c r="P58" s="6"/>
      <c r="Q58" s="6"/>
      <c r="R58" s="4"/>
    </row>
    <row collapsed="false" customFormat="false" customHeight="true" hidden="false" ht="15" outlineLevel="0" r="59">
      <c r="A59" s="4" t="s">
        <v>190</v>
      </c>
      <c r="B59" s="4" t="s">
        <v>178</v>
      </c>
      <c r="C59" s="4" t="s">
        <v>188</v>
      </c>
      <c r="D59" s="4" t="s">
        <v>15</v>
      </c>
      <c r="E59" s="4" t="s">
        <v>189</v>
      </c>
      <c r="F59" s="4" t="s">
        <v>182</v>
      </c>
      <c r="G59" s="4" t="s">
        <v>5</v>
      </c>
      <c r="H59" s="4" t="s">
        <v>6</v>
      </c>
      <c r="I59" s="4" t="n">
        <v>20460</v>
      </c>
      <c r="J59" s="4" t="s">
        <v>183</v>
      </c>
      <c r="K59" s="4"/>
      <c r="L59" s="5" t="s">
        <v>202</v>
      </c>
      <c r="M59" s="4"/>
      <c r="P59" s="6"/>
      <c r="Q59" s="6"/>
      <c r="R59" s="4"/>
    </row>
    <row collapsed="false" customFormat="false" customHeight="true" hidden="false" ht="15" outlineLevel="0" r="60">
      <c r="A60" s="4" t="s">
        <v>203</v>
      </c>
      <c r="B60" s="4" t="s">
        <v>178</v>
      </c>
      <c r="C60" s="4" t="s">
        <v>191</v>
      </c>
      <c r="D60" s="4" t="s">
        <v>204</v>
      </c>
      <c r="E60" s="4" t="s">
        <v>205</v>
      </c>
      <c r="F60" s="4" t="s">
        <v>206</v>
      </c>
      <c r="G60" s="4" t="s">
        <v>207</v>
      </c>
      <c r="H60" s="4" t="s">
        <v>208</v>
      </c>
      <c r="I60" s="4" t="s">
        <v>209</v>
      </c>
      <c r="J60" s="4" t="s">
        <v>210</v>
      </c>
      <c r="K60" s="4" t="s">
        <v>211</v>
      </c>
      <c r="L60" s="5" t="str">
        <f aca="false">HYPERLINK("mailto:r2foia@epa.gov","mailto:r2foia@epa.gov")</f>
        <v>mailto:r2foia@epa.gov</v>
      </c>
      <c r="M60" s="4" t="s">
        <v>212</v>
      </c>
      <c r="P60" s="6"/>
      <c r="Q60" s="6"/>
      <c r="R60" s="4" t="s">
        <v>212</v>
      </c>
    </row>
    <row collapsed="false" customFormat="false" customHeight="true" hidden="false" ht="15" outlineLevel="0" r="61">
      <c r="A61" s="4" t="s">
        <v>203</v>
      </c>
      <c r="B61" s="4" t="s">
        <v>178</v>
      </c>
      <c r="C61" s="4"/>
      <c r="D61" s="4" t="s">
        <v>12</v>
      </c>
      <c r="E61" s="4"/>
      <c r="F61" s="4"/>
      <c r="G61" s="4"/>
      <c r="H61" s="4"/>
      <c r="I61" s="4"/>
      <c r="J61" s="4" t="s">
        <v>210</v>
      </c>
      <c r="K61" s="4"/>
      <c r="L61" s="5"/>
      <c r="M61" s="4"/>
      <c r="P61" s="6"/>
      <c r="Q61" s="6"/>
      <c r="R61" s="4"/>
    </row>
    <row collapsed="false" customFormat="false" customHeight="true" hidden="false" ht="15" outlineLevel="0" r="62">
      <c r="A62" s="4" t="s">
        <v>203</v>
      </c>
      <c r="B62" s="4" t="s">
        <v>178</v>
      </c>
      <c r="C62" s="4" t="s">
        <v>188</v>
      </c>
      <c r="D62" s="4" t="s">
        <v>15</v>
      </c>
      <c r="E62" s="4" t="s">
        <v>189</v>
      </c>
      <c r="F62" s="4" t="s">
        <v>182</v>
      </c>
      <c r="G62" s="4" t="s">
        <v>5</v>
      </c>
      <c r="H62" s="4" t="s">
        <v>6</v>
      </c>
      <c r="I62" s="4" t="n">
        <v>20460</v>
      </c>
      <c r="J62" s="4" t="s">
        <v>183</v>
      </c>
      <c r="K62" s="4"/>
      <c r="L62" s="5" t="str">
        <f aca="false">HYPERLINK("mailto:williams.deborah@epa.gov","mailto:williams.deborah@epa.gov")</f>
        <v>mailto:williams.deborah@epa.gov</v>
      </c>
      <c r="M62" s="4"/>
      <c r="P62" s="6"/>
      <c r="Q62" s="6"/>
      <c r="R62" s="4"/>
    </row>
    <row collapsed="false" customFormat="false" customHeight="true" hidden="false" ht="15" outlineLevel="0" r="63">
      <c r="A63" s="4" t="s">
        <v>213</v>
      </c>
      <c r="B63" s="4" t="s">
        <v>178</v>
      </c>
      <c r="C63" s="4" t="s">
        <v>191</v>
      </c>
      <c r="D63" s="4" t="s">
        <v>214</v>
      </c>
      <c r="E63" s="4" t="s">
        <v>215</v>
      </c>
      <c r="F63" s="4" t="s">
        <v>216</v>
      </c>
      <c r="G63" s="4" t="s">
        <v>217</v>
      </c>
      <c r="H63" s="4" t="s">
        <v>218</v>
      </c>
      <c r="I63" s="4" t="n">
        <v>19103</v>
      </c>
      <c r="J63" s="4" t="s">
        <v>219</v>
      </c>
      <c r="K63" s="4" t="s">
        <v>220</v>
      </c>
      <c r="L63" s="5" t="str">
        <f aca="false">HYPERLINK("mailto:r3foia@epa.gov","mailto:r3foia@epa.gov")</f>
        <v>mailto:r3foia@epa.gov</v>
      </c>
      <c r="M63" s="4" t="s">
        <v>221</v>
      </c>
      <c r="P63" s="6"/>
      <c r="Q63" s="6"/>
      <c r="R63" s="4" t="s">
        <v>221</v>
      </c>
    </row>
    <row collapsed="false" customFormat="false" customHeight="true" hidden="false" ht="15" outlineLevel="0" r="64">
      <c r="A64" s="4" t="s">
        <v>213</v>
      </c>
      <c r="B64" s="4" t="s">
        <v>178</v>
      </c>
      <c r="C64" s="4"/>
      <c r="D64" s="4" t="s">
        <v>12</v>
      </c>
      <c r="E64" s="4"/>
      <c r="F64" s="4"/>
      <c r="G64" s="4"/>
      <c r="H64" s="4"/>
      <c r="I64" s="4"/>
      <c r="J64" s="4" t="s">
        <v>219</v>
      </c>
      <c r="K64" s="4"/>
      <c r="L64" s="5"/>
      <c r="M64" s="4"/>
      <c r="P64" s="6"/>
      <c r="Q64" s="6"/>
      <c r="R64" s="4"/>
    </row>
    <row collapsed="false" customFormat="false" customHeight="true" hidden="false" ht="15" outlineLevel="0" r="65">
      <c r="A65" s="4" t="s">
        <v>213</v>
      </c>
      <c r="B65" s="4" t="s">
        <v>178</v>
      </c>
      <c r="C65" s="4" t="s">
        <v>188</v>
      </c>
      <c r="D65" s="4" t="s">
        <v>15</v>
      </c>
      <c r="E65" s="4" t="s">
        <v>189</v>
      </c>
      <c r="F65" s="4" t="s">
        <v>182</v>
      </c>
      <c r="G65" s="4" t="s">
        <v>5</v>
      </c>
      <c r="H65" s="4" t="s">
        <v>6</v>
      </c>
      <c r="I65" s="4" t="n">
        <v>20460</v>
      </c>
      <c r="J65" s="4" t="s">
        <v>183</v>
      </c>
      <c r="K65" s="4"/>
      <c r="L65" s="5" t="str">
        <f aca="false">HYPERLINK("mailto:williams.deborah@epa.gov","mailto:williams.deborah@epa.gov")</f>
        <v>mailto:williams.deborah@epa.gov</v>
      </c>
      <c r="M65" s="4"/>
      <c r="P65" s="6"/>
      <c r="Q65" s="6"/>
      <c r="R65" s="4"/>
    </row>
    <row collapsed="false" customFormat="false" customHeight="true" hidden="false" ht="15" outlineLevel="0" r="66">
      <c r="A66" s="4" t="s">
        <v>222</v>
      </c>
      <c r="B66" s="4" t="s">
        <v>178</v>
      </c>
      <c r="C66" s="4" t="s">
        <v>191</v>
      </c>
      <c r="D66" s="4" t="s">
        <v>223</v>
      </c>
      <c r="E66" s="4" t="s">
        <v>224</v>
      </c>
      <c r="F66" s="4" t="s">
        <v>225</v>
      </c>
      <c r="G66" s="4" t="s">
        <v>226</v>
      </c>
      <c r="H66" s="4" t="s">
        <v>227</v>
      </c>
      <c r="I66" s="4" t="s">
        <v>228</v>
      </c>
      <c r="J66" s="4" t="s">
        <v>229</v>
      </c>
      <c r="K66" s="4" t="s">
        <v>230</v>
      </c>
      <c r="L66" s="5" t="str">
        <f aca="false">HYPERLINK("mailto:r4foia@epa.gov","mailto:r4foia@epa.gov")</f>
        <v>mailto:r4foia@epa.gov</v>
      </c>
      <c r="M66" s="4" t="s">
        <v>231</v>
      </c>
      <c r="P66" s="6"/>
      <c r="Q66" s="6"/>
      <c r="R66" s="4" t="s">
        <v>231</v>
      </c>
    </row>
    <row collapsed="false" customFormat="false" customHeight="true" hidden="false" ht="15" outlineLevel="0" r="67">
      <c r="A67" s="4" t="s">
        <v>222</v>
      </c>
      <c r="B67" s="4" t="s">
        <v>178</v>
      </c>
      <c r="C67" s="4"/>
      <c r="D67" s="4" t="s">
        <v>12</v>
      </c>
      <c r="E67" s="4"/>
      <c r="F67" s="4"/>
      <c r="G67" s="4"/>
      <c r="H67" s="4"/>
      <c r="I67" s="4"/>
      <c r="J67" s="4" t="s">
        <v>229</v>
      </c>
      <c r="K67" s="4"/>
      <c r="L67" s="5"/>
      <c r="M67" s="4"/>
      <c r="P67" s="6"/>
      <c r="Q67" s="6"/>
      <c r="R67" s="4"/>
    </row>
    <row collapsed="false" customFormat="false" customHeight="true" hidden="false" ht="15" outlineLevel="0" r="68">
      <c r="A68" s="4" t="s">
        <v>222</v>
      </c>
      <c r="B68" s="4" t="s">
        <v>178</v>
      </c>
      <c r="C68" s="4" t="s">
        <v>188</v>
      </c>
      <c r="D68" s="4" t="s">
        <v>15</v>
      </c>
      <c r="E68" s="4" t="s">
        <v>189</v>
      </c>
      <c r="F68" s="4" t="s">
        <v>182</v>
      </c>
      <c r="G68" s="4" t="s">
        <v>5</v>
      </c>
      <c r="H68" s="4" t="s">
        <v>6</v>
      </c>
      <c r="I68" s="4" t="n">
        <v>20460</v>
      </c>
      <c r="J68" s="4" t="s">
        <v>183</v>
      </c>
      <c r="K68" s="4"/>
      <c r="L68" s="5" t="str">
        <f aca="false">HYPERLINK("mailto:williams.deborah@epa.gov","mailto:williams.deborah@epa.gov")</f>
        <v>mailto:williams.deborah@epa.gov</v>
      </c>
      <c r="M68" s="4"/>
      <c r="P68" s="6"/>
      <c r="Q68" s="6"/>
      <c r="R68" s="4"/>
    </row>
    <row collapsed="false" customFormat="false" customHeight="true" hidden="false" ht="15" outlineLevel="0" r="69">
      <c r="A69" s="4" t="s">
        <v>232</v>
      </c>
      <c r="B69" s="4" t="s">
        <v>178</v>
      </c>
      <c r="C69" s="4" t="s">
        <v>191</v>
      </c>
      <c r="D69" s="4" t="s">
        <v>233</v>
      </c>
      <c r="E69" s="4" t="s">
        <v>234</v>
      </c>
      <c r="F69" s="4" t="s">
        <v>235</v>
      </c>
      <c r="G69" s="4" t="s">
        <v>236</v>
      </c>
      <c r="H69" s="4" t="s">
        <v>237</v>
      </c>
      <c r="I69" s="4" t="s">
        <v>238</v>
      </c>
      <c r="J69" s="4" t="s">
        <v>239</v>
      </c>
      <c r="K69" s="4" t="s">
        <v>240</v>
      </c>
      <c r="L69" s="5" t="str">
        <f aca="false">HYPERLINK("mailto:r5foia@epa.gov","mailto:r5foia@epa.gov")</f>
        <v>mailto:r5foia@epa.gov</v>
      </c>
      <c r="M69" s="4" t="s">
        <v>241</v>
      </c>
      <c r="P69" s="6"/>
      <c r="Q69" s="6"/>
      <c r="R69" s="4" t="s">
        <v>241</v>
      </c>
    </row>
    <row collapsed="false" customFormat="false" customHeight="true" hidden="false" ht="15" outlineLevel="0" r="70">
      <c r="A70" s="4" t="s">
        <v>232</v>
      </c>
      <c r="B70" s="4" t="s">
        <v>178</v>
      </c>
      <c r="C70" s="4"/>
      <c r="D70" s="4" t="s">
        <v>12</v>
      </c>
      <c r="E70" s="4"/>
      <c r="F70" s="4"/>
      <c r="G70" s="4"/>
      <c r="H70" s="4"/>
      <c r="I70" s="4"/>
      <c r="J70" s="4" t="s">
        <v>239</v>
      </c>
      <c r="K70" s="4"/>
      <c r="L70" s="5"/>
      <c r="M70" s="4"/>
      <c r="P70" s="6"/>
      <c r="Q70" s="6"/>
      <c r="R70" s="4"/>
    </row>
    <row collapsed="false" customFormat="false" customHeight="true" hidden="false" ht="15" outlineLevel="0" r="71">
      <c r="A71" s="4" t="s">
        <v>232</v>
      </c>
      <c r="B71" s="4" t="s">
        <v>178</v>
      </c>
      <c r="C71" s="4" t="s">
        <v>188</v>
      </c>
      <c r="D71" s="4" t="s">
        <v>15</v>
      </c>
      <c r="E71" s="4" t="s">
        <v>189</v>
      </c>
      <c r="F71" s="4" t="s">
        <v>182</v>
      </c>
      <c r="G71" s="4" t="s">
        <v>5</v>
      </c>
      <c r="H71" s="4" t="s">
        <v>6</v>
      </c>
      <c r="I71" s="4" t="n">
        <v>20460</v>
      </c>
      <c r="J71" s="4" t="s">
        <v>183</v>
      </c>
      <c r="K71" s="4"/>
      <c r="L71" s="5" t="str">
        <f aca="false">HYPERLINK("mailto:williams.deborah@epa.gov","mailto:williams.deborah@epa.gov")</f>
        <v>mailto:williams.deborah@epa.gov</v>
      </c>
      <c r="M71" s="4"/>
      <c r="P71" s="6"/>
      <c r="Q71" s="6"/>
      <c r="R71" s="4"/>
    </row>
    <row collapsed="false" customFormat="false" customHeight="true" hidden="false" ht="15" outlineLevel="0" r="72">
      <c r="A72" s="4" t="s">
        <v>242</v>
      </c>
      <c r="B72" s="4" t="s">
        <v>178</v>
      </c>
      <c r="C72" s="4" t="s">
        <v>191</v>
      </c>
      <c r="D72" s="4" t="s">
        <v>243</v>
      </c>
      <c r="E72" s="4" t="s">
        <v>244</v>
      </c>
      <c r="F72" s="4" t="s">
        <v>245</v>
      </c>
      <c r="G72" s="4" t="s">
        <v>246</v>
      </c>
      <c r="H72" s="4" t="s">
        <v>247</v>
      </c>
      <c r="I72" s="4" t="s">
        <v>248</v>
      </c>
      <c r="J72" s="4" t="s">
        <v>249</v>
      </c>
      <c r="K72" s="4" t="s">
        <v>250</v>
      </c>
      <c r="L72" s="5" t="str">
        <f aca="false">HYPERLINK("mailto:r6foia@epa.gov","mailto:r6foia@epa.gov")</f>
        <v>mailto:r6foia@epa.gov</v>
      </c>
      <c r="M72" s="4" t="s">
        <v>251</v>
      </c>
      <c r="P72" s="6"/>
      <c r="Q72" s="6"/>
      <c r="R72" s="4" t="s">
        <v>251</v>
      </c>
    </row>
    <row collapsed="false" customFormat="false" customHeight="true" hidden="false" ht="15" outlineLevel="0" r="73">
      <c r="A73" s="4" t="s">
        <v>242</v>
      </c>
      <c r="B73" s="4" t="s">
        <v>178</v>
      </c>
      <c r="C73" s="4"/>
      <c r="D73" s="4" t="s">
        <v>12</v>
      </c>
      <c r="E73" s="4"/>
      <c r="F73" s="4"/>
      <c r="G73" s="4"/>
      <c r="H73" s="4"/>
      <c r="I73" s="4"/>
      <c r="J73" s="4" t="s">
        <v>249</v>
      </c>
      <c r="K73" s="4"/>
      <c r="L73" s="5"/>
      <c r="M73" s="4"/>
      <c r="P73" s="6"/>
      <c r="Q73" s="6"/>
      <c r="R73" s="4"/>
    </row>
    <row collapsed="false" customFormat="false" customHeight="true" hidden="false" ht="15" outlineLevel="0" r="74">
      <c r="A74" s="4" t="s">
        <v>242</v>
      </c>
      <c r="B74" s="4" t="s">
        <v>178</v>
      </c>
      <c r="C74" s="4" t="s">
        <v>188</v>
      </c>
      <c r="D74" s="4" t="s">
        <v>15</v>
      </c>
      <c r="E74" s="4" t="s">
        <v>189</v>
      </c>
      <c r="F74" s="4" t="s">
        <v>182</v>
      </c>
      <c r="G74" s="4" t="s">
        <v>5</v>
      </c>
      <c r="H74" s="4" t="s">
        <v>6</v>
      </c>
      <c r="I74" s="4" t="n">
        <v>20460</v>
      </c>
      <c r="J74" s="4" t="s">
        <v>183</v>
      </c>
      <c r="K74" s="4"/>
      <c r="L74" s="5" t="str">
        <f aca="false">HYPERLINK("mailto:williams.deborah@epa.gov","mailto:williams.deborah@epa.gov")</f>
        <v>mailto:williams.deborah@epa.gov</v>
      </c>
      <c r="M74" s="4"/>
      <c r="P74" s="6"/>
      <c r="Q74" s="6"/>
      <c r="R74" s="4"/>
    </row>
    <row collapsed="false" customFormat="false" customHeight="true" hidden="false" ht="15" outlineLevel="0" r="75">
      <c r="A75" s="4" t="s">
        <v>252</v>
      </c>
      <c r="B75" s="4" t="s">
        <v>178</v>
      </c>
      <c r="C75" s="4" t="s">
        <v>191</v>
      </c>
      <c r="D75" s="4" t="s">
        <v>253</v>
      </c>
      <c r="E75" s="4"/>
      <c r="F75" s="4" t="s">
        <v>254</v>
      </c>
      <c r="G75" s="4" t="s">
        <v>255</v>
      </c>
      <c r="H75" s="4" t="s">
        <v>256</v>
      </c>
      <c r="I75" s="4" t="n">
        <v>66101</v>
      </c>
      <c r="J75" s="4" t="s">
        <v>257</v>
      </c>
      <c r="K75" s="4" t="s">
        <v>258</v>
      </c>
      <c r="L75" s="5" t="str">
        <f aca="false">HYPERLINK("mailto:r7foia@epa.gov","mailto:r7foia@epa.gov")</f>
        <v>mailto:r7foia@epa.gov</v>
      </c>
      <c r="M75" s="4" t="s">
        <v>259</v>
      </c>
      <c r="P75" s="6"/>
      <c r="Q75" s="6"/>
      <c r="R75" s="4" t="s">
        <v>259</v>
      </c>
    </row>
    <row collapsed="false" customFormat="false" customHeight="true" hidden="false" ht="15" outlineLevel="0" r="76">
      <c r="A76" s="4" t="s">
        <v>252</v>
      </c>
      <c r="B76" s="4" t="s">
        <v>178</v>
      </c>
      <c r="C76" s="4"/>
      <c r="D76" s="4" t="s">
        <v>12</v>
      </c>
      <c r="E76" s="4"/>
      <c r="F76" s="4"/>
      <c r="G76" s="4"/>
      <c r="H76" s="4"/>
      <c r="I76" s="4"/>
      <c r="J76" s="4" t="s">
        <v>260</v>
      </c>
      <c r="K76" s="4"/>
      <c r="L76" s="5"/>
      <c r="M76" s="4"/>
      <c r="P76" s="6"/>
      <c r="Q76" s="6"/>
      <c r="R76" s="4"/>
    </row>
    <row collapsed="false" customFormat="false" customHeight="true" hidden="false" ht="15" outlineLevel="0" r="77">
      <c r="A77" s="4" t="s">
        <v>252</v>
      </c>
      <c r="B77" s="4" t="s">
        <v>178</v>
      </c>
      <c r="C77" s="4" t="s">
        <v>188</v>
      </c>
      <c r="D77" s="4" t="s">
        <v>15</v>
      </c>
      <c r="E77" s="4" t="s">
        <v>189</v>
      </c>
      <c r="F77" s="4" t="s">
        <v>182</v>
      </c>
      <c r="G77" s="4" t="s">
        <v>5</v>
      </c>
      <c r="H77" s="4" t="s">
        <v>6</v>
      </c>
      <c r="I77" s="4" t="n">
        <v>20460</v>
      </c>
      <c r="J77" s="4" t="s">
        <v>183</v>
      </c>
      <c r="K77" s="4"/>
      <c r="L77" s="5" t="str">
        <f aca="false">HYPERLINK("mailto:williams.deborah@epa.gov","mailto:williams.deborah@epa.gov")</f>
        <v>mailto:williams.deborah@epa.gov</v>
      </c>
      <c r="M77" s="4"/>
      <c r="P77" s="6"/>
      <c r="Q77" s="6"/>
      <c r="R77" s="4"/>
    </row>
    <row collapsed="false" customFormat="false" customHeight="true" hidden="false" ht="15" outlineLevel="0" r="78">
      <c r="A78" s="4" t="s">
        <v>261</v>
      </c>
      <c r="B78" s="4" t="s">
        <v>178</v>
      </c>
      <c r="C78" s="4" t="s">
        <v>191</v>
      </c>
      <c r="D78" s="4" t="s">
        <v>262</v>
      </c>
      <c r="E78" s="4"/>
      <c r="F78" s="4" t="s">
        <v>263</v>
      </c>
      <c r="G78" s="4" t="s">
        <v>264</v>
      </c>
      <c r="H78" s="4" t="s">
        <v>265</v>
      </c>
      <c r="I78" s="4" t="s">
        <v>266</v>
      </c>
      <c r="J78" s="4" t="s">
        <v>267</v>
      </c>
      <c r="K78" s="4" t="s">
        <v>268</v>
      </c>
      <c r="L78" s="5" t="str">
        <f aca="false">HYPERLINK("mailto:r8foia@epa.gov","mailto:r8foia@epa.gov")</f>
        <v>mailto:r8foia@epa.gov</v>
      </c>
      <c r="M78" s="4" t="s">
        <v>269</v>
      </c>
      <c r="P78" s="6"/>
      <c r="Q78" s="6"/>
      <c r="R78" s="4" t="s">
        <v>269</v>
      </c>
    </row>
    <row collapsed="false" customFormat="false" customHeight="true" hidden="false" ht="15" outlineLevel="0" r="79">
      <c r="A79" s="4" t="s">
        <v>261</v>
      </c>
      <c r="B79" s="4" t="s">
        <v>178</v>
      </c>
      <c r="C79" s="4"/>
      <c r="D79" s="4" t="s">
        <v>12</v>
      </c>
      <c r="E79" s="4"/>
      <c r="F79" s="4"/>
      <c r="G79" s="4"/>
      <c r="H79" s="4"/>
      <c r="I79" s="4"/>
      <c r="J79" s="4" t="s">
        <v>267</v>
      </c>
      <c r="K79" s="4"/>
      <c r="L79" s="5"/>
      <c r="M79" s="4"/>
      <c r="P79" s="6"/>
      <c r="Q79" s="6"/>
      <c r="R79" s="4"/>
    </row>
    <row collapsed="false" customFormat="false" customHeight="true" hidden="false" ht="15" outlineLevel="0" r="80">
      <c r="A80" s="4" t="s">
        <v>261</v>
      </c>
      <c r="B80" s="4" t="s">
        <v>178</v>
      </c>
      <c r="C80" s="4" t="s">
        <v>188</v>
      </c>
      <c r="D80" s="4" t="s">
        <v>15</v>
      </c>
      <c r="E80" s="4" t="s">
        <v>189</v>
      </c>
      <c r="F80" s="4" t="s">
        <v>182</v>
      </c>
      <c r="G80" s="4" t="s">
        <v>5</v>
      </c>
      <c r="H80" s="4" t="s">
        <v>6</v>
      </c>
      <c r="I80" s="4" t="n">
        <v>20460</v>
      </c>
      <c r="J80" s="4" t="s">
        <v>183</v>
      </c>
      <c r="K80" s="4"/>
      <c r="L80" s="5" t="str">
        <f aca="false">HYPERLINK("mailto:williams.deborah@epa.gov","mailto:williams.deborah@epa.gov")</f>
        <v>mailto:williams.deborah@epa.gov</v>
      </c>
      <c r="M80" s="4"/>
      <c r="P80" s="6"/>
      <c r="Q80" s="6"/>
      <c r="R80" s="4"/>
    </row>
    <row collapsed="false" customFormat="false" customHeight="true" hidden="false" ht="15" outlineLevel="0" r="81">
      <c r="A81" s="4" t="s">
        <v>270</v>
      </c>
      <c r="B81" s="4" t="s">
        <v>178</v>
      </c>
      <c r="C81" s="4" t="s">
        <v>191</v>
      </c>
      <c r="D81" s="4" t="s">
        <v>271</v>
      </c>
      <c r="E81" s="4" t="s">
        <v>272</v>
      </c>
      <c r="F81" s="4" t="s">
        <v>273</v>
      </c>
      <c r="G81" s="4" t="s">
        <v>274</v>
      </c>
      <c r="H81" s="4" t="s">
        <v>275</v>
      </c>
      <c r="I81" s="4" t="n">
        <v>94105</v>
      </c>
      <c r="J81" s="4" t="s">
        <v>276</v>
      </c>
      <c r="K81" s="4" t="s">
        <v>277</v>
      </c>
      <c r="L81" s="5" t="str">
        <f aca="false">HYPERLINK("mailto:r9foia@epa.gov","mailto:r9foia@epa.gov")</f>
        <v>mailto:r9foia@epa.gov</v>
      </c>
      <c r="M81" s="4" t="s">
        <v>278</v>
      </c>
      <c r="P81" s="6"/>
      <c r="Q81" s="6"/>
      <c r="R81" s="4" t="s">
        <v>278</v>
      </c>
    </row>
    <row collapsed="false" customFormat="false" customHeight="true" hidden="false" ht="15" outlineLevel="0" r="82">
      <c r="A82" s="4" t="s">
        <v>270</v>
      </c>
      <c r="B82" s="4" t="s">
        <v>178</v>
      </c>
      <c r="C82" s="4"/>
      <c r="D82" s="4" t="s">
        <v>12</v>
      </c>
      <c r="E82" s="4"/>
      <c r="F82" s="4"/>
      <c r="G82" s="4"/>
      <c r="H82" s="4"/>
      <c r="I82" s="4"/>
      <c r="J82" s="4" t="s">
        <v>276</v>
      </c>
      <c r="K82" s="4"/>
      <c r="L82" s="5"/>
      <c r="M82" s="4"/>
      <c r="P82" s="6"/>
      <c r="Q82" s="6"/>
      <c r="R82" s="4"/>
    </row>
    <row collapsed="false" customFormat="false" customHeight="true" hidden="false" ht="15" outlineLevel="0" r="83">
      <c r="A83" s="4" t="s">
        <v>270</v>
      </c>
      <c r="B83" s="4" t="s">
        <v>178</v>
      </c>
      <c r="C83" s="4" t="s">
        <v>188</v>
      </c>
      <c r="D83" s="4" t="s">
        <v>15</v>
      </c>
      <c r="E83" s="4" t="s">
        <v>189</v>
      </c>
      <c r="F83" s="4" t="s">
        <v>182</v>
      </c>
      <c r="G83" s="4" t="s">
        <v>5</v>
      </c>
      <c r="H83" s="4" t="s">
        <v>6</v>
      </c>
      <c r="I83" s="4" t="n">
        <v>20460</v>
      </c>
      <c r="J83" s="4" t="s">
        <v>183</v>
      </c>
      <c r="K83" s="4"/>
      <c r="L83" s="5" t="str">
        <f aca="false">HYPERLINK("mailto:williams.deborah@epa.gov","mailto:williams.deborah@epa.gov")</f>
        <v>mailto:williams.deborah@epa.gov</v>
      </c>
      <c r="M83" s="4"/>
      <c r="P83" s="6"/>
      <c r="Q83" s="6"/>
      <c r="R83" s="4"/>
    </row>
    <row collapsed="false" customFormat="false" customHeight="true" hidden="false" ht="15" outlineLevel="0" r="84">
      <c r="A84" s="4" t="s">
        <v>279</v>
      </c>
      <c r="B84" s="4" t="s">
        <v>178</v>
      </c>
      <c r="C84" s="4" t="s">
        <v>191</v>
      </c>
      <c r="D84" s="4" t="s">
        <v>280</v>
      </c>
      <c r="E84" s="4" t="s">
        <v>281</v>
      </c>
      <c r="F84" s="4" t="s">
        <v>282</v>
      </c>
      <c r="G84" s="4" t="s">
        <v>283</v>
      </c>
      <c r="H84" s="4" t="s">
        <v>284</v>
      </c>
      <c r="I84" s="4" t="n">
        <v>98101</v>
      </c>
      <c r="J84" s="4" t="s">
        <v>285</v>
      </c>
      <c r="K84" s="4" t="s">
        <v>286</v>
      </c>
      <c r="L84" s="5" t="str">
        <f aca="false">HYPERLINK("mailto:r10.foia@epa.gov","mailto:r10.foia@epa.gov")</f>
        <v>mailto:r10.foia@epa.gov</v>
      </c>
      <c r="M84" s="4" t="s">
        <v>287</v>
      </c>
      <c r="P84" s="6"/>
      <c r="Q84" s="6"/>
      <c r="R84" s="4" t="s">
        <v>287</v>
      </c>
    </row>
    <row collapsed="false" customFormat="false" customHeight="true" hidden="false" ht="15" outlineLevel="0" r="85">
      <c r="A85" s="4" t="s">
        <v>279</v>
      </c>
      <c r="B85" s="4" t="s">
        <v>178</v>
      </c>
      <c r="C85" s="4"/>
      <c r="D85" s="4" t="s">
        <v>12</v>
      </c>
      <c r="E85" s="4"/>
      <c r="F85" s="4"/>
      <c r="G85" s="4"/>
      <c r="H85" s="4"/>
      <c r="I85" s="4"/>
      <c r="J85" s="4" t="s">
        <v>285</v>
      </c>
      <c r="K85" s="4"/>
      <c r="L85" s="5"/>
      <c r="M85" s="4"/>
      <c r="P85" s="6"/>
      <c r="Q85" s="6"/>
      <c r="R85" s="4"/>
    </row>
    <row collapsed="false" customFormat="false" customHeight="true" hidden="false" ht="15" outlineLevel="0" r="86">
      <c r="A86" s="4" t="s">
        <v>279</v>
      </c>
      <c r="B86" s="4" t="s">
        <v>178</v>
      </c>
      <c r="C86" s="4" t="s">
        <v>188</v>
      </c>
      <c r="D86" s="4" t="s">
        <v>15</v>
      </c>
      <c r="E86" s="4" t="s">
        <v>189</v>
      </c>
      <c r="F86" s="4" t="s">
        <v>182</v>
      </c>
      <c r="G86" s="4" t="s">
        <v>5</v>
      </c>
      <c r="H86" s="4" t="s">
        <v>6</v>
      </c>
      <c r="I86" s="4" t="n">
        <v>20460</v>
      </c>
      <c r="J86" s="4" t="s">
        <v>183</v>
      </c>
      <c r="K86" s="4"/>
      <c r="L86" s="5" t="str">
        <f aca="false">HYPERLINK("mailto:williams.deborah@epa.gov","mailto:williams.deborah@epa.gov")</f>
        <v>mailto:williams.deborah@epa.gov</v>
      </c>
      <c r="M86" s="4"/>
      <c r="P86" s="6"/>
      <c r="Q86" s="6"/>
      <c r="R86" s="4"/>
    </row>
    <row collapsed="false" customFormat="false" customHeight="true" hidden="false" ht="15" outlineLevel="0" r="87">
      <c r="A87" s="4" t="s">
        <v>288</v>
      </c>
      <c r="B87" s="4" t="s">
        <v>178</v>
      </c>
      <c r="C87" s="4" t="s">
        <v>179</v>
      </c>
      <c r="D87" s="4" t="s">
        <v>180</v>
      </c>
      <c r="E87" s="4" t="s">
        <v>181</v>
      </c>
      <c r="F87" s="4" t="s">
        <v>182</v>
      </c>
      <c r="G87" s="4" t="s">
        <v>5</v>
      </c>
      <c r="H87" s="4" t="s">
        <v>6</v>
      </c>
      <c r="I87" s="4" t="n">
        <v>20460</v>
      </c>
      <c r="J87" s="4" t="s">
        <v>183</v>
      </c>
      <c r="K87" s="4" t="s">
        <v>184</v>
      </c>
      <c r="L87" s="5" t="str">
        <f aca="false">HYPERLINK("mailto:hq.foia@epa.gov","mailto:hq.foia@epa.gov")</f>
        <v>mailto:hq.foia@epa.gov</v>
      </c>
      <c r="M87" s="4" t="s">
        <v>185</v>
      </c>
      <c r="P87" s="6"/>
      <c r="Q87" s="6"/>
      <c r="R87" s="4" t="s">
        <v>185</v>
      </c>
    </row>
    <row collapsed="false" customFormat="false" customHeight="true" hidden="false" ht="15" outlineLevel="0" r="88">
      <c r="A88" s="4" t="s">
        <v>288</v>
      </c>
      <c r="B88" s="4" t="s">
        <v>178</v>
      </c>
      <c r="C88" s="4"/>
      <c r="D88" s="4" t="s">
        <v>12</v>
      </c>
      <c r="E88" s="4"/>
      <c r="F88" s="4"/>
      <c r="G88" s="4"/>
      <c r="H88" s="4"/>
      <c r="I88" s="4"/>
      <c r="J88" s="4" t="s">
        <v>183</v>
      </c>
      <c r="K88" s="4"/>
      <c r="L88" s="5"/>
      <c r="M88" s="4"/>
      <c r="P88" s="6"/>
      <c r="Q88" s="6"/>
      <c r="R88" s="4"/>
    </row>
    <row collapsed="false" customFormat="false" customHeight="true" hidden="false" ht="15" outlineLevel="0" r="89">
      <c r="A89" s="4" t="s">
        <v>288</v>
      </c>
      <c r="B89" s="4" t="s">
        <v>178</v>
      </c>
      <c r="C89" s="4" t="s">
        <v>188</v>
      </c>
      <c r="D89" s="4" t="s">
        <v>15</v>
      </c>
      <c r="E89" s="4" t="s">
        <v>189</v>
      </c>
      <c r="F89" s="4" t="s">
        <v>182</v>
      </c>
      <c r="G89" s="4" t="s">
        <v>5</v>
      </c>
      <c r="H89" s="4" t="s">
        <v>6</v>
      </c>
      <c r="I89" s="4" t="n">
        <v>20460</v>
      </c>
      <c r="J89" s="4" t="s">
        <v>183</v>
      </c>
      <c r="K89" s="4"/>
      <c r="L89" s="5" t="str">
        <f aca="false">HYPERLINK("mailto:williams.deborah@epa.gov","mailto:williams.deborah@epa.gov")</f>
        <v>mailto:williams.deborah@epa.gov</v>
      </c>
      <c r="M89" s="4"/>
      <c r="P89" s="6"/>
      <c r="Q89" s="6"/>
      <c r="R89" s="4"/>
    </row>
    <row collapsed="false" customFormat="false" customHeight="true" hidden="false" ht="15" outlineLevel="0" r="90">
      <c r="A90" s="4" t="s">
        <v>289</v>
      </c>
      <c r="B90" s="4" t="s">
        <v>290</v>
      </c>
      <c r="C90" s="4" t="s">
        <v>291</v>
      </c>
      <c r="D90" s="4" t="s">
        <v>292</v>
      </c>
      <c r="E90" s="4" t="s">
        <v>293</v>
      </c>
      <c r="F90" s="4" t="s">
        <v>294</v>
      </c>
      <c r="G90" s="4" t="s">
        <v>5</v>
      </c>
      <c r="H90" s="4" t="s">
        <v>6</v>
      </c>
      <c r="I90" s="4" t="n">
        <v>20507</v>
      </c>
      <c r="J90" s="4" t="s">
        <v>295</v>
      </c>
      <c r="K90" s="4" t="s">
        <v>296</v>
      </c>
      <c r="L90" s="5" t="str">
        <f aca="false">HYPERLINK("mailto:FOIA@EEOC.gov","mailto:FOIA@EEOC.gov")</f>
        <v>mailto:FOIA@EEOC.gov</v>
      </c>
      <c r="M90" s="4" t="s">
        <v>297</v>
      </c>
      <c r="P90" s="6"/>
      <c r="Q90" s="6"/>
      <c r="R90" s="4" t="s">
        <v>297</v>
      </c>
    </row>
    <row collapsed="false" customFormat="false" customHeight="true" hidden="false" ht="15" outlineLevel="0" r="91">
      <c r="A91" s="4" t="s">
        <v>289</v>
      </c>
      <c r="B91" s="4" t="s">
        <v>290</v>
      </c>
      <c r="C91" s="4"/>
      <c r="D91" s="4" t="s">
        <v>12</v>
      </c>
      <c r="E91" s="4"/>
      <c r="F91" s="4"/>
      <c r="G91" s="4"/>
      <c r="H91" s="4"/>
      <c r="I91" s="4"/>
      <c r="J91" s="4" t="s">
        <v>298</v>
      </c>
      <c r="K91" s="4" t="s">
        <v>296</v>
      </c>
      <c r="L91" s="5" t="str">
        <f aca="false">HYPERLINK("mailto:FOIA@EEOC.gov","mailto:FOIA@EEOC.gov")</f>
        <v>mailto:FOIA@EEOC.gov</v>
      </c>
      <c r="M91" s="4"/>
      <c r="P91" s="6"/>
      <c r="Q91" s="6"/>
      <c r="R91" s="4"/>
    </row>
    <row collapsed="false" customFormat="false" customHeight="true" hidden="false" ht="15" outlineLevel="0" r="92">
      <c r="A92" s="4" t="s">
        <v>289</v>
      </c>
      <c r="B92" s="4" t="s">
        <v>290</v>
      </c>
      <c r="C92" s="4" t="s">
        <v>291</v>
      </c>
      <c r="D92" s="4" t="s">
        <v>15</v>
      </c>
      <c r="E92" s="4"/>
      <c r="F92" s="4"/>
      <c r="G92" s="4"/>
      <c r="H92" s="4"/>
      <c r="I92" s="4"/>
      <c r="J92" s="4" t="s">
        <v>295</v>
      </c>
      <c r="K92" s="4" t="s">
        <v>299</v>
      </c>
      <c r="L92" s="5"/>
      <c r="M92" s="4"/>
      <c r="P92" s="6"/>
      <c r="Q92" s="6"/>
      <c r="R92" s="4"/>
    </row>
    <row collapsed="false" customFormat="false" customHeight="true" hidden="false" ht="15" outlineLevel="0" r="93">
      <c r="A93" s="4" t="s">
        <v>300</v>
      </c>
      <c r="B93" s="4" t="s">
        <v>290</v>
      </c>
      <c r="C93" s="4" t="s">
        <v>301</v>
      </c>
      <c r="D93" s="4" t="s">
        <v>302</v>
      </c>
      <c r="E93" s="4" t="s">
        <v>303</v>
      </c>
      <c r="F93" s="4" t="s">
        <v>304</v>
      </c>
      <c r="G93" s="4" t="s">
        <v>226</v>
      </c>
      <c r="H93" s="4" t="s">
        <v>227</v>
      </c>
      <c r="I93" s="4" t="n">
        <v>30303</v>
      </c>
      <c r="J93" s="4" t="s">
        <v>305</v>
      </c>
      <c r="K93" s="4" t="s">
        <v>306</v>
      </c>
      <c r="L93" s="5" t="str">
        <f aca="false">HYPERLINK("mailto:ATLAFOIA@eeoc.gov","mailto:ATLAFOIA@eeoc.gov")</f>
        <v>mailto:ATLAFOIA@eeoc.gov</v>
      </c>
      <c r="M93" s="4" t="s">
        <v>307</v>
      </c>
      <c r="P93" s="6"/>
      <c r="Q93" s="6"/>
      <c r="R93" s="4" t="s">
        <v>307</v>
      </c>
    </row>
    <row collapsed="false" customFormat="false" customHeight="true" hidden="false" ht="15" outlineLevel="0" r="94">
      <c r="A94" s="4" t="s">
        <v>300</v>
      </c>
      <c r="B94" s="4" t="s">
        <v>290</v>
      </c>
      <c r="C94" s="4"/>
      <c r="D94" s="4" t="s">
        <v>12</v>
      </c>
      <c r="E94" s="4"/>
      <c r="F94" s="4"/>
      <c r="G94" s="4"/>
      <c r="H94" s="4"/>
      <c r="I94" s="4"/>
      <c r="J94" s="4" t="s">
        <v>298</v>
      </c>
      <c r="K94" s="4" t="s">
        <v>296</v>
      </c>
      <c r="L94" s="5" t="str">
        <f aca="false">HYPERLINK("mailto:FOIA@EEOC.gov","mailto:FOIA@EEOC.gov")</f>
        <v>mailto:FOIA@EEOC.gov</v>
      </c>
      <c r="M94" s="4"/>
      <c r="P94" s="6"/>
      <c r="Q94" s="6"/>
      <c r="R94" s="4"/>
    </row>
    <row collapsed="false" customFormat="false" customHeight="true" hidden="false" ht="14.25" outlineLevel="0" r="95">
      <c r="A95" s="4" t="s">
        <v>300</v>
      </c>
      <c r="B95" s="4" t="s">
        <v>290</v>
      </c>
      <c r="C95" s="4" t="s">
        <v>291</v>
      </c>
      <c r="D95" s="4" t="s">
        <v>15</v>
      </c>
      <c r="E95" s="4"/>
      <c r="F95" s="4"/>
      <c r="G95" s="4"/>
      <c r="H95" s="4"/>
      <c r="I95" s="4"/>
      <c r="J95" s="4" t="s">
        <v>295</v>
      </c>
      <c r="K95" s="4" t="s">
        <v>299</v>
      </c>
      <c r="L95" s="5"/>
      <c r="M95" s="4"/>
      <c r="P95" s="6"/>
      <c r="Q95" s="6"/>
      <c r="R95" s="4"/>
    </row>
    <row collapsed="false" customFormat="false" customHeight="true" hidden="false" ht="14.25" outlineLevel="0" r="96">
      <c r="A96" s="4" t="s">
        <v>308</v>
      </c>
      <c r="B96" s="4" t="s">
        <v>290</v>
      </c>
      <c r="C96" s="4" t="s">
        <v>309</v>
      </c>
      <c r="D96" s="4" t="s">
        <v>310</v>
      </c>
      <c r="E96" s="4" t="s">
        <v>311</v>
      </c>
      <c r="F96" s="4" t="s">
        <v>312</v>
      </c>
      <c r="G96" s="4" t="s">
        <v>313</v>
      </c>
      <c r="H96" s="4" t="s">
        <v>314</v>
      </c>
      <c r="I96" s="4" t="n">
        <v>35205</v>
      </c>
      <c r="J96" s="4" t="s">
        <v>315</v>
      </c>
      <c r="K96" s="4" t="s">
        <v>316</v>
      </c>
      <c r="L96" s="5" t="str">
        <f aca="false">HYPERLINK("mailto:BIRMFOIA@eeoc.gov","mailto:BIRMFOIA@eeoc.gov")</f>
        <v>mailto:BIRMFOIA@eeoc.gov</v>
      </c>
      <c r="M96" s="4" t="s">
        <v>317</v>
      </c>
      <c r="P96" s="6"/>
      <c r="Q96" s="6"/>
      <c r="R96" s="4" t="s">
        <v>317</v>
      </c>
    </row>
    <row collapsed="false" customFormat="false" customHeight="true" hidden="false" ht="14.25" outlineLevel="0" r="97">
      <c r="A97" s="4" t="s">
        <v>308</v>
      </c>
      <c r="B97" s="4" t="s">
        <v>290</v>
      </c>
      <c r="C97" s="4"/>
      <c r="D97" s="4" t="s">
        <v>12</v>
      </c>
      <c r="E97" s="4"/>
      <c r="F97" s="4"/>
      <c r="G97" s="4"/>
      <c r="H97" s="4"/>
      <c r="I97" s="4"/>
      <c r="J97" s="4" t="s">
        <v>298</v>
      </c>
      <c r="K97" s="4" t="s">
        <v>296</v>
      </c>
      <c r="L97" s="5" t="str">
        <f aca="false">HYPERLINK("mailto:FOIA@EEOC.gov","mailto:FOIA@EEOC.gov")</f>
        <v>mailto:FOIA@EEOC.gov</v>
      </c>
      <c r="M97" s="4"/>
      <c r="P97" s="6"/>
      <c r="Q97" s="6"/>
      <c r="R97" s="4"/>
    </row>
    <row collapsed="false" customFormat="false" customHeight="true" hidden="false" ht="14.25" outlineLevel="0" r="98">
      <c r="A98" s="4" t="s">
        <v>308</v>
      </c>
      <c r="B98" s="4" t="s">
        <v>290</v>
      </c>
      <c r="C98" s="4" t="s">
        <v>291</v>
      </c>
      <c r="D98" s="4" t="s">
        <v>15</v>
      </c>
      <c r="E98" s="4"/>
      <c r="F98" s="4"/>
      <c r="G98" s="4"/>
      <c r="H98" s="4"/>
      <c r="I98" s="4"/>
      <c r="J98" s="4" t="s">
        <v>295</v>
      </c>
      <c r="K98" s="4" t="s">
        <v>299</v>
      </c>
      <c r="L98" s="5"/>
      <c r="M98" s="4"/>
      <c r="P98" s="6"/>
      <c r="Q98" s="6"/>
      <c r="R98" s="4"/>
    </row>
    <row collapsed="false" customFormat="false" customHeight="true" hidden="false" ht="14.25" outlineLevel="0" r="99">
      <c r="A99" s="4" t="s">
        <v>318</v>
      </c>
      <c r="B99" s="4" t="s">
        <v>290</v>
      </c>
      <c r="C99" s="4" t="s">
        <v>319</v>
      </c>
      <c r="D99" s="4" t="s">
        <v>310</v>
      </c>
      <c r="E99" s="4" t="s">
        <v>320</v>
      </c>
      <c r="F99" s="4" t="s">
        <v>321</v>
      </c>
      <c r="G99" s="4" t="s">
        <v>322</v>
      </c>
      <c r="H99" s="4" t="s">
        <v>323</v>
      </c>
      <c r="I99" s="4" t="n">
        <v>28202</v>
      </c>
      <c r="J99" s="4" t="s">
        <v>324</v>
      </c>
      <c r="K99" s="4" t="s">
        <v>325</v>
      </c>
      <c r="L99" s="5" t="str">
        <f aca="false">HYPERLINK("mailto:CHARFOIA@eeoc.gov","mailto:CHARFOIA@eeoc.gov")</f>
        <v>mailto:CHARFOIA@eeoc.gov</v>
      </c>
      <c r="M99" s="4" t="s">
        <v>326</v>
      </c>
      <c r="P99" s="6"/>
      <c r="Q99" s="6"/>
      <c r="R99" s="4" t="s">
        <v>326</v>
      </c>
    </row>
    <row collapsed="false" customFormat="false" customHeight="true" hidden="false" ht="14.25" outlineLevel="0" r="100">
      <c r="A100" s="4" t="s">
        <v>318</v>
      </c>
      <c r="B100" s="4" t="s">
        <v>290</v>
      </c>
      <c r="C100" s="4"/>
      <c r="D100" s="4" t="s">
        <v>12</v>
      </c>
      <c r="E100" s="4"/>
      <c r="F100" s="4"/>
      <c r="G100" s="4"/>
      <c r="H100" s="4"/>
      <c r="I100" s="4"/>
      <c r="J100" s="4" t="s">
        <v>298</v>
      </c>
      <c r="K100" s="4" t="s">
        <v>296</v>
      </c>
      <c r="L100" s="5" t="str">
        <f aca="false">HYPERLINK("mailto:FOIA@EEOC.gov","mailto:FOIA@EEOC.gov")</f>
        <v>mailto:FOIA@EEOC.gov</v>
      </c>
      <c r="M100" s="4"/>
      <c r="P100" s="6"/>
      <c r="Q100" s="6"/>
      <c r="R100" s="4"/>
    </row>
    <row collapsed="false" customFormat="false" customHeight="true" hidden="false" ht="14.25" outlineLevel="0" r="101">
      <c r="A101" s="4" t="s">
        <v>318</v>
      </c>
      <c r="B101" s="4" t="s">
        <v>290</v>
      </c>
      <c r="C101" s="4" t="s">
        <v>291</v>
      </c>
      <c r="D101" s="4" t="s">
        <v>15</v>
      </c>
      <c r="E101" s="4"/>
      <c r="F101" s="4"/>
      <c r="G101" s="4"/>
      <c r="H101" s="4"/>
      <c r="I101" s="4"/>
      <c r="J101" s="4" t="s">
        <v>295</v>
      </c>
      <c r="K101" s="4" t="s">
        <v>299</v>
      </c>
      <c r="L101" s="5"/>
      <c r="M101" s="4"/>
      <c r="P101" s="6"/>
      <c r="Q101" s="6"/>
      <c r="R101" s="4"/>
    </row>
    <row collapsed="false" customFormat="false" customHeight="true" hidden="false" ht="14.25" outlineLevel="0" r="102">
      <c r="A102" s="4" t="s">
        <v>327</v>
      </c>
      <c r="B102" s="4" t="s">
        <v>290</v>
      </c>
      <c r="C102" s="4" t="s">
        <v>328</v>
      </c>
      <c r="D102" s="4" t="s">
        <v>310</v>
      </c>
      <c r="E102" s="4" t="s">
        <v>329</v>
      </c>
      <c r="F102" s="4" t="s">
        <v>330</v>
      </c>
      <c r="G102" s="4" t="s">
        <v>236</v>
      </c>
      <c r="H102" s="4" t="s">
        <v>237</v>
      </c>
      <c r="I102" s="4" t="n">
        <v>60661</v>
      </c>
      <c r="J102" s="4" t="s">
        <v>331</v>
      </c>
      <c r="K102" s="4" t="s">
        <v>332</v>
      </c>
      <c r="L102" s="5" t="str">
        <f aca="false">HYPERLINK("mailto:LOSAFOIA@eeoc.gov","mailto:CHICFOIA@eeoc.gov; MILWFOIA@eeoc.gov; MINNFOIA@eeoc.gov")</f>
        <v>mailto:CHICFOIA@eeoc.gov; MILWFOIA@eeoc.gov; MINNFOIA@eeoc.gov</v>
      </c>
      <c r="M102" s="4" t="s">
        <v>333</v>
      </c>
      <c r="P102" s="6"/>
      <c r="Q102" s="6"/>
      <c r="R102" s="4" t="s">
        <v>333</v>
      </c>
    </row>
    <row collapsed="false" customFormat="false" customHeight="true" hidden="false" ht="14.25" outlineLevel="0" r="103">
      <c r="A103" s="4" t="s">
        <v>327</v>
      </c>
      <c r="B103" s="4" t="s">
        <v>290</v>
      </c>
      <c r="C103" s="4"/>
      <c r="D103" s="4" t="s">
        <v>12</v>
      </c>
      <c r="E103" s="4"/>
      <c r="F103" s="4"/>
      <c r="G103" s="4"/>
      <c r="H103" s="4"/>
      <c r="I103" s="4"/>
      <c r="J103" s="4" t="s">
        <v>298</v>
      </c>
      <c r="K103" s="4" t="s">
        <v>296</v>
      </c>
      <c r="L103" s="5" t="str">
        <f aca="false">HYPERLINK("mailto:FOIA@EEOC.gov","mailto:FOIA@EEOC.gov")</f>
        <v>mailto:FOIA@EEOC.gov</v>
      </c>
      <c r="M103" s="4"/>
      <c r="P103" s="6"/>
      <c r="Q103" s="6"/>
      <c r="R103" s="4"/>
    </row>
    <row collapsed="false" customFormat="false" customHeight="true" hidden="false" ht="14.25" outlineLevel="0" r="104">
      <c r="A104" s="4" t="s">
        <v>327</v>
      </c>
      <c r="B104" s="4" t="s">
        <v>290</v>
      </c>
      <c r="C104" s="4" t="s">
        <v>291</v>
      </c>
      <c r="D104" s="4" t="s">
        <v>15</v>
      </c>
      <c r="E104" s="4"/>
      <c r="F104" s="4"/>
      <c r="G104" s="4"/>
      <c r="H104" s="4"/>
      <c r="I104" s="4"/>
      <c r="J104" s="4" t="s">
        <v>295</v>
      </c>
      <c r="K104" s="4" t="s">
        <v>299</v>
      </c>
      <c r="L104" s="5"/>
      <c r="M104" s="4"/>
      <c r="P104" s="6"/>
      <c r="Q104" s="6"/>
      <c r="R104" s="4"/>
    </row>
    <row collapsed="false" customFormat="false" customHeight="true" hidden="false" ht="14.25" outlineLevel="0" r="105">
      <c r="A105" s="4" t="s">
        <v>334</v>
      </c>
      <c r="B105" s="4" t="s">
        <v>290</v>
      </c>
      <c r="C105" s="4" t="s">
        <v>335</v>
      </c>
      <c r="D105" s="4" t="s">
        <v>310</v>
      </c>
      <c r="E105" s="4" t="s">
        <v>336</v>
      </c>
      <c r="F105" s="4" t="s">
        <v>337</v>
      </c>
      <c r="G105" s="4" t="s">
        <v>246</v>
      </c>
      <c r="H105" s="4" t="s">
        <v>247</v>
      </c>
      <c r="I105" s="4" t="s">
        <v>338</v>
      </c>
      <c r="J105" s="4" t="s">
        <v>339</v>
      </c>
      <c r="K105" s="4"/>
      <c r="L105" s="5" t="str">
        <f aca="false">HYPERLINK("mailto:dallasfoia@eeoc.gov","mailto:dallasfoia@eeoc.gov; SAFOFOIA@eeoc.gov ")</f>
        <v>mailto:dallasfoia@eeoc.gov; SAFOFOIA@eeoc.gov </v>
      </c>
      <c r="M105" s="4" t="s">
        <v>340</v>
      </c>
      <c r="P105" s="6"/>
      <c r="Q105" s="6"/>
      <c r="R105" s="4" t="s">
        <v>340</v>
      </c>
    </row>
    <row collapsed="false" customFormat="false" customHeight="true" hidden="false" ht="14.25" outlineLevel="0" r="106">
      <c r="A106" s="4" t="s">
        <v>334</v>
      </c>
      <c r="B106" s="4" t="s">
        <v>290</v>
      </c>
      <c r="C106" s="4"/>
      <c r="D106" s="4" t="s">
        <v>12</v>
      </c>
      <c r="E106" s="4"/>
      <c r="F106" s="4"/>
      <c r="G106" s="4"/>
      <c r="H106" s="4"/>
      <c r="I106" s="4"/>
      <c r="J106" s="4" t="s">
        <v>298</v>
      </c>
      <c r="K106" s="4" t="s">
        <v>296</v>
      </c>
      <c r="L106" s="5" t="str">
        <f aca="false">HYPERLINK("mailto:FOIA@EEOC.gov","mailto:FOIA@EEOC.gov")</f>
        <v>mailto:FOIA@EEOC.gov</v>
      </c>
      <c r="M106" s="4"/>
      <c r="P106" s="6"/>
      <c r="Q106" s="6"/>
      <c r="R106" s="4"/>
    </row>
    <row collapsed="false" customFormat="false" customHeight="true" hidden="false" ht="14.25" outlineLevel="0" r="107">
      <c r="A107" s="4" t="s">
        <v>334</v>
      </c>
      <c r="B107" s="4" t="s">
        <v>290</v>
      </c>
      <c r="C107" s="4" t="s">
        <v>291</v>
      </c>
      <c r="D107" s="4" t="s">
        <v>15</v>
      </c>
      <c r="E107" s="4"/>
      <c r="F107" s="4"/>
      <c r="G107" s="4"/>
      <c r="H107" s="4"/>
      <c r="I107" s="4"/>
      <c r="J107" s="4" t="s">
        <v>295</v>
      </c>
      <c r="K107" s="4" t="s">
        <v>299</v>
      </c>
      <c r="L107" s="5"/>
      <c r="M107" s="4"/>
      <c r="P107" s="6"/>
      <c r="Q107" s="6"/>
      <c r="R107" s="4"/>
    </row>
    <row collapsed="false" customFormat="false" customHeight="true" hidden="false" ht="14.25" outlineLevel="0" r="108">
      <c r="A108" s="4" t="s">
        <v>341</v>
      </c>
      <c r="B108" s="4" t="s">
        <v>290</v>
      </c>
      <c r="C108" s="4" t="s">
        <v>342</v>
      </c>
      <c r="D108" s="4" t="s">
        <v>310</v>
      </c>
      <c r="E108" s="4" t="s">
        <v>343</v>
      </c>
      <c r="F108" s="4" t="s">
        <v>344</v>
      </c>
      <c r="G108" s="4" t="s">
        <v>345</v>
      </c>
      <c r="H108" s="4" t="s">
        <v>247</v>
      </c>
      <c r="I108" s="4" t="s">
        <v>346</v>
      </c>
      <c r="J108" s="4" t="s">
        <v>347</v>
      </c>
      <c r="K108" s="4" t="s">
        <v>348</v>
      </c>
      <c r="L108" s="5" t="str">
        <f aca="false">HYPERLINK("mailto:LOSAFOIA@eeoc.gov","mailto:HOUSFOIA@eeoc.gov; NLEANSFOIA@eeoc.gov ")</f>
        <v>mailto:HOUSFOIA@eeoc.gov; NLEANSFOIA@eeoc.gov </v>
      </c>
      <c r="M108" s="4" t="s">
        <v>349</v>
      </c>
      <c r="P108" s="6"/>
      <c r="Q108" s="6"/>
      <c r="R108" s="4" t="s">
        <v>349</v>
      </c>
    </row>
    <row collapsed="false" customFormat="false" customHeight="true" hidden="false" ht="14.25" outlineLevel="0" r="109">
      <c r="A109" s="4" t="s">
        <v>341</v>
      </c>
      <c r="B109" s="4" t="s">
        <v>290</v>
      </c>
      <c r="C109" s="4"/>
      <c r="D109" s="4" t="s">
        <v>12</v>
      </c>
      <c r="E109" s="4"/>
      <c r="F109" s="4"/>
      <c r="G109" s="4"/>
      <c r="H109" s="4"/>
      <c r="I109" s="4"/>
      <c r="J109" s="4" t="s">
        <v>298</v>
      </c>
      <c r="K109" s="4" t="s">
        <v>296</v>
      </c>
      <c r="L109" s="5" t="str">
        <f aca="false">HYPERLINK("mailto:FOIA@EEOC.gov","mailto:FOIA@EEOC.gov")</f>
        <v>mailto:FOIA@EEOC.gov</v>
      </c>
      <c r="M109" s="4"/>
      <c r="P109" s="6"/>
      <c r="Q109" s="6"/>
      <c r="R109" s="4"/>
    </row>
    <row collapsed="false" customFormat="false" customHeight="true" hidden="false" ht="14.25" outlineLevel="0" r="110">
      <c r="A110" s="4" t="s">
        <v>341</v>
      </c>
      <c r="B110" s="4" t="s">
        <v>290</v>
      </c>
      <c r="C110" s="4" t="s">
        <v>291</v>
      </c>
      <c r="D110" s="4" t="s">
        <v>15</v>
      </c>
      <c r="E110" s="4"/>
      <c r="F110" s="4"/>
      <c r="G110" s="4"/>
      <c r="H110" s="4"/>
      <c r="I110" s="4"/>
      <c r="J110" s="4" t="s">
        <v>295</v>
      </c>
      <c r="K110" s="4" t="s">
        <v>299</v>
      </c>
      <c r="L110" s="5"/>
      <c r="M110" s="4"/>
      <c r="P110" s="6"/>
      <c r="Q110" s="6"/>
      <c r="R110" s="4"/>
    </row>
    <row collapsed="false" customFormat="false" customHeight="true" hidden="false" ht="14.25" outlineLevel="0" r="111">
      <c r="A111" s="4" t="s">
        <v>350</v>
      </c>
      <c r="B111" s="4" t="s">
        <v>290</v>
      </c>
      <c r="C111" s="4" t="s">
        <v>351</v>
      </c>
      <c r="D111" s="4" t="s">
        <v>310</v>
      </c>
      <c r="E111" s="4" t="s">
        <v>352</v>
      </c>
      <c r="F111" s="4" t="s">
        <v>353</v>
      </c>
      <c r="G111" s="4" t="s">
        <v>354</v>
      </c>
      <c r="H111" s="4" t="s">
        <v>355</v>
      </c>
      <c r="I111" s="4" t="s">
        <v>356</v>
      </c>
      <c r="J111" s="4" t="s">
        <v>357</v>
      </c>
      <c r="K111" s="4" t="s">
        <v>358</v>
      </c>
      <c r="L111" s="5" t="str">
        <f aca="false">HYPERLINK("mailto:LOSAFOIA@eeoc.gov","mailto:INDIFOIA@eeoc.gov; DETRFOIA@eeoc.gov ")</f>
        <v>mailto:INDIFOIA@eeoc.gov; DETRFOIA@eeoc.gov </v>
      </c>
      <c r="M111" s="4" t="s">
        <v>359</v>
      </c>
      <c r="P111" s="6"/>
      <c r="Q111" s="6"/>
      <c r="R111" s="4" t="s">
        <v>359</v>
      </c>
    </row>
    <row collapsed="false" customFormat="false" customHeight="true" hidden="false" ht="14.25" outlineLevel="0" r="112">
      <c r="A112" s="4" t="s">
        <v>350</v>
      </c>
      <c r="B112" s="4" t="s">
        <v>290</v>
      </c>
      <c r="C112" s="4"/>
      <c r="D112" s="4" t="s">
        <v>12</v>
      </c>
      <c r="E112" s="4"/>
      <c r="F112" s="4"/>
      <c r="G112" s="4"/>
      <c r="H112" s="4"/>
      <c r="I112" s="4"/>
      <c r="J112" s="4" t="s">
        <v>298</v>
      </c>
      <c r="K112" s="4" t="s">
        <v>296</v>
      </c>
      <c r="L112" s="5" t="str">
        <f aca="false">HYPERLINK("mailto:FOIA@EEOC.gov","mailto:FOIA@EEOC.gov")</f>
        <v>mailto:FOIA@EEOC.gov</v>
      </c>
      <c r="M112" s="4"/>
      <c r="P112" s="6"/>
      <c r="Q112" s="6"/>
      <c r="R112" s="4"/>
    </row>
    <row collapsed="false" customFormat="false" customHeight="true" hidden="false" ht="14.25" outlineLevel="0" r="113">
      <c r="A113" s="4" t="s">
        <v>350</v>
      </c>
      <c r="B113" s="4" t="s">
        <v>290</v>
      </c>
      <c r="C113" s="4" t="s">
        <v>291</v>
      </c>
      <c r="D113" s="4" t="s">
        <v>15</v>
      </c>
      <c r="E113" s="4"/>
      <c r="F113" s="4"/>
      <c r="G113" s="4"/>
      <c r="H113" s="4"/>
      <c r="I113" s="4"/>
      <c r="J113" s="4" t="s">
        <v>295</v>
      </c>
      <c r="K113" s="4" t="s">
        <v>299</v>
      </c>
      <c r="L113" s="5"/>
      <c r="M113" s="4"/>
      <c r="P113" s="6"/>
      <c r="Q113" s="6"/>
      <c r="R113" s="4"/>
    </row>
    <row collapsed="false" customFormat="false" customHeight="true" hidden="false" ht="14.25" outlineLevel="0" r="114">
      <c r="A114" s="4" t="s">
        <v>360</v>
      </c>
      <c r="B114" s="4" t="s">
        <v>290</v>
      </c>
      <c r="C114" s="4" t="s">
        <v>361</v>
      </c>
      <c r="D114" s="4" t="s">
        <v>310</v>
      </c>
      <c r="E114" s="4" t="s">
        <v>362</v>
      </c>
      <c r="F114" s="4" t="s">
        <v>363</v>
      </c>
      <c r="G114" s="4" t="s">
        <v>364</v>
      </c>
      <c r="H114" s="4" t="s">
        <v>275</v>
      </c>
      <c r="I114" s="4" t="n">
        <v>90012</v>
      </c>
      <c r="J114" s="4" t="s">
        <v>365</v>
      </c>
      <c r="K114" s="4" t="s">
        <v>366</v>
      </c>
      <c r="L114" s="5" t="str">
        <f aca="false">HYPERLINK("mailto:LOSAFOIA@eeoc.gov","mailto:LOSAFOIA@eeoc.gov")</f>
        <v>mailto:LOSAFOIA@eeoc.gov</v>
      </c>
      <c r="M114" s="4" t="s">
        <v>367</v>
      </c>
      <c r="P114" s="6"/>
      <c r="Q114" s="6"/>
      <c r="R114" s="4" t="s">
        <v>367</v>
      </c>
    </row>
    <row collapsed="false" customFormat="false" customHeight="true" hidden="false" ht="14.25" outlineLevel="0" r="115">
      <c r="A115" s="4" t="s">
        <v>360</v>
      </c>
      <c r="B115" s="4" t="s">
        <v>290</v>
      </c>
      <c r="C115" s="4"/>
      <c r="D115" s="4" t="s">
        <v>12</v>
      </c>
      <c r="E115" s="4"/>
      <c r="F115" s="4"/>
      <c r="G115" s="4"/>
      <c r="H115" s="4"/>
      <c r="I115" s="4"/>
      <c r="J115" s="4" t="s">
        <v>298</v>
      </c>
      <c r="K115" s="4" t="s">
        <v>296</v>
      </c>
      <c r="L115" s="5" t="str">
        <f aca="false">HYPERLINK("mailto:FOIA@EEOC.gov","mailto:FOIA@EEOC.gov")</f>
        <v>mailto:FOIA@EEOC.gov</v>
      </c>
      <c r="M115" s="4"/>
      <c r="P115" s="6"/>
      <c r="Q115" s="6"/>
      <c r="R115" s="4"/>
    </row>
    <row collapsed="false" customFormat="false" customHeight="true" hidden="false" ht="14.25" outlineLevel="0" r="116">
      <c r="A116" s="4" t="s">
        <v>360</v>
      </c>
      <c r="B116" s="4" t="s">
        <v>290</v>
      </c>
      <c r="C116" s="4" t="s">
        <v>291</v>
      </c>
      <c r="D116" s="4" t="s">
        <v>15</v>
      </c>
      <c r="E116" s="4"/>
      <c r="F116" s="4"/>
      <c r="G116" s="4"/>
      <c r="H116" s="4"/>
      <c r="I116" s="4"/>
      <c r="J116" s="4" t="s">
        <v>295</v>
      </c>
      <c r="K116" s="4" t="s">
        <v>299</v>
      </c>
      <c r="L116" s="5"/>
      <c r="M116" s="4"/>
      <c r="P116" s="6"/>
      <c r="Q116" s="6"/>
      <c r="R116" s="4"/>
    </row>
    <row collapsed="false" customFormat="false" customHeight="true" hidden="false" ht="14.25" outlineLevel="0" r="117">
      <c r="A117" s="4" t="s">
        <v>368</v>
      </c>
      <c r="B117" s="4" t="s">
        <v>290</v>
      </c>
      <c r="C117" s="4" t="s">
        <v>369</v>
      </c>
      <c r="D117" s="4" t="s">
        <v>302</v>
      </c>
      <c r="E117" s="4" t="s">
        <v>370</v>
      </c>
      <c r="F117" s="4" t="s">
        <v>371</v>
      </c>
      <c r="G117" s="4" t="s">
        <v>372</v>
      </c>
      <c r="H117" s="4" t="s">
        <v>373</v>
      </c>
      <c r="I117" s="4" t="n">
        <v>38104</v>
      </c>
      <c r="J117" s="4" t="s">
        <v>374</v>
      </c>
      <c r="K117" s="4" t="s">
        <v>375</v>
      </c>
      <c r="L117" s="5" t="str">
        <f aca="false">HYPERLINK("mailto:MEMPFOIA@eeoc.gov","mailto:MEMPFOIA@eeoc.gov")</f>
        <v>mailto:MEMPFOIA@eeoc.gov</v>
      </c>
      <c r="M117" s="4" t="s">
        <v>376</v>
      </c>
      <c r="P117" s="6"/>
      <c r="Q117" s="6"/>
      <c r="R117" s="4" t="s">
        <v>376</v>
      </c>
    </row>
    <row collapsed="false" customFormat="false" customHeight="true" hidden="false" ht="14.25" outlineLevel="0" r="118">
      <c r="A118" s="4" t="s">
        <v>368</v>
      </c>
      <c r="B118" s="4" t="s">
        <v>290</v>
      </c>
      <c r="C118" s="4"/>
      <c r="D118" s="4" t="s">
        <v>12</v>
      </c>
      <c r="E118" s="4"/>
      <c r="F118" s="4"/>
      <c r="G118" s="4"/>
      <c r="H118" s="4"/>
      <c r="I118" s="4"/>
      <c r="J118" s="4" t="s">
        <v>298</v>
      </c>
      <c r="K118" s="4" t="s">
        <v>296</v>
      </c>
      <c r="L118" s="5" t="str">
        <f aca="false">HYPERLINK("mailto:FOIA@EEOC.gov","mailto:FOIA@EEOC.gov")</f>
        <v>mailto:FOIA@EEOC.gov</v>
      </c>
      <c r="M118" s="4"/>
      <c r="P118" s="6"/>
      <c r="Q118" s="6"/>
      <c r="R118" s="4"/>
    </row>
    <row collapsed="false" customFormat="false" customHeight="true" hidden="false" ht="14.25" outlineLevel="0" r="119">
      <c r="A119" s="4" t="s">
        <v>368</v>
      </c>
      <c r="B119" s="4" t="s">
        <v>290</v>
      </c>
      <c r="C119" s="4" t="s">
        <v>291</v>
      </c>
      <c r="D119" s="4" t="s">
        <v>15</v>
      </c>
      <c r="E119" s="4"/>
      <c r="F119" s="4"/>
      <c r="G119" s="4"/>
      <c r="H119" s="4"/>
      <c r="I119" s="4"/>
      <c r="J119" s="4" t="s">
        <v>295</v>
      </c>
      <c r="K119" s="4" t="s">
        <v>299</v>
      </c>
      <c r="L119" s="5"/>
      <c r="M119" s="4"/>
      <c r="P119" s="6"/>
      <c r="Q119" s="6"/>
      <c r="R119" s="4"/>
    </row>
    <row collapsed="false" customFormat="false" customHeight="true" hidden="false" ht="14.25" outlineLevel="0" r="120">
      <c r="A120" s="4" t="s">
        <v>377</v>
      </c>
      <c r="B120" s="4" t="s">
        <v>290</v>
      </c>
      <c r="C120" s="4" t="s">
        <v>378</v>
      </c>
      <c r="D120" s="4" t="s">
        <v>310</v>
      </c>
      <c r="E120" s="4" t="s">
        <v>379</v>
      </c>
      <c r="F120" s="4" t="s">
        <v>380</v>
      </c>
      <c r="G120" s="4" t="s">
        <v>381</v>
      </c>
      <c r="H120" s="4" t="s">
        <v>382</v>
      </c>
      <c r="I120" s="4" t="n">
        <v>33131</v>
      </c>
      <c r="J120" s="4" t="s">
        <v>383</v>
      </c>
      <c r="K120" s="4" t="s">
        <v>384</v>
      </c>
      <c r="L120" s="5" t="str">
        <f aca="false">HYPERLINK("mailto:MEMPFOIA@eeoc.gov","mailto:MIAMFOIA@eeoc.gov; PUERFOIA@eeoc.gov ")</f>
        <v>mailto:MIAMFOIA@eeoc.gov; PUERFOIA@eeoc.gov </v>
      </c>
      <c r="M120" s="4" t="s">
        <v>385</v>
      </c>
      <c r="P120" s="6"/>
      <c r="Q120" s="6"/>
      <c r="R120" s="4" t="s">
        <v>385</v>
      </c>
    </row>
    <row collapsed="false" customFormat="false" customHeight="true" hidden="false" ht="14.25" outlineLevel="0" r="121">
      <c r="A121" s="4" t="s">
        <v>377</v>
      </c>
      <c r="B121" s="4" t="s">
        <v>290</v>
      </c>
      <c r="C121" s="4"/>
      <c r="D121" s="4" t="s">
        <v>12</v>
      </c>
      <c r="E121" s="4"/>
      <c r="F121" s="4"/>
      <c r="G121" s="4"/>
      <c r="H121" s="4"/>
      <c r="I121" s="4"/>
      <c r="J121" s="4" t="s">
        <v>298</v>
      </c>
      <c r="K121" s="4" t="s">
        <v>296</v>
      </c>
      <c r="L121" s="5" t="str">
        <f aca="false">HYPERLINK("mailto:FOIA@EEOC.gov","mailto:FOIA@EEOC.gov")</f>
        <v>mailto:FOIA@EEOC.gov</v>
      </c>
      <c r="M121" s="4"/>
      <c r="P121" s="6"/>
      <c r="Q121" s="6"/>
      <c r="R121" s="4"/>
    </row>
    <row collapsed="false" customFormat="false" customHeight="true" hidden="false" ht="14.25" outlineLevel="0" r="122">
      <c r="A122" s="4" t="s">
        <v>377</v>
      </c>
      <c r="B122" s="4" t="s">
        <v>290</v>
      </c>
      <c r="C122" s="4" t="s">
        <v>291</v>
      </c>
      <c r="D122" s="4" t="s">
        <v>15</v>
      </c>
      <c r="E122" s="4"/>
      <c r="F122" s="4"/>
      <c r="G122" s="4"/>
      <c r="H122" s="4"/>
      <c r="I122" s="4"/>
      <c r="J122" s="4" t="s">
        <v>295</v>
      </c>
      <c r="K122" s="4" t="s">
        <v>299</v>
      </c>
      <c r="L122" s="5"/>
      <c r="M122" s="4"/>
      <c r="P122" s="6"/>
      <c r="Q122" s="6"/>
      <c r="R122" s="4"/>
    </row>
    <row collapsed="false" customFormat="false" customHeight="true" hidden="false" ht="14.25" outlineLevel="0" r="123">
      <c r="A123" s="4" t="s">
        <v>386</v>
      </c>
      <c r="B123" s="4" t="s">
        <v>290</v>
      </c>
      <c r="C123" s="4" t="s">
        <v>387</v>
      </c>
      <c r="D123" s="4" t="s">
        <v>310</v>
      </c>
      <c r="E123" s="4" t="s">
        <v>388</v>
      </c>
      <c r="F123" s="4" t="s">
        <v>389</v>
      </c>
      <c r="G123" s="4" t="s">
        <v>207</v>
      </c>
      <c r="H123" s="4" t="s">
        <v>208</v>
      </c>
      <c r="I123" s="4" t="n">
        <v>10004</v>
      </c>
      <c r="J123" s="4" t="s">
        <v>390</v>
      </c>
      <c r="K123" s="4" t="s">
        <v>391</v>
      </c>
      <c r="L123" s="5" t="str">
        <f aca="false">HYPERLINK("mailto:NEWYFOIA@eeoc.gov","mailto:NEWYFOIA@eeoc.gov")</f>
        <v>mailto:NEWYFOIA@eeoc.gov</v>
      </c>
      <c r="M123" s="4" t="s">
        <v>392</v>
      </c>
      <c r="P123" s="6"/>
      <c r="Q123" s="6"/>
      <c r="R123" s="4" t="s">
        <v>392</v>
      </c>
    </row>
    <row collapsed="false" customFormat="false" customHeight="true" hidden="false" ht="14.25" outlineLevel="0" r="124">
      <c r="A124" s="4" t="s">
        <v>386</v>
      </c>
      <c r="B124" s="4" t="s">
        <v>290</v>
      </c>
      <c r="C124" s="4"/>
      <c r="D124" s="4" t="s">
        <v>12</v>
      </c>
      <c r="E124" s="4"/>
      <c r="F124" s="4"/>
      <c r="G124" s="4"/>
      <c r="H124" s="4"/>
      <c r="I124" s="4"/>
      <c r="J124" s="4" t="s">
        <v>298</v>
      </c>
      <c r="K124" s="4" t="s">
        <v>296</v>
      </c>
      <c r="L124" s="5" t="str">
        <f aca="false">HYPERLINK("mailto:FOIA@EEOC.gov","mailto:FOIA@EEOC.gov")</f>
        <v>mailto:FOIA@EEOC.gov</v>
      </c>
      <c r="M124" s="4"/>
      <c r="P124" s="6"/>
      <c r="Q124" s="6"/>
      <c r="R124" s="4"/>
    </row>
    <row collapsed="false" customFormat="false" customHeight="true" hidden="false" ht="14.25" outlineLevel="0" r="125">
      <c r="A125" s="4" t="s">
        <v>386</v>
      </c>
      <c r="B125" s="4" t="s">
        <v>290</v>
      </c>
      <c r="C125" s="4" t="s">
        <v>291</v>
      </c>
      <c r="D125" s="4" t="s">
        <v>15</v>
      </c>
      <c r="E125" s="4"/>
      <c r="F125" s="4"/>
      <c r="G125" s="4"/>
      <c r="H125" s="4"/>
      <c r="I125" s="4"/>
      <c r="J125" s="4" t="s">
        <v>295</v>
      </c>
      <c r="K125" s="4" t="s">
        <v>299</v>
      </c>
      <c r="L125" s="5"/>
      <c r="M125" s="4"/>
      <c r="P125" s="6"/>
      <c r="Q125" s="6"/>
      <c r="R125" s="4"/>
    </row>
    <row collapsed="false" customFormat="false" customHeight="true" hidden="false" ht="14.25" outlineLevel="0" r="126">
      <c r="A126" s="4" t="s">
        <v>393</v>
      </c>
      <c r="B126" s="4" t="s">
        <v>290</v>
      </c>
      <c r="C126" s="4" t="s">
        <v>394</v>
      </c>
      <c r="D126" s="4" t="s">
        <v>310</v>
      </c>
      <c r="E126" s="4" t="s">
        <v>395</v>
      </c>
      <c r="F126" s="4" t="s">
        <v>396</v>
      </c>
      <c r="G126" s="4" t="s">
        <v>217</v>
      </c>
      <c r="H126" s="4" t="s">
        <v>218</v>
      </c>
      <c r="I126" s="4" t="s">
        <v>397</v>
      </c>
      <c r="J126" s="4" t="s">
        <v>398</v>
      </c>
      <c r="K126" s="4" t="s">
        <v>399</v>
      </c>
      <c r="L126" s="5" t="str">
        <f aca="false">HYPERLINK("mailto:PHILFOIA@eeoc.gov","mailto:PHILFOIA@eeoc.gov")</f>
        <v>mailto:PHILFOIA@eeoc.gov</v>
      </c>
      <c r="M126" s="4" t="s">
        <v>400</v>
      </c>
      <c r="P126" s="6"/>
      <c r="Q126" s="6"/>
      <c r="R126" s="4" t="s">
        <v>400</v>
      </c>
    </row>
    <row collapsed="false" customFormat="false" customHeight="true" hidden="false" ht="14.25" outlineLevel="0" r="127">
      <c r="A127" s="4" t="s">
        <v>393</v>
      </c>
      <c r="B127" s="4" t="s">
        <v>290</v>
      </c>
      <c r="C127" s="4"/>
      <c r="D127" s="4" t="s">
        <v>12</v>
      </c>
      <c r="E127" s="4"/>
      <c r="F127" s="4"/>
      <c r="G127" s="4"/>
      <c r="H127" s="4"/>
      <c r="I127" s="4"/>
      <c r="J127" s="4" t="s">
        <v>298</v>
      </c>
      <c r="K127" s="4" t="s">
        <v>296</v>
      </c>
      <c r="L127" s="5" t="str">
        <f aca="false">HYPERLINK("mailto:FOIA@EEOC.gov","mailto:FOIA@EEOC.gov")</f>
        <v>mailto:FOIA@EEOC.gov</v>
      </c>
      <c r="M127" s="4"/>
      <c r="P127" s="6"/>
      <c r="Q127" s="6"/>
      <c r="R127" s="4"/>
    </row>
    <row collapsed="false" customFormat="false" customHeight="true" hidden="false" ht="14.25" outlineLevel="0" r="128">
      <c r="A128" s="4" t="s">
        <v>393</v>
      </c>
      <c r="B128" s="4" t="s">
        <v>290</v>
      </c>
      <c r="C128" s="4" t="s">
        <v>291</v>
      </c>
      <c r="D128" s="4" t="s">
        <v>15</v>
      </c>
      <c r="E128" s="4"/>
      <c r="F128" s="4"/>
      <c r="G128" s="4"/>
      <c r="H128" s="4"/>
      <c r="I128" s="4"/>
      <c r="J128" s="4" t="s">
        <v>295</v>
      </c>
      <c r="K128" s="4" t="s">
        <v>299</v>
      </c>
      <c r="L128" s="5"/>
      <c r="M128" s="4"/>
      <c r="P128" s="6"/>
      <c r="Q128" s="6"/>
      <c r="R128" s="4"/>
    </row>
    <row collapsed="false" customFormat="false" customHeight="true" hidden="false" ht="14.25" outlineLevel="0" r="129">
      <c r="A129" s="4" t="s">
        <v>401</v>
      </c>
      <c r="B129" s="4" t="s">
        <v>290</v>
      </c>
      <c r="C129" s="4" t="s">
        <v>402</v>
      </c>
      <c r="D129" s="4" t="s">
        <v>403</v>
      </c>
      <c r="E129" s="4" t="s">
        <v>404</v>
      </c>
      <c r="F129" s="4" t="s">
        <v>405</v>
      </c>
      <c r="G129" s="4" t="s">
        <v>406</v>
      </c>
      <c r="H129" s="4" t="s">
        <v>407</v>
      </c>
      <c r="I129" s="4" t="s">
        <v>408</v>
      </c>
      <c r="J129" s="4" t="s">
        <v>409</v>
      </c>
      <c r="K129" s="4" t="s">
        <v>410</v>
      </c>
      <c r="L129" s="5" t="str">
        <f aca="false">HYPERLINK("mailto:phoenixfoia@eeoc.gov","mailto:phoenixfoia@eeoc.gov")</f>
        <v>mailto:phoenixfoia@eeoc.gov</v>
      </c>
      <c r="M129" s="4" t="s">
        <v>411</v>
      </c>
      <c r="P129" s="6"/>
      <c r="Q129" s="6"/>
      <c r="R129" s="4" t="s">
        <v>411</v>
      </c>
    </row>
    <row collapsed="false" customFormat="false" customHeight="true" hidden="false" ht="14.25" outlineLevel="0" r="130">
      <c r="A130" s="4" t="s">
        <v>401</v>
      </c>
      <c r="B130" s="4" t="s">
        <v>290</v>
      </c>
      <c r="C130" s="4"/>
      <c r="D130" s="4" t="s">
        <v>12</v>
      </c>
      <c r="E130" s="4"/>
      <c r="F130" s="4"/>
      <c r="G130" s="4"/>
      <c r="H130" s="4"/>
      <c r="I130" s="4"/>
      <c r="J130" s="4" t="s">
        <v>298</v>
      </c>
      <c r="K130" s="4" t="s">
        <v>296</v>
      </c>
      <c r="L130" s="5" t="str">
        <f aca="false">HYPERLINK("mailto:FOIA@EEOC.gov","mailto:FOIA@EEOC.gov")</f>
        <v>mailto:FOIA@EEOC.gov</v>
      </c>
      <c r="M130" s="4"/>
      <c r="P130" s="6"/>
      <c r="Q130" s="6"/>
      <c r="R130" s="4"/>
    </row>
    <row collapsed="false" customFormat="false" customHeight="true" hidden="false" ht="14.25" outlineLevel="0" r="131">
      <c r="A131" s="4" t="s">
        <v>401</v>
      </c>
      <c r="B131" s="4" t="s">
        <v>290</v>
      </c>
      <c r="C131" s="4" t="s">
        <v>291</v>
      </c>
      <c r="D131" s="4" t="s">
        <v>15</v>
      </c>
      <c r="E131" s="4"/>
      <c r="F131" s="4"/>
      <c r="G131" s="4"/>
      <c r="H131" s="4"/>
      <c r="I131" s="4"/>
      <c r="J131" s="4" t="s">
        <v>295</v>
      </c>
      <c r="K131" s="4" t="s">
        <v>299</v>
      </c>
      <c r="L131" s="5"/>
      <c r="M131" s="4"/>
      <c r="P131" s="6"/>
      <c r="Q131" s="6"/>
      <c r="R131" s="4"/>
    </row>
    <row collapsed="false" customFormat="false" customHeight="true" hidden="false" ht="14.25" outlineLevel="0" r="132">
      <c r="A132" s="4" t="s">
        <v>412</v>
      </c>
      <c r="B132" s="4" t="s">
        <v>290</v>
      </c>
      <c r="C132" s="4" t="s">
        <v>413</v>
      </c>
      <c r="D132" s="4" t="s">
        <v>310</v>
      </c>
      <c r="E132" s="4" t="s">
        <v>28</v>
      </c>
      <c r="F132" s="4" t="s">
        <v>414</v>
      </c>
      <c r="G132" s="4" t="s">
        <v>274</v>
      </c>
      <c r="H132" s="4" t="s">
        <v>275</v>
      </c>
      <c r="I132" s="4" t="s">
        <v>415</v>
      </c>
      <c r="J132" s="4" t="s">
        <v>416</v>
      </c>
      <c r="K132" s="4" t="s">
        <v>417</v>
      </c>
      <c r="L132" s="5" t="str">
        <f aca="false">HYPERLINK("mailto:SANFFOIA@eeoc.gov","mailto:SANFFOIA@eeoc.gov")</f>
        <v>mailto:SANFFOIA@eeoc.gov</v>
      </c>
      <c r="M132" s="4" t="s">
        <v>418</v>
      </c>
      <c r="P132" s="6"/>
      <c r="Q132" s="6"/>
      <c r="R132" s="4" t="s">
        <v>418</v>
      </c>
    </row>
    <row collapsed="false" customFormat="false" customHeight="true" hidden="false" ht="14.25" outlineLevel="0" r="133">
      <c r="A133" s="4" t="s">
        <v>412</v>
      </c>
      <c r="B133" s="4" t="s">
        <v>290</v>
      </c>
      <c r="C133" s="4"/>
      <c r="D133" s="4" t="s">
        <v>12</v>
      </c>
      <c r="E133" s="4"/>
      <c r="F133" s="4"/>
      <c r="G133" s="4"/>
      <c r="H133" s="4"/>
      <c r="I133" s="4"/>
      <c r="J133" s="4" t="s">
        <v>298</v>
      </c>
      <c r="K133" s="4" t="s">
        <v>296</v>
      </c>
      <c r="L133" s="5" t="str">
        <f aca="false">HYPERLINK("mailto:FOIA@EEOC.gov","mailto:FOIA@EEOC.gov")</f>
        <v>mailto:FOIA@EEOC.gov</v>
      </c>
      <c r="M133" s="4"/>
      <c r="P133" s="6"/>
      <c r="Q133" s="6"/>
      <c r="R133" s="4"/>
    </row>
    <row collapsed="false" customFormat="false" customHeight="true" hidden="false" ht="14.25" outlineLevel="0" r="134">
      <c r="A134" s="4" t="s">
        <v>412</v>
      </c>
      <c r="B134" s="4" t="s">
        <v>290</v>
      </c>
      <c r="C134" s="4" t="s">
        <v>291</v>
      </c>
      <c r="D134" s="4" t="s">
        <v>15</v>
      </c>
      <c r="E134" s="4"/>
      <c r="F134" s="4"/>
      <c r="G134" s="4"/>
      <c r="H134" s="4"/>
      <c r="I134" s="4"/>
      <c r="J134" s="4" t="s">
        <v>295</v>
      </c>
      <c r="K134" s="4" t="s">
        <v>299</v>
      </c>
      <c r="L134" s="5"/>
      <c r="M134" s="4"/>
      <c r="P134" s="6"/>
      <c r="Q134" s="6"/>
      <c r="R134" s="4"/>
    </row>
    <row collapsed="false" customFormat="false" customHeight="true" hidden="false" ht="14.25" outlineLevel="0" r="135">
      <c r="A135" s="4" t="s">
        <v>419</v>
      </c>
      <c r="B135" s="4" t="s">
        <v>290</v>
      </c>
      <c r="C135" s="4" t="s">
        <v>420</v>
      </c>
      <c r="D135" s="4" t="s">
        <v>310</v>
      </c>
      <c r="E135" s="4" t="s">
        <v>421</v>
      </c>
      <c r="F135" s="4" t="s">
        <v>422</v>
      </c>
      <c r="G135" s="4" t="s">
        <v>423</v>
      </c>
      <c r="H135" s="4" t="s">
        <v>424</v>
      </c>
      <c r="I135" s="4" t="n">
        <v>63103</v>
      </c>
      <c r="J135" s="4" t="s">
        <v>425</v>
      </c>
      <c r="K135" s="4" t="s">
        <v>426</v>
      </c>
      <c r="L135" s="5" t="str">
        <f aca="false">HYPERLINK("mailto:STLOFOIA@eeoc.gov","mailto:STLOFOIA@eeoc.gov")</f>
        <v>mailto:STLOFOIA@eeoc.gov</v>
      </c>
      <c r="M135" s="4" t="s">
        <v>427</v>
      </c>
      <c r="P135" s="6"/>
      <c r="Q135" s="6"/>
      <c r="R135" s="4" t="s">
        <v>427</v>
      </c>
    </row>
    <row collapsed="false" customFormat="false" customHeight="true" hidden="false" ht="14.25" outlineLevel="0" r="136">
      <c r="A136" s="4" t="s">
        <v>419</v>
      </c>
      <c r="B136" s="4" t="s">
        <v>290</v>
      </c>
      <c r="C136" s="4"/>
      <c r="D136" s="4" t="s">
        <v>12</v>
      </c>
      <c r="E136" s="4"/>
      <c r="F136" s="4"/>
      <c r="G136" s="4"/>
      <c r="H136" s="4"/>
      <c r="I136" s="4"/>
      <c r="J136" s="4" t="s">
        <v>298</v>
      </c>
      <c r="K136" s="4" t="s">
        <v>296</v>
      </c>
      <c r="L136" s="5" t="str">
        <f aca="false">HYPERLINK("mailto:FOIA@EEOC.gov","mailto:FOIA@EEOC.gov")</f>
        <v>mailto:FOIA@EEOC.gov</v>
      </c>
      <c r="M136" s="4"/>
      <c r="P136" s="6"/>
      <c r="Q136" s="6"/>
      <c r="R136" s="4"/>
    </row>
    <row collapsed="false" customFormat="false" customHeight="true" hidden="false" ht="14.25" outlineLevel="0" r="137">
      <c r="A137" s="4" t="s">
        <v>419</v>
      </c>
      <c r="B137" s="4" t="s">
        <v>290</v>
      </c>
      <c r="C137" s="4" t="s">
        <v>291</v>
      </c>
      <c r="D137" s="4" t="s">
        <v>15</v>
      </c>
      <c r="E137" s="4"/>
      <c r="F137" s="4"/>
      <c r="G137" s="4"/>
      <c r="H137" s="4"/>
      <c r="I137" s="4"/>
      <c r="J137" s="4" t="s">
        <v>295</v>
      </c>
      <c r="K137" s="4" t="s">
        <v>299</v>
      </c>
      <c r="L137" s="5"/>
      <c r="M137" s="4"/>
      <c r="P137" s="6"/>
      <c r="Q137" s="6"/>
      <c r="R137" s="4"/>
    </row>
    <row collapsed="false" customFormat="false" customHeight="true" hidden="false" ht="14.25" outlineLevel="0" r="138">
      <c r="A138" s="4" t="s">
        <v>428</v>
      </c>
      <c r="B138" s="4" t="s">
        <v>290</v>
      </c>
      <c r="C138" s="4" t="s">
        <v>429</v>
      </c>
      <c r="D138" s="4" t="s">
        <v>310</v>
      </c>
      <c r="E138" s="4" t="s">
        <v>430</v>
      </c>
      <c r="F138" s="4" t="s">
        <v>294</v>
      </c>
      <c r="G138" s="4" t="s">
        <v>5</v>
      </c>
      <c r="H138" s="4" t="s">
        <v>6</v>
      </c>
      <c r="I138" s="4" t="n">
        <v>20507</v>
      </c>
      <c r="J138" s="4" t="s">
        <v>431</v>
      </c>
      <c r="K138" s="4"/>
      <c r="L138" s="5" t="str">
        <f aca="false">HYPERLINK("mailto:WASHFOIA@eeoc.gov","mailto:WASHFOIA@eeoc.gov")</f>
        <v>mailto:WASHFOIA@eeoc.gov</v>
      </c>
      <c r="M138" s="4" t="s">
        <v>432</v>
      </c>
      <c r="P138" s="6"/>
      <c r="Q138" s="6"/>
      <c r="R138" s="4" t="s">
        <v>432</v>
      </c>
    </row>
    <row collapsed="false" customFormat="false" customHeight="true" hidden="false" ht="14.25" outlineLevel="0" r="139">
      <c r="A139" s="4" t="s">
        <v>428</v>
      </c>
      <c r="B139" s="4" t="s">
        <v>290</v>
      </c>
      <c r="C139" s="4"/>
      <c r="D139" s="4" t="s">
        <v>12</v>
      </c>
      <c r="E139" s="4"/>
      <c r="F139" s="4"/>
      <c r="G139" s="4"/>
      <c r="H139" s="4"/>
      <c r="I139" s="4"/>
      <c r="J139" s="4" t="s">
        <v>298</v>
      </c>
      <c r="K139" s="4" t="s">
        <v>296</v>
      </c>
      <c r="L139" s="5" t="str">
        <f aca="false">HYPERLINK("mailto:FOIA@EEOC.gov","mailto:FOIA@EEOC.gov")</f>
        <v>mailto:FOIA@EEOC.gov</v>
      </c>
      <c r="M139" s="4"/>
      <c r="P139" s="6"/>
      <c r="Q139" s="6"/>
      <c r="R139" s="4"/>
    </row>
    <row collapsed="false" customFormat="false" customHeight="true" hidden="false" ht="14.25" outlineLevel="0" r="140">
      <c r="A140" s="4" t="s">
        <v>428</v>
      </c>
      <c r="B140" s="4" t="s">
        <v>290</v>
      </c>
      <c r="C140" s="4" t="s">
        <v>291</v>
      </c>
      <c r="D140" s="4" t="s">
        <v>15</v>
      </c>
      <c r="E140" s="4"/>
      <c r="F140" s="4"/>
      <c r="G140" s="4"/>
      <c r="H140" s="4"/>
      <c r="I140" s="4"/>
      <c r="J140" s="4" t="s">
        <v>295</v>
      </c>
      <c r="K140" s="4" t="s">
        <v>299</v>
      </c>
      <c r="L140" s="5"/>
      <c r="M140" s="4"/>
      <c r="P140" s="6"/>
      <c r="Q140" s="6"/>
      <c r="R140" s="4"/>
    </row>
    <row collapsed="false" customFormat="false" customHeight="true" hidden="false" ht="14.25" outlineLevel="0" r="141">
      <c r="A141" s="4" t="s">
        <v>288</v>
      </c>
      <c r="B141" s="4" t="s">
        <v>290</v>
      </c>
      <c r="C141" s="4" t="s">
        <v>291</v>
      </c>
      <c r="D141" s="4" t="s">
        <v>433</v>
      </c>
      <c r="E141" s="4" t="s">
        <v>293</v>
      </c>
      <c r="F141" s="4" t="s">
        <v>294</v>
      </c>
      <c r="G141" s="4" t="s">
        <v>5</v>
      </c>
      <c r="H141" s="4" t="s">
        <v>6</v>
      </c>
      <c r="I141" s="4" t="n">
        <v>20507</v>
      </c>
      <c r="J141" s="4" t="s">
        <v>295</v>
      </c>
      <c r="K141" s="4" t="s">
        <v>299</v>
      </c>
      <c r="L141" s="5" t="str">
        <f aca="false">HYPERLINK("mailto:FOIA@EEOC.gov","mailto:FOIA@EEOC.gov")</f>
        <v>mailto:FOIA@EEOC.gov</v>
      </c>
      <c r="M141" s="4" t="s">
        <v>297</v>
      </c>
      <c r="P141" s="6"/>
      <c r="Q141" s="6"/>
      <c r="R141" s="4" t="s">
        <v>297</v>
      </c>
    </row>
    <row collapsed="false" customFormat="false" customHeight="true" hidden="false" ht="14.25" outlineLevel="0" r="142">
      <c r="A142" s="4" t="s">
        <v>288</v>
      </c>
      <c r="B142" s="4" t="s">
        <v>290</v>
      </c>
      <c r="C142" s="4"/>
      <c r="D142" s="4" t="s">
        <v>12</v>
      </c>
      <c r="E142" s="4"/>
      <c r="F142" s="4"/>
      <c r="G142" s="4"/>
      <c r="H142" s="4"/>
      <c r="I142" s="4"/>
      <c r="J142" s="4" t="s">
        <v>298</v>
      </c>
      <c r="K142" s="4" t="s">
        <v>296</v>
      </c>
      <c r="L142" s="5" t="str">
        <f aca="false">HYPERLINK("mailto:FOIA@EEOC.gov","mailto:FOIA@EEOC.gov")</f>
        <v>mailto:FOIA@EEOC.gov</v>
      </c>
      <c r="M142" s="4"/>
      <c r="P142" s="6"/>
      <c r="Q142" s="6"/>
      <c r="R142" s="4"/>
    </row>
    <row collapsed="false" customFormat="false" customHeight="true" hidden="false" ht="14.25" outlineLevel="0" r="143">
      <c r="A143" s="4" t="s">
        <v>288</v>
      </c>
      <c r="B143" s="4" t="s">
        <v>290</v>
      </c>
      <c r="C143" s="4" t="s">
        <v>291</v>
      </c>
      <c r="D143" s="4" t="s">
        <v>15</v>
      </c>
      <c r="E143" s="4"/>
      <c r="F143" s="4"/>
      <c r="G143" s="4"/>
      <c r="H143" s="4"/>
      <c r="I143" s="4"/>
      <c r="J143" s="4" t="s">
        <v>295</v>
      </c>
      <c r="K143" s="4" t="s">
        <v>299</v>
      </c>
      <c r="L143" s="5"/>
      <c r="M143" s="4"/>
      <c r="P143" s="6"/>
      <c r="Q143" s="6"/>
      <c r="R143" s="4"/>
    </row>
    <row collapsed="false" customFormat="false" customHeight="true" hidden="false" ht="14.25" outlineLevel="0" r="144">
      <c r="A144" s="4" t="s">
        <v>434</v>
      </c>
      <c r="B144" s="4" t="s">
        <v>435</v>
      </c>
      <c r="C144" s="4" t="s">
        <v>436</v>
      </c>
      <c r="D144" s="4" t="s">
        <v>437</v>
      </c>
      <c r="E144" s="4"/>
      <c r="F144" s="4" t="s">
        <v>438</v>
      </c>
      <c r="G144" s="4" t="s">
        <v>5</v>
      </c>
      <c r="H144" s="4" t="s">
        <v>6</v>
      </c>
      <c r="I144" s="4" t="n">
        <v>20503</v>
      </c>
      <c r="J144" s="4" t="s">
        <v>439</v>
      </c>
      <c r="K144" s="4" t="s">
        <v>440</v>
      </c>
      <c r="L144" s="5" t="str">
        <f aca="false">HYPERLINK("mailto:efoia@ceq.eop.gov","mailto:efoia@ceq.eop.gov")</f>
        <v>mailto:efoia@ceq.eop.gov</v>
      </c>
      <c r="M144" s="4" t="s">
        <v>441</v>
      </c>
      <c r="P144" s="6"/>
      <c r="Q144" s="6"/>
      <c r="R144" s="4" t="s">
        <v>441</v>
      </c>
    </row>
    <row collapsed="false" customFormat="false" customHeight="true" hidden="false" ht="14.25" outlineLevel="0" r="145">
      <c r="A145" s="4" t="s">
        <v>434</v>
      </c>
      <c r="B145" s="4" t="s">
        <v>435</v>
      </c>
      <c r="C145" s="4"/>
      <c r="D145" s="4" t="s">
        <v>12</v>
      </c>
      <c r="E145" s="4"/>
      <c r="F145" s="4"/>
      <c r="G145" s="4"/>
      <c r="H145" s="4"/>
      <c r="I145" s="4"/>
      <c r="J145" s="4" t="s">
        <v>442</v>
      </c>
      <c r="K145" s="4"/>
      <c r="L145" s="5" t="str">
        <f aca="false">HYPERLINK("mailto:efoia@ceq.eop.gov","mailto:efoia@ceq.eop.gov")</f>
        <v>mailto:efoia@ceq.eop.gov</v>
      </c>
      <c r="M145" s="4"/>
      <c r="P145" s="6"/>
      <c r="Q145" s="6"/>
      <c r="R145" s="4"/>
    </row>
    <row collapsed="false" customFormat="false" customHeight="true" hidden="false" ht="14.25" outlineLevel="0" r="146">
      <c r="A146" s="4" t="s">
        <v>434</v>
      </c>
      <c r="B146" s="4" t="s">
        <v>435</v>
      </c>
      <c r="C146" s="4" t="s">
        <v>443</v>
      </c>
      <c r="D146" s="4" t="s">
        <v>15</v>
      </c>
      <c r="E146" s="4"/>
      <c r="F146" s="4"/>
      <c r="G146" s="4"/>
      <c r="H146" s="4"/>
      <c r="I146" s="4"/>
      <c r="J146" s="4" t="s">
        <v>444</v>
      </c>
      <c r="K146" s="4"/>
      <c r="L146" s="5" t="s">
        <v>445</v>
      </c>
      <c r="M146" s="4"/>
      <c r="P146" s="6"/>
      <c r="Q146" s="6"/>
      <c r="R146" s="4"/>
    </row>
    <row collapsed="false" customFormat="false" customHeight="true" hidden="false" ht="15" outlineLevel="0" r="147">
      <c r="A147" s="4" t="s">
        <v>446</v>
      </c>
      <c r="B147" s="4" t="s">
        <v>435</v>
      </c>
      <c r="C147" s="4" t="s">
        <v>447</v>
      </c>
      <c r="D147" s="4" t="s">
        <v>2</v>
      </c>
      <c r="E147" s="4" t="s">
        <v>448</v>
      </c>
      <c r="F147" s="4" t="s">
        <v>449</v>
      </c>
      <c r="G147" s="4" t="s">
        <v>5</v>
      </c>
      <c r="H147" s="4" t="s">
        <v>6</v>
      </c>
      <c r="I147" s="4" t="n">
        <v>20503</v>
      </c>
      <c r="J147" s="4" t="s">
        <v>450</v>
      </c>
      <c r="K147" s="4" t="s">
        <v>451</v>
      </c>
      <c r="L147" s="5" t="str">
        <f aca="false">HYPERLINK("mailto:OMBFOIA@omb.eop.gov","mailto:OMBFOIA@omb.eop.gov")</f>
        <v>mailto:OMBFOIA@omb.eop.gov</v>
      </c>
      <c r="M147" s="4" t="s">
        <v>452</v>
      </c>
      <c r="P147" s="6"/>
      <c r="Q147" s="6"/>
      <c r="R147" s="4" t="s">
        <v>452</v>
      </c>
    </row>
    <row collapsed="false" customFormat="false" customHeight="true" hidden="false" ht="15" outlineLevel="0" r="148">
      <c r="A148" s="4" t="s">
        <v>446</v>
      </c>
      <c r="B148" s="4" t="s">
        <v>435</v>
      </c>
      <c r="C148" s="4"/>
      <c r="D148" s="4" t="s">
        <v>12</v>
      </c>
      <c r="E148" s="4"/>
      <c r="F148" s="4"/>
      <c r="G148" s="4"/>
      <c r="H148" s="4"/>
      <c r="I148" s="4"/>
      <c r="J148" s="4" t="s">
        <v>450</v>
      </c>
      <c r="K148" s="4"/>
      <c r="L148" s="5"/>
      <c r="M148" s="4"/>
      <c r="P148" s="6"/>
      <c r="Q148" s="6"/>
      <c r="R148" s="4"/>
    </row>
    <row collapsed="false" customFormat="false" customHeight="true" hidden="false" ht="15" outlineLevel="0" r="149">
      <c r="A149" s="4" t="s">
        <v>446</v>
      </c>
      <c r="B149" s="4" t="s">
        <v>435</v>
      </c>
      <c r="C149" s="4" t="s">
        <v>453</v>
      </c>
      <c r="D149" s="4" t="s">
        <v>15</v>
      </c>
      <c r="E149" s="4"/>
      <c r="F149" s="4"/>
      <c r="G149" s="4"/>
      <c r="H149" s="4"/>
      <c r="I149" s="4"/>
      <c r="J149" s="4" t="s">
        <v>454</v>
      </c>
      <c r="K149" s="4"/>
      <c r="L149" s="5"/>
      <c r="M149" s="4"/>
      <c r="P149" s="6"/>
      <c r="Q149" s="6"/>
      <c r="R149" s="4"/>
    </row>
    <row collapsed="false" customFormat="false" customHeight="true" hidden="false" ht="15" outlineLevel="0" r="150">
      <c r="A150" s="4" t="s">
        <v>455</v>
      </c>
      <c r="B150" s="4" t="s">
        <v>435</v>
      </c>
      <c r="C150" s="4" t="s">
        <v>456</v>
      </c>
      <c r="D150" s="4" t="s">
        <v>457</v>
      </c>
      <c r="E150" s="4"/>
      <c r="F150" s="4" t="s">
        <v>458</v>
      </c>
      <c r="G150" s="4" t="s">
        <v>5</v>
      </c>
      <c r="H150" s="4" t="s">
        <v>6</v>
      </c>
      <c r="I150" s="4" t="n">
        <v>20503</v>
      </c>
      <c r="J150" s="4" t="s">
        <v>459</v>
      </c>
      <c r="K150" s="4"/>
      <c r="L150" s="5"/>
      <c r="M150" s="4" t="s">
        <v>460</v>
      </c>
      <c r="P150" s="6"/>
      <c r="Q150" s="6"/>
      <c r="R150" s="4" t="s">
        <v>460</v>
      </c>
    </row>
    <row collapsed="false" customFormat="false" customHeight="true" hidden="false" ht="15" outlineLevel="0" r="151">
      <c r="A151" s="4" t="s">
        <v>455</v>
      </c>
      <c r="B151" s="4" t="s">
        <v>435</v>
      </c>
      <c r="C151" s="4" t="s">
        <v>461</v>
      </c>
      <c r="D151" s="4" t="s">
        <v>12</v>
      </c>
      <c r="E151" s="4"/>
      <c r="F151" s="4"/>
      <c r="G151" s="4"/>
      <c r="H151" s="4"/>
      <c r="I151" s="4"/>
      <c r="J151" s="4" t="s">
        <v>459</v>
      </c>
      <c r="K151" s="4"/>
      <c r="L151" s="5"/>
      <c r="M151" s="4"/>
      <c r="P151" s="6"/>
      <c r="Q151" s="6"/>
      <c r="R151" s="4"/>
    </row>
    <row collapsed="false" customFormat="false" customHeight="true" hidden="false" ht="15" outlineLevel="0" r="152">
      <c r="A152" s="4" t="s">
        <v>455</v>
      </c>
      <c r="B152" s="4" t="s">
        <v>435</v>
      </c>
      <c r="C152" s="4" t="s">
        <v>461</v>
      </c>
      <c r="D152" s="4" t="s">
        <v>15</v>
      </c>
      <c r="E152" s="4"/>
      <c r="F152" s="4"/>
      <c r="G152" s="4"/>
      <c r="H152" s="4"/>
      <c r="I152" s="4"/>
      <c r="J152" s="4" t="s">
        <v>462</v>
      </c>
      <c r="K152" s="4"/>
      <c r="L152" s="5"/>
      <c r="M152" s="4"/>
      <c r="P152" s="6"/>
      <c r="Q152" s="6"/>
      <c r="R152" s="4"/>
    </row>
    <row collapsed="false" customFormat="false" customHeight="true" hidden="false" ht="15" outlineLevel="0" r="153">
      <c r="A153" s="4" t="s">
        <v>463</v>
      </c>
      <c r="B153" s="4" t="s">
        <v>435</v>
      </c>
      <c r="C153" s="4" t="s">
        <v>464</v>
      </c>
      <c r="D153" s="4" t="s">
        <v>456</v>
      </c>
      <c r="E153" s="4"/>
      <c r="F153" s="4" t="s">
        <v>465</v>
      </c>
      <c r="G153" s="4" t="s">
        <v>5</v>
      </c>
      <c r="H153" s="4" t="s">
        <v>6</v>
      </c>
      <c r="I153" s="4" t="n">
        <v>20504</v>
      </c>
      <c r="J153" s="4" t="s">
        <v>466</v>
      </c>
      <c r="K153" s="4" t="s">
        <v>467</v>
      </c>
      <c r="L153" s="5"/>
      <c r="M153" s="4" t="s">
        <v>468</v>
      </c>
      <c r="P153" s="6"/>
      <c r="Q153" s="6"/>
      <c r="R153" s="4" t="s">
        <v>468</v>
      </c>
    </row>
    <row collapsed="false" customFormat="false" customHeight="true" hidden="false" ht="15" outlineLevel="0" r="154">
      <c r="A154" s="4" t="s">
        <v>463</v>
      </c>
      <c r="B154" s="4" t="s">
        <v>435</v>
      </c>
      <c r="C154" s="4"/>
      <c r="D154" s="4" t="s">
        <v>12</v>
      </c>
      <c r="E154" s="4"/>
      <c r="F154" s="4"/>
      <c r="G154" s="4"/>
      <c r="H154" s="4"/>
      <c r="I154" s="4"/>
      <c r="J154" s="4" t="s">
        <v>466</v>
      </c>
      <c r="K154" s="4"/>
      <c r="L154" s="5"/>
      <c r="M154" s="4"/>
      <c r="P154" s="6"/>
      <c r="Q154" s="6"/>
      <c r="R154" s="4"/>
    </row>
    <row collapsed="false" customFormat="false" customHeight="true" hidden="false" ht="15" outlineLevel="0" r="155">
      <c r="A155" s="4" t="s">
        <v>463</v>
      </c>
      <c r="B155" s="4" t="s">
        <v>435</v>
      </c>
      <c r="C155" s="4" t="s">
        <v>464</v>
      </c>
      <c r="D155" s="4" t="s">
        <v>15</v>
      </c>
      <c r="E155" s="4"/>
      <c r="F155" s="4"/>
      <c r="G155" s="4"/>
      <c r="H155" s="4"/>
      <c r="I155" s="4"/>
      <c r="J155" s="4" t="s">
        <v>466</v>
      </c>
      <c r="K155" s="4"/>
      <c r="L155" s="5" t="str">
        <f aca="false">HYPERLINK("mailto:RLeonard@ostp.eop.gov","mailto:RLeonard@ostp.eop.gov")</f>
        <v>mailto:RLeonard@ostp.eop.gov</v>
      </c>
      <c r="M155" s="4"/>
      <c r="P155" s="6"/>
      <c r="Q155" s="6"/>
      <c r="R155" s="4"/>
    </row>
    <row collapsed="false" customFormat="false" customHeight="true" hidden="false" ht="15" outlineLevel="0" r="156">
      <c r="A156" s="4" t="s">
        <v>469</v>
      </c>
      <c r="B156" s="4" t="s">
        <v>435</v>
      </c>
      <c r="C156" s="4" t="s">
        <v>470</v>
      </c>
      <c r="D156" s="4" t="s">
        <v>2</v>
      </c>
      <c r="E156" s="4"/>
      <c r="F156" s="4" t="s">
        <v>471</v>
      </c>
      <c r="G156" s="4" t="s">
        <v>5</v>
      </c>
      <c r="H156" s="4" t="s">
        <v>6</v>
      </c>
      <c r="I156" s="4" t="n">
        <v>20508</v>
      </c>
      <c r="J156" s="4" t="s">
        <v>472</v>
      </c>
      <c r="K156" s="4" t="s">
        <v>473</v>
      </c>
      <c r="L156" s="5"/>
      <c r="M156" s="4" t="s">
        <v>474</v>
      </c>
      <c r="P156" s="6"/>
      <c r="Q156" s="6"/>
      <c r="R156" s="4" t="s">
        <v>474</v>
      </c>
    </row>
    <row collapsed="false" customFormat="false" customHeight="true" hidden="false" ht="15" outlineLevel="0" r="157">
      <c r="A157" s="4" t="s">
        <v>469</v>
      </c>
      <c r="B157" s="4" t="s">
        <v>435</v>
      </c>
      <c r="C157" s="4"/>
      <c r="D157" s="4" t="s">
        <v>12</v>
      </c>
      <c r="E157" s="4"/>
      <c r="F157" s="4"/>
      <c r="G157" s="4"/>
      <c r="H157" s="4"/>
      <c r="I157" s="4"/>
      <c r="J157" s="4" t="s">
        <v>472</v>
      </c>
      <c r="K157" s="4" t="s">
        <v>473</v>
      </c>
      <c r="L157" s="5"/>
      <c r="M157" s="4"/>
      <c r="P157" s="6"/>
      <c r="Q157" s="6"/>
      <c r="R157" s="4"/>
    </row>
    <row collapsed="false" customFormat="false" customHeight="true" hidden="false" ht="15" outlineLevel="0" r="158">
      <c r="A158" s="4" t="s">
        <v>469</v>
      </c>
      <c r="B158" s="4" t="s">
        <v>435</v>
      </c>
      <c r="C158" s="4" t="s">
        <v>470</v>
      </c>
      <c r="D158" s="4" t="s">
        <v>15</v>
      </c>
      <c r="E158" s="4"/>
      <c r="F158" s="4"/>
      <c r="G158" s="4"/>
      <c r="H158" s="4"/>
      <c r="I158" s="4"/>
      <c r="J158" s="4" t="s">
        <v>472</v>
      </c>
      <c r="K158" s="4" t="s">
        <v>473</v>
      </c>
      <c r="L158" s="5"/>
      <c r="M158" s="4"/>
      <c r="P158" s="6"/>
      <c r="Q158" s="6"/>
      <c r="R158" s="4"/>
    </row>
    <row collapsed="false" customFormat="false" customHeight="true" hidden="false" ht="15" outlineLevel="0" r="159">
      <c r="A159" s="4" t="s">
        <v>475</v>
      </c>
      <c r="B159" s="4" t="s">
        <v>475</v>
      </c>
      <c r="C159" s="4" t="s">
        <v>476</v>
      </c>
      <c r="D159" s="4" t="s">
        <v>114</v>
      </c>
      <c r="E159" s="4"/>
      <c r="F159" s="4" t="s">
        <v>477</v>
      </c>
      <c r="G159" s="4" t="s">
        <v>5</v>
      </c>
      <c r="H159" s="4" t="s">
        <v>6</v>
      </c>
      <c r="I159" s="4" t="n">
        <v>20571</v>
      </c>
      <c r="J159" s="4" t="s">
        <v>478</v>
      </c>
      <c r="K159" s="4" t="s">
        <v>479</v>
      </c>
      <c r="L159" s="5" t="str">
        <f aca="false">HYPERLINK("mailto:foia@exim.gov","mailto:foia@exim.gov")</f>
        <v>mailto:foia@exim.gov</v>
      </c>
      <c r="M159" s="4" t="s">
        <v>480</v>
      </c>
      <c r="P159" s="6"/>
      <c r="Q159" s="6"/>
      <c r="R159" s="4" t="s">
        <v>480</v>
      </c>
    </row>
    <row collapsed="false" customFormat="false" customHeight="true" hidden="false" ht="15" outlineLevel="0" r="160">
      <c r="A160" s="4" t="s">
        <v>475</v>
      </c>
      <c r="B160" s="4" t="s">
        <v>475</v>
      </c>
      <c r="C160" s="4"/>
      <c r="D160" s="4" t="s">
        <v>12</v>
      </c>
      <c r="E160" s="4"/>
      <c r="F160" s="4"/>
      <c r="G160" s="4"/>
      <c r="H160" s="4"/>
      <c r="I160" s="4"/>
      <c r="J160" s="4" t="s">
        <v>478</v>
      </c>
      <c r="K160" s="4"/>
      <c r="L160" s="5"/>
      <c r="M160" s="4"/>
      <c r="P160" s="6"/>
      <c r="Q160" s="6"/>
      <c r="R160" s="4"/>
    </row>
    <row collapsed="false" customFormat="false" customHeight="true" hidden="false" ht="15" outlineLevel="0" r="161">
      <c r="A161" s="4" t="s">
        <v>475</v>
      </c>
      <c r="B161" s="4" t="s">
        <v>475</v>
      </c>
      <c r="C161" s="4" t="s">
        <v>476</v>
      </c>
      <c r="D161" s="4" t="s">
        <v>15</v>
      </c>
      <c r="E161" s="4"/>
      <c r="F161" s="4"/>
      <c r="G161" s="4"/>
      <c r="H161" s="4"/>
      <c r="I161" s="4"/>
      <c r="J161" s="4" t="s">
        <v>478</v>
      </c>
      <c r="K161" s="4"/>
      <c r="L161" s="5" t="str">
        <f aca="false">HYPERLINK("mailto:foia@exim.gov","mailto:foia@exim.gov")</f>
        <v>mailto:foia@exim.gov</v>
      </c>
      <c r="M161" s="4"/>
      <c r="P161" s="6"/>
      <c r="Q161" s="6"/>
      <c r="R161" s="4"/>
    </row>
    <row collapsed="false" customFormat="false" customHeight="true" hidden="false" ht="15" outlineLevel="0" r="162">
      <c r="A162" s="4" t="s">
        <v>481</v>
      </c>
      <c r="B162" s="4" t="s">
        <v>481</v>
      </c>
      <c r="C162" s="4" t="s">
        <v>482</v>
      </c>
      <c r="D162" s="4" t="s">
        <v>2</v>
      </c>
      <c r="E162" s="4"/>
      <c r="F162" s="4" t="s">
        <v>483</v>
      </c>
      <c r="G162" s="4" t="s">
        <v>484</v>
      </c>
      <c r="H162" s="4" t="s">
        <v>31</v>
      </c>
      <c r="I162" s="4" t="s">
        <v>485</v>
      </c>
      <c r="J162" s="4" t="s">
        <v>486</v>
      </c>
      <c r="K162" s="4" t="s">
        <v>487</v>
      </c>
      <c r="L162" s="5" t="str">
        <f aca="false">HYPERLINK("mailto:foiaofficer@fca.gov","mailto:foiaofficer@fca.gov")</f>
        <v>mailto:foiaofficer@fca.gov</v>
      </c>
      <c r="M162" s="4" t="s">
        <v>488</v>
      </c>
      <c r="P162" s="6"/>
      <c r="Q162" s="6"/>
      <c r="R162" s="4" t="s">
        <v>488</v>
      </c>
    </row>
    <row collapsed="false" customFormat="false" customHeight="true" hidden="false" ht="15" outlineLevel="0" r="163">
      <c r="A163" s="4" t="s">
        <v>481</v>
      </c>
      <c r="B163" s="4" t="s">
        <v>481</v>
      </c>
      <c r="C163" s="4"/>
      <c r="D163" s="4" t="s">
        <v>12</v>
      </c>
      <c r="E163" s="4"/>
      <c r="F163" s="4"/>
      <c r="G163" s="4"/>
      <c r="H163" s="4"/>
      <c r="I163" s="4"/>
      <c r="J163" s="4" t="s">
        <v>489</v>
      </c>
      <c r="K163" s="4"/>
      <c r="L163" s="5"/>
      <c r="M163" s="4"/>
      <c r="P163" s="6"/>
      <c r="Q163" s="6"/>
      <c r="R163" s="4"/>
    </row>
    <row collapsed="false" customFormat="false" customHeight="true" hidden="false" ht="15" outlineLevel="0" r="164">
      <c r="A164" s="4" t="s">
        <v>481</v>
      </c>
      <c r="B164" s="4" t="s">
        <v>481</v>
      </c>
      <c r="C164" s="4" t="s">
        <v>490</v>
      </c>
      <c r="D164" s="4" t="s">
        <v>15</v>
      </c>
      <c r="E164" s="4"/>
      <c r="F164" s="4"/>
      <c r="G164" s="4"/>
      <c r="H164" s="4"/>
      <c r="I164" s="4"/>
      <c r="J164" s="4" t="s">
        <v>491</v>
      </c>
      <c r="K164" s="4"/>
      <c r="L164" s="5"/>
      <c r="M164" s="4"/>
      <c r="P164" s="6"/>
      <c r="Q164" s="6"/>
      <c r="R164" s="4"/>
    </row>
    <row collapsed="false" customFormat="false" customHeight="true" hidden="false" ht="15" outlineLevel="0" r="165">
      <c r="A165" s="4" t="s">
        <v>492</v>
      </c>
      <c r="B165" s="4" t="s">
        <v>492</v>
      </c>
      <c r="C165" s="4" t="s">
        <v>482</v>
      </c>
      <c r="D165" s="4" t="s">
        <v>493</v>
      </c>
      <c r="E165" s="4"/>
      <c r="F165" s="4" t="s">
        <v>483</v>
      </c>
      <c r="G165" s="4" t="s">
        <v>484</v>
      </c>
      <c r="H165" s="4" t="s">
        <v>31</v>
      </c>
      <c r="I165" s="4" t="s">
        <v>485</v>
      </c>
      <c r="J165" s="4" t="s">
        <v>494</v>
      </c>
      <c r="K165" s="4" t="s">
        <v>487</v>
      </c>
      <c r="L165" s="5" t="str">
        <f aca="false">HYPERLINK("mailto:FOIAOfficer@fcsic.gov","mailto:FOIAOfficer@fcsic.gov")</f>
        <v>mailto:FOIAOfficer@fcsic.gov</v>
      </c>
      <c r="M165" s="4" t="s">
        <v>495</v>
      </c>
      <c r="P165" s="6"/>
      <c r="Q165" s="6"/>
      <c r="R165" s="4" t="s">
        <v>495</v>
      </c>
    </row>
    <row collapsed="false" customFormat="false" customHeight="true" hidden="false" ht="15" outlineLevel="0" r="166">
      <c r="A166" s="4" t="s">
        <v>492</v>
      </c>
      <c r="B166" s="4" t="s">
        <v>492</v>
      </c>
      <c r="C166" s="4"/>
      <c r="D166" s="4" t="s">
        <v>12</v>
      </c>
      <c r="E166" s="4"/>
      <c r="F166" s="4"/>
      <c r="G166" s="4"/>
      <c r="H166" s="4"/>
      <c r="I166" s="4"/>
      <c r="J166" s="4" t="s">
        <v>494</v>
      </c>
      <c r="K166" s="4"/>
      <c r="L166" s="5" t="str">
        <f aca="false">HYPERLINK("mailto:FCSICFOIArequesterservicecenter@fcsic.gov","mailto:FCSICFOIArequesterservicecenter@fcsic.gov")</f>
        <v>mailto:FCSICFOIArequesterservicecenter@fcsic.gov</v>
      </c>
      <c r="M166" s="4"/>
      <c r="P166" s="6"/>
      <c r="Q166" s="6"/>
      <c r="R166" s="4"/>
    </row>
    <row collapsed="false" customFormat="false" customHeight="true" hidden="false" ht="15" outlineLevel="0" r="167">
      <c r="A167" s="4" t="s">
        <v>492</v>
      </c>
      <c r="B167" s="4" t="s">
        <v>492</v>
      </c>
      <c r="C167" s="4" t="s">
        <v>490</v>
      </c>
      <c r="D167" s="4" t="s">
        <v>15</v>
      </c>
      <c r="E167" s="4"/>
      <c r="F167" s="4"/>
      <c r="G167" s="4"/>
      <c r="H167" s="4"/>
      <c r="I167" s="4"/>
      <c r="J167" s="4" t="s">
        <v>494</v>
      </c>
      <c r="K167" s="4"/>
      <c r="L167" s="5" t="str">
        <f aca="false">HYPERLINK("mailto:FCSICfoiapublicliaison@fcsic.gov","mailto:FCSICfoiapublicliaison@fcsic.gov")</f>
        <v>mailto:FCSICfoiapublicliaison@fcsic.gov</v>
      </c>
      <c r="M167" s="4"/>
      <c r="P167" s="6"/>
      <c r="Q167" s="6"/>
      <c r="R167" s="4"/>
    </row>
    <row collapsed="false" customFormat="false" customHeight="true" hidden="false" ht="15" outlineLevel="0" r="168">
      <c r="A168" s="4" t="s">
        <v>496</v>
      </c>
      <c r="B168" s="4" t="s">
        <v>496</v>
      </c>
      <c r="C168" s="4" t="s">
        <v>497</v>
      </c>
      <c r="D168" s="4" t="s">
        <v>114</v>
      </c>
      <c r="E168" s="4" t="s">
        <v>498</v>
      </c>
      <c r="F168" s="4" t="s">
        <v>499</v>
      </c>
      <c r="G168" s="4" t="s">
        <v>5</v>
      </c>
      <c r="H168" s="4" t="s">
        <v>6</v>
      </c>
      <c r="I168" s="4" t="n">
        <v>20554</v>
      </c>
      <c r="J168" s="4" t="s">
        <v>500</v>
      </c>
      <c r="K168" s="4" t="s">
        <v>501</v>
      </c>
      <c r="L168" s="5" t="str">
        <f aca="false">HYPERLINK("mailto:FOIA@fcc.gov","mailto:FOIA@fcc.gov")</f>
        <v>mailto:FOIA@fcc.gov</v>
      </c>
      <c r="M168" s="4" t="s">
        <v>502</v>
      </c>
      <c r="P168" s="6"/>
      <c r="Q168" s="6"/>
      <c r="R168" s="4" t="s">
        <v>502</v>
      </c>
    </row>
    <row collapsed="false" customFormat="false" customHeight="true" hidden="false" ht="15" outlineLevel="0" r="169">
      <c r="A169" s="4" t="s">
        <v>496</v>
      </c>
      <c r="B169" s="4" t="s">
        <v>496</v>
      </c>
      <c r="C169" s="4"/>
      <c r="D169" s="4" t="s">
        <v>12</v>
      </c>
      <c r="E169" s="4"/>
      <c r="F169" s="4"/>
      <c r="G169" s="4"/>
      <c r="H169" s="4"/>
      <c r="I169" s="4"/>
      <c r="J169" s="4" t="s">
        <v>503</v>
      </c>
      <c r="K169" s="4"/>
      <c r="L169" s="5"/>
      <c r="M169" s="4"/>
      <c r="P169" s="6"/>
      <c r="Q169" s="6"/>
      <c r="R169" s="4"/>
    </row>
    <row collapsed="false" customFormat="false" customHeight="true" hidden="false" ht="15" outlineLevel="0" r="170">
      <c r="A170" s="4" t="s">
        <v>496</v>
      </c>
      <c r="B170" s="4" t="s">
        <v>496</v>
      </c>
      <c r="C170" s="4" t="s">
        <v>504</v>
      </c>
      <c r="D170" s="4" t="s">
        <v>15</v>
      </c>
      <c r="E170" s="4"/>
      <c r="F170" s="4"/>
      <c r="G170" s="4"/>
      <c r="H170" s="4"/>
      <c r="I170" s="4"/>
      <c r="J170" s="4" t="s">
        <v>505</v>
      </c>
      <c r="K170" s="4"/>
      <c r="L170" s="5" t="str">
        <f aca="false">HYPERLINK("mailto:Shoko.Hair@fcc.gov","mailto:Shoko.Hair@fcc.gov")</f>
        <v>mailto:Shoko.Hair@fcc.gov</v>
      </c>
      <c r="M170" s="4"/>
      <c r="P170" s="6"/>
      <c r="Q170" s="6"/>
      <c r="R170" s="4"/>
    </row>
    <row collapsed="false" customFormat="false" customHeight="true" hidden="false" ht="15" outlineLevel="0" r="171">
      <c r="A171" s="4" t="s">
        <v>506</v>
      </c>
      <c r="B171" s="4" t="s">
        <v>506</v>
      </c>
      <c r="C171" s="4" t="s">
        <v>114</v>
      </c>
      <c r="D171" s="4" t="s">
        <v>507</v>
      </c>
      <c r="E171" s="4"/>
      <c r="F171" s="4" t="s">
        <v>508</v>
      </c>
      <c r="G171" s="4" t="s">
        <v>5</v>
      </c>
      <c r="H171" s="4" t="s">
        <v>6</v>
      </c>
      <c r="I171" s="4" t="n">
        <v>20429</v>
      </c>
      <c r="J171" s="4" t="s">
        <v>509</v>
      </c>
      <c r="K171" s="4" t="s">
        <v>510</v>
      </c>
      <c r="L171" s="5" t="str">
        <f aca="false">HYPERLINK("mailto:efoia@fdic.gov","mailto:efoia@fdic.gov")</f>
        <v>mailto:efoia@fdic.gov</v>
      </c>
      <c r="M171" s="4" t="s">
        <v>511</v>
      </c>
      <c r="P171" s="6"/>
      <c r="Q171" s="6"/>
      <c r="R171" s="4" t="s">
        <v>511</v>
      </c>
    </row>
    <row collapsed="false" customFormat="false" customHeight="true" hidden="false" ht="15" outlineLevel="0" r="172">
      <c r="A172" s="4" t="s">
        <v>506</v>
      </c>
      <c r="B172" s="4" t="s">
        <v>506</v>
      </c>
      <c r="C172" s="4"/>
      <c r="D172" s="4" t="s">
        <v>12</v>
      </c>
      <c r="E172" s="4"/>
      <c r="F172" s="4"/>
      <c r="G172" s="4"/>
      <c r="H172" s="4"/>
      <c r="I172" s="4"/>
      <c r="J172" s="4" t="s">
        <v>509</v>
      </c>
      <c r="K172" s="4"/>
      <c r="L172" s="5"/>
      <c r="M172" s="4"/>
      <c r="P172" s="6"/>
      <c r="Q172" s="6"/>
      <c r="R172" s="4"/>
    </row>
    <row collapsed="false" customFormat="false" customHeight="true" hidden="false" ht="15" outlineLevel="0" r="173">
      <c r="A173" s="4" t="s">
        <v>506</v>
      </c>
      <c r="B173" s="4" t="s">
        <v>506</v>
      </c>
      <c r="C173" s="4" t="s">
        <v>512</v>
      </c>
      <c r="D173" s="4" t="s">
        <v>15</v>
      </c>
      <c r="E173" s="4"/>
      <c r="F173" s="4"/>
      <c r="G173" s="4"/>
      <c r="H173" s="4"/>
      <c r="I173" s="4"/>
      <c r="J173" s="4" t="s">
        <v>513</v>
      </c>
      <c r="K173" s="4"/>
      <c r="L173" s="5" t="str">
        <f aca="false">HYPERLINK("mailto:cwebster@fdic.gov","mailto:cwebster@fdic.gov")</f>
        <v>mailto:cwebster@fdic.gov</v>
      </c>
      <c r="M173" s="4"/>
      <c r="P173" s="6"/>
      <c r="Q173" s="6"/>
      <c r="R173" s="4"/>
    </row>
    <row collapsed="false" customFormat="false" customHeight="true" hidden="false" ht="15" outlineLevel="0" r="174">
      <c r="A174" s="4" t="s">
        <v>514</v>
      </c>
      <c r="B174" s="4" t="s">
        <v>514</v>
      </c>
      <c r="C174" s="4" t="s">
        <v>114</v>
      </c>
      <c r="D174" s="4" t="s">
        <v>12</v>
      </c>
      <c r="E174" s="4" t="s">
        <v>515</v>
      </c>
      <c r="F174" s="4" t="s">
        <v>516</v>
      </c>
      <c r="G174" s="4" t="s">
        <v>5</v>
      </c>
      <c r="H174" s="4" t="s">
        <v>6</v>
      </c>
      <c r="I174" s="4" t="n">
        <v>20463</v>
      </c>
      <c r="J174" s="4" t="s">
        <v>517</v>
      </c>
      <c r="K174" s="4" t="s">
        <v>518</v>
      </c>
      <c r="L174" s="5" t="str">
        <f aca="false">HYPERLINK("mailto:FOIA@fec.gov","mailto:FOIA@fec.gov")</f>
        <v>mailto:FOIA@fec.gov</v>
      </c>
      <c r="M174" s="4" t="s">
        <v>519</v>
      </c>
      <c r="P174" s="6"/>
      <c r="Q174" s="6"/>
      <c r="R174" s="4" t="s">
        <v>519</v>
      </c>
    </row>
    <row collapsed="false" customFormat="false" customHeight="true" hidden="false" ht="15" outlineLevel="0" r="175">
      <c r="A175" s="4" t="s">
        <v>514</v>
      </c>
      <c r="B175" s="4" t="s">
        <v>514</v>
      </c>
      <c r="C175" s="4" t="s">
        <v>520</v>
      </c>
      <c r="D175" s="4" t="s">
        <v>12</v>
      </c>
      <c r="E175" s="4"/>
      <c r="F175" s="4"/>
      <c r="G175" s="4"/>
      <c r="H175" s="4"/>
      <c r="I175" s="4"/>
      <c r="J175" s="4" t="s">
        <v>517</v>
      </c>
      <c r="K175" s="4"/>
      <c r="L175" s="5"/>
      <c r="M175" s="4"/>
      <c r="P175" s="6"/>
      <c r="Q175" s="6"/>
      <c r="R175" s="4"/>
    </row>
    <row collapsed="false" customFormat="false" customHeight="true" hidden="false" ht="15" outlineLevel="0" r="176">
      <c r="A176" s="4" t="s">
        <v>514</v>
      </c>
      <c r="B176" s="4" t="s">
        <v>514</v>
      </c>
      <c r="C176" s="4" t="s">
        <v>521</v>
      </c>
      <c r="D176" s="4" t="s">
        <v>15</v>
      </c>
      <c r="E176" s="4"/>
      <c r="F176" s="4"/>
      <c r="G176" s="4"/>
      <c r="H176" s="4"/>
      <c r="I176" s="4"/>
      <c r="J176" s="4" t="s">
        <v>517</v>
      </c>
      <c r="K176" s="4"/>
      <c r="L176" s="5" t="str">
        <f aca="false">HYPERLINK("mailto:nmathis@fec.gov","mailto:nmathis@fec.gov")</f>
        <v>mailto:nmathis@fec.gov</v>
      </c>
      <c r="M176" s="4"/>
      <c r="P176" s="6"/>
      <c r="Q176" s="6"/>
      <c r="R176" s="4"/>
    </row>
    <row collapsed="false" customFormat="false" customHeight="true" hidden="false" ht="15" outlineLevel="0" r="177">
      <c r="A177" s="4" t="s">
        <v>522</v>
      </c>
      <c r="B177" s="4" t="s">
        <v>522</v>
      </c>
      <c r="C177" s="4"/>
      <c r="D177" s="4" t="s">
        <v>114</v>
      </c>
      <c r="E177" s="4"/>
      <c r="F177" s="4" t="s">
        <v>523</v>
      </c>
      <c r="G177" s="4" t="s">
        <v>5</v>
      </c>
      <c r="H177" s="4" t="s">
        <v>6</v>
      </c>
      <c r="I177" s="4" t="n">
        <v>20426</v>
      </c>
      <c r="J177" s="4" t="s">
        <v>524</v>
      </c>
      <c r="K177" s="4" t="s">
        <v>525</v>
      </c>
      <c r="L177" s="5" t="str">
        <f aca="false">HYPERLINK("mailto:foia-ceii@ferc.gov","mailto:foia-ceii@ferc.gov")</f>
        <v>mailto:foia-ceii@ferc.gov</v>
      </c>
      <c r="M177" s="4" t="s">
        <v>526</v>
      </c>
      <c r="P177" s="6"/>
      <c r="Q177" s="6"/>
      <c r="R177" s="4" t="s">
        <v>526</v>
      </c>
    </row>
    <row collapsed="false" customFormat="false" customHeight="true" hidden="false" ht="15" outlineLevel="0" r="178">
      <c r="A178" s="4" t="s">
        <v>522</v>
      </c>
      <c r="B178" s="4" t="s">
        <v>522</v>
      </c>
      <c r="C178" s="4"/>
      <c r="D178" s="4" t="s">
        <v>12</v>
      </c>
      <c r="E178" s="4"/>
      <c r="F178" s="4"/>
      <c r="G178" s="4"/>
      <c r="H178" s="4"/>
      <c r="I178" s="4"/>
      <c r="J178" s="4" t="s">
        <v>524</v>
      </c>
      <c r="K178" s="4"/>
      <c r="L178" s="5"/>
      <c r="M178" s="4"/>
      <c r="P178" s="6"/>
      <c r="Q178" s="6"/>
      <c r="R178" s="4"/>
    </row>
    <row collapsed="false" customFormat="false" customHeight="true" hidden="false" ht="15" outlineLevel="0" r="179">
      <c r="A179" s="4" t="s">
        <v>522</v>
      </c>
      <c r="B179" s="4" t="s">
        <v>522</v>
      </c>
      <c r="C179" s="4" t="s">
        <v>527</v>
      </c>
      <c r="D179" s="4" t="s">
        <v>15</v>
      </c>
      <c r="E179" s="4"/>
      <c r="F179" s="4"/>
      <c r="G179" s="4"/>
      <c r="H179" s="4"/>
      <c r="I179" s="4"/>
      <c r="J179" s="4" t="s">
        <v>524</v>
      </c>
      <c r="K179" s="4"/>
      <c r="L179" s="5"/>
      <c r="M179" s="4"/>
      <c r="P179" s="6"/>
      <c r="Q179" s="6"/>
      <c r="R179" s="4"/>
    </row>
    <row collapsed="false" customFormat="false" customHeight="true" hidden="false" ht="15" outlineLevel="0" r="180">
      <c r="A180" s="4" t="s">
        <v>528</v>
      </c>
      <c r="B180" s="4" t="s">
        <v>528</v>
      </c>
      <c r="C180" s="4" t="s">
        <v>529</v>
      </c>
      <c r="D180" s="4" t="s">
        <v>530</v>
      </c>
      <c r="E180" s="4" t="s">
        <v>531</v>
      </c>
      <c r="F180" s="4" t="s">
        <v>532</v>
      </c>
      <c r="G180" s="4" t="s">
        <v>30</v>
      </c>
      <c r="H180" s="4" t="s">
        <v>31</v>
      </c>
      <c r="I180" s="4" t="s">
        <v>533</v>
      </c>
      <c r="J180" s="4" t="s">
        <v>534</v>
      </c>
      <c r="K180" s="4" t="s">
        <v>535</v>
      </c>
      <c r="L180" s="5" t="str">
        <f aca="false">HYPERLINK("mailto:FOIA@ffiec.gov","mailto:FOIA@ffiec.gov")</f>
        <v>mailto:FOIA@ffiec.gov</v>
      </c>
      <c r="M180" s="4" t="s">
        <v>536</v>
      </c>
      <c r="P180" s="6"/>
      <c r="Q180" s="6"/>
      <c r="R180" s="4" t="s">
        <v>536</v>
      </c>
    </row>
    <row collapsed="false" customFormat="false" customHeight="true" hidden="false" ht="15" outlineLevel="0" r="181">
      <c r="A181" s="4" t="s">
        <v>528</v>
      </c>
      <c r="B181" s="4" t="s">
        <v>528</v>
      </c>
      <c r="C181" s="4"/>
      <c r="D181" s="4" t="s">
        <v>12</v>
      </c>
      <c r="E181" s="4"/>
      <c r="F181" s="4"/>
      <c r="G181" s="4"/>
      <c r="H181" s="4"/>
      <c r="I181" s="4"/>
      <c r="J181" s="4" t="s">
        <v>537</v>
      </c>
      <c r="K181" s="4"/>
      <c r="L181" s="5"/>
      <c r="M181" s="4"/>
      <c r="P181" s="6"/>
      <c r="Q181" s="6"/>
      <c r="R181" s="4"/>
    </row>
    <row collapsed="false" customFormat="false" customHeight="true" hidden="false" ht="15" outlineLevel="0" r="182">
      <c r="A182" s="4" t="s">
        <v>528</v>
      </c>
      <c r="B182" s="4" t="s">
        <v>528</v>
      </c>
      <c r="C182" s="4" t="s">
        <v>538</v>
      </c>
      <c r="D182" s="4" t="s">
        <v>15</v>
      </c>
      <c r="E182" s="4"/>
      <c r="F182" s="4"/>
      <c r="G182" s="4"/>
      <c r="H182" s="4"/>
      <c r="I182" s="4"/>
      <c r="J182" s="4" t="s">
        <v>537</v>
      </c>
      <c r="K182" s="4"/>
      <c r="L182" s="5" t="str">
        <f aca="false">HYPERLINK("mailto:FOIA@ffiec.gov","mailto:FOIA@ffiec.gov")</f>
        <v>mailto:FOIA@ffiec.gov</v>
      </c>
      <c r="M182" s="4"/>
      <c r="P182" s="6"/>
      <c r="Q182" s="6"/>
      <c r="R182" s="4"/>
    </row>
    <row collapsed="false" customFormat="false" customHeight="true" hidden="false" ht="15" outlineLevel="0" r="183">
      <c r="A183" s="4" t="s">
        <v>539</v>
      </c>
      <c r="B183" s="4" t="s">
        <v>539</v>
      </c>
      <c r="C183" s="4" t="s">
        <v>540</v>
      </c>
      <c r="D183" s="4" t="s">
        <v>2</v>
      </c>
      <c r="E183" s="4" t="s">
        <v>541</v>
      </c>
      <c r="F183" s="4" t="s">
        <v>542</v>
      </c>
      <c r="G183" s="4" t="s">
        <v>5</v>
      </c>
      <c r="H183" s="4" t="s">
        <v>6</v>
      </c>
      <c r="I183" s="4" t="n">
        <v>20024</v>
      </c>
      <c r="J183" s="4" t="s">
        <v>543</v>
      </c>
      <c r="K183" s="4" t="s">
        <v>544</v>
      </c>
      <c r="L183" s="5" t="str">
        <f aca="false">HYPERLINK("mailto:FOIA@fhfa.gov","mailto:FOIA@fhfa.gov")</f>
        <v>mailto:FOIA@fhfa.gov</v>
      </c>
      <c r="M183" s="4" t="s">
        <v>545</v>
      </c>
      <c r="P183" s="6"/>
      <c r="Q183" s="6"/>
      <c r="R183" s="4" t="s">
        <v>545</v>
      </c>
    </row>
    <row collapsed="false" customFormat="false" customHeight="true" hidden="false" ht="15" outlineLevel="0" r="184">
      <c r="A184" s="4" t="s">
        <v>539</v>
      </c>
      <c r="B184" s="4" t="s">
        <v>539</v>
      </c>
      <c r="C184" s="4"/>
      <c r="D184" s="4" t="s">
        <v>12</v>
      </c>
      <c r="E184" s="4"/>
      <c r="F184" s="4"/>
      <c r="G184" s="4"/>
      <c r="H184" s="4"/>
      <c r="I184" s="4"/>
      <c r="J184" s="4" t="s">
        <v>543</v>
      </c>
      <c r="K184" s="4" t="s">
        <v>546</v>
      </c>
      <c r="L184" s="5"/>
      <c r="M184" s="4"/>
      <c r="P184" s="6"/>
      <c r="Q184" s="6"/>
      <c r="R184" s="4"/>
    </row>
    <row collapsed="false" customFormat="false" customHeight="true" hidden="false" ht="15" outlineLevel="0" r="185">
      <c r="A185" s="4" t="s">
        <v>539</v>
      </c>
      <c r="B185" s="4" t="s">
        <v>539</v>
      </c>
      <c r="C185" s="4" t="s">
        <v>540</v>
      </c>
      <c r="D185" s="4" t="s">
        <v>15</v>
      </c>
      <c r="E185" s="4"/>
      <c r="F185" s="4"/>
      <c r="G185" s="4"/>
      <c r="H185" s="4"/>
      <c r="I185" s="4"/>
      <c r="J185" s="4" t="s">
        <v>543</v>
      </c>
      <c r="K185" s="4"/>
      <c r="L185" s="5"/>
      <c r="M185" s="4"/>
      <c r="P185" s="6"/>
      <c r="Q185" s="6"/>
      <c r="R185" s="4"/>
    </row>
    <row collapsed="false" customFormat="false" customHeight="true" hidden="false" ht="15" outlineLevel="0" r="186">
      <c r="A186" s="4" t="s">
        <v>547</v>
      </c>
      <c r="B186" s="4" t="s">
        <v>548</v>
      </c>
      <c r="C186" s="4" t="s">
        <v>549</v>
      </c>
      <c r="D186" s="4" t="s">
        <v>550</v>
      </c>
      <c r="E186" s="4"/>
      <c r="F186" s="4" t="s">
        <v>551</v>
      </c>
      <c r="G186" s="4" t="s">
        <v>5</v>
      </c>
      <c r="H186" s="4" t="s">
        <v>6</v>
      </c>
      <c r="I186" s="4" t="n">
        <v>20424</v>
      </c>
      <c r="J186" s="4" t="s">
        <v>552</v>
      </c>
      <c r="K186" s="4" t="s">
        <v>553</v>
      </c>
      <c r="L186" s="5" t="str">
        <f aca="false">HYPERLINK("mailto:solmail@flra.gov","mailto:solmail@flra.gov")</f>
        <v>mailto:solmail@flra.gov</v>
      </c>
      <c r="M186" s="4" t="s">
        <v>554</v>
      </c>
      <c r="P186" s="6"/>
      <c r="Q186" s="6"/>
      <c r="R186" s="4" t="s">
        <v>554</v>
      </c>
    </row>
    <row collapsed="false" customFormat="false" customHeight="true" hidden="false" ht="15" outlineLevel="0" r="187">
      <c r="A187" s="4" t="s">
        <v>547</v>
      </c>
      <c r="B187" s="4" t="s">
        <v>548</v>
      </c>
      <c r="C187" s="4"/>
      <c r="D187" s="4" t="s">
        <v>12</v>
      </c>
      <c r="E187" s="4"/>
      <c r="F187" s="4"/>
      <c r="G187" s="4"/>
      <c r="H187" s="4"/>
      <c r="I187" s="4"/>
      <c r="J187" s="4" t="s">
        <v>552</v>
      </c>
      <c r="K187" s="4"/>
      <c r="L187" s="5"/>
      <c r="M187" s="4"/>
      <c r="P187" s="6"/>
      <c r="Q187" s="6"/>
      <c r="R187" s="4"/>
    </row>
    <row collapsed="false" customFormat="false" customHeight="true" hidden="false" ht="15" outlineLevel="0" r="188">
      <c r="A188" s="4" t="s">
        <v>547</v>
      </c>
      <c r="B188" s="4" t="s">
        <v>548</v>
      </c>
      <c r="C188" s="4"/>
      <c r="D188" s="4" t="s">
        <v>15</v>
      </c>
      <c r="E188" s="4"/>
      <c r="F188" s="4"/>
      <c r="G188" s="4"/>
      <c r="H188" s="4"/>
      <c r="I188" s="4"/>
      <c r="J188" s="4"/>
      <c r="K188" s="4"/>
      <c r="L188" s="5"/>
      <c r="M188" s="4"/>
      <c r="P188" s="6"/>
      <c r="Q188" s="6"/>
      <c r="R188" s="4"/>
    </row>
    <row collapsed="false" customFormat="false" customHeight="true" hidden="false" ht="15" outlineLevel="0" r="189">
      <c r="A189" s="4" t="s">
        <v>555</v>
      </c>
      <c r="B189" s="4" t="s">
        <v>548</v>
      </c>
      <c r="C189" s="4"/>
      <c r="D189" s="4" t="s">
        <v>114</v>
      </c>
      <c r="E189" s="4"/>
      <c r="F189" s="4" t="s">
        <v>551</v>
      </c>
      <c r="G189" s="4" t="s">
        <v>5</v>
      </c>
      <c r="H189" s="4" t="s">
        <v>6</v>
      </c>
      <c r="I189" s="4" t="n">
        <v>20424</v>
      </c>
      <c r="J189" s="4" t="s">
        <v>556</v>
      </c>
      <c r="K189" s="4" t="s">
        <v>557</v>
      </c>
      <c r="L189" s="5" t="str">
        <f aca="false">HYPERLINK("mailto:ogcmail@flra.gov","mailto:ogcmail@flra.gov")</f>
        <v>mailto:ogcmail@flra.gov</v>
      </c>
      <c r="M189" s="4" t="s">
        <v>554</v>
      </c>
      <c r="P189" s="6"/>
      <c r="Q189" s="6"/>
      <c r="R189" s="4" t="s">
        <v>554</v>
      </c>
    </row>
    <row collapsed="false" customFormat="false" customHeight="true" hidden="false" ht="15" outlineLevel="0" r="190">
      <c r="A190" s="4" t="s">
        <v>555</v>
      </c>
      <c r="B190" s="4" t="s">
        <v>548</v>
      </c>
      <c r="C190" s="4"/>
      <c r="D190" s="4" t="s">
        <v>12</v>
      </c>
      <c r="E190" s="4"/>
      <c r="F190" s="4"/>
      <c r="G190" s="4"/>
      <c r="H190" s="4"/>
      <c r="I190" s="4"/>
      <c r="J190" s="4" t="s">
        <v>556</v>
      </c>
      <c r="K190" s="4"/>
      <c r="L190" s="5"/>
      <c r="M190" s="4"/>
      <c r="P190" s="6"/>
      <c r="Q190" s="6"/>
      <c r="R190" s="4"/>
    </row>
    <row collapsed="false" customFormat="false" customHeight="true" hidden="false" ht="15" outlineLevel="0" r="191">
      <c r="A191" s="4" t="s">
        <v>555</v>
      </c>
      <c r="B191" s="4" t="s">
        <v>548</v>
      </c>
      <c r="C191" s="4"/>
      <c r="D191" s="4" t="s">
        <v>15</v>
      </c>
      <c r="E191" s="4"/>
      <c r="F191" s="4"/>
      <c r="G191" s="4"/>
      <c r="H191" s="4"/>
      <c r="I191" s="4"/>
      <c r="J191" s="4"/>
      <c r="K191" s="4"/>
      <c r="L191" s="5"/>
      <c r="M191" s="4"/>
      <c r="P191" s="6"/>
      <c r="Q191" s="6"/>
      <c r="R191" s="4"/>
    </row>
    <row collapsed="false" customFormat="false" customHeight="true" hidden="false" ht="15" outlineLevel="0" r="192">
      <c r="A192" s="4" t="s">
        <v>558</v>
      </c>
      <c r="B192" s="4" t="s">
        <v>548</v>
      </c>
      <c r="C192" s="4"/>
      <c r="D192" s="4" t="s">
        <v>114</v>
      </c>
      <c r="E192" s="4" t="s">
        <v>559</v>
      </c>
      <c r="F192" s="4" t="s">
        <v>560</v>
      </c>
      <c r="G192" s="4" t="s">
        <v>226</v>
      </c>
      <c r="H192" s="4" t="s">
        <v>227</v>
      </c>
      <c r="I192" s="4" t="s">
        <v>561</v>
      </c>
      <c r="J192" s="4" t="s">
        <v>562</v>
      </c>
      <c r="K192" s="4" t="s">
        <v>563</v>
      </c>
      <c r="L192" s="5" t="str">
        <f aca="false">HYPERLINK("mailto:aromail@flra.gov","mailto:aromail@flra.gov")</f>
        <v>mailto:aromail@flra.gov</v>
      </c>
      <c r="M192" s="4" t="s">
        <v>554</v>
      </c>
      <c r="P192" s="6"/>
      <c r="Q192" s="6"/>
      <c r="R192" s="4" t="s">
        <v>554</v>
      </c>
    </row>
    <row collapsed="false" customFormat="false" customHeight="true" hidden="false" ht="15" outlineLevel="0" r="193">
      <c r="A193" s="4" t="s">
        <v>558</v>
      </c>
      <c r="B193" s="4" t="s">
        <v>548</v>
      </c>
      <c r="C193" s="4"/>
      <c r="D193" s="4" t="s">
        <v>12</v>
      </c>
      <c r="E193" s="4"/>
      <c r="F193" s="4"/>
      <c r="G193" s="4"/>
      <c r="H193" s="4"/>
      <c r="I193" s="4"/>
      <c r="J193" s="4" t="s">
        <v>562</v>
      </c>
      <c r="K193" s="4"/>
      <c r="L193" s="5"/>
      <c r="M193" s="4"/>
      <c r="P193" s="6"/>
      <c r="Q193" s="6"/>
      <c r="R193" s="4"/>
    </row>
    <row collapsed="false" customFormat="false" customHeight="true" hidden="false" ht="15" outlineLevel="0" r="194">
      <c r="A194" s="4" t="s">
        <v>558</v>
      </c>
      <c r="B194" s="4" t="s">
        <v>548</v>
      </c>
      <c r="C194" s="4"/>
      <c r="D194" s="4" t="s">
        <v>15</v>
      </c>
      <c r="E194" s="4"/>
      <c r="F194" s="4"/>
      <c r="G194" s="4"/>
      <c r="H194" s="4"/>
      <c r="I194" s="4"/>
      <c r="J194" s="4"/>
      <c r="K194" s="4"/>
      <c r="L194" s="5"/>
      <c r="M194" s="4"/>
      <c r="P194" s="6"/>
      <c r="Q194" s="6"/>
      <c r="R194" s="4"/>
    </row>
    <row collapsed="false" customFormat="false" customHeight="true" hidden="false" ht="15" outlineLevel="0" r="195">
      <c r="A195" s="4" t="s">
        <v>564</v>
      </c>
      <c r="B195" s="4" t="s">
        <v>548</v>
      </c>
      <c r="C195" s="4"/>
      <c r="D195" s="4" t="s">
        <v>114</v>
      </c>
      <c r="E195" s="4" t="s">
        <v>565</v>
      </c>
      <c r="F195" s="4" t="s">
        <v>566</v>
      </c>
      <c r="G195" s="4" t="s">
        <v>195</v>
      </c>
      <c r="H195" s="4" t="s">
        <v>196</v>
      </c>
      <c r="I195" s="13" t="n">
        <v>2222</v>
      </c>
      <c r="J195" s="4" t="s">
        <v>567</v>
      </c>
      <c r="K195" s="4" t="s">
        <v>568</v>
      </c>
      <c r="L195" s="5" t="str">
        <f aca="false">HYPERLINK("mailto:bromail@flra.gov","mailto:bromail@flra.gov")</f>
        <v>mailto:bromail@flra.gov</v>
      </c>
      <c r="M195" s="4" t="s">
        <v>554</v>
      </c>
      <c r="P195" s="6"/>
      <c r="Q195" s="6"/>
      <c r="R195" s="4" t="s">
        <v>554</v>
      </c>
    </row>
    <row collapsed="false" customFormat="false" customHeight="true" hidden="false" ht="15" outlineLevel="0" r="196">
      <c r="A196" s="4" t="s">
        <v>564</v>
      </c>
      <c r="B196" s="4" t="s">
        <v>548</v>
      </c>
      <c r="C196" s="4"/>
      <c r="D196" s="4" t="s">
        <v>12</v>
      </c>
      <c r="E196" s="4"/>
      <c r="F196" s="4"/>
      <c r="G196" s="4"/>
      <c r="H196" s="4"/>
      <c r="I196" s="4"/>
      <c r="J196" s="4" t="s">
        <v>567</v>
      </c>
      <c r="K196" s="4"/>
      <c r="L196" s="5"/>
      <c r="M196" s="4"/>
      <c r="P196" s="6"/>
      <c r="Q196" s="6"/>
      <c r="R196" s="4"/>
    </row>
    <row collapsed="false" customFormat="false" customHeight="true" hidden="false" ht="15" outlineLevel="0" r="197">
      <c r="A197" s="4" t="s">
        <v>564</v>
      </c>
      <c r="B197" s="4" t="s">
        <v>548</v>
      </c>
      <c r="C197" s="4"/>
      <c r="D197" s="4" t="s">
        <v>15</v>
      </c>
      <c r="E197" s="4"/>
      <c r="F197" s="4"/>
      <c r="G197" s="4"/>
      <c r="H197" s="4"/>
      <c r="I197" s="4"/>
      <c r="J197" s="4"/>
      <c r="K197" s="4"/>
      <c r="L197" s="5"/>
      <c r="M197" s="4"/>
      <c r="P197" s="6"/>
      <c r="Q197" s="6"/>
      <c r="R197" s="4"/>
    </row>
    <row collapsed="false" customFormat="false" customHeight="true" hidden="false" ht="15" outlineLevel="0" r="198">
      <c r="A198" s="4" t="s">
        <v>569</v>
      </c>
      <c r="B198" s="4" t="s">
        <v>548</v>
      </c>
      <c r="C198" s="4"/>
      <c r="D198" s="4" t="s">
        <v>114</v>
      </c>
      <c r="E198" s="4" t="s">
        <v>91</v>
      </c>
      <c r="F198" s="4" t="s">
        <v>570</v>
      </c>
      <c r="G198" s="4" t="s">
        <v>236</v>
      </c>
      <c r="H198" s="4" t="s">
        <v>237</v>
      </c>
      <c r="I198" s="4" t="s">
        <v>571</v>
      </c>
      <c r="J198" s="4" t="s">
        <v>572</v>
      </c>
      <c r="K198" s="4" t="s">
        <v>573</v>
      </c>
      <c r="L198" s="5" t="str">
        <f aca="false">HYPERLINK("mailto:cromail@flra.gov","mailto:cromail@flra.gov")</f>
        <v>mailto:cromail@flra.gov</v>
      </c>
      <c r="M198" s="4" t="s">
        <v>554</v>
      </c>
      <c r="P198" s="6"/>
      <c r="Q198" s="6"/>
      <c r="R198" s="4" t="s">
        <v>554</v>
      </c>
    </row>
    <row collapsed="false" customFormat="false" customHeight="true" hidden="false" ht="15" outlineLevel="0" r="199">
      <c r="A199" s="4" t="s">
        <v>569</v>
      </c>
      <c r="B199" s="4" t="s">
        <v>548</v>
      </c>
      <c r="C199" s="4"/>
      <c r="D199" s="4" t="s">
        <v>12</v>
      </c>
      <c r="E199" s="4"/>
      <c r="F199" s="4"/>
      <c r="G199" s="4"/>
      <c r="H199" s="4"/>
      <c r="I199" s="4"/>
      <c r="J199" s="4" t="s">
        <v>572</v>
      </c>
      <c r="K199" s="4"/>
      <c r="L199" s="5"/>
      <c r="M199" s="4"/>
      <c r="P199" s="6"/>
      <c r="Q199" s="6"/>
      <c r="R199" s="4"/>
    </row>
    <row collapsed="false" customFormat="false" customHeight="true" hidden="false" ht="15" outlineLevel="0" r="200">
      <c r="A200" s="4" t="s">
        <v>569</v>
      </c>
      <c r="B200" s="4" t="s">
        <v>548</v>
      </c>
      <c r="C200" s="4"/>
      <c r="D200" s="4" t="s">
        <v>15</v>
      </c>
      <c r="E200" s="4"/>
      <c r="F200" s="4"/>
      <c r="G200" s="4"/>
      <c r="H200" s="4"/>
      <c r="I200" s="4"/>
      <c r="J200" s="4"/>
      <c r="K200" s="4"/>
      <c r="L200" s="5"/>
      <c r="M200" s="4"/>
      <c r="P200" s="6"/>
      <c r="Q200" s="6"/>
      <c r="R200" s="4"/>
    </row>
    <row collapsed="false" customFormat="false" customHeight="true" hidden="false" ht="15" outlineLevel="0" r="201">
      <c r="A201" s="4" t="s">
        <v>574</v>
      </c>
      <c r="B201" s="4" t="s">
        <v>548</v>
      </c>
      <c r="C201" s="4"/>
      <c r="D201" s="4" t="s">
        <v>114</v>
      </c>
      <c r="E201" s="4" t="s">
        <v>575</v>
      </c>
      <c r="F201" s="4" t="s">
        <v>576</v>
      </c>
      <c r="G201" s="4" t="s">
        <v>246</v>
      </c>
      <c r="H201" s="4" t="s">
        <v>247</v>
      </c>
      <c r="I201" s="4" t="s">
        <v>577</v>
      </c>
      <c r="J201" s="4" t="s">
        <v>578</v>
      </c>
      <c r="K201" s="4" t="s">
        <v>579</v>
      </c>
      <c r="L201" s="5" t="str">
        <f aca="false">HYPERLINK("mailto:daromail@flra.gov","mailto:daromail@flra.gov")</f>
        <v>mailto:daromail@flra.gov</v>
      </c>
      <c r="M201" s="4" t="s">
        <v>554</v>
      </c>
      <c r="P201" s="6"/>
      <c r="Q201" s="6"/>
      <c r="R201" s="4" t="s">
        <v>554</v>
      </c>
    </row>
    <row collapsed="false" customFormat="false" customHeight="true" hidden="false" ht="15" outlineLevel="0" r="202">
      <c r="A202" s="4" t="s">
        <v>574</v>
      </c>
      <c r="B202" s="4" t="s">
        <v>548</v>
      </c>
      <c r="C202" s="4"/>
      <c r="D202" s="4" t="s">
        <v>12</v>
      </c>
      <c r="E202" s="4"/>
      <c r="F202" s="4"/>
      <c r="G202" s="4"/>
      <c r="H202" s="4"/>
      <c r="I202" s="4"/>
      <c r="J202" s="4" t="s">
        <v>578</v>
      </c>
      <c r="K202" s="4"/>
      <c r="L202" s="5"/>
      <c r="M202" s="4"/>
      <c r="P202" s="6"/>
      <c r="Q202" s="6"/>
      <c r="R202" s="4"/>
    </row>
    <row collapsed="false" customFormat="false" customHeight="true" hidden="false" ht="15" outlineLevel="0" r="203">
      <c r="A203" s="4" t="s">
        <v>574</v>
      </c>
      <c r="B203" s="4" t="s">
        <v>548</v>
      </c>
      <c r="C203" s="4"/>
      <c r="D203" s="4" t="s">
        <v>15</v>
      </c>
      <c r="E203" s="4"/>
      <c r="F203" s="4"/>
      <c r="G203" s="4"/>
      <c r="H203" s="4"/>
      <c r="I203" s="4"/>
      <c r="J203" s="4"/>
      <c r="K203" s="4"/>
      <c r="L203" s="5"/>
      <c r="M203" s="4"/>
      <c r="P203" s="6"/>
      <c r="Q203" s="6"/>
      <c r="R203" s="4"/>
    </row>
    <row collapsed="false" customFormat="false" customHeight="true" hidden="false" ht="15" outlineLevel="0" r="204">
      <c r="A204" s="4" t="s">
        <v>580</v>
      </c>
      <c r="B204" s="4" t="s">
        <v>548</v>
      </c>
      <c r="C204" s="4"/>
      <c r="D204" s="4" t="s">
        <v>114</v>
      </c>
      <c r="E204" s="4" t="s">
        <v>193</v>
      </c>
      <c r="F204" s="4" t="s">
        <v>581</v>
      </c>
      <c r="G204" s="4" t="s">
        <v>264</v>
      </c>
      <c r="H204" s="4" t="s">
        <v>265</v>
      </c>
      <c r="I204" s="4" t="s">
        <v>582</v>
      </c>
      <c r="J204" s="4" t="s">
        <v>583</v>
      </c>
      <c r="K204" s="4" t="s">
        <v>584</v>
      </c>
      <c r="L204" s="5" t="str">
        <f aca="false">HYPERLINK("mailto:daromail@flra.gov","mailto:daromail@flra.gov")</f>
        <v>mailto:daromail@flra.gov</v>
      </c>
      <c r="M204" s="4" t="s">
        <v>554</v>
      </c>
      <c r="P204" s="6"/>
      <c r="Q204" s="6"/>
      <c r="R204" s="4" t="s">
        <v>554</v>
      </c>
    </row>
    <row collapsed="false" customFormat="false" customHeight="true" hidden="false" ht="15" outlineLevel="0" r="205">
      <c r="A205" s="4" t="s">
        <v>580</v>
      </c>
      <c r="B205" s="4" t="s">
        <v>548</v>
      </c>
      <c r="C205" s="4"/>
      <c r="D205" s="4" t="s">
        <v>12</v>
      </c>
      <c r="E205" s="4"/>
      <c r="F205" s="4"/>
      <c r="G205" s="4"/>
      <c r="H205" s="4"/>
      <c r="I205" s="4"/>
      <c r="J205" s="4" t="s">
        <v>583</v>
      </c>
      <c r="K205" s="4"/>
      <c r="L205" s="5"/>
      <c r="M205" s="4"/>
      <c r="P205" s="6"/>
      <c r="Q205" s="6"/>
      <c r="R205" s="4"/>
    </row>
    <row collapsed="false" customFormat="false" customHeight="true" hidden="false" ht="15" outlineLevel="0" r="206">
      <c r="A206" s="4" t="s">
        <v>580</v>
      </c>
      <c r="B206" s="4" t="s">
        <v>548</v>
      </c>
      <c r="C206" s="4"/>
      <c r="D206" s="4" t="s">
        <v>15</v>
      </c>
      <c r="E206" s="4"/>
      <c r="F206" s="4"/>
      <c r="G206" s="4"/>
      <c r="H206" s="4"/>
      <c r="I206" s="4"/>
      <c r="J206" s="4"/>
      <c r="K206" s="4"/>
      <c r="L206" s="5"/>
      <c r="M206" s="4"/>
      <c r="P206" s="6"/>
      <c r="Q206" s="6"/>
      <c r="R206" s="4"/>
    </row>
    <row collapsed="false" customFormat="false" customHeight="true" hidden="false" ht="15" outlineLevel="0" r="207">
      <c r="A207" s="4" t="s">
        <v>585</v>
      </c>
      <c r="B207" s="4" t="s">
        <v>548</v>
      </c>
      <c r="C207" s="4"/>
      <c r="D207" s="4" t="s">
        <v>114</v>
      </c>
      <c r="E207" s="4" t="s">
        <v>586</v>
      </c>
      <c r="F207" s="4" t="s">
        <v>587</v>
      </c>
      <c r="G207" s="4" t="s">
        <v>274</v>
      </c>
      <c r="H207" s="4" t="s">
        <v>275</v>
      </c>
      <c r="I207" s="4" t="s">
        <v>588</v>
      </c>
      <c r="J207" s="4" t="s">
        <v>589</v>
      </c>
      <c r="K207" s="4" t="s">
        <v>590</v>
      </c>
      <c r="L207" s="5" t="str">
        <f aca="false">HYPERLINK("mailto:sromail@flra.gov","mailto:sromail@flra.gov")</f>
        <v>mailto:sromail@flra.gov</v>
      </c>
      <c r="M207" s="4" t="s">
        <v>591</v>
      </c>
      <c r="P207" s="6"/>
      <c r="Q207" s="6"/>
      <c r="R207" s="4" t="s">
        <v>591</v>
      </c>
    </row>
    <row collapsed="false" customFormat="false" customHeight="true" hidden="false" ht="15" outlineLevel="0" r="208">
      <c r="A208" s="4" t="s">
        <v>585</v>
      </c>
      <c r="B208" s="4" t="s">
        <v>548</v>
      </c>
      <c r="C208" s="4"/>
      <c r="D208" s="4" t="s">
        <v>12</v>
      </c>
      <c r="E208" s="4"/>
      <c r="F208" s="4"/>
      <c r="G208" s="4"/>
      <c r="H208" s="4"/>
      <c r="I208" s="4"/>
      <c r="J208" s="4" t="s">
        <v>589</v>
      </c>
      <c r="K208" s="4"/>
      <c r="L208" s="5"/>
      <c r="M208" s="4"/>
      <c r="P208" s="6"/>
      <c r="Q208" s="6"/>
      <c r="R208" s="4"/>
    </row>
    <row collapsed="false" customFormat="false" customHeight="true" hidden="false" ht="15" outlineLevel="0" r="209">
      <c r="A209" s="4" t="s">
        <v>585</v>
      </c>
      <c r="B209" s="4" t="s">
        <v>548</v>
      </c>
      <c r="C209" s="4"/>
      <c r="D209" s="4" t="s">
        <v>15</v>
      </c>
      <c r="E209" s="4"/>
      <c r="F209" s="4"/>
      <c r="G209" s="4"/>
      <c r="H209" s="4"/>
      <c r="I209" s="4"/>
      <c r="J209" s="4"/>
      <c r="K209" s="4"/>
      <c r="L209" s="5"/>
      <c r="M209" s="4"/>
      <c r="P209" s="6"/>
      <c r="Q209" s="6"/>
      <c r="R209" s="4"/>
    </row>
    <row collapsed="false" customFormat="false" customHeight="true" hidden="false" ht="15" outlineLevel="0" r="210">
      <c r="A210" s="4" t="s">
        <v>592</v>
      </c>
      <c r="B210" s="4" t="s">
        <v>548</v>
      </c>
      <c r="C210" s="4"/>
      <c r="D210" s="4" t="s">
        <v>114</v>
      </c>
      <c r="E210" s="4" t="s">
        <v>593</v>
      </c>
      <c r="F210" s="4" t="s">
        <v>551</v>
      </c>
      <c r="G210" s="4" t="s">
        <v>5</v>
      </c>
      <c r="H210" s="4" t="s">
        <v>6</v>
      </c>
      <c r="I210" s="4" t="s">
        <v>594</v>
      </c>
      <c r="J210" s="4" t="s">
        <v>595</v>
      </c>
      <c r="K210" s="4" t="s">
        <v>596</v>
      </c>
      <c r="L210" s="5" t="str">
        <f aca="false">HYPERLINK("mailto:wromail@flra.gov","mailto:wromail@flra.gov")</f>
        <v>mailto:wromail@flra.gov</v>
      </c>
      <c r="M210" s="4" t="s">
        <v>591</v>
      </c>
      <c r="P210" s="6"/>
      <c r="Q210" s="6"/>
      <c r="R210" s="4" t="s">
        <v>591</v>
      </c>
    </row>
    <row collapsed="false" customFormat="false" customHeight="true" hidden="false" ht="15" outlineLevel="0" r="211">
      <c r="A211" s="4" t="s">
        <v>592</v>
      </c>
      <c r="B211" s="4" t="s">
        <v>548</v>
      </c>
      <c r="C211" s="4"/>
      <c r="D211" s="4" t="s">
        <v>12</v>
      </c>
      <c r="E211" s="4"/>
      <c r="F211" s="4"/>
      <c r="G211" s="4"/>
      <c r="H211" s="4"/>
      <c r="I211" s="4"/>
      <c r="J211" s="4" t="s">
        <v>595</v>
      </c>
      <c r="K211" s="4"/>
      <c r="L211" s="5"/>
      <c r="M211" s="4"/>
      <c r="P211" s="6"/>
      <c r="Q211" s="6"/>
      <c r="R211" s="4"/>
    </row>
    <row collapsed="false" customFormat="false" customHeight="true" hidden="false" ht="15" outlineLevel="0" r="212">
      <c r="A212" s="4" t="s">
        <v>592</v>
      </c>
      <c r="B212" s="4" t="s">
        <v>548</v>
      </c>
      <c r="C212" s="4"/>
      <c r="D212" s="4" t="s">
        <v>15</v>
      </c>
      <c r="E212" s="4"/>
      <c r="F212" s="4"/>
      <c r="G212" s="4"/>
      <c r="H212" s="4"/>
      <c r="I212" s="4"/>
      <c r="J212" s="4"/>
      <c r="K212" s="4"/>
      <c r="L212" s="5"/>
      <c r="M212" s="4"/>
      <c r="P212" s="6"/>
      <c r="Q212" s="6"/>
      <c r="R212" s="4"/>
    </row>
    <row collapsed="false" customFormat="false" customHeight="true" hidden="false" ht="15" outlineLevel="0" r="213">
      <c r="A213" s="4" t="s">
        <v>597</v>
      </c>
      <c r="B213" s="4" t="s">
        <v>548</v>
      </c>
      <c r="C213" s="4"/>
      <c r="D213" s="4" t="s">
        <v>114</v>
      </c>
      <c r="E213" s="4"/>
      <c r="F213" s="4" t="s">
        <v>551</v>
      </c>
      <c r="G213" s="4" t="s">
        <v>5</v>
      </c>
      <c r="H213" s="4" t="s">
        <v>6</v>
      </c>
      <c r="I213" s="4" t="n">
        <v>20424</v>
      </c>
      <c r="J213" s="4" t="s">
        <v>598</v>
      </c>
      <c r="K213" s="4" t="s">
        <v>599</v>
      </c>
      <c r="L213" s="5" t="str">
        <f aca="false">HYPERLINK("mailto:fsipmail@flra.gov","mailto:fsipmail@flra.gov")</f>
        <v>mailto:fsipmail@flra.gov</v>
      </c>
      <c r="M213" s="4" t="s">
        <v>591</v>
      </c>
      <c r="P213" s="6"/>
      <c r="Q213" s="6"/>
      <c r="R213" s="4" t="s">
        <v>591</v>
      </c>
    </row>
    <row collapsed="false" customFormat="false" customHeight="true" hidden="false" ht="15" outlineLevel="0" r="214">
      <c r="A214" s="4" t="s">
        <v>597</v>
      </c>
      <c r="B214" s="4" t="s">
        <v>548</v>
      </c>
      <c r="C214" s="4"/>
      <c r="D214" s="4" t="s">
        <v>12</v>
      </c>
      <c r="E214" s="4"/>
      <c r="F214" s="4"/>
      <c r="G214" s="4"/>
      <c r="H214" s="4"/>
      <c r="I214" s="4"/>
      <c r="J214" s="4" t="s">
        <v>598</v>
      </c>
      <c r="K214" s="4"/>
      <c r="L214" s="5"/>
      <c r="M214" s="4"/>
      <c r="P214" s="6"/>
      <c r="Q214" s="6"/>
      <c r="R214" s="4"/>
    </row>
    <row collapsed="false" customFormat="false" customHeight="true" hidden="false" ht="15" outlineLevel="0" r="215">
      <c r="A215" s="4" t="s">
        <v>597</v>
      </c>
      <c r="B215" s="4" t="s">
        <v>548</v>
      </c>
      <c r="C215" s="4"/>
      <c r="D215" s="4" t="s">
        <v>15</v>
      </c>
      <c r="E215" s="4"/>
      <c r="F215" s="4"/>
      <c r="G215" s="4"/>
      <c r="H215" s="4"/>
      <c r="I215" s="4"/>
      <c r="J215" s="4"/>
      <c r="K215" s="4"/>
      <c r="L215" s="5"/>
      <c r="M215" s="4"/>
      <c r="P215" s="6"/>
      <c r="Q215" s="6"/>
      <c r="R215" s="4"/>
    </row>
    <row collapsed="false" customFormat="false" customHeight="true" hidden="false" ht="15" outlineLevel="0" r="216">
      <c r="A216" s="4" t="s">
        <v>600</v>
      </c>
      <c r="B216" s="4" t="s">
        <v>548</v>
      </c>
      <c r="C216" s="4"/>
      <c r="D216" s="4" t="s">
        <v>114</v>
      </c>
      <c r="E216" s="4"/>
      <c r="F216" s="4" t="s">
        <v>551</v>
      </c>
      <c r="G216" s="4" t="s">
        <v>5</v>
      </c>
      <c r="H216" s="4" t="s">
        <v>6</v>
      </c>
      <c r="I216" s="4" t="n">
        <v>20424</v>
      </c>
      <c r="J216" s="4" t="s">
        <v>601</v>
      </c>
      <c r="K216" s="4" t="s">
        <v>602</v>
      </c>
      <c r="L216" s="5" t="str">
        <f aca="false">HYPERLINK("mailto:oigmail@flra.gov","mailto:oigmail@flra.gov")</f>
        <v>mailto:oigmail@flra.gov</v>
      </c>
      <c r="M216" s="4" t="s">
        <v>591</v>
      </c>
      <c r="P216" s="6"/>
      <c r="Q216" s="6"/>
      <c r="R216" s="4" t="s">
        <v>591</v>
      </c>
    </row>
    <row collapsed="false" customFormat="false" customHeight="true" hidden="false" ht="15" outlineLevel="0" r="217">
      <c r="A217" s="4" t="s">
        <v>600</v>
      </c>
      <c r="B217" s="4" t="s">
        <v>548</v>
      </c>
      <c r="C217" s="4"/>
      <c r="D217" s="4" t="s">
        <v>12</v>
      </c>
      <c r="E217" s="4"/>
      <c r="F217" s="4"/>
      <c r="G217" s="4"/>
      <c r="H217" s="4"/>
      <c r="I217" s="4"/>
      <c r="J217" s="4" t="s">
        <v>601</v>
      </c>
      <c r="K217" s="4"/>
      <c r="L217" s="5"/>
      <c r="M217" s="4"/>
      <c r="P217" s="6"/>
      <c r="Q217" s="6"/>
      <c r="R217" s="4"/>
    </row>
    <row collapsed="false" customFormat="false" customHeight="true" hidden="false" ht="15" outlineLevel="0" r="218">
      <c r="A218" s="4" t="s">
        <v>600</v>
      </c>
      <c r="B218" s="4" t="s">
        <v>548</v>
      </c>
      <c r="C218" s="4"/>
      <c r="D218" s="4" t="s">
        <v>15</v>
      </c>
      <c r="E218" s="4"/>
      <c r="F218" s="4"/>
      <c r="G218" s="4"/>
      <c r="H218" s="4"/>
      <c r="I218" s="4"/>
      <c r="J218" s="4"/>
      <c r="K218" s="4"/>
      <c r="L218" s="5"/>
      <c r="M218" s="4"/>
      <c r="P218" s="6"/>
      <c r="Q218" s="6"/>
      <c r="R218" s="4"/>
    </row>
    <row collapsed="false" customFormat="false" customHeight="true" hidden="false" ht="15" outlineLevel="0" r="219">
      <c r="A219" s="4" t="s">
        <v>288</v>
      </c>
      <c r="B219" s="4" t="s">
        <v>548</v>
      </c>
      <c r="C219" s="4" t="s">
        <v>549</v>
      </c>
      <c r="D219" s="4" t="s">
        <v>550</v>
      </c>
      <c r="E219" s="4"/>
      <c r="F219" s="4" t="s">
        <v>551</v>
      </c>
      <c r="G219" s="4" t="s">
        <v>5</v>
      </c>
      <c r="H219" s="4" t="s">
        <v>6</v>
      </c>
      <c r="I219" s="4" t="n">
        <v>20424</v>
      </c>
      <c r="J219" s="4" t="s">
        <v>552</v>
      </c>
      <c r="K219" s="4" t="s">
        <v>553</v>
      </c>
      <c r="L219" s="5" t="str">
        <f aca="false">HYPERLINK("mailto:solmail@flra.gov","mailto:solmail@flra.gov")</f>
        <v>mailto:solmail@flra.gov</v>
      </c>
      <c r="M219" s="4" t="s">
        <v>554</v>
      </c>
      <c r="P219" s="6"/>
      <c r="Q219" s="6"/>
      <c r="R219" s="4" t="s">
        <v>554</v>
      </c>
    </row>
    <row collapsed="false" customFormat="false" customHeight="true" hidden="false" ht="15" outlineLevel="0" r="220">
      <c r="A220" s="4" t="s">
        <v>288</v>
      </c>
      <c r="B220" s="4" t="s">
        <v>548</v>
      </c>
      <c r="C220" s="4"/>
      <c r="D220" s="4" t="s">
        <v>12</v>
      </c>
      <c r="E220" s="4"/>
      <c r="F220" s="4"/>
      <c r="G220" s="4"/>
      <c r="H220" s="4"/>
      <c r="I220" s="4"/>
      <c r="J220" s="4" t="s">
        <v>552</v>
      </c>
      <c r="K220" s="4"/>
      <c r="L220" s="5"/>
      <c r="M220" s="4"/>
      <c r="P220" s="6"/>
      <c r="Q220" s="6"/>
      <c r="R220" s="4"/>
    </row>
    <row collapsed="false" customFormat="false" customHeight="true" hidden="false" ht="15" outlineLevel="0" r="221">
      <c r="A221" s="4" t="s">
        <v>288</v>
      </c>
      <c r="B221" s="4" t="s">
        <v>548</v>
      </c>
      <c r="C221" s="4" t="s">
        <v>603</v>
      </c>
      <c r="D221" s="4" t="s">
        <v>15</v>
      </c>
      <c r="E221" s="4"/>
      <c r="F221" s="4"/>
      <c r="G221" s="4"/>
      <c r="H221" s="4"/>
      <c r="I221" s="4"/>
      <c r="J221" s="4" t="s">
        <v>604</v>
      </c>
      <c r="K221" s="4"/>
      <c r="L221" s="5" t="str">
        <f aca="false">HYPERLINK("mailto:ggrippando@flra.gov","mailto:ggrippando@flra.gov")</f>
        <v>mailto:ggrippando@flra.gov</v>
      </c>
      <c r="M221" s="4"/>
      <c r="P221" s="6"/>
      <c r="Q221" s="6"/>
      <c r="R221" s="4"/>
    </row>
    <row collapsed="false" customFormat="false" customHeight="true" hidden="false" ht="15" outlineLevel="0" r="222">
      <c r="A222" s="4" t="s">
        <v>605</v>
      </c>
      <c r="B222" s="4" t="s">
        <v>605</v>
      </c>
      <c r="C222" s="4" t="s">
        <v>606</v>
      </c>
      <c r="D222" s="4" t="s">
        <v>607</v>
      </c>
      <c r="E222" s="4"/>
      <c r="F222" s="4" t="s">
        <v>608</v>
      </c>
      <c r="G222" s="4" t="s">
        <v>5</v>
      </c>
      <c r="H222" s="4" t="s">
        <v>6</v>
      </c>
      <c r="I222" s="4" t="n">
        <v>20573</v>
      </c>
      <c r="J222" s="4" t="s">
        <v>609</v>
      </c>
      <c r="K222" s="4" t="s">
        <v>610</v>
      </c>
      <c r="L222" s="5" t="str">
        <f aca="false">HYPERLINK("mailto:FOIA@fmc.gov","mailto:FOIA@fmc.gov")</f>
        <v>mailto:FOIA@fmc.gov</v>
      </c>
      <c r="M222" s="4" t="s">
        <v>611</v>
      </c>
      <c r="P222" s="6"/>
      <c r="Q222" s="6"/>
      <c r="R222" s="4" t="s">
        <v>611</v>
      </c>
    </row>
    <row collapsed="false" customFormat="false" customHeight="true" hidden="false" ht="15" outlineLevel="0" r="223">
      <c r="A223" s="4" t="s">
        <v>605</v>
      </c>
      <c r="B223" s="4" t="s">
        <v>605</v>
      </c>
      <c r="C223" s="4"/>
      <c r="D223" s="4" t="s">
        <v>12</v>
      </c>
      <c r="E223" s="4"/>
      <c r="F223" s="4"/>
      <c r="G223" s="4"/>
      <c r="H223" s="4"/>
      <c r="I223" s="4"/>
      <c r="J223" s="4" t="s">
        <v>612</v>
      </c>
      <c r="K223" s="4"/>
      <c r="L223" s="5"/>
      <c r="M223" s="4"/>
      <c r="P223" s="6"/>
      <c r="Q223" s="6"/>
      <c r="R223" s="4"/>
    </row>
    <row collapsed="false" customFormat="false" customHeight="true" hidden="false" ht="15" outlineLevel="0" r="224">
      <c r="A224" s="4" t="s">
        <v>605</v>
      </c>
      <c r="B224" s="4" t="s">
        <v>605</v>
      </c>
      <c r="C224" s="4" t="s">
        <v>606</v>
      </c>
      <c r="D224" s="4" t="s">
        <v>15</v>
      </c>
      <c r="E224" s="4"/>
      <c r="F224" s="4"/>
      <c r="G224" s="4"/>
      <c r="H224" s="4"/>
      <c r="I224" s="4"/>
      <c r="J224" s="4" t="s">
        <v>609</v>
      </c>
      <c r="K224" s="4"/>
      <c r="L224" s="5"/>
      <c r="M224" s="4"/>
      <c r="P224" s="6"/>
      <c r="Q224" s="6"/>
      <c r="R224" s="4"/>
    </row>
    <row collapsed="false" customFormat="false" customHeight="true" hidden="false" ht="15" outlineLevel="0" r="225">
      <c r="A225" s="4" t="s">
        <v>613</v>
      </c>
      <c r="B225" s="4" t="s">
        <v>613</v>
      </c>
      <c r="C225" s="4" t="s">
        <v>614</v>
      </c>
      <c r="D225" s="4" t="s">
        <v>437</v>
      </c>
      <c r="E225" s="4"/>
      <c r="F225" s="4" t="s">
        <v>615</v>
      </c>
      <c r="G225" s="4" t="s">
        <v>5</v>
      </c>
      <c r="H225" s="4" t="s">
        <v>6</v>
      </c>
      <c r="I225" s="4" t="n">
        <v>20427</v>
      </c>
      <c r="J225" s="4" t="s">
        <v>616</v>
      </c>
      <c r="K225" s="4" t="s">
        <v>617</v>
      </c>
      <c r="L225" s="5" t="str">
        <f aca="false">HYPERLINK("mailto:foia@fmcs.gov","mailto:foia@fmcs.gov")</f>
        <v>mailto:foia@fmcs.gov</v>
      </c>
      <c r="M225" s="4" t="s">
        <v>618</v>
      </c>
      <c r="P225" s="6"/>
      <c r="Q225" s="6"/>
      <c r="R225" s="4" t="s">
        <v>618</v>
      </c>
    </row>
    <row collapsed="false" customFormat="false" customHeight="true" hidden="false" ht="15" outlineLevel="0" r="226">
      <c r="A226" s="4" t="s">
        <v>613</v>
      </c>
      <c r="B226" s="4" t="s">
        <v>613</v>
      </c>
      <c r="C226" s="4" t="s">
        <v>619</v>
      </c>
      <c r="D226" s="4" t="s">
        <v>12</v>
      </c>
      <c r="E226" s="4"/>
      <c r="F226" s="4"/>
      <c r="G226" s="4"/>
      <c r="H226" s="4"/>
      <c r="I226" s="4"/>
      <c r="J226" s="4" t="s">
        <v>620</v>
      </c>
      <c r="K226" s="4"/>
      <c r="L226" s="5"/>
      <c r="M226" s="4"/>
      <c r="P226" s="6"/>
      <c r="Q226" s="6"/>
      <c r="R226" s="4"/>
    </row>
    <row collapsed="false" customFormat="false" customHeight="true" hidden="false" ht="15" outlineLevel="0" r="227">
      <c r="A227" s="4" t="s">
        <v>613</v>
      </c>
      <c r="B227" s="4" t="s">
        <v>613</v>
      </c>
      <c r="C227" s="4" t="s">
        <v>614</v>
      </c>
      <c r="D227" s="4" t="s">
        <v>15</v>
      </c>
      <c r="E227" s="4"/>
      <c r="F227" s="4"/>
      <c r="G227" s="4"/>
      <c r="H227" s="4"/>
      <c r="I227" s="4"/>
      <c r="J227" s="4" t="s">
        <v>616</v>
      </c>
      <c r="K227" s="4"/>
      <c r="L227" s="5"/>
      <c r="M227" s="4"/>
      <c r="P227" s="6"/>
      <c r="Q227" s="6"/>
      <c r="R227" s="4"/>
    </row>
    <row collapsed="false" customFormat="false" customHeight="true" hidden="false" ht="15" outlineLevel="0" r="228">
      <c r="A228" s="4" t="s">
        <v>621</v>
      </c>
      <c r="B228" s="4" t="s">
        <v>621</v>
      </c>
      <c r="C228" s="4" t="s">
        <v>622</v>
      </c>
      <c r="D228" s="4" t="s">
        <v>124</v>
      </c>
      <c r="E228" s="4" t="s">
        <v>623</v>
      </c>
      <c r="F228" s="4" t="s">
        <v>624</v>
      </c>
      <c r="G228" s="4" t="s">
        <v>5</v>
      </c>
      <c r="H228" s="4" t="s">
        <v>6</v>
      </c>
      <c r="I228" s="4" t="n">
        <v>20001</v>
      </c>
      <c r="J228" s="4" t="s">
        <v>625</v>
      </c>
      <c r="K228" s="4" t="s">
        <v>626</v>
      </c>
      <c r="L228" s="5" t="str">
        <f aca="false">HYPERLINK("mailto:foia@fmshrc.gov","mailto:foia@fmshrc.gov")</f>
        <v>mailto:foia@fmshrc.gov</v>
      </c>
      <c r="M228" s="4" t="s">
        <v>627</v>
      </c>
      <c r="P228" s="6"/>
      <c r="Q228" s="6"/>
      <c r="R228" s="4" t="s">
        <v>627</v>
      </c>
    </row>
    <row collapsed="false" customFormat="false" customHeight="true" hidden="false" ht="15" outlineLevel="0" r="229">
      <c r="A229" s="4" t="s">
        <v>621</v>
      </c>
      <c r="B229" s="4" t="s">
        <v>621</v>
      </c>
      <c r="C229" s="4"/>
      <c r="D229" s="4" t="s">
        <v>12</v>
      </c>
      <c r="E229" s="4"/>
      <c r="F229" s="4"/>
      <c r="G229" s="4"/>
      <c r="H229" s="4"/>
      <c r="I229" s="4"/>
      <c r="J229" s="4" t="s">
        <v>625</v>
      </c>
      <c r="K229" s="4"/>
      <c r="L229" s="5"/>
      <c r="M229" s="4"/>
      <c r="P229" s="6"/>
      <c r="Q229" s="6"/>
      <c r="R229" s="4"/>
    </row>
    <row collapsed="false" customFormat="false" customHeight="true" hidden="false" ht="15" outlineLevel="0" r="230">
      <c r="A230" s="4" t="s">
        <v>621</v>
      </c>
      <c r="B230" s="4" t="s">
        <v>621</v>
      </c>
      <c r="C230" s="4" t="s">
        <v>628</v>
      </c>
      <c r="D230" s="4" t="s">
        <v>15</v>
      </c>
      <c r="E230" s="4"/>
      <c r="F230" s="4"/>
      <c r="G230" s="4"/>
      <c r="H230" s="4"/>
      <c r="I230" s="4"/>
      <c r="J230" s="4" t="s">
        <v>625</v>
      </c>
      <c r="K230" s="4"/>
      <c r="L230" s="5"/>
      <c r="M230" s="4"/>
      <c r="P230" s="6"/>
      <c r="Q230" s="6"/>
      <c r="R230" s="4"/>
    </row>
    <row collapsed="false" customFormat="false" customHeight="true" hidden="false" ht="15" outlineLevel="0" r="231">
      <c r="A231" s="4" t="s">
        <v>629</v>
      </c>
      <c r="B231" s="4" t="s">
        <v>629</v>
      </c>
      <c r="C231" s="4" t="s">
        <v>630</v>
      </c>
      <c r="D231" s="4" t="s">
        <v>631</v>
      </c>
      <c r="E231" s="4" t="s">
        <v>632</v>
      </c>
      <c r="F231" s="4" t="s">
        <v>633</v>
      </c>
      <c r="G231" s="4" t="s">
        <v>5</v>
      </c>
      <c r="H231" s="4" t="s">
        <v>6</v>
      </c>
      <c r="I231" s="4" t="n">
        <v>20551</v>
      </c>
      <c r="J231" s="4" t="s">
        <v>634</v>
      </c>
      <c r="K231" s="4" t="s">
        <v>635</v>
      </c>
      <c r="L231" s="5"/>
      <c r="M231" s="4" t="s">
        <v>636</v>
      </c>
      <c r="P231" s="6"/>
      <c r="Q231" s="6"/>
      <c r="R231" s="4" t="s">
        <v>636</v>
      </c>
    </row>
    <row collapsed="false" customFormat="false" customHeight="true" hidden="false" ht="15" outlineLevel="0" r="232">
      <c r="A232" s="4" t="s">
        <v>629</v>
      </c>
      <c r="B232" s="4" t="s">
        <v>629</v>
      </c>
      <c r="C232" s="4"/>
      <c r="D232" s="4" t="s">
        <v>12</v>
      </c>
      <c r="E232" s="4"/>
      <c r="F232" s="4"/>
      <c r="G232" s="4"/>
      <c r="H232" s="4"/>
      <c r="I232" s="4"/>
      <c r="J232" s="4" t="s">
        <v>634</v>
      </c>
      <c r="K232" s="4"/>
      <c r="L232" s="5"/>
      <c r="M232" s="4"/>
      <c r="P232" s="6"/>
      <c r="Q232" s="6"/>
      <c r="R232" s="4"/>
    </row>
    <row collapsed="false" customFormat="false" customHeight="true" hidden="false" ht="15" outlineLevel="0" r="233">
      <c r="A233" s="4" t="s">
        <v>629</v>
      </c>
      <c r="B233" s="4" t="s">
        <v>629</v>
      </c>
      <c r="C233" s="4" t="s">
        <v>637</v>
      </c>
      <c r="D233" s="4" t="s">
        <v>15</v>
      </c>
      <c r="E233" s="4"/>
      <c r="F233" s="4"/>
      <c r="G233" s="4"/>
      <c r="H233" s="4"/>
      <c r="I233" s="4"/>
      <c r="J233" s="4" t="s">
        <v>638</v>
      </c>
      <c r="K233" s="4"/>
      <c r="L233" s="5" t="str">
        <f aca="false">HYPERLINK("mailto:Alison.M.Thro@frb.gov","mailto:Alison.M.Thro@frb.gov")</f>
        <v>mailto:Alison.M.Thro@frb.gov</v>
      </c>
      <c r="M233" s="4"/>
      <c r="P233" s="6"/>
      <c r="Q233" s="6"/>
      <c r="R233" s="4"/>
    </row>
    <row collapsed="false" customFormat="false" customHeight="true" hidden="false" ht="15" outlineLevel="0" r="234">
      <c r="A234" s="4" t="s">
        <v>639</v>
      </c>
      <c r="B234" s="4" t="s">
        <v>639</v>
      </c>
      <c r="C234" s="4" t="s">
        <v>640</v>
      </c>
      <c r="D234" s="4" t="s">
        <v>641</v>
      </c>
      <c r="E234" s="4"/>
      <c r="F234" s="4" t="s">
        <v>633</v>
      </c>
      <c r="G234" s="4" t="s">
        <v>5</v>
      </c>
      <c r="H234" s="4" t="s">
        <v>6</v>
      </c>
      <c r="I234" s="4" t="n">
        <v>20551</v>
      </c>
      <c r="J234" s="4" t="s">
        <v>642</v>
      </c>
      <c r="K234" s="4" t="s">
        <v>643</v>
      </c>
      <c r="L234" s="5"/>
      <c r="M234" s="4" t="s">
        <v>636</v>
      </c>
      <c r="P234" s="6"/>
      <c r="Q234" s="6"/>
      <c r="R234" s="4" t="s">
        <v>636</v>
      </c>
    </row>
    <row collapsed="false" customFormat="false" customHeight="true" hidden="false" ht="15" outlineLevel="0" r="235">
      <c r="A235" s="4" t="s">
        <v>639</v>
      </c>
      <c r="B235" s="4" t="s">
        <v>639</v>
      </c>
      <c r="C235" s="4"/>
      <c r="D235" s="4" t="s">
        <v>12</v>
      </c>
      <c r="E235" s="4"/>
      <c r="F235" s="4"/>
      <c r="G235" s="4"/>
      <c r="H235" s="4"/>
      <c r="I235" s="4"/>
      <c r="J235" s="4" t="s">
        <v>642</v>
      </c>
      <c r="K235" s="4"/>
      <c r="L235" s="5"/>
      <c r="M235" s="4"/>
      <c r="P235" s="6"/>
      <c r="Q235" s="6"/>
      <c r="R235" s="4"/>
    </row>
    <row collapsed="false" customFormat="false" customHeight="true" hidden="false" ht="15" outlineLevel="0" r="236">
      <c r="A236" s="4" t="s">
        <v>639</v>
      </c>
      <c r="B236" s="4" t="s">
        <v>639</v>
      </c>
      <c r="C236" s="4" t="s">
        <v>640</v>
      </c>
      <c r="D236" s="4" t="s">
        <v>15</v>
      </c>
      <c r="E236" s="4"/>
      <c r="F236" s="4"/>
      <c r="G236" s="4"/>
      <c r="H236" s="4"/>
      <c r="I236" s="4"/>
      <c r="J236" s="4" t="s">
        <v>644</v>
      </c>
      <c r="K236" s="4"/>
      <c r="L236" s="5" t="str">
        <f aca="false">HYPERLINK("mailto:Alison.M.Thro@frb.gov","mailto:Alison.M.Thro@frb.gov")</f>
        <v>mailto:Alison.M.Thro@frb.gov</v>
      </c>
      <c r="M236" s="4"/>
      <c r="P236" s="6"/>
      <c r="Q236" s="6"/>
      <c r="R236" s="4"/>
    </row>
    <row collapsed="false" customFormat="false" customHeight="true" hidden="false" ht="15" outlineLevel="0" r="237">
      <c r="A237" s="4" t="s">
        <v>645</v>
      </c>
      <c r="B237" s="4" t="s">
        <v>645</v>
      </c>
      <c r="C237" s="4" t="s">
        <v>646</v>
      </c>
      <c r="D237" s="4" t="s">
        <v>124</v>
      </c>
      <c r="E237" s="4" t="s">
        <v>593</v>
      </c>
      <c r="F237" s="4" t="s">
        <v>647</v>
      </c>
      <c r="G237" s="4" t="s">
        <v>5</v>
      </c>
      <c r="H237" s="4" t="s">
        <v>6</v>
      </c>
      <c r="I237" s="4" t="s">
        <v>648</v>
      </c>
      <c r="J237" s="4" t="s">
        <v>649</v>
      </c>
      <c r="K237" s="4"/>
      <c r="L237" s="5"/>
      <c r="M237" s="4" t="s">
        <v>650</v>
      </c>
      <c r="P237" s="6"/>
      <c r="Q237" s="6"/>
      <c r="R237" s="4" t="s">
        <v>650</v>
      </c>
    </row>
    <row collapsed="false" customFormat="false" customHeight="true" hidden="false" ht="15" outlineLevel="0" r="238">
      <c r="A238" s="4" t="s">
        <v>645</v>
      </c>
      <c r="B238" s="4" t="s">
        <v>645</v>
      </c>
      <c r="C238" s="4"/>
      <c r="D238" s="4" t="s">
        <v>12</v>
      </c>
      <c r="E238" s="4"/>
      <c r="F238" s="4"/>
      <c r="G238" s="4"/>
      <c r="H238" s="4"/>
      <c r="I238" s="4"/>
      <c r="J238" s="4" t="s">
        <v>649</v>
      </c>
      <c r="K238" s="4"/>
      <c r="L238" s="5"/>
      <c r="M238" s="4"/>
      <c r="P238" s="6"/>
      <c r="Q238" s="6"/>
      <c r="R238" s="4"/>
    </row>
    <row collapsed="false" customFormat="false" customHeight="true" hidden="false" ht="15" outlineLevel="0" r="239">
      <c r="A239" s="4" t="s">
        <v>645</v>
      </c>
      <c r="B239" s="4" t="s">
        <v>645</v>
      </c>
      <c r="C239" s="4" t="s">
        <v>646</v>
      </c>
      <c r="D239" s="4" t="s">
        <v>15</v>
      </c>
      <c r="E239" s="4"/>
      <c r="F239" s="4"/>
      <c r="G239" s="4"/>
      <c r="H239" s="4"/>
      <c r="I239" s="4"/>
      <c r="J239" s="4" t="s">
        <v>649</v>
      </c>
      <c r="K239" s="4"/>
      <c r="L239" s="5"/>
      <c r="M239" s="4"/>
      <c r="P239" s="6"/>
      <c r="Q239" s="6"/>
      <c r="R239" s="4"/>
    </row>
    <row collapsed="false" customFormat="false" customHeight="true" hidden="false" ht="15" outlineLevel="0" r="240">
      <c r="A240" s="4" t="s">
        <v>651</v>
      </c>
      <c r="B240" s="4" t="s">
        <v>651</v>
      </c>
      <c r="C240" s="4" t="s">
        <v>652</v>
      </c>
      <c r="D240" s="4" t="s">
        <v>653</v>
      </c>
      <c r="E240" s="4"/>
      <c r="F240" s="4" t="s">
        <v>654</v>
      </c>
      <c r="G240" s="4" t="s">
        <v>5</v>
      </c>
      <c r="H240" s="4" t="s">
        <v>6</v>
      </c>
      <c r="I240" s="4" t="n">
        <v>20580</v>
      </c>
      <c r="J240" s="4" t="s">
        <v>655</v>
      </c>
      <c r="K240" s="4" t="s">
        <v>656</v>
      </c>
      <c r="L240" s="5" t="str">
        <f aca="false">HYPERLINK("mailto:foia@ftc.gov","mailto:foia@ftc.gov")</f>
        <v>mailto:foia@ftc.gov</v>
      </c>
      <c r="M240" s="4" t="s">
        <v>657</v>
      </c>
      <c r="P240" s="6"/>
      <c r="Q240" s="6"/>
      <c r="R240" s="4" t="s">
        <v>657</v>
      </c>
    </row>
    <row collapsed="false" customFormat="false" customHeight="true" hidden="false" ht="15" outlineLevel="0" r="241">
      <c r="A241" s="4" t="s">
        <v>651</v>
      </c>
      <c r="B241" s="4" t="s">
        <v>651</v>
      </c>
      <c r="C241" s="4"/>
      <c r="D241" s="4" t="s">
        <v>12</v>
      </c>
      <c r="E241" s="4"/>
      <c r="F241" s="4"/>
      <c r="G241" s="4"/>
      <c r="H241" s="4"/>
      <c r="I241" s="4"/>
      <c r="J241" s="4" t="s">
        <v>658</v>
      </c>
      <c r="K241" s="4"/>
      <c r="L241" s="5"/>
      <c r="M241" s="4"/>
      <c r="P241" s="6"/>
      <c r="Q241" s="6"/>
      <c r="R241" s="4"/>
    </row>
    <row collapsed="false" customFormat="false" customHeight="true" hidden="false" ht="15" outlineLevel="0" r="242">
      <c r="A242" s="4" t="s">
        <v>651</v>
      </c>
      <c r="B242" s="4" t="s">
        <v>651</v>
      </c>
      <c r="C242" s="4" t="s">
        <v>659</v>
      </c>
      <c r="D242" s="4" t="s">
        <v>15</v>
      </c>
      <c r="E242" s="4"/>
      <c r="F242" s="4"/>
      <c r="G242" s="4"/>
      <c r="H242" s="4"/>
      <c r="I242" s="4"/>
      <c r="J242" s="4" t="s">
        <v>660</v>
      </c>
      <c r="K242" s="4"/>
      <c r="L242" s="5"/>
      <c r="M242" s="4"/>
      <c r="P242" s="6"/>
      <c r="Q242" s="6"/>
      <c r="R242" s="4"/>
    </row>
    <row collapsed="false" customFormat="false" customHeight="true" hidden="false" ht="15" outlineLevel="0" r="243">
      <c r="A243" s="4" t="s">
        <v>289</v>
      </c>
      <c r="B243" s="4" t="s">
        <v>661</v>
      </c>
      <c r="C243" s="4" t="s">
        <v>662</v>
      </c>
      <c r="D243" s="4" t="s">
        <v>663</v>
      </c>
      <c r="E243" s="4" t="s">
        <v>664</v>
      </c>
      <c r="F243" s="4" t="s">
        <v>665</v>
      </c>
      <c r="G243" s="4" t="s">
        <v>5</v>
      </c>
      <c r="H243" s="4" t="s">
        <v>6</v>
      </c>
      <c r="I243" s="4" t="n">
        <v>20417</v>
      </c>
      <c r="J243" s="4" t="s">
        <v>666</v>
      </c>
      <c r="K243" s="4" t="s">
        <v>667</v>
      </c>
      <c r="L243" s="5" t="str">
        <f aca="false">HYPERLINK("mailto:gsa.foia@gsa.gov","gsa.foia@gsa.gov")</f>
        <v>gsa.foia@gsa.gov</v>
      </c>
      <c r="M243" s="4" t="s">
        <v>668</v>
      </c>
      <c r="P243" s="6"/>
      <c r="Q243" s="6"/>
      <c r="R243" s="4" t="s">
        <v>668</v>
      </c>
    </row>
    <row collapsed="false" customFormat="false" customHeight="true" hidden="false" ht="15" outlineLevel="0" r="244">
      <c r="A244" s="4" t="s">
        <v>289</v>
      </c>
      <c r="B244" s="4" t="s">
        <v>661</v>
      </c>
      <c r="C244" s="4" t="s">
        <v>662</v>
      </c>
      <c r="D244" s="4" t="s">
        <v>12</v>
      </c>
      <c r="E244" s="4"/>
      <c r="F244" s="4"/>
      <c r="G244" s="4"/>
      <c r="H244" s="4"/>
      <c r="I244" s="4"/>
      <c r="J244" s="4" t="s">
        <v>666</v>
      </c>
      <c r="K244" s="4"/>
      <c r="L244" s="5" t="str">
        <f aca="false">HYPERLINK("mailto:sharon.lighton@gsa.gov","sharon.lighton@gsa.gov")</f>
        <v>sharon.lighton@gsa.gov</v>
      </c>
      <c r="M244" s="4"/>
      <c r="P244" s="6"/>
      <c r="Q244" s="6"/>
      <c r="R244" s="4"/>
    </row>
    <row collapsed="false" customFormat="false" customHeight="true" hidden="false" ht="15" outlineLevel="0" r="245">
      <c r="A245" s="4" t="s">
        <v>289</v>
      </c>
      <c r="B245" s="4" t="s">
        <v>661</v>
      </c>
      <c r="C245" s="4" t="s">
        <v>669</v>
      </c>
      <c r="D245" s="4" t="s">
        <v>12</v>
      </c>
      <c r="E245" s="4"/>
      <c r="F245" s="4"/>
      <c r="G245" s="4"/>
      <c r="H245" s="4"/>
      <c r="I245" s="4"/>
      <c r="J245" s="4" t="s">
        <v>670</v>
      </c>
      <c r="K245" s="4"/>
      <c r="L245" s="5" t="str">
        <f aca="false">HYPERLINK("mailto:kimberly.veach@gsa.gov","kimberly.veach@gsa.gov")</f>
        <v>kimberly.veach@gsa.gov</v>
      </c>
      <c r="M245" s="4"/>
      <c r="P245" s="6"/>
      <c r="Q245" s="6"/>
      <c r="R245" s="4"/>
    </row>
    <row collapsed="false" customFormat="false" customHeight="true" hidden="false" ht="15" outlineLevel="0" r="246">
      <c r="A246" s="4" t="s">
        <v>289</v>
      </c>
      <c r="B246" s="4" t="s">
        <v>661</v>
      </c>
      <c r="C246" s="4" t="s">
        <v>671</v>
      </c>
      <c r="D246" s="4" t="s">
        <v>672</v>
      </c>
      <c r="E246" s="4"/>
      <c r="F246" s="4"/>
      <c r="G246" s="4"/>
      <c r="H246" s="4"/>
      <c r="I246" s="4"/>
      <c r="J246" s="4" t="s">
        <v>673</v>
      </c>
      <c r="K246" s="4"/>
      <c r="L246" s="5"/>
      <c r="M246" s="4"/>
      <c r="P246" s="6"/>
      <c r="Q246" s="6"/>
      <c r="R246" s="4"/>
    </row>
    <row collapsed="false" customFormat="false" customHeight="true" hidden="false" ht="15" outlineLevel="0" r="247">
      <c r="A247" s="4" t="s">
        <v>674</v>
      </c>
      <c r="B247" s="4" t="s">
        <v>661</v>
      </c>
      <c r="C247" s="4" t="s">
        <v>675</v>
      </c>
      <c r="D247" s="4" t="s">
        <v>676</v>
      </c>
      <c r="E247" s="4" t="s">
        <v>677</v>
      </c>
      <c r="F247" s="4" t="s">
        <v>678</v>
      </c>
      <c r="G247" s="4" t="s">
        <v>679</v>
      </c>
      <c r="H247" s="4" t="s">
        <v>196</v>
      </c>
      <c r="I247" s="4" t="s">
        <v>680</v>
      </c>
      <c r="J247" s="4" t="s">
        <v>681</v>
      </c>
      <c r="K247" s="4" t="s">
        <v>682</v>
      </c>
      <c r="L247" s="5" t="str">
        <f aca="false">HYPERLINK("mailto:louise.brown@gsa.gov","louise.brown@gsa.gov")</f>
        <v>louise.brown@gsa.gov</v>
      </c>
      <c r="M247" s="4" t="s">
        <v>683</v>
      </c>
      <c r="P247" s="6"/>
      <c r="Q247" s="6"/>
      <c r="R247" s="4" t="s">
        <v>683</v>
      </c>
    </row>
    <row collapsed="false" customFormat="false" customHeight="true" hidden="false" ht="15" outlineLevel="0" r="248">
      <c r="A248" s="4" t="s">
        <v>674</v>
      </c>
      <c r="B248" s="4" t="s">
        <v>661</v>
      </c>
      <c r="C248" s="4" t="s">
        <v>662</v>
      </c>
      <c r="D248" s="4" t="s">
        <v>12</v>
      </c>
      <c r="E248" s="4"/>
      <c r="F248" s="4"/>
      <c r="G248" s="4"/>
      <c r="H248" s="4"/>
      <c r="I248" s="4"/>
      <c r="J248" s="4" t="s">
        <v>666</v>
      </c>
      <c r="K248" s="4"/>
      <c r="L248" s="5" t="str">
        <f aca="false">HYPERLINK("mailto:sharon.lighton@gsa.gov","sharon.lighton@gsa.gov")</f>
        <v>sharon.lighton@gsa.gov</v>
      </c>
      <c r="M248" s="4"/>
      <c r="P248" s="6"/>
      <c r="Q248" s="6"/>
      <c r="R248" s="4"/>
    </row>
    <row collapsed="false" customFormat="false" customHeight="true" hidden="false" ht="15" outlineLevel="0" r="249">
      <c r="A249" s="4" t="s">
        <v>674</v>
      </c>
      <c r="B249" s="4" t="s">
        <v>661</v>
      </c>
      <c r="C249" s="4" t="s">
        <v>669</v>
      </c>
      <c r="D249" s="4" t="s">
        <v>12</v>
      </c>
      <c r="E249" s="4"/>
      <c r="F249" s="4"/>
      <c r="G249" s="4"/>
      <c r="H249" s="4"/>
      <c r="I249" s="4"/>
      <c r="J249" s="4" t="s">
        <v>670</v>
      </c>
      <c r="K249" s="4"/>
      <c r="L249" s="5" t="str">
        <f aca="false">HYPERLINK("mailto:kimberly.veach@gsa.gov","kimberly.veach@gsa.gov")</f>
        <v>kimberly.veach@gsa.gov</v>
      </c>
      <c r="M249" s="4"/>
      <c r="P249" s="6"/>
      <c r="Q249" s="6"/>
      <c r="R249" s="4"/>
    </row>
    <row collapsed="false" customFormat="false" customHeight="true" hidden="false" ht="15" outlineLevel="0" r="250">
      <c r="A250" s="4" t="s">
        <v>674</v>
      </c>
      <c r="B250" s="4" t="s">
        <v>661</v>
      </c>
      <c r="C250" s="4" t="s">
        <v>684</v>
      </c>
      <c r="D250" s="4" t="s">
        <v>15</v>
      </c>
      <c r="E250" s="4"/>
      <c r="F250" s="4"/>
      <c r="G250" s="4"/>
      <c r="H250" s="4"/>
      <c r="I250" s="4"/>
      <c r="J250" s="4" t="s">
        <v>685</v>
      </c>
      <c r="K250" s="4"/>
      <c r="L250" s="5" t="str">
        <f aca="false">HYPERLINK("mailto:peggy.deprospero@gsa.gov","peggy.deprospero@gsa.gov")</f>
        <v>peggy.deprospero@gsa.gov</v>
      </c>
      <c r="M250" s="4"/>
      <c r="P250" s="6"/>
      <c r="Q250" s="6"/>
      <c r="R250" s="4"/>
    </row>
    <row collapsed="false" customFormat="false" customHeight="true" hidden="false" ht="15" outlineLevel="0" r="251">
      <c r="A251" s="4" t="s">
        <v>686</v>
      </c>
      <c r="B251" s="4" t="s">
        <v>661</v>
      </c>
      <c r="C251" s="4" t="s">
        <v>687</v>
      </c>
      <c r="D251" s="4" t="s">
        <v>114</v>
      </c>
      <c r="E251" s="4"/>
      <c r="F251" s="4" t="s">
        <v>688</v>
      </c>
      <c r="G251" s="4" t="s">
        <v>207</v>
      </c>
      <c r="H251" s="4" t="s">
        <v>208</v>
      </c>
      <c r="I251" s="4" t="s">
        <v>689</v>
      </c>
      <c r="J251" s="4" t="s">
        <v>690</v>
      </c>
      <c r="K251" s="4"/>
      <c r="L251" s="5" t="str">
        <f aca="false">HYPERLINK("mailto:jennifer.diala-wu@gsa.gov","jennifer.diala-wu@gsa.gov")</f>
        <v>jennifer.diala-wu@gsa.gov</v>
      </c>
      <c r="M251" s="4" t="s">
        <v>683</v>
      </c>
      <c r="P251" s="6"/>
      <c r="Q251" s="6"/>
      <c r="R251" s="4" t="s">
        <v>683</v>
      </c>
    </row>
    <row collapsed="false" customFormat="false" customHeight="true" hidden="false" ht="15" outlineLevel="0" r="252">
      <c r="A252" s="4" t="s">
        <v>686</v>
      </c>
      <c r="B252" s="4" t="s">
        <v>661</v>
      </c>
      <c r="C252" s="4" t="s">
        <v>662</v>
      </c>
      <c r="D252" s="4" t="s">
        <v>12</v>
      </c>
      <c r="E252" s="4"/>
      <c r="F252" s="4"/>
      <c r="G252" s="4"/>
      <c r="H252" s="4"/>
      <c r="I252" s="4"/>
      <c r="J252" s="4" t="s">
        <v>666</v>
      </c>
      <c r="K252" s="4"/>
      <c r="L252" s="5" t="str">
        <f aca="false">HYPERLINK("mailto:sharon.lighton@gsa.gov","sharon.lighton@gsa.gov")</f>
        <v>sharon.lighton@gsa.gov</v>
      </c>
      <c r="M252" s="4"/>
      <c r="P252" s="6"/>
      <c r="Q252" s="6"/>
      <c r="R252" s="4"/>
    </row>
    <row collapsed="false" customFormat="false" customHeight="true" hidden="false" ht="15" outlineLevel="0" r="253">
      <c r="A253" s="4" t="s">
        <v>686</v>
      </c>
      <c r="B253" s="4" t="s">
        <v>661</v>
      </c>
      <c r="C253" s="4" t="s">
        <v>669</v>
      </c>
      <c r="D253" s="4" t="s">
        <v>12</v>
      </c>
      <c r="E253" s="4"/>
      <c r="F253" s="4"/>
      <c r="G253" s="4"/>
      <c r="H253" s="4"/>
      <c r="I253" s="4"/>
      <c r="J253" s="4" t="s">
        <v>670</v>
      </c>
      <c r="K253" s="4"/>
      <c r="L253" s="5" t="str">
        <f aca="false">HYPERLINK("mailto:kimberly.veach@gsa.gov","kimberly.veach@gsa.gov")</f>
        <v>kimberly.veach@gsa.gov</v>
      </c>
      <c r="M253" s="4"/>
      <c r="P253" s="6"/>
      <c r="Q253" s="6"/>
      <c r="R253" s="4"/>
    </row>
    <row collapsed="false" customFormat="false" customHeight="true" hidden="false" ht="15" outlineLevel="0" r="254">
      <c r="A254" s="4" t="s">
        <v>686</v>
      </c>
      <c r="B254" s="4" t="s">
        <v>661</v>
      </c>
      <c r="C254" s="4" t="s">
        <v>684</v>
      </c>
      <c r="D254" s="4" t="s">
        <v>15</v>
      </c>
      <c r="E254" s="4"/>
      <c r="F254" s="4"/>
      <c r="G254" s="4"/>
      <c r="H254" s="4"/>
      <c r="I254" s="4"/>
      <c r="J254" s="4" t="s">
        <v>685</v>
      </c>
      <c r="K254" s="4"/>
      <c r="L254" s="5" t="str">
        <f aca="false">HYPERLINK("mailto:peggy.deprospero@gsa.gov","peggy.deprospero@gsa.gov")</f>
        <v>peggy.deprospero@gsa.gov</v>
      </c>
      <c r="M254" s="4"/>
      <c r="P254" s="6"/>
      <c r="Q254" s="6"/>
      <c r="R254" s="4"/>
    </row>
    <row collapsed="false" customFormat="false" customHeight="true" hidden="false" ht="15" outlineLevel="0" r="255">
      <c r="A255" s="4" t="s">
        <v>691</v>
      </c>
      <c r="B255" s="4" t="s">
        <v>661</v>
      </c>
      <c r="C255" s="4" t="s">
        <v>692</v>
      </c>
      <c r="D255" s="4" t="s">
        <v>114</v>
      </c>
      <c r="E255" s="4"/>
      <c r="F255" s="4" t="s">
        <v>693</v>
      </c>
      <c r="G255" s="4" t="s">
        <v>217</v>
      </c>
      <c r="H255" s="4" t="s">
        <v>218</v>
      </c>
      <c r="I255" s="4" t="s">
        <v>694</v>
      </c>
      <c r="J255" s="4" t="s">
        <v>695</v>
      </c>
      <c r="K255" s="4" t="s">
        <v>696</v>
      </c>
      <c r="L255" s="5" t="str">
        <f aca="false">HYPERLINK("mailto:ginger.graves@gsa.gov","ginger.graves@gsa.gov")</f>
        <v>ginger.graves@gsa.gov</v>
      </c>
      <c r="M255" s="4" t="s">
        <v>683</v>
      </c>
      <c r="P255" s="6"/>
      <c r="Q255" s="6"/>
      <c r="R255" s="4" t="s">
        <v>683</v>
      </c>
    </row>
    <row collapsed="false" customFormat="false" customHeight="true" hidden="false" ht="15" outlineLevel="0" r="256">
      <c r="A256" s="4" t="s">
        <v>691</v>
      </c>
      <c r="B256" s="4" t="s">
        <v>661</v>
      </c>
      <c r="C256" s="4" t="s">
        <v>662</v>
      </c>
      <c r="D256" s="4" t="s">
        <v>12</v>
      </c>
      <c r="E256" s="4"/>
      <c r="F256" s="4"/>
      <c r="G256" s="4"/>
      <c r="H256" s="4"/>
      <c r="I256" s="4"/>
      <c r="J256" s="4" t="s">
        <v>666</v>
      </c>
      <c r="K256" s="4"/>
      <c r="L256" s="5" t="str">
        <f aca="false">HYPERLINK("mailto:sharon.lighton@gsa.gov","sharon.lighton@gsa.gov")</f>
        <v>sharon.lighton@gsa.gov</v>
      </c>
      <c r="M256" s="4"/>
      <c r="P256" s="6"/>
      <c r="Q256" s="6"/>
      <c r="R256" s="4"/>
    </row>
    <row collapsed="false" customFormat="false" customHeight="true" hidden="false" ht="15" outlineLevel="0" r="257">
      <c r="A257" s="4" t="s">
        <v>691</v>
      </c>
      <c r="B257" s="4" t="s">
        <v>661</v>
      </c>
      <c r="C257" s="4" t="s">
        <v>669</v>
      </c>
      <c r="D257" s="4" t="s">
        <v>12</v>
      </c>
      <c r="E257" s="4"/>
      <c r="F257" s="4"/>
      <c r="G257" s="4"/>
      <c r="H257" s="4"/>
      <c r="I257" s="4"/>
      <c r="J257" s="4" t="s">
        <v>670</v>
      </c>
      <c r="K257" s="4"/>
      <c r="L257" s="5" t="str">
        <f aca="false">HYPERLINK("mailto:kimberly.veach@gsa.gov","kimberly.veach@gsa.gov")</f>
        <v>kimberly.veach@gsa.gov</v>
      </c>
      <c r="M257" s="4"/>
      <c r="P257" s="6"/>
      <c r="Q257" s="6"/>
      <c r="R257" s="4"/>
    </row>
    <row collapsed="false" customFormat="false" customHeight="true" hidden="false" ht="15" outlineLevel="0" r="258">
      <c r="A258" s="4" t="s">
        <v>691</v>
      </c>
      <c r="B258" s="4" t="s">
        <v>661</v>
      </c>
      <c r="C258" s="4" t="s">
        <v>684</v>
      </c>
      <c r="D258" s="4" t="s">
        <v>15</v>
      </c>
      <c r="E258" s="4"/>
      <c r="F258" s="4"/>
      <c r="G258" s="4"/>
      <c r="H258" s="4"/>
      <c r="I258" s="4"/>
      <c r="J258" s="4" t="s">
        <v>685</v>
      </c>
      <c r="K258" s="4"/>
      <c r="L258" s="5" t="str">
        <f aca="false">HYPERLINK("mailto:peggy.deprospero@gsa.gov","peggy.deprospero@gsa.gov")</f>
        <v>peggy.deprospero@gsa.gov</v>
      </c>
      <c r="M258" s="4"/>
      <c r="P258" s="6"/>
      <c r="Q258" s="6"/>
      <c r="R258" s="4"/>
    </row>
    <row collapsed="false" customFormat="false" customHeight="true" hidden="false" ht="15" outlineLevel="0" r="259">
      <c r="A259" s="4" t="s">
        <v>222</v>
      </c>
      <c r="B259" s="4" t="s">
        <v>661</v>
      </c>
      <c r="C259" s="4" t="s">
        <v>697</v>
      </c>
      <c r="D259" s="4" t="s">
        <v>114</v>
      </c>
      <c r="E259" s="4"/>
      <c r="F259" s="4" t="s">
        <v>698</v>
      </c>
      <c r="G259" s="4" t="s">
        <v>226</v>
      </c>
      <c r="H259" s="4" t="s">
        <v>227</v>
      </c>
      <c r="I259" s="4" t="s">
        <v>699</v>
      </c>
      <c r="J259" s="4" t="s">
        <v>700</v>
      </c>
      <c r="K259" s="4"/>
      <c r="L259" s="5" t="str">
        <f aca="false">HYPERLINK("mailto:debra.traylor@gsa.gov","debra.traylor@gsa.gov")</f>
        <v>debra.traylor@gsa.gov</v>
      </c>
      <c r="M259" s="4" t="s">
        <v>683</v>
      </c>
      <c r="P259" s="6"/>
      <c r="Q259" s="6"/>
      <c r="R259" s="4" t="s">
        <v>683</v>
      </c>
    </row>
    <row collapsed="false" customFormat="false" customHeight="true" hidden="false" ht="15" outlineLevel="0" r="260">
      <c r="A260" s="4" t="s">
        <v>222</v>
      </c>
      <c r="B260" s="4" t="s">
        <v>661</v>
      </c>
      <c r="C260" s="4" t="s">
        <v>662</v>
      </c>
      <c r="D260" s="4" t="s">
        <v>12</v>
      </c>
      <c r="E260" s="4"/>
      <c r="F260" s="4"/>
      <c r="G260" s="4"/>
      <c r="H260" s="4"/>
      <c r="I260" s="4"/>
      <c r="J260" s="4" t="s">
        <v>666</v>
      </c>
      <c r="K260" s="4"/>
      <c r="L260" s="5" t="str">
        <f aca="false">HYPERLINK("mailto:sharon.lighton@gsa.gov","sharon.lighton@gsa.gov")</f>
        <v>sharon.lighton@gsa.gov</v>
      </c>
      <c r="M260" s="4"/>
      <c r="P260" s="6"/>
      <c r="Q260" s="6"/>
      <c r="R260" s="4"/>
    </row>
    <row collapsed="false" customFormat="false" customHeight="true" hidden="false" ht="15" outlineLevel="0" r="261">
      <c r="A261" s="4" t="s">
        <v>222</v>
      </c>
      <c r="B261" s="4" t="s">
        <v>661</v>
      </c>
      <c r="C261" s="4" t="s">
        <v>669</v>
      </c>
      <c r="D261" s="4" t="s">
        <v>12</v>
      </c>
      <c r="E261" s="4"/>
      <c r="F261" s="4"/>
      <c r="G261" s="4"/>
      <c r="H261" s="4"/>
      <c r="I261" s="4"/>
      <c r="J261" s="4" t="s">
        <v>670</v>
      </c>
      <c r="K261" s="4"/>
      <c r="L261" s="5" t="str">
        <f aca="false">HYPERLINK("mailto:kimberly.veach@gsa.gov","kimberly.veach@gsa.gov")</f>
        <v>kimberly.veach@gsa.gov</v>
      </c>
      <c r="M261" s="4"/>
      <c r="P261" s="6"/>
      <c r="Q261" s="6"/>
      <c r="R261" s="4"/>
    </row>
    <row collapsed="false" customFormat="false" customHeight="true" hidden="false" ht="15" outlineLevel="0" r="262">
      <c r="A262" s="4" t="s">
        <v>222</v>
      </c>
      <c r="B262" s="4" t="s">
        <v>661</v>
      </c>
      <c r="C262" s="4" t="s">
        <v>684</v>
      </c>
      <c r="D262" s="4" t="s">
        <v>15</v>
      </c>
      <c r="E262" s="4"/>
      <c r="F262" s="4"/>
      <c r="G262" s="4"/>
      <c r="H262" s="4"/>
      <c r="I262" s="4"/>
      <c r="J262" s="4" t="s">
        <v>685</v>
      </c>
      <c r="K262" s="4"/>
      <c r="L262" s="5" t="str">
        <f aca="false">HYPERLINK("mailto:peggy.deprospero@gsa.gov","peggy.deprospero@gsa.gov")</f>
        <v>peggy.deprospero@gsa.gov</v>
      </c>
      <c r="M262" s="4"/>
      <c r="P262" s="6"/>
      <c r="Q262" s="6"/>
      <c r="R262" s="4"/>
    </row>
    <row collapsed="false" customFormat="false" customHeight="true" hidden="false" ht="15" outlineLevel="0" r="263">
      <c r="A263" s="4" t="s">
        <v>232</v>
      </c>
      <c r="B263" s="4" t="s">
        <v>661</v>
      </c>
      <c r="C263" s="4" t="s">
        <v>701</v>
      </c>
      <c r="D263" s="4" t="s">
        <v>114</v>
      </c>
      <c r="E263" s="4"/>
      <c r="F263" s="4" t="s">
        <v>702</v>
      </c>
      <c r="G263" s="4" t="s">
        <v>236</v>
      </c>
      <c r="H263" s="4" t="s">
        <v>237</v>
      </c>
      <c r="I263" s="4" t="s">
        <v>703</v>
      </c>
      <c r="J263" s="4" t="s">
        <v>704</v>
      </c>
      <c r="K263" s="4"/>
      <c r="L263" s="5" t="s">
        <v>705</v>
      </c>
      <c r="M263" s="4" t="s">
        <v>683</v>
      </c>
      <c r="P263" s="6"/>
      <c r="Q263" s="6"/>
      <c r="R263" s="4" t="s">
        <v>683</v>
      </c>
    </row>
    <row collapsed="false" customFormat="false" customHeight="true" hidden="false" ht="15" outlineLevel="0" r="264">
      <c r="A264" s="4" t="s">
        <v>232</v>
      </c>
      <c r="B264" s="4" t="s">
        <v>661</v>
      </c>
      <c r="C264" s="4" t="s">
        <v>662</v>
      </c>
      <c r="D264" s="4" t="s">
        <v>12</v>
      </c>
      <c r="E264" s="4"/>
      <c r="F264" s="4"/>
      <c r="G264" s="4"/>
      <c r="H264" s="4"/>
      <c r="I264" s="4"/>
      <c r="J264" s="4" t="s">
        <v>666</v>
      </c>
      <c r="K264" s="4"/>
      <c r="L264" s="5" t="str">
        <f aca="false">HYPERLINK("mailto:sharon.lighton@gsa.gov","sharon.lighton@gsa.gov")</f>
        <v>sharon.lighton@gsa.gov</v>
      </c>
      <c r="M264" s="4"/>
      <c r="P264" s="6"/>
      <c r="Q264" s="6"/>
      <c r="R264" s="4"/>
    </row>
    <row collapsed="false" customFormat="false" customHeight="true" hidden="false" ht="15" outlineLevel="0" r="265">
      <c r="A265" s="4" t="s">
        <v>232</v>
      </c>
      <c r="B265" s="4" t="s">
        <v>661</v>
      </c>
      <c r="C265" s="4" t="s">
        <v>669</v>
      </c>
      <c r="D265" s="4" t="s">
        <v>12</v>
      </c>
      <c r="E265" s="4"/>
      <c r="F265" s="4"/>
      <c r="G265" s="4"/>
      <c r="H265" s="4"/>
      <c r="I265" s="4"/>
      <c r="J265" s="4" t="s">
        <v>670</v>
      </c>
      <c r="K265" s="4"/>
      <c r="L265" s="5" t="str">
        <f aca="false">HYPERLINK("mailto:kimberly.veach@gsa.gov","kimberly.veach@gsa.gov")</f>
        <v>kimberly.veach@gsa.gov</v>
      </c>
      <c r="M265" s="4"/>
      <c r="P265" s="6"/>
      <c r="Q265" s="6"/>
      <c r="R265" s="4"/>
    </row>
    <row collapsed="false" customFormat="false" customHeight="true" hidden="false" ht="15" outlineLevel="0" r="266">
      <c r="A266" s="4" t="s">
        <v>232</v>
      </c>
      <c r="B266" s="4" t="s">
        <v>661</v>
      </c>
      <c r="C266" s="4" t="s">
        <v>684</v>
      </c>
      <c r="D266" s="4" t="s">
        <v>15</v>
      </c>
      <c r="E266" s="4"/>
      <c r="F266" s="4"/>
      <c r="G266" s="4"/>
      <c r="H266" s="4"/>
      <c r="I266" s="4"/>
      <c r="J266" s="4" t="s">
        <v>685</v>
      </c>
      <c r="K266" s="4"/>
      <c r="L266" s="5" t="str">
        <f aca="false">HYPERLINK("mailto:peggy.deprospero@gsa.gov","peggy.deprospero@gsa.gov")</f>
        <v>peggy.deprospero@gsa.gov</v>
      </c>
      <c r="M266" s="4"/>
      <c r="P266" s="6"/>
      <c r="Q266" s="6"/>
      <c r="R266" s="4"/>
    </row>
    <row collapsed="false" customFormat="false" customHeight="true" hidden="false" ht="15" outlineLevel="0" r="267">
      <c r="A267" s="4" t="s">
        <v>706</v>
      </c>
      <c r="B267" s="4" t="s">
        <v>661</v>
      </c>
      <c r="C267" s="4" t="s">
        <v>707</v>
      </c>
      <c r="D267" s="4" t="s">
        <v>708</v>
      </c>
      <c r="E267" s="4" t="s">
        <v>709</v>
      </c>
      <c r="F267" s="4" t="s">
        <v>710</v>
      </c>
      <c r="G267" s="4" t="s">
        <v>255</v>
      </c>
      <c r="H267" s="4" t="s">
        <v>424</v>
      </c>
      <c r="I267" s="4" t="s">
        <v>711</v>
      </c>
      <c r="J267" s="4" t="s">
        <v>712</v>
      </c>
      <c r="K267" s="4" t="s">
        <v>713</v>
      </c>
      <c r="L267" s="5" t="str">
        <f aca="false">HYPERLINK("mailto:ruby.rice@gsa.gov","ruby.rice@gsa.gov")</f>
        <v>ruby.rice@gsa.gov</v>
      </c>
      <c r="M267" s="4" t="s">
        <v>683</v>
      </c>
      <c r="P267" s="6"/>
      <c r="Q267" s="6"/>
      <c r="R267" s="4" t="s">
        <v>683</v>
      </c>
    </row>
    <row collapsed="false" customFormat="false" customHeight="true" hidden="false" ht="15" outlineLevel="0" r="268">
      <c r="A268" s="4" t="s">
        <v>706</v>
      </c>
      <c r="B268" s="4" t="s">
        <v>661</v>
      </c>
      <c r="C268" s="4" t="s">
        <v>662</v>
      </c>
      <c r="D268" s="4" t="s">
        <v>12</v>
      </c>
      <c r="E268" s="4"/>
      <c r="F268" s="4"/>
      <c r="G268" s="4"/>
      <c r="H268" s="4"/>
      <c r="I268" s="4"/>
      <c r="J268" s="4" t="s">
        <v>666</v>
      </c>
      <c r="K268" s="4"/>
      <c r="L268" s="5" t="str">
        <f aca="false">HYPERLINK("mailto:sharon.lighton@gsa.gov","sharon.lighton@gsa.gov")</f>
        <v>sharon.lighton@gsa.gov</v>
      </c>
      <c r="M268" s="4"/>
      <c r="P268" s="6"/>
      <c r="Q268" s="6"/>
      <c r="R268" s="4"/>
    </row>
    <row collapsed="false" customFormat="false" customHeight="true" hidden="false" ht="15" outlineLevel="0" r="269">
      <c r="A269" s="4" t="s">
        <v>706</v>
      </c>
      <c r="B269" s="4" t="s">
        <v>661</v>
      </c>
      <c r="C269" s="4" t="s">
        <v>669</v>
      </c>
      <c r="D269" s="4" t="s">
        <v>12</v>
      </c>
      <c r="E269" s="4"/>
      <c r="F269" s="4"/>
      <c r="G269" s="4"/>
      <c r="H269" s="4"/>
      <c r="I269" s="4"/>
      <c r="J269" s="4" t="s">
        <v>670</v>
      </c>
      <c r="K269" s="4"/>
      <c r="L269" s="5" t="str">
        <f aca="false">HYPERLINK("mailto:kimberly.veach@gsa.gov","kimberly.veach@gsa.gov")</f>
        <v>kimberly.veach@gsa.gov</v>
      </c>
      <c r="M269" s="4"/>
      <c r="P269" s="6"/>
      <c r="Q269" s="6"/>
      <c r="R269" s="4"/>
    </row>
    <row collapsed="false" customFormat="false" customHeight="true" hidden="false" ht="15" outlineLevel="0" r="270">
      <c r="A270" s="4" t="s">
        <v>706</v>
      </c>
      <c r="B270" s="4" t="s">
        <v>661</v>
      </c>
      <c r="C270" s="4" t="s">
        <v>684</v>
      </c>
      <c r="D270" s="4" t="s">
        <v>15</v>
      </c>
      <c r="E270" s="4"/>
      <c r="F270" s="4"/>
      <c r="G270" s="4"/>
      <c r="H270" s="4"/>
      <c r="I270" s="4"/>
      <c r="J270" s="4" t="s">
        <v>685</v>
      </c>
      <c r="K270" s="4"/>
      <c r="L270" s="5" t="str">
        <f aca="false">HYPERLINK("mailto:peggy.deprospero@gsa.gov","peggy.deprospero@gsa.gov")</f>
        <v>peggy.deprospero@gsa.gov</v>
      </c>
      <c r="M270" s="4"/>
      <c r="P270" s="6"/>
      <c r="Q270" s="6"/>
      <c r="R270" s="4"/>
    </row>
    <row collapsed="false" customFormat="false" customHeight="true" hidden="false" ht="15" outlineLevel="0" r="271">
      <c r="A271" s="4" t="s">
        <v>714</v>
      </c>
      <c r="B271" s="4" t="s">
        <v>661</v>
      </c>
      <c r="C271" s="4" t="s">
        <v>715</v>
      </c>
      <c r="D271" s="4" t="s">
        <v>716</v>
      </c>
      <c r="E271" s="4" t="s">
        <v>717</v>
      </c>
      <c r="F271" s="4" t="s">
        <v>718</v>
      </c>
      <c r="G271" s="4" t="s">
        <v>719</v>
      </c>
      <c r="H271" s="4" t="s">
        <v>247</v>
      </c>
      <c r="I271" s="4" t="s">
        <v>720</v>
      </c>
      <c r="J271" s="4" t="s">
        <v>721</v>
      </c>
      <c r="K271" s="4" t="s">
        <v>722</v>
      </c>
      <c r="L271" s="5" t="str">
        <f aca="false">HYPERLINK("mailto:vivian.carrasco@gsa.gov","vivian.carrasco@gsa.gov")</f>
        <v>vivian.carrasco@gsa.gov</v>
      </c>
      <c r="M271" s="4" t="s">
        <v>683</v>
      </c>
      <c r="P271" s="6"/>
      <c r="Q271" s="6"/>
      <c r="R271" s="4" t="s">
        <v>683</v>
      </c>
    </row>
    <row collapsed="false" customFormat="false" customHeight="true" hidden="false" ht="15" outlineLevel="0" r="272">
      <c r="A272" s="4" t="s">
        <v>714</v>
      </c>
      <c r="B272" s="4" t="s">
        <v>661</v>
      </c>
      <c r="C272" s="4" t="s">
        <v>662</v>
      </c>
      <c r="D272" s="4" t="s">
        <v>12</v>
      </c>
      <c r="E272" s="4"/>
      <c r="F272" s="4"/>
      <c r="G272" s="4"/>
      <c r="H272" s="4"/>
      <c r="I272" s="4"/>
      <c r="J272" s="4" t="s">
        <v>666</v>
      </c>
      <c r="K272" s="4"/>
      <c r="L272" s="5" t="str">
        <f aca="false">HYPERLINK("mailto:sharon.lighton@gsa.gov","sharon.lighton@gsa.gov")</f>
        <v>sharon.lighton@gsa.gov</v>
      </c>
      <c r="M272" s="4"/>
      <c r="P272" s="6"/>
      <c r="Q272" s="6"/>
      <c r="R272" s="4"/>
    </row>
    <row collapsed="false" customFormat="false" customHeight="true" hidden="false" ht="15" outlineLevel="0" r="273">
      <c r="A273" s="4" t="s">
        <v>714</v>
      </c>
      <c r="B273" s="4" t="s">
        <v>661</v>
      </c>
      <c r="C273" s="4" t="s">
        <v>669</v>
      </c>
      <c r="D273" s="4" t="s">
        <v>12</v>
      </c>
      <c r="E273" s="4"/>
      <c r="F273" s="4"/>
      <c r="G273" s="4"/>
      <c r="H273" s="4"/>
      <c r="I273" s="4"/>
      <c r="J273" s="4" t="s">
        <v>670</v>
      </c>
      <c r="K273" s="4"/>
      <c r="L273" s="5" t="str">
        <f aca="false">HYPERLINK("mailto:kimberly.veach@gsa.gov","kimberly.veach@gsa.gov")</f>
        <v>kimberly.veach@gsa.gov</v>
      </c>
      <c r="M273" s="4"/>
      <c r="P273" s="6"/>
      <c r="Q273" s="6"/>
      <c r="R273" s="4"/>
    </row>
    <row collapsed="false" customFormat="false" customHeight="true" hidden="false" ht="15" outlineLevel="0" r="274">
      <c r="A274" s="4" t="s">
        <v>714</v>
      </c>
      <c r="B274" s="4" t="s">
        <v>661</v>
      </c>
      <c r="C274" s="4" t="s">
        <v>684</v>
      </c>
      <c r="D274" s="4" t="s">
        <v>15</v>
      </c>
      <c r="E274" s="4"/>
      <c r="F274" s="4"/>
      <c r="G274" s="4"/>
      <c r="H274" s="4"/>
      <c r="I274" s="4"/>
      <c r="J274" s="4" t="s">
        <v>685</v>
      </c>
      <c r="K274" s="4"/>
      <c r="L274" s="5" t="str">
        <f aca="false">HYPERLINK("mailto:peggy.deprospero@gsa.gov","peggy.deprospero@gsa.gov")</f>
        <v>peggy.deprospero@gsa.gov</v>
      </c>
      <c r="M274" s="4"/>
      <c r="P274" s="6"/>
      <c r="Q274" s="6"/>
      <c r="R274" s="4"/>
    </row>
    <row collapsed="false" customFormat="false" customHeight="true" hidden="false" ht="15" outlineLevel="0" r="275">
      <c r="A275" s="4" t="s">
        <v>261</v>
      </c>
      <c r="B275" s="4" t="s">
        <v>661</v>
      </c>
      <c r="C275" s="4" t="s">
        <v>723</v>
      </c>
      <c r="D275" s="4" t="s">
        <v>716</v>
      </c>
      <c r="E275" s="4" t="s">
        <v>724</v>
      </c>
      <c r="F275" s="4" t="s">
        <v>725</v>
      </c>
      <c r="G275" s="4" t="s">
        <v>726</v>
      </c>
      <c r="H275" s="4" t="s">
        <v>265</v>
      </c>
      <c r="I275" s="4" t="s">
        <v>727</v>
      </c>
      <c r="J275" s="4" t="s">
        <v>728</v>
      </c>
      <c r="K275" s="4" t="s">
        <v>729</v>
      </c>
      <c r="L275" s="5" t="str">
        <f aca="false">HYPERLINK("mailto:leighann.bunetta@gsa.gov","leighann.bunetta@gsa.gov")</f>
        <v>leighann.bunetta@gsa.gov</v>
      </c>
      <c r="M275" s="4" t="s">
        <v>683</v>
      </c>
      <c r="P275" s="6"/>
      <c r="Q275" s="6"/>
      <c r="R275" s="4" t="s">
        <v>683</v>
      </c>
    </row>
    <row collapsed="false" customFormat="false" customHeight="true" hidden="false" ht="15" outlineLevel="0" r="276">
      <c r="A276" s="4" t="s">
        <v>261</v>
      </c>
      <c r="B276" s="4" t="s">
        <v>661</v>
      </c>
      <c r="C276" s="4" t="s">
        <v>662</v>
      </c>
      <c r="D276" s="4" t="s">
        <v>12</v>
      </c>
      <c r="E276" s="4"/>
      <c r="F276" s="4"/>
      <c r="G276" s="4"/>
      <c r="H276" s="4"/>
      <c r="I276" s="4"/>
      <c r="J276" s="4" t="s">
        <v>666</v>
      </c>
      <c r="K276" s="4"/>
      <c r="L276" s="5" t="str">
        <f aca="false">HYPERLINK("mailto:sharon.lighton@gsa.gov","sharon.lighton@gsa.gov")</f>
        <v>sharon.lighton@gsa.gov</v>
      </c>
      <c r="M276" s="4"/>
      <c r="P276" s="6"/>
      <c r="Q276" s="6"/>
      <c r="R276" s="4"/>
    </row>
    <row collapsed="false" customFormat="false" customHeight="true" hidden="false" ht="15" outlineLevel="0" r="277">
      <c r="A277" s="4" t="s">
        <v>261</v>
      </c>
      <c r="B277" s="4" t="s">
        <v>661</v>
      </c>
      <c r="C277" s="4" t="s">
        <v>669</v>
      </c>
      <c r="D277" s="4" t="s">
        <v>12</v>
      </c>
      <c r="E277" s="4"/>
      <c r="F277" s="4"/>
      <c r="G277" s="4"/>
      <c r="H277" s="4"/>
      <c r="I277" s="4"/>
      <c r="J277" s="4" t="s">
        <v>670</v>
      </c>
      <c r="K277" s="4"/>
      <c r="L277" s="5" t="str">
        <f aca="false">HYPERLINK("mailto:kimberly.veach@gsa.gov","kimberly.veach@gsa.gov")</f>
        <v>kimberly.veach@gsa.gov</v>
      </c>
      <c r="M277" s="4"/>
      <c r="P277" s="6"/>
      <c r="Q277" s="6"/>
      <c r="R277" s="4"/>
    </row>
    <row collapsed="false" customFormat="false" customHeight="true" hidden="false" ht="15" outlineLevel="0" r="278">
      <c r="A278" s="4" t="s">
        <v>261</v>
      </c>
      <c r="B278" s="4" t="s">
        <v>661</v>
      </c>
      <c r="C278" s="4" t="s">
        <v>684</v>
      </c>
      <c r="D278" s="4" t="s">
        <v>15</v>
      </c>
      <c r="E278" s="4"/>
      <c r="F278" s="4"/>
      <c r="G278" s="4"/>
      <c r="H278" s="4"/>
      <c r="I278" s="4"/>
      <c r="J278" s="4" t="s">
        <v>685</v>
      </c>
      <c r="K278" s="4"/>
      <c r="L278" s="5" t="str">
        <f aca="false">HYPERLINK("mailto:peggy.deprospero@gsa.gov","peggy.deprospero@gsa.gov")</f>
        <v>peggy.deprospero@gsa.gov</v>
      </c>
      <c r="M278" s="4"/>
      <c r="P278" s="6"/>
      <c r="Q278" s="6"/>
      <c r="R278" s="4"/>
    </row>
    <row collapsed="false" customFormat="false" customHeight="true" hidden="false" ht="15" outlineLevel="0" r="279">
      <c r="A279" s="4" t="s">
        <v>730</v>
      </c>
      <c r="B279" s="4" t="s">
        <v>661</v>
      </c>
      <c r="C279" s="4" t="s">
        <v>731</v>
      </c>
      <c r="D279" s="4" t="s">
        <v>732</v>
      </c>
      <c r="E279" s="4"/>
      <c r="F279" s="4" t="s">
        <v>733</v>
      </c>
      <c r="G279" s="4" t="s">
        <v>274</v>
      </c>
      <c r="H279" s="4" t="s">
        <v>275</v>
      </c>
      <c r="I279" s="4" t="n">
        <v>94102</v>
      </c>
      <c r="J279" s="4" t="s">
        <v>734</v>
      </c>
      <c r="K279" s="4" t="s">
        <v>735</v>
      </c>
      <c r="L279" s="5" t="str">
        <f aca="false">HYPERLINK("mailto:mike.bayon@gsa.gov","mike.bayon@gsa.gov")</f>
        <v>mike.bayon@gsa.gov</v>
      </c>
      <c r="M279" s="4" t="s">
        <v>683</v>
      </c>
      <c r="P279" s="6"/>
      <c r="Q279" s="6"/>
      <c r="R279" s="4" t="s">
        <v>683</v>
      </c>
    </row>
    <row collapsed="false" customFormat="false" customHeight="true" hidden="false" ht="15" outlineLevel="0" r="280">
      <c r="A280" s="4" t="s">
        <v>730</v>
      </c>
      <c r="B280" s="4" t="s">
        <v>661</v>
      </c>
      <c r="C280" s="4" t="s">
        <v>662</v>
      </c>
      <c r="D280" s="4" t="s">
        <v>12</v>
      </c>
      <c r="E280" s="4"/>
      <c r="F280" s="4"/>
      <c r="G280" s="4"/>
      <c r="H280" s="4"/>
      <c r="I280" s="4"/>
      <c r="J280" s="4" t="s">
        <v>666</v>
      </c>
      <c r="K280" s="4"/>
      <c r="L280" s="5" t="str">
        <f aca="false">HYPERLINK("mailto:sharon.lighton@gsa.gov","sharon.lighton@gsa.gov")</f>
        <v>sharon.lighton@gsa.gov</v>
      </c>
      <c r="M280" s="4"/>
      <c r="P280" s="6"/>
      <c r="Q280" s="6"/>
      <c r="R280" s="4"/>
    </row>
    <row collapsed="false" customFormat="false" customHeight="true" hidden="false" ht="15" outlineLevel="0" r="281">
      <c r="A281" s="4" t="s">
        <v>730</v>
      </c>
      <c r="B281" s="4" t="s">
        <v>661</v>
      </c>
      <c r="C281" s="4" t="s">
        <v>669</v>
      </c>
      <c r="D281" s="4" t="s">
        <v>12</v>
      </c>
      <c r="E281" s="4"/>
      <c r="F281" s="4"/>
      <c r="G281" s="4"/>
      <c r="H281" s="4"/>
      <c r="I281" s="4"/>
      <c r="J281" s="4" t="s">
        <v>670</v>
      </c>
      <c r="K281" s="4"/>
      <c r="L281" s="5" t="str">
        <f aca="false">HYPERLINK("mailto:kimberly.veach@gsa.gov","kimberly.veach@gsa.gov")</f>
        <v>kimberly.veach@gsa.gov</v>
      </c>
      <c r="M281" s="4"/>
      <c r="P281" s="6"/>
      <c r="Q281" s="6"/>
      <c r="R281" s="4"/>
    </row>
    <row collapsed="false" customFormat="false" customHeight="true" hidden="false" ht="15" outlineLevel="0" r="282">
      <c r="A282" s="4" t="s">
        <v>730</v>
      </c>
      <c r="B282" s="4" t="s">
        <v>661</v>
      </c>
      <c r="C282" s="4" t="s">
        <v>684</v>
      </c>
      <c r="D282" s="4" t="s">
        <v>15</v>
      </c>
      <c r="E282" s="4"/>
      <c r="F282" s="4"/>
      <c r="G282" s="4"/>
      <c r="H282" s="4"/>
      <c r="I282" s="4"/>
      <c r="J282" s="4" t="s">
        <v>685</v>
      </c>
      <c r="K282" s="4"/>
      <c r="L282" s="5" t="str">
        <f aca="false">HYPERLINK("mailto:peggy.deprospero@gsa.gov","peggy.deprospero@gsa.gov")</f>
        <v>peggy.deprospero@gsa.gov</v>
      </c>
      <c r="M282" s="4"/>
      <c r="P282" s="6"/>
      <c r="Q282" s="6"/>
      <c r="R282" s="4"/>
    </row>
    <row collapsed="false" customFormat="false" customHeight="true" hidden="false" ht="15" outlineLevel="0" r="283">
      <c r="A283" s="4" t="s">
        <v>736</v>
      </c>
      <c r="B283" s="4" t="s">
        <v>661</v>
      </c>
      <c r="C283" s="4" t="s">
        <v>737</v>
      </c>
      <c r="D283" s="4" t="s">
        <v>738</v>
      </c>
      <c r="E283" s="4" t="n">
        <v>7208</v>
      </c>
      <c r="F283" s="4" t="s">
        <v>739</v>
      </c>
      <c r="G283" s="4" t="s">
        <v>740</v>
      </c>
      <c r="H283" s="4" t="s">
        <v>284</v>
      </c>
      <c r="I283" s="4" t="s">
        <v>741</v>
      </c>
      <c r="J283" s="4" t="s">
        <v>742</v>
      </c>
      <c r="K283" s="4" t="s">
        <v>743</v>
      </c>
      <c r="L283" s="5" t="str">
        <f aca="false">HYPERLINK("mailto:david.hyres@gsa.gov","david.hyres@gsa.gov")</f>
        <v>david.hyres@gsa.gov</v>
      </c>
      <c r="M283" s="4" t="s">
        <v>683</v>
      </c>
      <c r="P283" s="6"/>
      <c r="Q283" s="6"/>
      <c r="R283" s="4" t="s">
        <v>683</v>
      </c>
    </row>
    <row collapsed="false" customFormat="false" customHeight="true" hidden="false" ht="15" outlineLevel="0" r="284">
      <c r="A284" s="4" t="s">
        <v>736</v>
      </c>
      <c r="B284" s="4" t="s">
        <v>661</v>
      </c>
      <c r="C284" s="4" t="s">
        <v>662</v>
      </c>
      <c r="D284" s="4" t="s">
        <v>12</v>
      </c>
      <c r="E284" s="4"/>
      <c r="F284" s="4"/>
      <c r="G284" s="4"/>
      <c r="H284" s="4"/>
      <c r="I284" s="4"/>
      <c r="J284" s="4" t="s">
        <v>666</v>
      </c>
      <c r="K284" s="4"/>
      <c r="L284" s="5" t="str">
        <f aca="false">HYPERLINK("mailto:sharon.lighton@gsa.gov","sharon.lighton@gsa.gov")</f>
        <v>sharon.lighton@gsa.gov</v>
      </c>
      <c r="M284" s="4"/>
      <c r="P284" s="6"/>
      <c r="Q284" s="6"/>
      <c r="R284" s="4"/>
    </row>
    <row collapsed="false" customFormat="false" customHeight="true" hidden="false" ht="15" outlineLevel="0" r="285">
      <c r="A285" s="4" t="s">
        <v>736</v>
      </c>
      <c r="B285" s="4" t="s">
        <v>661</v>
      </c>
      <c r="C285" s="4" t="s">
        <v>669</v>
      </c>
      <c r="D285" s="4" t="s">
        <v>12</v>
      </c>
      <c r="E285" s="4"/>
      <c r="F285" s="4"/>
      <c r="G285" s="4"/>
      <c r="H285" s="4"/>
      <c r="I285" s="4"/>
      <c r="J285" s="4" t="s">
        <v>670</v>
      </c>
      <c r="K285" s="4"/>
      <c r="L285" s="5" t="str">
        <f aca="false">HYPERLINK("mailto:kimberly.veach@gsa.gov","kimberly.veach@gsa.gov")</f>
        <v>kimberly.veach@gsa.gov</v>
      </c>
      <c r="M285" s="4"/>
      <c r="P285" s="6"/>
      <c r="Q285" s="6"/>
      <c r="R285" s="4"/>
    </row>
    <row collapsed="false" customFormat="false" customHeight="true" hidden="false" ht="15" outlineLevel="0" r="286">
      <c r="A286" s="4" t="s">
        <v>736</v>
      </c>
      <c r="B286" s="4" t="s">
        <v>661</v>
      </c>
      <c r="C286" s="4" t="s">
        <v>684</v>
      </c>
      <c r="D286" s="4" t="s">
        <v>15</v>
      </c>
      <c r="E286" s="4"/>
      <c r="F286" s="4"/>
      <c r="G286" s="4"/>
      <c r="H286" s="4"/>
      <c r="I286" s="4"/>
      <c r="J286" s="4" t="s">
        <v>685</v>
      </c>
      <c r="K286" s="4"/>
      <c r="L286" s="5" t="str">
        <f aca="false">HYPERLINK("mailto:peggy.deprospero@gsa.gov","peggy.deprospero@gsa.gov")</f>
        <v>peggy.deprospero@gsa.gov</v>
      </c>
      <c r="M286" s="4"/>
      <c r="P286" s="6"/>
      <c r="Q286" s="6"/>
      <c r="R286" s="4"/>
    </row>
    <row collapsed="false" customFormat="false" customHeight="true" hidden="false" ht="15" outlineLevel="0" r="287">
      <c r="A287" s="4" t="s">
        <v>744</v>
      </c>
      <c r="B287" s="4" t="s">
        <v>661</v>
      </c>
      <c r="C287" s="4" t="s">
        <v>745</v>
      </c>
      <c r="D287" s="4" t="s">
        <v>114</v>
      </c>
      <c r="E287" s="4"/>
      <c r="F287" s="4" t="s">
        <v>746</v>
      </c>
      <c r="G287" s="4" t="s">
        <v>5</v>
      </c>
      <c r="H287" s="4" t="s">
        <v>6</v>
      </c>
      <c r="I287" s="4" t="s">
        <v>747</v>
      </c>
      <c r="J287" s="4" t="s">
        <v>748</v>
      </c>
      <c r="K287" s="4"/>
      <c r="L287" s="5" t="str">
        <f aca="false">HYPERLINK("mailto:toni.slappy@gsa.gov","toni.slappy@gsa.gov")</f>
        <v>toni.slappy@gsa.gov</v>
      </c>
      <c r="M287" s="4" t="s">
        <v>683</v>
      </c>
      <c r="P287" s="6"/>
      <c r="Q287" s="6"/>
      <c r="R287" s="4" t="s">
        <v>683</v>
      </c>
    </row>
    <row collapsed="false" customFormat="false" customHeight="true" hidden="false" ht="15" outlineLevel="0" r="288">
      <c r="A288" s="4" t="s">
        <v>744</v>
      </c>
      <c r="B288" s="4" t="s">
        <v>661</v>
      </c>
      <c r="C288" s="4" t="s">
        <v>662</v>
      </c>
      <c r="D288" s="4" t="s">
        <v>12</v>
      </c>
      <c r="E288" s="4"/>
      <c r="F288" s="4"/>
      <c r="G288" s="4"/>
      <c r="H288" s="4"/>
      <c r="I288" s="4"/>
      <c r="J288" s="4" t="s">
        <v>666</v>
      </c>
      <c r="K288" s="4"/>
      <c r="L288" s="5" t="str">
        <f aca="false">HYPERLINK("mailto:sharon.lighton@gsa.gov","sharon.lighton@gsa.gov")</f>
        <v>sharon.lighton@gsa.gov</v>
      </c>
      <c r="M288" s="4"/>
      <c r="P288" s="6"/>
      <c r="Q288" s="6"/>
      <c r="R288" s="4"/>
    </row>
    <row collapsed="false" customFormat="false" customHeight="true" hidden="false" ht="15" outlineLevel="0" r="289">
      <c r="A289" s="4" t="s">
        <v>744</v>
      </c>
      <c r="B289" s="4" t="s">
        <v>661</v>
      </c>
      <c r="C289" s="4" t="s">
        <v>669</v>
      </c>
      <c r="D289" s="4" t="s">
        <v>12</v>
      </c>
      <c r="E289" s="4"/>
      <c r="F289" s="4"/>
      <c r="G289" s="4"/>
      <c r="H289" s="4"/>
      <c r="I289" s="4"/>
      <c r="J289" s="4" t="s">
        <v>670</v>
      </c>
      <c r="K289" s="4"/>
      <c r="L289" s="5" t="str">
        <f aca="false">HYPERLINK("mailto:kimberly.veach@gsa.gov","kimberly.veach@gsa.gov")</f>
        <v>kimberly.veach@gsa.gov</v>
      </c>
      <c r="M289" s="4"/>
      <c r="P289" s="6"/>
      <c r="Q289" s="6"/>
      <c r="R289" s="4"/>
    </row>
    <row collapsed="false" customFormat="false" customHeight="true" hidden="false" ht="15" outlineLevel="0" r="290">
      <c r="A290" s="4" t="s">
        <v>744</v>
      </c>
      <c r="B290" s="4" t="s">
        <v>661</v>
      </c>
      <c r="C290" s="4" t="s">
        <v>684</v>
      </c>
      <c r="D290" s="4" t="s">
        <v>15</v>
      </c>
      <c r="E290" s="4"/>
      <c r="F290" s="4"/>
      <c r="G290" s="4"/>
      <c r="H290" s="4"/>
      <c r="I290" s="4"/>
      <c r="J290" s="4" t="s">
        <v>685</v>
      </c>
      <c r="K290" s="4"/>
      <c r="L290" s="5" t="str">
        <f aca="false">HYPERLINK("mailto:peggy.deprospero@gsa.gov","peggy.deprospero@gsa.gov")</f>
        <v>peggy.deprospero@gsa.gov</v>
      </c>
      <c r="M290" s="4"/>
      <c r="P290" s="6"/>
      <c r="Q290" s="6"/>
      <c r="R290" s="4"/>
    </row>
    <row collapsed="false" customFormat="false" customHeight="true" hidden="false" ht="15" outlineLevel="0" r="291">
      <c r="A291" s="4" t="s">
        <v>288</v>
      </c>
      <c r="B291" s="4" t="s">
        <v>661</v>
      </c>
      <c r="C291" s="4" t="s">
        <v>662</v>
      </c>
      <c r="D291" s="4" t="s">
        <v>749</v>
      </c>
      <c r="E291" s="4" t="s">
        <v>750</v>
      </c>
      <c r="F291" s="4" t="s">
        <v>751</v>
      </c>
      <c r="G291" s="4" t="s">
        <v>5</v>
      </c>
      <c r="H291" s="4" t="s">
        <v>6</v>
      </c>
      <c r="I291" s="4" t="n">
        <v>20405</v>
      </c>
      <c r="J291" s="4" t="s">
        <v>666</v>
      </c>
      <c r="K291" s="4"/>
      <c r="L291" s="5" t="str">
        <f aca="false">HYPERLINK("mailto:gsa.foia@gsa.gov","gsa.foia@gsa.gov")</f>
        <v>gsa.foia@gsa.gov</v>
      </c>
      <c r="M291" s="4" t="s">
        <v>668</v>
      </c>
      <c r="P291" s="6"/>
      <c r="Q291" s="6"/>
      <c r="R291" s="4" t="s">
        <v>668</v>
      </c>
    </row>
    <row collapsed="false" customFormat="false" customHeight="true" hidden="false" ht="15" outlineLevel="0" r="292">
      <c r="A292" s="4" t="s">
        <v>288</v>
      </c>
      <c r="B292" s="4" t="s">
        <v>661</v>
      </c>
      <c r="C292" s="4" t="s">
        <v>662</v>
      </c>
      <c r="D292" s="4" t="s">
        <v>12</v>
      </c>
      <c r="E292" s="4"/>
      <c r="F292" s="4"/>
      <c r="G292" s="4"/>
      <c r="H292" s="4"/>
      <c r="I292" s="4"/>
      <c r="J292" s="4" t="s">
        <v>666</v>
      </c>
      <c r="K292" s="4"/>
      <c r="L292" s="5" t="str">
        <f aca="false">HYPERLINK("mailto:sharon.lighton@gsa.gov","sharon.lighton@gsa.gov")</f>
        <v>sharon.lighton@gsa.gov</v>
      </c>
      <c r="M292" s="4"/>
      <c r="P292" s="6"/>
      <c r="Q292" s="6"/>
      <c r="R292" s="4"/>
    </row>
    <row collapsed="false" customFormat="false" customHeight="true" hidden="false" ht="15" outlineLevel="0" r="293">
      <c r="A293" s="4" t="s">
        <v>288</v>
      </c>
      <c r="B293" s="4" t="s">
        <v>661</v>
      </c>
      <c r="C293" s="4" t="s">
        <v>669</v>
      </c>
      <c r="D293" s="4" t="s">
        <v>12</v>
      </c>
      <c r="E293" s="4"/>
      <c r="F293" s="4"/>
      <c r="G293" s="4"/>
      <c r="H293" s="4"/>
      <c r="I293" s="4"/>
      <c r="J293" s="4" t="s">
        <v>670</v>
      </c>
      <c r="K293" s="4"/>
      <c r="L293" s="5" t="str">
        <f aca="false">HYPERLINK("mailto:kimberly.veach@gsa.gov","kimberly.veach@gsa.gov")</f>
        <v>kimberly.veach@gsa.gov</v>
      </c>
      <c r="M293" s="4"/>
      <c r="P293" s="6"/>
      <c r="Q293" s="6"/>
      <c r="R293" s="4"/>
    </row>
    <row collapsed="false" customFormat="false" customHeight="true" hidden="false" ht="15" outlineLevel="0" r="294">
      <c r="A294" s="4" t="s">
        <v>288</v>
      </c>
      <c r="B294" s="4" t="s">
        <v>661</v>
      </c>
      <c r="C294" s="4" t="s">
        <v>684</v>
      </c>
      <c r="D294" s="4" t="s">
        <v>15</v>
      </c>
      <c r="E294" s="4"/>
      <c r="F294" s="4"/>
      <c r="G294" s="4"/>
      <c r="H294" s="4"/>
      <c r="I294" s="4"/>
      <c r="J294" s="4" t="s">
        <v>685</v>
      </c>
      <c r="K294" s="4"/>
      <c r="L294" s="5" t="str">
        <f aca="false">HYPERLINK("mailto:peggy.deprospero@gsa.gov","peggy.deprospero@gsa.gov")</f>
        <v>peggy.deprospero@gsa.gov</v>
      </c>
      <c r="M294" s="5"/>
      <c r="P294" s="6"/>
      <c r="Q294" s="6"/>
      <c r="R294" s="5"/>
    </row>
    <row collapsed="false" customFormat="false" customHeight="true" hidden="false" ht="15" outlineLevel="0" r="295">
      <c r="A295" s="4" t="s">
        <v>752</v>
      </c>
      <c r="B295" s="4" t="s">
        <v>752</v>
      </c>
      <c r="C295" s="4" t="s">
        <v>753</v>
      </c>
      <c r="D295" s="4" t="s">
        <v>2</v>
      </c>
      <c r="E295" s="4" t="s">
        <v>754</v>
      </c>
      <c r="F295" s="4" t="s">
        <v>755</v>
      </c>
      <c r="G295" s="4" t="s">
        <v>5</v>
      </c>
      <c r="H295" s="4" t="s">
        <v>6</v>
      </c>
      <c r="I295" s="4" t="s">
        <v>756</v>
      </c>
      <c r="J295" s="4" t="s">
        <v>757</v>
      </c>
      <c r="K295" s="4" t="s">
        <v>758</v>
      </c>
      <c r="L295" s="5" t="str">
        <f aca="false">HYPERLINK("mailto:foia@imls.gov","mailto:foia@imls.gov")</f>
        <v>mailto:foia@imls.gov</v>
      </c>
      <c r="M295" s="4" t="s">
        <v>759</v>
      </c>
      <c r="P295" s="6"/>
      <c r="Q295" s="6"/>
      <c r="R295" s="4" t="s">
        <v>759</v>
      </c>
    </row>
    <row collapsed="false" customFormat="false" customHeight="true" hidden="false" ht="15" outlineLevel="0" r="296">
      <c r="A296" s="4" t="s">
        <v>752</v>
      </c>
      <c r="B296" s="4" t="s">
        <v>752</v>
      </c>
      <c r="C296" s="4" t="s">
        <v>760</v>
      </c>
      <c r="D296" s="4" t="s">
        <v>12</v>
      </c>
      <c r="E296" s="4"/>
      <c r="F296" s="4"/>
      <c r="G296" s="4"/>
      <c r="H296" s="4"/>
      <c r="I296" s="4"/>
      <c r="J296" s="4" t="s">
        <v>761</v>
      </c>
      <c r="K296" s="4"/>
      <c r="L296" s="5" t="str">
        <f aca="false">HYPERLINK("mailto:mridges@imls.gov","mailto:mridges@imls.gov")</f>
        <v>mailto:mridges@imls.gov</v>
      </c>
      <c r="M296" s="4"/>
      <c r="P296" s="6"/>
      <c r="Q296" s="6"/>
      <c r="R296" s="4"/>
    </row>
    <row collapsed="false" customFormat="false" customHeight="true" hidden="false" ht="15" outlineLevel="0" r="297">
      <c r="A297" s="4" t="s">
        <v>752</v>
      </c>
      <c r="B297" s="4" t="s">
        <v>752</v>
      </c>
      <c r="C297" s="4" t="s">
        <v>753</v>
      </c>
      <c r="D297" s="4" t="s">
        <v>15</v>
      </c>
      <c r="E297" s="4"/>
      <c r="F297" s="4"/>
      <c r="G297" s="4"/>
      <c r="H297" s="4"/>
      <c r="I297" s="4"/>
      <c r="J297" s="4" t="s">
        <v>757</v>
      </c>
      <c r="K297" s="4"/>
      <c r="L297" s="5" t="str">
        <f aca="false">HYPERLINK("mailto:mbittner@imls.gov","mailto:mbittner@imls.gov")</f>
        <v>mailto:mbittner@imls.gov</v>
      </c>
      <c r="M297" s="5"/>
      <c r="P297" s="6"/>
      <c r="Q297" s="6"/>
      <c r="R297" s="5"/>
    </row>
    <row collapsed="false" customFormat="false" customHeight="true" hidden="false" ht="15" outlineLevel="0" r="298">
      <c r="A298" s="4" t="s">
        <v>752</v>
      </c>
      <c r="B298" s="4" t="s">
        <v>752</v>
      </c>
      <c r="C298" s="4" t="s">
        <v>760</v>
      </c>
      <c r="D298" s="4" t="s">
        <v>15</v>
      </c>
      <c r="E298" s="4"/>
      <c r="F298" s="4"/>
      <c r="G298" s="4"/>
      <c r="H298" s="4"/>
      <c r="I298" s="4"/>
      <c r="J298" s="4" t="s">
        <v>761</v>
      </c>
      <c r="K298" s="4"/>
      <c r="L298" s="5" t="str">
        <f aca="false">HYPERLINK("mailto:mridges@imls.gov","mailto:mridges@imls.gov")</f>
        <v>mailto:mridges@imls.gov</v>
      </c>
      <c r="M298" s="4"/>
      <c r="P298" s="6"/>
      <c r="Q298" s="6"/>
      <c r="R298" s="4"/>
    </row>
    <row collapsed="false" customFormat="false" customHeight="true" hidden="false" ht="15" outlineLevel="0" r="299">
      <c r="A299" s="4" t="s">
        <v>762</v>
      </c>
      <c r="B299" s="4" t="s">
        <v>762</v>
      </c>
      <c r="C299" s="4" t="s">
        <v>763</v>
      </c>
      <c r="D299" s="4" t="s">
        <v>456</v>
      </c>
      <c r="E299" s="4" t="s">
        <v>764</v>
      </c>
      <c r="F299" s="4" t="s">
        <v>765</v>
      </c>
      <c r="G299" s="4" t="s">
        <v>5</v>
      </c>
      <c r="H299" s="4" t="s">
        <v>6</v>
      </c>
      <c r="I299" s="4" t="n">
        <v>20004</v>
      </c>
      <c r="J299" s="4" t="s">
        <v>766</v>
      </c>
      <c r="K299" s="4"/>
      <c r="L299" s="5" t="str">
        <f aca="false">HYPERLINK("mailto:foia@iaf.gov","foia@iaf.gov")</f>
        <v>foia@iaf.gov</v>
      </c>
      <c r="M299" s="4" t="s">
        <v>767</v>
      </c>
      <c r="P299" s="6"/>
      <c r="Q299" s="6"/>
      <c r="R299" s="4" t="s">
        <v>767</v>
      </c>
    </row>
    <row collapsed="false" customFormat="false" customHeight="true" hidden="false" ht="15" outlineLevel="0" r="300">
      <c r="A300" s="4" t="s">
        <v>762</v>
      </c>
      <c r="B300" s="4" t="s">
        <v>762</v>
      </c>
      <c r="C300" s="4"/>
      <c r="D300" s="4" t="s">
        <v>12</v>
      </c>
      <c r="E300" s="4"/>
      <c r="F300" s="4"/>
      <c r="G300" s="4"/>
      <c r="H300" s="4"/>
      <c r="I300" s="4"/>
      <c r="J300" s="4" t="s">
        <v>768</v>
      </c>
      <c r="K300" s="4"/>
      <c r="L300" s="5"/>
      <c r="M300" s="4"/>
      <c r="P300" s="6"/>
      <c r="Q300" s="6"/>
      <c r="R300" s="4"/>
    </row>
    <row collapsed="false" customFormat="false" customHeight="true" hidden="false" ht="15" outlineLevel="0" r="301">
      <c r="A301" s="4" t="s">
        <v>762</v>
      </c>
      <c r="B301" s="4" t="s">
        <v>762</v>
      </c>
      <c r="C301" s="4" t="s">
        <v>769</v>
      </c>
      <c r="D301" s="4" t="s">
        <v>15</v>
      </c>
      <c r="E301" s="4"/>
      <c r="F301" s="4"/>
      <c r="G301" s="4"/>
      <c r="H301" s="4"/>
      <c r="I301" s="4"/>
      <c r="J301" s="4" t="s">
        <v>770</v>
      </c>
      <c r="K301" s="4"/>
      <c r="L301" s="5" t="str">
        <f aca="false">HYPERLINK("mailto:jprice@iaf.gov","jprice@iaf.gov")</f>
        <v>jprice@iaf.gov</v>
      </c>
      <c r="M301" s="4"/>
      <c r="P301" s="6"/>
      <c r="Q301" s="6"/>
      <c r="R301" s="4"/>
    </row>
    <row collapsed="false" customFormat="false" customHeight="true" hidden="false" ht="15" outlineLevel="0" r="302">
      <c r="A302" s="4" t="s">
        <v>771</v>
      </c>
      <c r="B302" s="4" t="s">
        <v>771</v>
      </c>
      <c r="C302" s="4" t="s">
        <v>772</v>
      </c>
      <c r="D302" s="4" t="s">
        <v>773</v>
      </c>
      <c r="E302" s="4" t="s">
        <v>336</v>
      </c>
      <c r="F302" s="4" t="s">
        <v>774</v>
      </c>
      <c r="G302" s="4" t="s">
        <v>5</v>
      </c>
      <c r="H302" s="4" t="s">
        <v>6</v>
      </c>
      <c r="I302" s="4" t="n">
        <v>20007</v>
      </c>
      <c r="J302" s="4" t="s">
        <v>775</v>
      </c>
      <c r="K302" s="4" t="s">
        <v>776</v>
      </c>
      <c r="L302" s="5" t="str">
        <f aca="false">HYPERLINK("mailto:FOIA@lsc.gov","FOIA@lsc.gov")</f>
        <v>FOIA@lsc.gov</v>
      </c>
      <c r="M302" s="4" t="s">
        <v>777</v>
      </c>
      <c r="P302" s="6"/>
      <c r="Q302" s="6"/>
      <c r="R302" s="4" t="s">
        <v>777</v>
      </c>
    </row>
    <row collapsed="false" customFormat="false" customHeight="true" hidden="false" ht="15" outlineLevel="0" r="303">
      <c r="A303" s="4" t="s">
        <v>771</v>
      </c>
      <c r="B303" s="4" t="s">
        <v>771</v>
      </c>
      <c r="C303" s="4"/>
      <c r="D303" s="4" t="s">
        <v>12</v>
      </c>
      <c r="E303" s="4"/>
      <c r="F303" s="4"/>
      <c r="G303" s="4"/>
      <c r="H303" s="4"/>
      <c r="I303" s="4"/>
      <c r="J303" s="4" t="s">
        <v>775</v>
      </c>
      <c r="K303" s="4"/>
      <c r="L303" s="5"/>
      <c r="M303" s="4"/>
      <c r="P303" s="6"/>
      <c r="Q303" s="6"/>
      <c r="R303" s="4"/>
    </row>
    <row collapsed="false" customFormat="false" customHeight="true" hidden="false" ht="15" outlineLevel="0" r="304">
      <c r="A304" s="4" t="s">
        <v>771</v>
      </c>
      <c r="B304" s="4" t="s">
        <v>771</v>
      </c>
      <c r="C304" s="4" t="s">
        <v>772</v>
      </c>
      <c r="D304" s="4" t="s">
        <v>15</v>
      </c>
      <c r="E304" s="4"/>
      <c r="F304" s="4"/>
      <c r="G304" s="4"/>
      <c r="H304" s="4"/>
      <c r="I304" s="4"/>
      <c r="J304" s="4" t="s">
        <v>775</v>
      </c>
      <c r="K304" s="4"/>
      <c r="L304" s="5" t="str">
        <f aca="false">HYPERLINK("mailto:pbatie@lsc.gov","pbatie@lsc.gov")</f>
        <v>pbatie@lsc.gov</v>
      </c>
      <c r="M304" s="4"/>
      <c r="P304" s="6"/>
      <c r="Q304" s="6"/>
      <c r="R304" s="4"/>
    </row>
    <row collapsed="false" customFormat="false" customHeight="true" hidden="false" ht="15" outlineLevel="0" r="305">
      <c r="A305" s="4" t="s">
        <v>289</v>
      </c>
      <c r="B305" s="4" t="s">
        <v>778</v>
      </c>
      <c r="C305" s="4" t="s">
        <v>779</v>
      </c>
      <c r="D305" s="4" t="s">
        <v>780</v>
      </c>
      <c r="E305" s="4"/>
      <c r="F305" s="4" t="s">
        <v>781</v>
      </c>
      <c r="G305" s="4" t="s">
        <v>5</v>
      </c>
      <c r="H305" s="4" t="s">
        <v>6</v>
      </c>
      <c r="I305" s="4" t="n">
        <v>20419</v>
      </c>
      <c r="J305" s="4" t="s">
        <v>782</v>
      </c>
      <c r="K305" s="4" t="s">
        <v>783</v>
      </c>
      <c r="L305" s="5" t="str">
        <f aca="false">HYPERLINK("mailto:FOIAHQ@mspb.gov","FOIAHQ@mspb.gov")</f>
        <v>FOIAHQ@mspb.gov</v>
      </c>
      <c r="M305" s="4" t="s">
        <v>784</v>
      </c>
      <c r="P305" s="6"/>
      <c r="Q305" s="6"/>
      <c r="R305" s="4" t="s">
        <v>784</v>
      </c>
    </row>
    <row collapsed="false" customFormat="false" customHeight="true" hidden="false" ht="15" outlineLevel="0" r="306">
      <c r="A306" s="4" t="s">
        <v>289</v>
      </c>
      <c r="B306" s="4" t="s">
        <v>778</v>
      </c>
      <c r="C306" s="4" t="s">
        <v>779</v>
      </c>
      <c r="D306" s="4" t="s">
        <v>12</v>
      </c>
      <c r="E306" s="4"/>
      <c r="F306" s="4"/>
      <c r="G306" s="4"/>
      <c r="H306" s="4"/>
      <c r="I306" s="4"/>
      <c r="J306" s="4" t="s">
        <v>782</v>
      </c>
      <c r="K306" s="4"/>
      <c r="L306" s="5"/>
      <c r="M306" s="4"/>
      <c r="P306" s="6"/>
      <c r="Q306" s="6"/>
      <c r="R306" s="4"/>
    </row>
    <row collapsed="false" customFormat="false" customHeight="true" hidden="false" ht="15" outlineLevel="0" r="307">
      <c r="A307" s="4" t="s">
        <v>289</v>
      </c>
      <c r="B307" s="4" t="s">
        <v>778</v>
      </c>
      <c r="C307" s="4" t="s">
        <v>785</v>
      </c>
      <c r="D307" s="4" t="s">
        <v>15</v>
      </c>
      <c r="E307" s="4"/>
      <c r="F307" s="4"/>
      <c r="G307" s="4"/>
      <c r="H307" s="4"/>
      <c r="I307" s="4"/>
      <c r="J307" s="4" t="s">
        <v>786</v>
      </c>
      <c r="K307" s="4"/>
      <c r="L307" s="5"/>
      <c r="M307" s="4"/>
      <c r="P307" s="6"/>
      <c r="Q307" s="6"/>
      <c r="R307" s="4"/>
    </row>
    <row collapsed="false" customFormat="false" customHeight="true" hidden="false" ht="15" outlineLevel="0" r="308">
      <c r="A308" s="4" t="s">
        <v>558</v>
      </c>
      <c r="B308" s="4" t="s">
        <v>778</v>
      </c>
      <c r="C308" s="4" t="s">
        <v>787</v>
      </c>
      <c r="D308" s="4" t="s">
        <v>788</v>
      </c>
      <c r="E308" s="4" t="s">
        <v>789</v>
      </c>
      <c r="F308" s="4" t="s">
        <v>790</v>
      </c>
      <c r="G308" s="4" t="s">
        <v>226</v>
      </c>
      <c r="H308" s="4" t="s">
        <v>227</v>
      </c>
      <c r="I308" s="4" t="s">
        <v>791</v>
      </c>
      <c r="J308" s="4" t="s">
        <v>792</v>
      </c>
      <c r="K308" s="4" t="s">
        <v>793</v>
      </c>
      <c r="L308" s="5" t="str">
        <f aca="false">HYPERLINK("mailto:FOIAAT@mspb.gov","FOIAAT@mspb.gov")</f>
        <v>FOIAAT@mspb.gov</v>
      </c>
      <c r="M308" s="4" t="s">
        <v>794</v>
      </c>
      <c r="P308" s="6"/>
      <c r="Q308" s="6"/>
      <c r="R308" s="4" t="s">
        <v>794</v>
      </c>
    </row>
    <row collapsed="false" customFormat="false" customHeight="true" hidden="false" ht="15" outlineLevel="0" r="309">
      <c r="A309" s="4" t="s">
        <v>558</v>
      </c>
      <c r="B309" s="4" t="s">
        <v>778</v>
      </c>
      <c r="C309" s="4" t="s">
        <v>779</v>
      </c>
      <c r="D309" s="4" t="s">
        <v>12</v>
      </c>
      <c r="E309" s="4"/>
      <c r="F309" s="4"/>
      <c r="G309" s="4"/>
      <c r="H309" s="4"/>
      <c r="I309" s="4"/>
      <c r="J309" s="4" t="s">
        <v>782</v>
      </c>
      <c r="K309" s="4"/>
      <c r="L309" s="5"/>
      <c r="M309" s="4"/>
      <c r="P309" s="6"/>
      <c r="Q309" s="6"/>
      <c r="R309" s="4"/>
    </row>
    <row collapsed="false" customFormat="false" customHeight="true" hidden="false" ht="15" outlineLevel="0" r="310">
      <c r="A310" s="4" t="s">
        <v>558</v>
      </c>
      <c r="B310" s="4" t="s">
        <v>778</v>
      </c>
      <c r="C310" s="4" t="s">
        <v>785</v>
      </c>
      <c r="D310" s="4" t="s">
        <v>15</v>
      </c>
      <c r="E310" s="4"/>
      <c r="F310" s="4"/>
      <c r="G310" s="4"/>
      <c r="H310" s="4"/>
      <c r="I310" s="4"/>
      <c r="J310" s="4" t="s">
        <v>786</v>
      </c>
      <c r="K310" s="4"/>
      <c r="L310" s="5"/>
      <c r="M310" s="4"/>
      <c r="P310" s="6"/>
      <c r="Q310" s="6"/>
      <c r="R310" s="4"/>
    </row>
    <row collapsed="false" customFormat="false" customHeight="true" hidden="false" ht="15" outlineLevel="0" r="311">
      <c r="A311" s="4" t="s">
        <v>795</v>
      </c>
      <c r="B311" s="4" t="s">
        <v>778</v>
      </c>
      <c r="C311" s="4" t="s">
        <v>796</v>
      </c>
      <c r="D311" s="4" t="s">
        <v>788</v>
      </c>
      <c r="E311" s="4" t="s">
        <v>797</v>
      </c>
      <c r="F311" s="4" t="s">
        <v>798</v>
      </c>
      <c r="G311" s="4" t="s">
        <v>236</v>
      </c>
      <c r="H311" s="4" t="s">
        <v>237</v>
      </c>
      <c r="I311" s="4" t="s">
        <v>799</v>
      </c>
      <c r="J311" s="4" t="s">
        <v>800</v>
      </c>
      <c r="K311" s="4" t="s">
        <v>801</v>
      </c>
      <c r="L311" s="5" t="str">
        <f aca="false">HYPERLINK("mailto:FOIACH@mspb.gov","FOIACH@mspb.gov")</f>
        <v>FOIACH@mspb.gov</v>
      </c>
      <c r="M311" s="4" t="s">
        <v>794</v>
      </c>
      <c r="P311" s="6"/>
      <c r="Q311" s="6"/>
      <c r="R311" s="4" t="s">
        <v>794</v>
      </c>
    </row>
    <row collapsed="false" customFormat="false" customHeight="true" hidden="false" ht="15" outlineLevel="0" r="312">
      <c r="A312" s="4" t="s">
        <v>795</v>
      </c>
      <c r="B312" s="4" t="s">
        <v>778</v>
      </c>
      <c r="C312" s="4" t="s">
        <v>779</v>
      </c>
      <c r="D312" s="4" t="s">
        <v>12</v>
      </c>
      <c r="E312" s="4"/>
      <c r="F312" s="4"/>
      <c r="G312" s="4"/>
      <c r="H312" s="4"/>
      <c r="I312" s="4"/>
      <c r="J312" s="4" t="s">
        <v>782</v>
      </c>
      <c r="K312" s="4"/>
      <c r="L312" s="5"/>
      <c r="M312" s="4"/>
      <c r="P312" s="6"/>
      <c r="Q312" s="6"/>
      <c r="R312" s="4"/>
    </row>
    <row collapsed="false" customFormat="false" customHeight="true" hidden="false" ht="15" outlineLevel="0" r="313">
      <c r="A313" s="4" t="s">
        <v>795</v>
      </c>
      <c r="B313" s="4" t="s">
        <v>778</v>
      </c>
      <c r="C313" s="4" t="s">
        <v>802</v>
      </c>
      <c r="D313" s="4" t="s">
        <v>15</v>
      </c>
      <c r="E313" s="4"/>
      <c r="F313" s="4"/>
      <c r="G313" s="4"/>
      <c r="H313" s="4"/>
      <c r="I313" s="4"/>
      <c r="J313" s="4" t="s">
        <v>800</v>
      </c>
      <c r="K313" s="4"/>
      <c r="L313" s="5"/>
      <c r="M313" s="4"/>
      <c r="P313" s="6"/>
      <c r="Q313" s="6"/>
      <c r="R313" s="4"/>
    </row>
    <row collapsed="false" customFormat="false" customHeight="true" hidden="false" ht="15" outlineLevel="0" r="314">
      <c r="A314" s="4" t="s">
        <v>803</v>
      </c>
      <c r="B314" s="4" t="s">
        <v>778</v>
      </c>
      <c r="C314" s="4" t="s">
        <v>804</v>
      </c>
      <c r="D314" s="4" t="s">
        <v>788</v>
      </c>
      <c r="E314" s="4" t="s">
        <v>805</v>
      </c>
      <c r="F314" s="4" t="s">
        <v>806</v>
      </c>
      <c r="G314" s="4" t="s">
        <v>807</v>
      </c>
      <c r="H314" s="4" t="s">
        <v>31</v>
      </c>
      <c r="I314" s="4" t="s">
        <v>808</v>
      </c>
      <c r="J314" s="4" t="s">
        <v>809</v>
      </c>
      <c r="K314" s="4" t="s">
        <v>810</v>
      </c>
      <c r="L314" s="5" t="str">
        <f aca="false">HYPERLINK("mailto:FOIADC@mspb.gov","FOIADC@mspb.gov")</f>
        <v>FOIADC@mspb.gov</v>
      </c>
      <c r="M314" s="4" t="s">
        <v>794</v>
      </c>
      <c r="P314" s="6"/>
      <c r="Q314" s="6"/>
      <c r="R314" s="4" t="s">
        <v>794</v>
      </c>
    </row>
    <row collapsed="false" customFormat="false" customHeight="true" hidden="false" ht="15" outlineLevel="0" r="315">
      <c r="A315" s="4" t="s">
        <v>803</v>
      </c>
      <c r="B315" s="4" t="s">
        <v>778</v>
      </c>
      <c r="C315" s="4" t="s">
        <v>779</v>
      </c>
      <c r="D315" s="4" t="s">
        <v>12</v>
      </c>
      <c r="E315" s="4"/>
      <c r="F315" s="4"/>
      <c r="G315" s="4"/>
      <c r="H315" s="4"/>
      <c r="I315" s="4"/>
      <c r="J315" s="4" t="s">
        <v>782</v>
      </c>
      <c r="K315" s="4"/>
      <c r="L315" s="5"/>
      <c r="M315" s="4"/>
      <c r="P315" s="6"/>
      <c r="Q315" s="6"/>
      <c r="R315" s="4"/>
    </row>
    <row collapsed="false" customFormat="false" customHeight="true" hidden="false" ht="15" outlineLevel="0" r="316">
      <c r="A316" s="4" t="s">
        <v>803</v>
      </c>
      <c r="B316" s="4" t="s">
        <v>778</v>
      </c>
      <c r="C316" s="4" t="s">
        <v>785</v>
      </c>
      <c r="D316" s="4" t="s">
        <v>15</v>
      </c>
      <c r="E316" s="4"/>
      <c r="F316" s="4"/>
      <c r="G316" s="4"/>
      <c r="H316" s="4"/>
      <c r="I316" s="4"/>
      <c r="J316" s="4" t="s">
        <v>786</v>
      </c>
      <c r="K316" s="4"/>
      <c r="L316" s="5"/>
      <c r="M316" s="4"/>
      <c r="P316" s="6"/>
      <c r="Q316" s="6"/>
      <c r="R316" s="4"/>
    </row>
    <row collapsed="false" customFormat="false" customHeight="true" hidden="false" ht="15" outlineLevel="0" r="317">
      <c r="A317" s="4" t="s">
        <v>811</v>
      </c>
      <c r="B317" s="4" t="s">
        <v>778</v>
      </c>
      <c r="C317" s="4" t="s">
        <v>812</v>
      </c>
      <c r="D317" s="4" t="s">
        <v>788</v>
      </c>
      <c r="E317" s="4" t="s">
        <v>813</v>
      </c>
      <c r="F317" s="4" t="s">
        <v>814</v>
      </c>
      <c r="G317" s="4" t="s">
        <v>217</v>
      </c>
      <c r="H317" s="4" t="s">
        <v>218</v>
      </c>
      <c r="I317" s="4" t="n">
        <v>19103</v>
      </c>
      <c r="J317" s="4" t="s">
        <v>815</v>
      </c>
      <c r="K317" s="4" t="s">
        <v>816</v>
      </c>
      <c r="L317" s="5" t="str">
        <f aca="false">HYPERLINK("mailto:FOIAPH@mspb.gov","FOIAPH@mspb.gov")</f>
        <v>FOIAPH@mspb.gov</v>
      </c>
      <c r="M317" s="4" t="s">
        <v>794</v>
      </c>
      <c r="P317" s="6"/>
      <c r="Q317" s="6"/>
      <c r="R317" s="4" t="s">
        <v>794</v>
      </c>
    </row>
    <row collapsed="false" customFormat="false" customHeight="true" hidden="false" ht="15" outlineLevel="0" r="318">
      <c r="A318" s="4" t="s">
        <v>811</v>
      </c>
      <c r="B318" s="4" t="s">
        <v>778</v>
      </c>
      <c r="C318" s="4" t="s">
        <v>779</v>
      </c>
      <c r="D318" s="4" t="s">
        <v>12</v>
      </c>
      <c r="E318" s="4"/>
      <c r="F318" s="4"/>
      <c r="G318" s="4"/>
      <c r="H318" s="4"/>
      <c r="I318" s="4"/>
      <c r="J318" s="4" t="s">
        <v>782</v>
      </c>
      <c r="K318" s="4"/>
      <c r="L318" s="5"/>
      <c r="M318" s="4"/>
      <c r="P318" s="6"/>
      <c r="Q318" s="6"/>
      <c r="R318" s="4"/>
    </row>
    <row collapsed="false" customFormat="false" customHeight="true" hidden="false" ht="15" outlineLevel="0" r="319">
      <c r="A319" s="4" t="s">
        <v>811</v>
      </c>
      <c r="B319" s="4" t="s">
        <v>778</v>
      </c>
      <c r="C319" s="4" t="s">
        <v>785</v>
      </c>
      <c r="D319" s="4" t="s">
        <v>15</v>
      </c>
      <c r="E319" s="4"/>
      <c r="F319" s="4"/>
      <c r="G319" s="4"/>
      <c r="H319" s="4"/>
      <c r="I319" s="4"/>
      <c r="J319" s="4" t="s">
        <v>786</v>
      </c>
      <c r="K319" s="4"/>
      <c r="L319" s="5"/>
      <c r="M319" s="4"/>
      <c r="P319" s="6"/>
      <c r="Q319" s="6"/>
      <c r="R319" s="4"/>
    </row>
    <row collapsed="false" customFormat="false" customHeight="true" hidden="false" ht="15" outlineLevel="0" r="320">
      <c r="A320" s="4" t="s">
        <v>574</v>
      </c>
      <c r="B320" s="4" t="s">
        <v>778</v>
      </c>
      <c r="C320" s="4" t="s">
        <v>817</v>
      </c>
      <c r="D320" s="4" t="s">
        <v>788</v>
      </c>
      <c r="E320" s="4" t="s">
        <v>818</v>
      </c>
      <c r="F320" s="4" t="s">
        <v>819</v>
      </c>
      <c r="G320" s="4" t="s">
        <v>246</v>
      </c>
      <c r="H320" s="4" t="s">
        <v>247</v>
      </c>
      <c r="I320" s="4" t="s">
        <v>820</v>
      </c>
      <c r="J320" s="4" t="s">
        <v>821</v>
      </c>
      <c r="K320" s="4" t="s">
        <v>822</v>
      </c>
      <c r="L320" s="5" t="str">
        <f aca="false">HYPERLINK("mailto:FOIADA@mspb.gov","FOIADA@mspb.gov")</f>
        <v>FOIADA@mspb.gov</v>
      </c>
      <c r="M320" s="4" t="s">
        <v>794</v>
      </c>
      <c r="P320" s="6"/>
      <c r="Q320" s="6"/>
      <c r="R320" s="4" t="s">
        <v>794</v>
      </c>
    </row>
    <row collapsed="false" customFormat="false" customHeight="true" hidden="false" ht="15" outlineLevel="0" r="321">
      <c r="A321" s="4" t="s">
        <v>574</v>
      </c>
      <c r="B321" s="4" t="s">
        <v>778</v>
      </c>
      <c r="C321" s="4" t="s">
        <v>779</v>
      </c>
      <c r="D321" s="4" t="s">
        <v>12</v>
      </c>
      <c r="E321" s="4"/>
      <c r="F321" s="4"/>
      <c r="G321" s="4"/>
      <c r="H321" s="4"/>
      <c r="I321" s="4"/>
      <c r="J321" s="4" t="s">
        <v>782</v>
      </c>
      <c r="K321" s="4"/>
      <c r="L321" s="5"/>
      <c r="M321" s="4"/>
      <c r="P321" s="6"/>
      <c r="Q321" s="6"/>
      <c r="R321" s="4"/>
    </row>
    <row collapsed="false" customFormat="false" customHeight="true" hidden="false" ht="15" outlineLevel="0" r="322">
      <c r="A322" s="4" t="s">
        <v>574</v>
      </c>
      <c r="B322" s="4" t="s">
        <v>778</v>
      </c>
      <c r="C322" s="4" t="s">
        <v>823</v>
      </c>
      <c r="D322" s="4" t="s">
        <v>15</v>
      </c>
      <c r="E322" s="4"/>
      <c r="F322" s="4"/>
      <c r="G322" s="4"/>
      <c r="H322" s="4"/>
      <c r="I322" s="4"/>
      <c r="J322" s="4" t="s">
        <v>821</v>
      </c>
      <c r="K322" s="4"/>
      <c r="L322" s="5"/>
      <c r="M322" s="4"/>
      <c r="P322" s="6"/>
      <c r="Q322" s="6"/>
      <c r="R322" s="4"/>
    </row>
    <row collapsed="false" customFormat="false" customHeight="true" hidden="false" ht="15" outlineLevel="0" r="323">
      <c r="A323" s="4" t="s">
        <v>824</v>
      </c>
      <c r="B323" s="4" t="s">
        <v>778</v>
      </c>
      <c r="C323" s="4" t="s">
        <v>825</v>
      </c>
      <c r="D323" s="4" t="s">
        <v>788</v>
      </c>
      <c r="E323" s="4" t="s">
        <v>826</v>
      </c>
      <c r="F323" s="4" t="s">
        <v>827</v>
      </c>
      <c r="G323" s="4" t="s">
        <v>274</v>
      </c>
      <c r="H323" s="4" t="s">
        <v>275</v>
      </c>
      <c r="I323" s="4" t="s">
        <v>828</v>
      </c>
      <c r="J323" s="4" t="s">
        <v>829</v>
      </c>
      <c r="K323" s="4" t="s">
        <v>830</v>
      </c>
      <c r="L323" s="5" t="str">
        <f aca="false">HYPERLINK("mailto:FOIASF@mspb.gov","FOIASF@mspb.gov")</f>
        <v>FOIASF@mspb.gov</v>
      </c>
      <c r="M323" s="4" t="s">
        <v>794</v>
      </c>
      <c r="P323" s="6"/>
      <c r="Q323" s="6"/>
      <c r="R323" s="4" t="s">
        <v>794</v>
      </c>
    </row>
    <row collapsed="false" customFormat="false" customHeight="true" hidden="false" ht="15" outlineLevel="0" r="324">
      <c r="A324" s="4" t="s">
        <v>824</v>
      </c>
      <c r="B324" s="4" t="s">
        <v>778</v>
      </c>
      <c r="C324" s="4" t="s">
        <v>779</v>
      </c>
      <c r="D324" s="4" t="s">
        <v>12</v>
      </c>
      <c r="E324" s="4"/>
      <c r="F324" s="4"/>
      <c r="G324" s="4"/>
      <c r="H324" s="4"/>
      <c r="I324" s="4"/>
      <c r="J324" s="4" t="s">
        <v>782</v>
      </c>
      <c r="K324" s="4"/>
      <c r="L324" s="5"/>
      <c r="M324" s="4"/>
      <c r="P324" s="6"/>
      <c r="Q324" s="6"/>
      <c r="R324" s="4"/>
    </row>
    <row collapsed="false" customFormat="false" customHeight="true" hidden="false" ht="15" outlineLevel="0" r="325">
      <c r="A325" s="4" t="s">
        <v>824</v>
      </c>
      <c r="B325" s="4" t="s">
        <v>778</v>
      </c>
      <c r="C325" s="4" t="s">
        <v>785</v>
      </c>
      <c r="D325" s="4" t="s">
        <v>15</v>
      </c>
      <c r="E325" s="4"/>
      <c r="F325" s="4"/>
      <c r="G325" s="4"/>
      <c r="H325" s="4"/>
      <c r="I325" s="4"/>
      <c r="J325" s="4" t="s">
        <v>786</v>
      </c>
      <c r="K325" s="4"/>
      <c r="L325" s="5"/>
      <c r="M325" s="4"/>
      <c r="P325" s="6"/>
      <c r="Q325" s="6"/>
      <c r="R325" s="4"/>
    </row>
    <row collapsed="false" customFormat="false" customHeight="true" hidden="false" ht="15" outlineLevel="0" r="326">
      <c r="A326" s="4" t="s">
        <v>831</v>
      </c>
      <c r="B326" s="4" t="s">
        <v>778</v>
      </c>
      <c r="C326" s="4" t="s">
        <v>832</v>
      </c>
      <c r="D326" s="4" t="s">
        <v>788</v>
      </c>
      <c r="E326" s="4" t="s">
        <v>833</v>
      </c>
      <c r="F326" s="4" t="s">
        <v>688</v>
      </c>
      <c r="G326" s="4" t="s">
        <v>207</v>
      </c>
      <c r="H326" s="4" t="s">
        <v>208</v>
      </c>
      <c r="I326" s="4" t="s">
        <v>834</v>
      </c>
      <c r="J326" s="4" t="s">
        <v>835</v>
      </c>
      <c r="K326" s="4" t="s">
        <v>836</v>
      </c>
      <c r="L326" s="5" t="str">
        <f aca="false">HYPERLINK("mailto:FOIANY@mspb.gov","FOIANY@mspb.gov")</f>
        <v>FOIANY@mspb.gov</v>
      </c>
      <c r="M326" s="4" t="s">
        <v>794</v>
      </c>
      <c r="P326" s="6"/>
      <c r="Q326" s="6"/>
      <c r="R326" s="4" t="s">
        <v>794</v>
      </c>
    </row>
    <row collapsed="false" customFormat="false" customHeight="true" hidden="false" ht="15" outlineLevel="0" r="327">
      <c r="A327" s="4" t="s">
        <v>831</v>
      </c>
      <c r="B327" s="4" t="s">
        <v>778</v>
      </c>
      <c r="C327" s="4" t="s">
        <v>779</v>
      </c>
      <c r="D327" s="4" t="s">
        <v>12</v>
      </c>
      <c r="E327" s="4"/>
      <c r="F327" s="4"/>
      <c r="G327" s="4"/>
      <c r="H327" s="4"/>
      <c r="I327" s="4"/>
      <c r="J327" s="4" t="s">
        <v>782</v>
      </c>
      <c r="K327" s="4"/>
      <c r="L327" s="5"/>
      <c r="M327" s="4"/>
      <c r="P327" s="6"/>
      <c r="Q327" s="6"/>
      <c r="R327" s="4"/>
    </row>
    <row collapsed="false" customFormat="false" customHeight="true" hidden="false" ht="15" outlineLevel="0" r="328">
      <c r="A328" s="4" t="s">
        <v>831</v>
      </c>
      <c r="B328" s="4" t="s">
        <v>778</v>
      </c>
      <c r="C328" s="4" t="s">
        <v>785</v>
      </c>
      <c r="D328" s="4" t="s">
        <v>15</v>
      </c>
      <c r="E328" s="4"/>
      <c r="F328" s="4"/>
      <c r="G328" s="4"/>
      <c r="H328" s="4"/>
      <c r="I328" s="4"/>
      <c r="J328" s="4" t="s">
        <v>786</v>
      </c>
      <c r="K328" s="4"/>
      <c r="L328" s="5"/>
      <c r="M328" s="4"/>
      <c r="P328" s="6"/>
      <c r="Q328" s="6"/>
      <c r="R328" s="4"/>
    </row>
    <row collapsed="false" customFormat="false" customHeight="true" hidden="false" ht="15" outlineLevel="0" r="329">
      <c r="A329" s="4" t="s">
        <v>837</v>
      </c>
      <c r="B329" s="4" t="s">
        <v>778</v>
      </c>
      <c r="C329" s="4" t="s">
        <v>838</v>
      </c>
      <c r="D329" s="4" t="s">
        <v>788</v>
      </c>
      <c r="E329" s="4" t="s">
        <v>839</v>
      </c>
      <c r="F329" s="4" t="s">
        <v>840</v>
      </c>
      <c r="G329" s="4" t="s">
        <v>726</v>
      </c>
      <c r="H329" s="4" t="s">
        <v>265</v>
      </c>
      <c r="I329" s="4" t="s">
        <v>841</v>
      </c>
      <c r="J329" s="4" t="s">
        <v>842</v>
      </c>
      <c r="K329" s="4" t="s">
        <v>843</v>
      </c>
      <c r="L329" s="5" t="str">
        <f aca="false">HYPERLINK("mailto:FOIADE@mspb.gov","FOIADE@mspb.gov")</f>
        <v>FOIADE@mspb.gov</v>
      </c>
      <c r="M329" s="4" t="s">
        <v>794</v>
      </c>
      <c r="P329" s="6"/>
      <c r="Q329" s="6"/>
      <c r="R329" s="4" t="s">
        <v>794</v>
      </c>
    </row>
    <row collapsed="false" customFormat="false" customHeight="true" hidden="false" ht="15" outlineLevel="0" r="330">
      <c r="A330" s="4" t="s">
        <v>837</v>
      </c>
      <c r="B330" s="4" t="s">
        <v>778</v>
      </c>
      <c r="C330" s="4" t="s">
        <v>779</v>
      </c>
      <c r="D330" s="4" t="s">
        <v>12</v>
      </c>
      <c r="E330" s="4"/>
      <c r="F330" s="4"/>
      <c r="G330" s="4"/>
      <c r="H330" s="4"/>
      <c r="I330" s="4"/>
      <c r="J330" s="4" t="s">
        <v>782</v>
      </c>
      <c r="K330" s="4"/>
      <c r="L330" s="5"/>
      <c r="M330" s="4"/>
      <c r="P330" s="6"/>
      <c r="Q330" s="6"/>
      <c r="R330" s="4"/>
    </row>
    <row collapsed="false" customFormat="false" customHeight="true" hidden="false" ht="15" outlineLevel="0" r="331">
      <c r="A331" s="4" t="s">
        <v>837</v>
      </c>
      <c r="B331" s="4" t="s">
        <v>778</v>
      </c>
      <c r="C331" s="4" t="s">
        <v>785</v>
      </c>
      <c r="D331" s="4" t="s">
        <v>15</v>
      </c>
      <c r="E331" s="4"/>
      <c r="F331" s="4"/>
      <c r="G331" s="4"/>
      <c r="H331" s="4"/>
      <c r="I331" s="4"/>
      <c r="J331" s="4" t="s">
        <v>786</v>
      </c>
      <c r="K331" s="4"/>
      <c r="L331" s="5"/>
      <c r="M331" s="4"/>
      <c r="P331" s="6"/>
      <c r="Q331" s="6"/>
      <c r="R331" s="4"/>
    </row>
    <row collapsed="false" customFormat="false" customHeight="true" hidden="false" ht="15" outlineLevel="0" r="332">
      <c r="A332" s="4" t="s">
        <v>288</v>
      </c>
      <c r="B332" s="4" t="s">
        <v>778</v>
      </c>
      <c r="C332" s="4" t="s">
        <v>779</v>
      </c>
      <c r="D332" s="4" t="s">
        <v>844</v>
      </c>
      <c r="E332" s="4"/>
      <c r="F332" s="4" t="s">
        <v>781</v>
      </c>
      <c r="G332" s="4" t="s">
        <v>5</v>
      </c>
      <c r="H332" s="4" t="s">
        <v>6</v>
      </c>
      <c r="I332" s="4" t="n">
        <v>20419</v>
      </c>
      <c r="J332" s="4" t="s">
        <v>845</v>
      </c>
      <c r="K332" s="4" t="s">
        <v>783</v>
      </c>
      <c r="L332" s="5" t="str">
        <f aca="false">HYPERLINK("mailto:FOIAHQ@msrb.gov","FOIAHQ@msrb.gov")</f>
        <v>FOIAHQ@msrb.gov</v>
      </c>
      <c r="M332" s="4" t="s">
        <v>784</v>
      </c>
      <c r="P332" s="6"/>
      <c r="Q332" s="6"/>
      <c r="R332" s="4" t="s">
        <v>784</v>
      </c>
    </row>
    <row collapsed="false" customFormat="false" customHeight="true" hidden="false" ht="15" outlineLevel="0" r="333">
      <c r="A333" s="4" t="s">
        <v>288</v>
      </c>
      <c r="B333" s="4" t="s">
        <v>778</v>
      </c>
      <c r="C333" s="4" t="s">
        <v>779</v>
      </c>
      <c r="D333" s="4" t="s">
        <v>12</v>
      </c>
      <c r="E333" s="4"/>
      <c r="F333" s="4"/>
      <c r="G333" s="4"/>
      <c r="H333" s="4"/>
      <c r="I333" s="4"/>
      <c r="J333" s="4" t="s">
        <v>782</v>
      </c>
      <c r="K333" s="4"/>
      <c r="L333" s="5"/>
      <c r="M333" s="4"/>
      <c r="P333" s="6"/>
      <c r="Q333" s="6"/>
      <c r="R333" s="4"/>
    </row>
    <row collapsed="false" customFormat="false" customHeight="true" hidden="false" ht="15" outlineLevel="0" r="334">
      <c r="A334" s="4" t="s">
        <v>288</v>
      </c>
      <c r="B334" s="4" t="s">
        <v>778</v>
      </c>
      <c r="C334" s="4" t="s">
        <v>779</v>
      </c>
      <c r="D334" s="4" t="s">
        <v>15</v>
      </c>
      <c r="E334" s="4"/>
      <c r="F334" s="4"/>
      <c r="G334" s="4"/>
      <c r="H334" s="4"/>
      <c r="I334" s="4"/>
      <c r="J334" s="4" t="s">
        <v>782</v>
      </c>
      <c r="K334" s="4"/>
      <c r="L334" s="5"/>
      <c r="M334" s="4"/>
      <c r="P334" s="6"/>
      <c r="Q334" s="6"/>
      <c r="R334" s="4"/>
    </row>
    <row collapsed="false" customFormat="false" customHeight="true" hidden="false" ht="15" outlineLevel="0" r="335">
      <c r="A335" s="4" t="s">
        <v>846</v>
      </c>
      <c r="B335" s="4" t="s">
        <v>846</v>
      </c>
      <c r="C335" s="4" t="s">
        <v>847</v>
      </c>
      <c r="D335" s="4" t="s">
        <v>124</v>
      </c>
      <c r="E335" s="4"/>
      <c r="F335" s="4" t="s">
        <v>848</v>
      </c>
      <c r="G335" s="4" t="s">
        <v>5</v>
      </c>
      <c r="H335" s="4" t="s">
        <v>6</v>
      </c>
      <c r="I335" s="4" t="n">
        <v>20005</v>
      </c>
      <c r="J335" s="4" t="s">
        <v>849</v>
      </c>
      <c r="K335" s="4"/>
      <c r="L335" s="5" t="str">
        <f aca="false">HYPERLINK("mailto:foia@mcc.gov","foia@mcc.gov")</f>
        <v>foia@mcc.gov</v>
      </c>
      <c r="M335" s="4" t="s">
        <v>850</v>
      </c>
      <c r="P335" s="6"/>
      <c r="Q335" s="6"/>
      <c r="R335" s="4" t="s">
        <v>850</v>
      </c>
    </row>
    <row collapsed="false" customFormat="false" customHeight="true" hidden="false" ht="15" outlineLevel="0" r="336">
      <c r="A336" s="4" t="s">
        <v>846</v>
      </c>
      <c r="B336" s="4" t="s">
        <v>846</v>
      </c>
      <c r="C336" s="4" t="s">
        <v>847</v>
      </c>
      <c r="D336" s="4" t="s">
        <v>12</v>
      </c>
      <c r="E336" s="4"/>
      <c r="F336" s="4"/>
      <c r="G336" s="4"/>
      <c r="H336" s="4"/>
      <c r="I336" s="4"/>
      <c r="J336" s="4" t="s">
        <v>849</v>
      </c>
      <c r="K336" s="4"/>
      <c r="L336" s="5"/>
      <c r="M336" s="4"/>
      <c r="P336" s="6"/>
      <c r="Q336" s="6"/>
      <c r="R336" s="4"/>
    </row>
    <row collapsed="false" customFormat="false" customHeight="true" hidden="false" ht="15" outlineLevel="0" r="337">
      <c r="A337" s="4" t="s">
        <v>846</v>
      </c>
      <c r="B337" s="4" t="s">
        <v>846</v>
      </c>
      <c r="C337" s="4" t="s">
        <v>847</v>
      </c>
      <c r="D337" s="4" t="s">
        <v>15</v>
      </c>
      <c r="E337" s="4"/>
      <c r="F337" s="4"/>
      <c r="G337" s="4"/>
      <c r="H337" s="4"/>
      <c r="I337" s="4"/>
      <c r="J337" s="4" t="s">
        <v>849</v>
      </c>
      <c r="K337" s="4"/>
      <c r="L337" s="5"/>
      <c r="M337" s="4"/>
      <c r="P337" s="6"/>
      <c r="Q337" s="6"/>
      <c r="R337" s="4"/>
    </row>
    <row collapsed="false" customFormat="false" customHeight="true" hidden="false" ht="15" outlineLevel="0" r="338">
      <c r="A338" s="4" t="s">
        <v>851</v>
      </c>
      <c r="B338" s="4" t="s">
        <v>852</v>
      </c>
      <c r="C338" s="4" t="s">
        <v>853</v>
      </c>
      <c r="D338" s="4" t="s">
        <v>854</v>
      </c>
      <c r="E338" s="4" t="s">
        <v>855</v>
      </c>
      <c r="F338" s="4" t="s">
        <v>856</v>
      </c>
      <c r="G338" s="4" t="s">
        <v>857</v>
      </c>
      <c r="H338" s="4" t="s">
        <v>6</v>
      </c>
      <c r="I338" s="4" t="n">
        <v>20546</v>
      </c>
      <c r="J338" s="4" t="s">
        <v>858</v>
      </c>
      <c r="K338" s="4" t="s">
        <v>859</v>
      </c>
      <c r="L338" s="5" t="str">
        <f aca="false">HYPERLINK("mailto:foia@hq.nasa.gov","foia@hq.nasa.gov")</f>
        <v>foia@hq.nasa.gov</v>
      </c>
      <c r="M338" s="4" t="s">
        <v>860</v>
      </c>
      <c r="P338" s="6"/>
      <c r="Q338" s="6"/>
      <c r="R338" s="4" t="s">
        <v>860</v>
      </c>
    </row>
    <row collapsed="false" customFormat="false" customHeight="true" hidden="false" ht="15" outlineLevel="0" r="339">
      <c r="A339" s="4" t="s">
        <v>851</v>
      </c>
      <c r="B339" s="4" t="s">
        <v>852</v>
      </c>
      <c r="C339" s="4"/>
      <c r="D339" s="4" t="s">
        <v>12</v>
      </c>
      <c r="E339" s="4" t="s">
        <v>861</v>
      </c>
      <c r="F339" s="4" t="s">
        <v>856</v>
      </c>
      <c r="G339" s="4" t="s">
        <v>857</v>
      </c>
      <c r="H339" s="4" t="s">
        <v>6</v>
      </c>
      <c r="I339" s="4" t="n">
        <v>20546</v>
      </c>
      <c r="J339" s="4" t="s">
        <v>862</v>
      </c>
      <c r="K339" s="4"/>
      <c r="L339" s="5"/>
      <c r="M339" s="4"/>
      <c r="P339" s="6"/>
      <c r="Q339" s="6"/>
      <c r="R339" s="4"/>
    </row>
    <row collapsed="false" customFormat="false" customHeight="true" hidden="false" ht="14.25" outlineLevel="0" r="340">
      <c r="A340" s="4" t="s">
        <v>851</v>
      </c>
      <c r="B340" s="4" t="s">
        <v>852</v>
      </c>
      <c r="C340" s="4" t="s">
        <v>853</v>
      </c>
      <c r="D340" s="4" t="s">
        <v>15</v>
      </c>
      <c r="E340" s="4"/>
      <c r="F340" s="4"/>
      <c r="G340" s="4"/>
      <c r="H340" s="4"/>
      <c r="I340" s="4"/>
      <c r="J340" s="4" t="s">
        <v>858</v>
      </c>
      <c r="K340" s="4"/>
      <c r="L340" s="5" t="str">
        <f aca="false">HYPERLINK("mailto:foia@hq.nasa.gov","foia@hq.nasa.gov")</f>
        <v>foia@hq.nasa.gov</v>
      </c>
      <c r="M340" s="4"/>
      <c r="P340" s="6"/>
      <c r="Q340" s="6"/>
      <c r="R340" s="4"/>
    </row>
    <row collapsed="false" customFormat="false" customHeight="true" hidden="false" ht="15.75" outlineLevel="0" r="341">
      <c r="A341" s="4" t="s">
        <v>863</v>
      </c>
      <c r="B341" s="4" t="s">
        <v>852</v>
      </c>
      <c r="C341" s="4" t="s">
        <v>864</v>
      </c>
      <c r="D341" s="4" t="s">
        <v>865</v>
      </c>
      <c r="E341" s="4" t="s">
        <v>866</v>
      </c>
      <c r="F341" s="4"/>
      <c r="G341" s="4" t="s">
        <v>867</v>
      </c>
      <c r="H341" s="4" t="s">
        <v>275</v>
      </c>
      <c r="I341" s="4" t="s">
        <v>868</v>
      </c>
      <c r="J341" s="4" t="s">
        <v>869</v>
      </c>
      <c r="K341" s="4" t="s">
        <v>870</v>
      </c>
      <c r="L341" s="5" t="str">
        <f aca="false">HYPERLINK("mailto:foia@arc.nasa.gov","foia@arc.nasa.gov")</f>
        <v>foia@arc.nasa.gov</v>
      </c>
      <c r="M341" s="4" t="s">
        <v>871</v>
      </c>
      <c r="P341" s="6"/>
      <c r="Q341" s="6"/>
      <c r="R341" s="4" t="s">
        <v>871</v>
      </c>
    </row>
    <row collapsed="false" customFormat="false" customHeight="true" hidden="false" ht="15.75" outlineLevel="0" r="342">
      <c r="A342" s="4" t="s">
        <v>863</v>
      </c>
      <c r="B342" s="4" t="s">
        <v>852</v>
      </c>
      <c r="C342" s="4"/>
      <c r="D342" s="4" t="s">
        <v>12</v>
      </c>
      <c r="E342" s="4" t="s">
        <v>866</v>
      </c>
      <c r="F342" s="4"/>
      <c r="G342" s="4" t="s">
        <v>867</v>
      </c>
      <c r="H342" s="4" t="s">
        <v>275</v>
      </c>
      <c r="I342" s="4" t="s">
        <v>868</v>
      </c>
      <c r="J342" s="4" t="s">
        <v>872</v>
      </c>
      <c r="K342" s="4"/>
      <c r="L342" s="5"/>
      <c r="M342" s="4"/>
      <c r="P342" s="6"/>
      <c r="Q342" s="6"/>
      <c r="R342" s="4"/>
    </row>
    <row collapsed="false" customFormat="false" customHeight="true" hidden="false" ht="15.75" outlineLevel="0" r="343">
      <c r="A343" s="4" t="s">
        <v>863</v>
      </c>
      <c r="B343" s="4" t="s">
        <v>852</v>
      </c>
      <c r="C343" s="4" t="s">
        <v>864</v>
      </c>
      <c r="D343" s="4" t="s">
        <v>15</v>
      </c>
      <c r="E343" s="4"/>
      <c r="F343" s="4"/>
      <c r="G343" s="4"/>
      <c r="H343" s="4"/>
      <c r="I343" s="4"/>
      <c r="J343" s="4" t="s">
        <v>869</v>
      </c>
      <c r="K343" s="4"/>
      <c r="L343" s="5" t="str">
        <f aca="false">HYPERLINK("mailto:foia@arc.nasa.gov","foia@arc.nasa.gov")</f>
        <v>foia@arc.nasa.gov</v>
      </c>
      <c r="M343" s="4"/>
      <c r="P343" s="6"/>
      <c r="Q343" s="6"/>
      <c r="R343" s="4"/>
    </row>
    <row collapsed="false" customFormat="false" customHeight="true" hidden="false" ht="15.75" outlineLevel="0" r="344">
      <c r="A344" s="4" t="s">
        <v>873</v>
      </c>
      <c r="B344" s="4" t="s">
        <v>852</v>
      </c>
      <c r="C344" s="4" t="s">
        <v>874</v>
      </c>
      <c r="D344" s="4" t="s">
        <v>875</v>
      </c>
      <c r="E344" s="4" t="s">
        <v>876</v>
      </c>
      <c r="F344" s="4" t="s">
        <v>877</v>
      </c>
      <c r="G344" s="4" t="s">
        <v>878</v>
      </c>
      <c r="H344" s="4" t="s">
        <v>275</v>
      </c>
      <c r="I344" s="4" t="n">
        <v>93523</v>
      </c>
      <c r="J344" s="4" t="s">
        <v>879</v>
      </c>
      <c r="K344" s="4" t="s">
        <v>880</v>
      </c>
      <c r="L344" s="5" t="str">
        <f aca="false">HYPERLINK("mailto:dfrc-foia@nasa.gov","dfrc-foia@nasa.gov")</f>
        <v>dfrc-foia@nasa.gov</v>
      </c>
      <c r="M344" s="4" t="s">
        <v>881</v>
      </c>
      <c r="P344" s="6"/>
      <c r="Q344" s="6"/>
      <c r="R344" s="4" t="s">
        <v>881</v>
      </c>
    </row>
    <row collapsed="false" customFormat="false" customHeight="true" hidden="false" ht="15.75" outlineLevel="0" r="345">
      <c r="A345" s="4" t="s">
        <v>873</v>
      </c>
      <c r="B345" s="4" t="s">
        <v>852</v>
      </c>
      <c r="C345" s="4"/>
      <c r="D345" s="4" t="s">
        <v>12</v>
      </c>
      <c r="E345" s="4" t="s">
        <v>882</v>
      </c>
      <c r="F345" s="4"/>
      <c r="G345" s="4" t="s">
        <v>878</v>
      </c>
      <c r="H345" s="4" t="s">
        <v>275</v>
      </c>
      <c r="I345" s="4" t="n">
        <v>93523</v>
      </c>
      <c r="J345" s="4" t="s">
        <v>879</v>
      </c>
      <c r="K345" s="4"/>
      <c r="L345" s="5"/>
      <c r="M345" s="4"/>
      <c r="P345" s="6"/>
      <c r="Q345" s="6"/>
      <c r="R345" s="4"/>
    </row>
    <row collapsed="false" customFormat="false" customHeight="true" hidden="false" ht="15.75" outlineLevel="0" r="346">
      <c r="A346" s="4" t="s">
        <v>873</v>
      </c>
      <c r="B346" s="4" t="s">
        <v>852</v>
      </c>
      <c r="C346" s="4" t="s">
        <v>874</v>
      </c>
      <c r="D346" s="4" t="s">
        <v>15</v>
      </c>
      <c r="E346" s="4"/>
      <c r="F346" s="4"/>
      <c r="G346" s="4"/>
      <c r="H346" s="4"/>
      <c r="I346" s="4"/>
      <c r="J346" s="4" t="s">
        <v>879</v>
      </c>
      <c r="K346" s="4"/>
      <c r="L346" s="5" t="str">
        <f aca="false">HYPERLINK("mailto:dfrc-foia@nasa.gov","dfrc-foia@nasa.gov")</f>
        <v>dfrc-foia@nasa.gov</v>
      </c>
      <c r="M346" s="4"/>
      <c r="P346" s="6"/>
      <c r="Q346" s="6"/>
      <c r="R346" s="4"/>
    </row>
    <row collapsed="false" customFormat="false" customHeight="true" hidden="false" ht="15.75" outlineLevel="0" r="347">
      <c r="A347" s="4" t="s">
        <v>883</v>
      </c>
      <c r="B347" s="4" t="s">
        <v>852</v>
      </c>
      <c r="C347" s="4" t="s">
        <v>884</v>
      </c>
      <c r="D347" s="4" t="s">
        <v>885</v>
      </c>
      <c r="E347" s="4"/>
      <c r="F347" s="4" t="s">
        <v>886</v>
      </c>
      <c r="G347" s="4" t="s">
        <v>887</v>
      </c>
      <c r="H347" s="4" t="s">
        <v>888</v>
      </c>
      <c r="I347" s="4" t="n">
        <v>44135</v>
      </c>
      <c r="J347" s="4" t="s">
        <v>889</v>
      </c>
      <c r="K347" s="4" t="s">
        <v>890</v>
      </c>
      <c r="L347" s="5" t="str">
        <f aca="false">HYPERLINK("mailto:foia@grc.nasa.gov","foia@grc.nasa.gov")</f>
        <v>foia@grc.nasa.gov</v>
      </c>
      <c r="M347" s="4" t="s">
        <v>891</v>
      </c>
      <c r="P347" s="6"/>
      <c r="Q347" s="6"/>
      <c r="R347" s="4" t="s">
        <v>891</v>
      </c>
    </row>
    <row collapsed="false" customFormat="false" customHeight="true" hidden="false" ht="15.75" outlineLevel="0" r="348">
      <c r="A348" s="4" t="s">
        <v>883</v>
      </c>
      <c r="B348" s="4" t="s">
        <v>852</v>
      </c>
      <c r="C348" s="4"/>
      <c r="D348" s="4" t="s">
        <v>12</v>
      </c>
      <c r="E348" s="4"/>
      <c r="F348" s="4" t="s">
        <v>892</v>
      </c>
      <c r="G348" s="4" t="s">
        <v>887</v>
      </c>
      <c r="H348" s="4" t="s">
        <v>888</v>
      </c>
      <c r="I348" s="4" t="n">
        <v>44135</v>
      </c>
      <c r="J348" s="4" t="s">
        <v>889</v>
      </c>
      <c r="K348" s="4"/>
      <c r="L348" s="5"/>
      <c r="M348" s="4"/>
      <c r="P348" s="6"/>
      <c r="Q348" s="6"/>
      <c r="R348" s="4"/>
    </row>
    <row collapsed="false" customFormat="false" customHeight="true" hidden="false" ht="15.75" outlineLevel="0" r="349">
      <c r="A349" s="4" t="s">
        <v>883</v>
      </c>
      <c r="B349" s="4" t="s">
        <v>852</v>
      </c>
      <c r="C349" s="4" t="s">
        <v>884</v>
      </c>
      <c r="D349" s="4" t="s">
        <v>15</v>
      </c>
      <c r="E349" s="4"/>
      <c r="F349" s="4"/>
      <c r="G349" s="4"/>
      <c r="H349" s="4"/>
      <c r="I349" s="4"/>
      <c r="J349" s="4" t="s">
        <v>889</v>
      </c>
      <c r="K349" s="4"/>
      <c r="L349" s="5" t="str">
        <f aca="false">HYPERLINK("mailto:foia@grc.nasa.gov","foia@grc.nasa.gov")</f>
        <v>foia@grc.nasa.gov</v>
      </c>
      <c r="M349" s="4"/>
      <c r="P349" s="6"/>
      <c r="Q349" s="6"/>
      <c r="R349" s="4"/>
    </row>
    <row collapsed="false" customFormat="false" customHeight="true" hidden="false" ht="15.75" outlineLevel="0" r="350">
      <c r="A350" s="4" t="s">
        <v>893</v>
      </c>
      <c r="B350" s="4" t="s">
        <v>852</v>
      </c>
      <c r="C350" s="4" t="s">
        <v>894</v>
      </c>
      <c r="D350" s="4" t="s">
        <v>895</v>
      </c>
      <c r="E350" s="4"/>
      <c r="F350" s="4" t="s">
        <v>896</v>
      </c>
      <c r="G350" s="4" t="s">
        <v>897</v>
      </c>
      <c r="H350" s="4" t="s">
        <v>138</v>
      </c>
      <c r="I350" s="4" t="n">
        <v>20771</v>
      </c>
      <c r="J350" s="4" t="s">
        <v>898</v>
      </c>
      <c r="K350" s="4" t="s">
        <v>899</v>
      </c>
      <c r="L350" s="5" t="str">
        <f aca="false">HYPERLINK("mailto:foia@gsfc.nasa.gov","foia@gsfc.nasa.gov")</f>
        <v>foia@gsfc.nasa.gov</v>
      </c>
      <c r="M350" s="4" t="s">
        <v>900</v>
      </c>
      <c r="P350" s="6"/>
      <c r="Q350" s="6"/>
      <c r="R350" s="4" t="s">
        <v>900</v>
      </c>
    </row>
    <row collapsed="false" customFormat="false" customHeight="true" hidden="false" ht="15.75" outlineLevel="0" r="351">
      <c r="A351" s="4" t="s">
        <v>893</v>
      </c>
      <c r="B351" s="4" t="s">
        <v>852</v>
      </c>
      <c r="C351" s="4"/>
      <c r="D351" s="4" t="s">
        <v>12</v>
      </c>
      <c r="E351" s="4"/>
      <c r="F351" s="4" t="s">
        <v>896</v>
      </c>
      <c r="G351" s="4" t="s">
        <v>897</v>
      </c>
      <c r="H351" s="4" t="s">
        <v>138</v>
      </c>
      <c r="I351" s="4" t="n">
        <v>20771</v>
      </c>
      <c r="J351" s="4" t="s">
        <v>898</v>
      </c>
      <c r="K351" s="4"/>
      <c r="L351" s="5"/>
      <c r="M351" s="4"/>
      <c r="P351" s="6"/>
      <c r="Q351" s="6"/>
      <c r="R351" s="4"/>
    </row>
    <row collapsed="false" customFormat="false" customHeight="true" hidden="false" ht="15.75" outlineLevel="0" r="352">
      <c r="A352" s="4" t="s">
        <v>893</v>
      </c>
      <c r="B352" s="4" t="s">
        <v>852</v>
      </c>
      <c r="C352" s="4" t="s">
        <v>894</v>
      </c>
      <c r="D352" s="4" t="s">
        <v>15</v>
      </c>
      <c r="E352" s="4"/>
      <c r="F352" s="4"/>
      <c r="G352" s="4"/>
      <c r="H352" s="4"/>
      <c r="I352" s="4"/>
      <c r="J352" s="4" t="s">
        <v>898</v>
      </c>
      <c r="K352" s="4"/>
      <c r="L352" s="5" t="str">
        <f aca="false">HYPERLINK("mailto:foia@gsfc.nasa.gov","mailto:foia@gsfc.nasa.gov")</f>
        <v>mailto:foia@gsfc.nasa.gov</v>
      </c>
      <c r="M352" s="5"/>
      <c r="P352" s="6"/>
      <c r="Q352" s="6"/>
      <c r="R352" s="5"/>
    </row>
    <row collapsed="false" customFormat="false" customHeight="true" hidden="false" ht="15.75" outlineLevel="0" r="353">
      <c r="A353" s="4" t="s">
        <v>901</v>
      </c>
      <c r="B353" s="4" t="s">
        <v>852</v>
      </c>
      <c r="C353" s="4" t="s">
        <v>902</v>
      </c>
      <c r="D353" s="4" t="s">
        <v>903</v>
      </c>
      <c r="E353" s="4" t="s">
        <v>904</v>
      </c>
      <c r="F353" s="4" t="s">
        <v>905</v>
      </c>
      <c r="G353" s="4" t="s">
        <v>906</v>
      </c>
      <c r="H353" s="4" t="s">
        <v>275</v>
      </c>
      <c r="I353" s="4" t="s">
        <v>907</v>
      </c>
      <c r="J353" s="4" t="s">
        <v>908</v>
      </c>
      <c r="K353" s="4" t="s">
        <v>909</v>
      </c>
      <c r="L353" s="5" t="str">
        <f aca="false">HYPERLINK("mailto:jpl-foia@nasa.gov","jpl-foia@nasa.gov")</f>
        <v>jpl-foia@nasa.gov</v>
      </c>
      <c r="M353" s="4" t="s">
        <v>910</v>
      </c>
      <c r="P353" s="6"/>
      <c r="Q353" s="6"/>
      <c r="R353" s="4" t="s">
        <v>910</v>
      </c>
    </row>
    <row collapsed="false" customFormat="false" customHeight="true" hidden="false" ht="15.75" outlineLevel="0" r="354">
      <c r="A354" s="4" t="s">
        <v>901</v>
      </c>
      <c r="B354" s="4" t="s">
        <v>852</v>
      </c>
      <c r="C354" s="4"/>
      <c r="D354" s="4" t="s">
        <v>12</v>
      </c>
      <c r="E354" s="4"/>
      <c r="F354" s="4" t="s">
        <v>905</v>
      </c>
      <c r="G354" s="4" t="s">
        <v>906</v>
      </c>
      <c r="H354" s="4" t="s">
        <v>275</v>
      </c>
      <c r="I354" s="4" t="s">
        <v>907</v>
      </c>
      <c r="J354" s="4" t="s">
        <v>908</v>
      </c>
      <c r="K354" s="4"/>
      <c r="L354" s="5"/>
      <c r="M354" s="4"/>
      <c r="P354" s="6"/>
      <c r="Q354" s="6"/>
      <c r="R354" s="4"/>
    </row>
    <row collapsed="false" customFormat="false" customHeight="true" hidden="false" ht="15.75" outlineLevel="0" r="355">
      <c r="A355" s="4" t="s">
        <v>901</v>
      </c>
      <c r="B355" s="4" t="s">
        <v>852</v>
      </c>
      <c r="C355" s="4" t="s">
        <v>902</v>
      </c>
      <c r="D355" s="4" t="s">
        <v>15</v>
      </c>
      <c r="E355" s="4"/>
      <c r="F355" s="4"/>
      <c r="G355" s="4"/>
      <c r="H355" s="4"/>
      <c r="I355" s="4"/>
      <c r="J355" s="4" t="s">
        <v>908</v>
      </c>
      <c r="K355" s="4"/>
      <c r="L355" s="5" t="str">
        <f aca="false">HYPERLINK("mailto:jpl-foia@nasa.gov","jpl-foia@nasa.gov")</f>
        <v>jpl-foia@nasa.gov</v>
      </c>
      <c r="M355" s="4"/>
      <c r="P355" s="6"/>
      <c r="Q355" s="6"/>
      <c r="R355" s="4"/>
    </row>
    <row collapsed="false" customFormat="false" customHeight="true" hidden="false" ht="15.75" outlineLevel="0" r="356">
      <c r="A356" s="4" t="s">
        <v>911</v>
      </c>
      <c r="B356" s="4" t="s">
        <v>852</v>
      </c>
      <c r="C356" s="4" t="s">
        <v>912</v>
      </c>
      <c r="D356" s="4" t="s">
        <v>913</v>
      </c>
      <c r="E356" s="4"/>
      <c r="F356" s="4" t="s">
        <v>914</v>
      </c>
      <c r="G356" s="4" t="s">
        <v>345</v>
      </c>
      <c r="H356" s="4" t="s">
        <v>247</v>
      </c>
      <c r="I356" s="4" t="n">
        <v>77058</v>
      </c>
      <c r="J356" s="4" t="s">
        <v>915</v>
      </c>
      <c r="K356" s="4" t="s">
        <v>916</v>
      </c>
      <c r="L356" s="5" t="str">
        <f aca="false">HYPERLINK("mailto:jsc-foia@mail.nasa.gov","jsc-foia@mail.nasa.gov")</f>
        <v>jsc-foia@mail.nasa.gov</v>
      </c>
      <c r="M356" s="4" t="s">
        <v>917</v>
      </c>
      <c r="P356" s="6"/>
      <c r="Q356" s="6"/>
      <c r="R356" s="4" t="s">
        <v>917</v>
      </c>
    </row>
    <row collapsed="false" customFormat="false" customHeight="true" hidden="false" ht="15.75" outlineLevel="0" r="357">
      <c r="A357" s="4" t="s">
        <v>911</v>
      </c>
      <c r="B357" s="4" t="s">
        <v>852</v>
      </c>
      <c r="C357" s="4"/>
      <c r="D357" s="4" t="s">
        <v>12</v>
      </c>
      <c r="E357" s="4"/>
      <c r="F357" s="4" t="s">
        <v>914</v>
      </c>
      <c r="G357" s="4" t="s">
        <v>345</v>
      </c>
      <c r="H357" s="4" t="s">
        <v>247</v>
      </c>
      <c r="I357" s="4" t="n">
        <v>77058</v>
      </c>
      <c r="J357" s="4" t="s">
        <v>915</v>
      </c>
      <c r="K357" s="4"/>
      <c r="L357" s="5"/>
      <c r="M357" s="4"/>
      <c r="P357" s="6"/>
      <c r="Q357" s="6"/>
      <c r="R357" s="4"/>
    </row>
    <row collapsed="false" customFormat="false" customHeight="true" hidden="false" ht="15.75" outlineLevel="0" r="358">
      <c r="A358" s="4" t="s">
        <v>911</v>
      </c>
      <c r="B358" s="4" t="s">
        <v>852</v>
      </c>
      <c r="C358" s="4" t="s">
        <v>912</v>
      </c>
      <c r="D358" s="4" t="s">
        <v>15</v>
      </c>
      <c r="E358" s="4"/>
      <c r="F358" s="4"/>
      <c r="G358" s="4"/>
      <c r="H358" s="4"/>
      <c r="I358" s="4"/>
      <c r="J358" s="4" t="s">
        <v>915</v>
      </c>
      <c r="K358" s="4"/>
      <c r="L358" s="5" t="str">
        <f aca="false">HYPERLINK("mailto:stella.luna-1@nasa.gov","stella.luna-1@nasa.gov")</f>
        <v>stella.luna-1@nasa.gov</v>
      </c>
      <c r="M358" s="4"/>
      <c r="P358" s="6"/>
      <c r="Q358" s="6"/>
      <c r="R358" s="4"/>
    </row>
    <row collapsed="false" customFormat="false" customHeight="true" hidden="false" ht="15.75" outlineLevel="0" r="359">
      <c r="A359" s="4" t="s">
        <v>918</v>
      </c>
      <c r="B359" s="4" t="s">
        <v>852</v>
      </c>
      <c r="C359" s="4" t="s">
        <v>919</v>
      </c>
      <c r="D359" s="4" t="s">
        <v>920</v>
      </c>
      <c r="E359" s="4"/>
      <c r="F359" s="4" t="s">
        <v>921</v>
      </c>
      <c r="G359" s="4" t="s">
        <v>922</v>
      </c>
      <c r="H359" s="4" t="s">
        <v>382</v>
      </c>
      <c r="I359" s="4" t="n">
        <v>32889</v>
      </c>
      <c r="J359" s="4" t="s">
        <v>923</v>
      </c>
      <c r="K359" s="4" t="s">
        <v>924</v>
      </c>
      <c r="L359" s="5" t="str">
        <f aca="false">HYPERLINK("mailto:foia@ksc.nasa.gov","foia@ksc.nasa.gov")</f>
        <v>foia@ksc.nasa.gov</v>
      </c>
      <c r="M359" s="4" t="s">
        <v>925</v>
      </c>
      <c r="P359" s="6"/>
      <c r="Q359" s="6"/>
      <c r="R359" s="4" t="s">
        <v>925</v>
      </c>
    </row>
    <row collapsed="false" customFormat="false" customHeight="true" hidden="false" ht="15.75" outlineLevel="0" r="360">
      <c r="A360" s="4" t="s">
        <v>918</v>
      </c>
      <c r="B360" s="4" t="s">
        <v>852</v>
      </c>
      <c r="C360" s="4"/>
      <c r="D360" s="4" t="s">
        <v>12</v>
      </c>
      <c r="E360" s="4"/>
      <c r="F360" s="4" t="s">
        <v>921</v>
      </c>
      <c r="G360" s="4" t="s">
        <v>922</v>
      </c>
      <c r="H360" s="4" t="s">
        <v>382</v>
      </c>
      <c r="I360" s="4" t="n">
        <v>32889</v>
      </c>
      <c r="J360" s="4" t="s">
        <v>923</v>
      </c>
      <c r="K360" s="4"/>
      <c r="L360" s="5"/>
      <c r="M360" s="4"/>
      <c r="P360" s="6"/>
      <c r="Q360" s="6"/>
      <c r="R360" s="4"/>
    </row>
    <row collapsed="false" customFormat="false" customHeight="true" hidden="false" ht="15.75" outlineLevel="0" r="361">
      <c r="A361" s="4" t="s">
        <v>918</v>
      </c>
      <c r="B361" s="4" t="s">
        <v>852</v>
      </c>
      <c r="C361" s="4" t="s">
        <v>919</v>
      </c>
      <c r="D361" s="4" t="s">
        <v>15</v>
      </c>
      <c r="E361" s="4"/>
      <c r="F361" s="4"/>
      <c r="G361" s="4"/>
      <c r="H361" s="4"/>
      <c r="I361" s="4"/>
      <c r="J361" s="4" t="s">
        <v>923</v>
      </c>
      <c r="K361" s="4"/>
      <c r="L361" s="5" t="str">
        <f aca="false">HYPERLINK("mailto:foia@ksc.nasa.gov","foia@ksc.nasa.gov")</f>
        <v>foia@ksc.nasa.gov</v>
      </c>
      <c r="M361" s="4"/>
      <c r="P361" s="6"/>
      <c r="Q361" s="6"/>
      <c r="R361" s="4"/>
    </row>
    <row collapsed="false" customFormat="false" customHeight="true" hidden="false" ht="15.75" outlineLevel="0" r="362">
      <c r="A362" s="4" t="s">
        <v>926</v>
      </c>
      <c r="B362" s="4" t="s">
        <v>852</v>
      </c>
      <c r="C362" s="4" t="s">
        <v>927</v>
      </c>
      <c r="D362" s="4" t="s">
        <v>928</v>
      </c>
      <c r="E362" s="4" t="s">
        <v>929</v>
      </c>
      <c r="F362" s="4" t="s">
        <v>930</v>
      </c>
      <c r="G362" s="4" t="s">
        <v>931</v>
      </c>
      <c r="H362" s="4" t="s">
        <v>31</v>
      </c>
      <c r="I362" s="4" t="s">
        <v>932</v>
      </c>
      <c r="J362" s="4" t="s">
        <v>933</v>
      </c>
      <c r="K362" s="4" t="s">
        <v>934</v>
      </c>
      <c r="L362" s="5" t="str">
        <f aca="false">HYPERLINK("mailto:LARC-DL-foia@mail.nasa.gov","LARC-DL-foia@mail.nasa.gov")</f>
        <v>LARC-DL-foia@mail.nasa.gov</v>
      </c>
      <c r="M362" s="4" t="s">
        <v>935</v>
      </c>
      <c r="P362" s="6"/>
      <c r="Q362" s="6"/>
      <c r="R362" s="4" t="s">
        <v>935</v>
      </c>
    </row>
    <row collapsed="false" customFormat="false" customHeight="true" hidden="false" ht="15.75" outlineLevel="0" r="363">
      <c r="A363" s="4" t="s">
        <v>926</v>
      </c>
      <c r="B363" s="4" t="s">
        <v>852</v>
      </c>
      <c r="C363" s="4"/>
      <c r="D363" s="4" t="s">
        <v>12</v>
      </c>
      <c r="E363" s="4" t="s">
        <v>929</v>
      </c>
      <c r="F363" s="4" t="s">
        <v>930</v>
      </c>
      <c r="G363" s="4" t="s">
        <v>931</v>
      </c>
      <c r="H363" s="4" t="s">
        <v>31</v>
      </c>
      <c r="I363" s="4" t="s">
        <v>932</v>
      </c>
      <c r="J363" s="4" t="s">
        <v>933</v>
      </c>
      <c r="K363" s="4"/>
      <c r="L363" s="5"/>
      <c r="M363" s="4"/>
      <c r="P363" s="6"/>
      <c r="Q363" s="6"/>
      <c r="R363" s="4"/>
    </row>
    <row collapsed="false" customFormat="false" customHeight="true" hidden="false" ht="15.75" outlineLevel="0" r="364">
      <c r="A364" s="4" t="s">
        <v>926</v>
      </c>
      <c r="B364" s="4" t="s">
        <v>852</v>
      </c>
      <c r="C364" s="4" t="s">
        <v>927</v>
      </c>
      <c r="D364" s="4" t="s">
        <v>15</v>
      </c>
      <c r="E364" s="4"/>
      <c r="F364" s="4"/>
      <c r="G364" s="4"/>
      <c r="H364" s="4"/>
      <c r="I364" s="4"/>
      <c r="J364" s="4" t="s">
        <v>933</v>
      </c>
      <c r="K364" s="4"/>
      <c r="L364" s="5" t="str">
        <f aca="false">HYPERLINK("mailto:LARC-DL-foia@mail.nasa.gov","LARC-DL-foia@mail.nasa.gov")</f>
        <v>LARC-DL-foia@mail.nasa.gov</v>
      </c>
      <c r="M364" s="4"/>
      <c r="P364" s="6"/>
      <c r="Q364" s="6"/>
      <c r="R364" s="4"/>
    </row>
    <row collapsed="false" customFormat="false" customHeight="true" hidden="false" ht="15.75" outlineLevel="0" r="365">
      <c r="A365" s="4" t="s">
        <v>936</v>
      </c>
      <c r="B365" s="4" t="s">
        <v>852</v>
      </c>
      <c r="C365" s="4" t="s">
        <v>937</v>
      </c>
      <c r="D365" s="4" t="s">
        <v>938</v>
      </c>
      <c r="E365" s="4" t="s">
        <v>939</v>
      </c>
      <c r="F365" s="4" t="s">
        <v>940</v>
      </c>
      <c r="G365" s="4" t="s">
        <v>941</v>
      </c>
      <c r="H365" s="4" t="s">
        <v>314</v>
      </c>
      <c r="I365" s="4" t="n">
        <v>35812</v>
      </c>
      <c r="J365" s="4" t="s">
        <v>942</v>
      </c>
      <c r="K365" s="4" t="s">
        <v>943</v>
      </c>
      <c r="L365" s="5" t="str">
        <f aca="false">HYPERLINK("mailto:FOIA@msfc.nasa.gov","FOIA@msfc.nasa.gov")</f>
        <v>FOIA@msfc.nasa.gov</v>
      </c>
      <c r="M365" s="4" t="s">
        <v>944</v>
      </c>
      <c r="P365" s="6"/>
      <c r="Q365" s="6"/>
      <c r="R365" s="4" t="s">
        <v>944</v>
      </c>
    </row>
    <row collapsed="false" customFormat="false" customHeight="true" hidden="false" ht="15.75" outlineLevel="0" r="366">
      <c r="A366" s="4" t="s">
        <v>936</v>
      </c>
      <c r="B366" s="4" t="s">
        <v>852</v>
      </c>
      <c r="C366" s="4"/>
      <c r="D366" s="4" t="s">
        <v>12</v>
      </c>
      <c r="E366" s="4" t="s">
        <v>939</v>
      </c>
      <c r="F366" s="4" t="s">
        <v>940</v>
      </c>
      <c r="G366" s="4" t="s">
        <v>941</v>
      </c>
      <c r="H366" s="4" t="s">
        <v>314</v>
      </c>
      <c r="I366" s="4" t="n">
        <v>35812</v>
      </c>
      <c r="J366" s="4" t="s">
        <v>942</v>
      </c>
      <c r="K366" s="4"/>
      <c r="L366" s="5"/>
      <c r="M366" s="4"/>
      <c r="P366" s="6"/>
      <c r="Q366" s="6"/>
      <c r="R366" s="4"/>
    </row>
    <row collapsed="false" customFormat="false" customHeight="true" hidden="false" ht="15.75" outlineLevel="0" r="367">
      <c r="A367" s="4" t="s">
        <v>936</v>
      </c>
      <c r="B367" s="4" t="s">
        <v>852</v>
      </c>
      <c r="C367" s="4" t="s">
        <v>937</v>
      </c>
      <c r="D367" s="4" t="s">
        <v>15</v>
      </c>
      <c r="E367" s="4"/>
      <c r="F367" s="4"/>
      <c r="G367" s="4"/>
      <c r="H367" s="4"/>
      <c r="I367" s="4"/>
      <c r="J367" s="4" t="s">
        <v>942</v>
      </c>
      <c r="K367" s="4"/>
      <c r="L367" s="5" t="str">
        <f aca="false">HYPERLINK("mailto:FOIA@msfc.nasa.gov","FOIA@msfc.nasa.gov")</f>
        <v>FOIA@msfc.nasa.gov</v>
      </c>
      <c r="M367" s="4"/>
      <c r="P367" s="6"/>
      <c r="Q367" s="6"/>
      <c r="R367" s="4"/>
    </row>
    <row collapsed="false" customFormat="false" customHeight="true" hidden="false" ht="15.75" outlineLevel="0" r="368">
      <c r="A368" s="4" t="s">
        <v>600</v>
      </c>
      <c r="B368" s="4" t="s">
        <v>852</v>
      </c>
      <c r="C368" s="4" t="s">
        <v>945</v>
      </c>
      <c r="D368" s="4" t="s">
        <v>946</v>
      </c>
      <c r="E368" s="4" t="s">
        <v>947</v>
      </c>
      <c r="F368" s="4" t="s">
        <v>856</v>
      </c>
      <c r="G368" s="4" t="s">
        <v>857</v>
      </c>
      <c r="H368" s="4" t="s">
        <v>6</v>
      </c>
      <c r="I368" s="4" t="n">
        <v>20546</v>
      </c>
      <c r="J368" s="4" t="s">
        <v>948</v>
      </c>
      <c r="K368" s="4" t="s">
        <v>949</v>
      </c>
      <c r="L368" s="5" t="str">
        <f aca="false">HYPERLINK("mailto:foiaoig@hq.nasa.gov","foiaoig@hq.nasa.gov")</f>
        <v>foiaoig@hq.nasa.gov</v>
      </c>
      <c r="M368" s="4" t="s">
        <v>950</v>
      </c>
      <c r="P368" s="6"/>
      <c r="Q368" s="6"/>
      <c r="R368" s="4" t="s">
        <v>950</v>
      </c>
    </row>
    <row collapsed="false" customFormat="false" customHeight="true" hidden="false" ht="15.75" outlineLevel="0" r="369">
      <c r="A369" s="4" t="s">
        <v>600</v>
      </c>
      <c r="B369" s="4" t="s">
        <v>852</v>
      </c>
      <c r="C369" s="4"/>
      <c r="D369" s="4" t="s">
        <v>12</v>
      </c>
      <c r="E369" s="4"/>
      <c r="F369" s="4" t="s">
        <v>856</v>
      </c>
      <c r="G369" s="4" t="s">
        <v>857</v>
      </c>
      <c r="H369" s="4" t="s">
        <v>6</v>
      </c>
      <c r="I369" s="4" t="n">
        <v>20546</v>
      </c>
      <c r="J369" s="4" t="s">
        <v>948</v>
      </c>
      <c r="K369" s="4"/>
      <c r="L369" s="5"/>
      <c r="M369" s="4"/>
      <c r="P369" s="6"/>
      <c r="Q369" s="6"/>
      <c r="R369" s="4"/>
    </row>
    <row collapsed="false" customFormat="false" customHeight="true" hidden="false" ht="15.75" outlineLevel="0" r="370">
      <c r="A370" s="4" t="s">
        <v>600</v>
      </c>
      <c r="B370" s="4" t="s">
        <v>852</v>
      </c>
      <c r="C370" s="4" t="s">
        <v>945</v>
      </c>
      <c r="D370" s="4" t="s">
        <v>15</v>
      </c>
      <c r="E370" s="4"/>
      <c r="F370" s="4"/>
      <c r="G370" s="4"/>
      <c r="H370" s="4"/>
      <c r="I370" s="4"/>
      <c r="J370" s="4" t="s">
        <v>948</v>
      </c>
      <c r="K370" s="4"/>
      <c r="L370" s="5"/>
      <c r="M370" s="4"/>
      <c r="P370" s="6"/>
      <c r="Q370" s="6"/>
      <c r="R370" s="4"/>
    </row>
    <row collapsed="false" customFormat="false" customHeight="true" hidden="false" ht="15.75" outlineLevel="0" r="371">
      <c r="A371" s="4" t="s">
        <v>951</v>
      </c>
      <c r="B371" s="4" t="s">
        <v>852</v>
      </c>
      <c r="C371" s="4" t="s">
        <v>952</v>
      </c>
      <c r="D371" s="4" t="s">
        <v>953</v>
      </c>
      <c r="E371" s="4" t="s">
        <v>954</v>
      </c>
      <c r="F371" s="4"/>
      <c r="G371" s="4" t="s">
        <v>955</v>
      </c>
      <c r="H371" s="4" t="s">
        <v>956</v>
      </c>
      <c r="I371" s="4" t="n">
        <v>39529</v>
      </c>
      <c r="J371" s="4" t="s">
        <v>957</v>
      </c>
      <c r="K371" s="4" t="s">
        <v>958</v>
      </c>
      <c r="L371" s="5" t="str">
        <f aca="false">HYPERLINK("mailto:nssc@nasa.gov","nssc@nasa.gov")</f>
        <v>nssc@nasa.gov</v>
      </c>
      <c r="M371" s="4" t="s">
        <v>959</v>
      </c>
      <c r="P371" s="6"/>
      <c r="Q371" s="6"/>
      <c r="R371" s="4" t="s">
        <v>959</v>
      </c>
    </row>
    <row collapsed="false" customFormat="false" customHeight="true" hidden="false" ht="15.75" outlineLevel="0" r="372">
      <c r="A372" s="4" t="s">
        <v>951</v>
      </c>
      <c r="B372" s="4" t="s">
        <v>852</v>
      </c>
      <c r="C372" s="4" t="s">
        <v>960</v>
      </c>
      <c r="D372" s="4" t="s">
        <v>953</v>
      </c>
      <c r="E372" s="4" t="s">
        <v>954</v>
      </c>
      <c r="F372" s="4"/>
      <c r="G372" s="4" t="s">
        <v>955</v>
      </c>
      <c r="H372" s="4" t="s">
        <v>956</v>
      </c>
      <c r="I372" s="4" t="n">
        <v>39529</v>
      </c>
      <c r="J372" s="4" t="s">
        <v>957</v>
      </c>
      <c r="K372" s="4" t="s">
        <v>958</v>
      </c>
      <c r="L372" s="5" t="str">
        <f aca="false">HYPERLINK("mailto:nssc@nasa.gov","nssc@nasa.gov")</f>
        <v>nssc@nasa.gov</v>
      </c>
      <c r="M372" s="4" t="s">
        <v>959</v>
      </c>
      <c r="P372" s="6"/>
      <c r="Q372" s="6"/>
      <c r="R372" s="4" t="s">
        <v>959</v>
      </c>
    </row>
    <row collapsed="false" customFormat="false" customHeight="true" hidden="false" ht="15.75" outlineLevel="0" r="373">
      <c r="A373" s="4" t="s">
        <v>951</v>
      </c>
      <c r="B373" s="4" t="s">
        <v>852</v>
      </c>
      <c r="C373" s="4"/>
      <c r="D373" s="4" t="s">
        <v>12</v>
      </c>
      <c r="E373" s="4" t="s">
        <v>961</v>
      </c>
      <c r="F373" s="4"/>
      <c r="G373" s="4" t="s">
        <v>955</v>
      </c>
      <c r="H373" s="4" t="s">
        <v>956</v>
      </c>
      <c r="I373" s="4" t="n">
        <v>39529</v>
      </c>
      <c r="J373" s="4" t="s">
        <v>957</v>
      </c>
      <c r="K373" s="4"/>
      <c r="L373" s="5"/>
      <c r="M373" s="4"/>
      <c r="P373" s="6"/>
      <c r="Q373" s="6"/>
      <c r="R373" s="4"/>
    </row>
    <row collapsed="false" customFormat="false" customHeight="true" hidden="false" ht="15.75" outlineLevel="0" r="374">
      <c r="A374" s="4" t="s">
        <v>951</v>
      </c>
      <c r="B374" s="4" t="s">
        <v>852</v>
      </c>
      <c r="C374" s="4" t="s">
        <v>952</v>
      </c>
      <c r="D374" s="4" t="s">
        <v>15</v>
      </c>
      <c r="E374" s="4"/>
      <c r="F374" s="4"/>
      <c r="G374" s="4"/>
      <c r="H374" s="4"/>
      <c r="I374" s="4"/>
      <c r="J374" s="4" t="s">
        <v>957</v>
      </c>
      <c r="K374" s="4"/>
      <c r="L374" s="5" t="str">
        <f aca="false">HYPERLINK("mailto:nssc@nasa.gov","nssc@nasa.gov")</f>
        <v>nssc@nasa.gov</v>
      </c>
      <c r="M374" s="4"/>
      <c r="P374" s="6"/>
      <c r="Q374" s="6"/>
      <c r="R374" s="4"/>
    </row>
    <row collapsed="false" customFormat="false" customHeight="true" hidden="false" ht="15.75" outlineLevel="0" r="375">
      <c r="A375" s="4" t="s">
        <v>962</v>
      </c>
      <c r="B375" s="4" t="s">
        <v>852</v>
      </c>
      <c r="C375" s="4" t="s">
        <v>963</v>
      </c>
      <c r="D375" s="4" t="s">
        <v>964</v>
      </c>
      <c r="E375" s="4"/>
      <c r="F375" s="4"/>
      <c r="G375" s="4" t="s">
        <v>955</v>
      </c>
      <c r="H375" s="4" t="s">
        <v>956</v>
      </c>
      <c r="I375" s="4" t="n">
        <v>39529</v>
      </c>
      <c r="J375" s="4" t="s">
        <v>965</v>
      </c>
      <c r="K375" s="4" t="s">
        <v>966</v>
      </c>
      <c r="L375" s="5" t="str">
        <f aca="false">HYPERLINK("mailto:foia@ssc.nasa.gov","foia@ssc.nasa.gov")</f>
        <v>foia@ssc.nasa.gov</v>
      </c>
      <c r="M375" s="4" t="s">
        <v>967</v>
      </c>
      <c r="P375" s="6"/>
      <c r="Q375" s="6"/>
      <c r="R375" s="4" t="s">
        <v>967</v>
      </c>
    </row>
    <row collapsed="false" customFormat="false" customHeight="true" hidden="false" ht="15.75" outlineLevel="0" r="376">
      <c r="A376" s="4" t="s">
        <v>962</v>
      </c>
      <c r="B376" s="4" t="s">
        <v>852</v>
      </c>
      <c r="C376" s="4"/>
      <c r="D376" s="4" t="s">
        <v>12</v>
      </c>
      <c r="E376" s="4"/>
      <c r="F376" s="4"/>
      <c r="G376" s="4" t="s">
        <v>955</v>
      </c>
      <c r="H376" s="4" t="s">
        <v>956</v>
      </c>
      <c r="I376" s="4" t="n">
        <v>39529</v>
      </c>
      <c r="J376" s="4" t="s">
        <v>965</v>
      </c>
      <c r="K376" s="4"/>
      <c r="L376" s="5"/>
      <c r="M376" s="4"/>
      <c r="P376" s="6"/>
      <c r="Q376" s="6"/>
      <c r="R376" s="4"/>
    </row>
    <row collapsed="false" customFormat="false" customHeight="true" hidden="false" ht="15.75" outlineLevel="0" r="377">
      <c r="A377" s="4" t="s">
        <v>962</v>
      </c>
      <c r="B377" s="4" t="s">
        <v>852</v>
      </c>
      <c r="C377" s="4" t="s">
        <v>963</v>
      </c>
      <c r="D377" s="4" t="s">
        <v>15</v>
      </c>
      <c r="E377" s="4"/>
      <c r="F377" s="4"/>
      <c r="G377" s="4"/>
      <c r="H377" s="4"/>
      <c r="I377" s="4"/>
      <c r="J377" s="4" t="s">
        <v>965</v>
      </c>
      <c r="K377" s="4"/>
      <c r="L377" s="5"/>
      <c r="M377" s="4"/>
      <c r="P377" s="6"/>
      <c r="Q377" s="6"/>
      <c r="R377" s="4"/>
    </row>
    <row collapsed="false" customFormat="false" customHeight="true" hidden="false" ht="15.75" outlineLevel="0" r="378">
      <c r="A378" s="4" t="s">
        <v>288</v>
      </c>
      <c r="B378" s="4" t="s">
        <v>852</v>
      </c>
      <c r="C378" s="4" t="s">
        <v>968</v>
      </c>
      <c r="D378" s="4" t="s">
        <v>969</v>
      </c>
      <c r="E378" s="4" t="s">
        <v>970</v>
      </c>
      <c r="F378" s="4" t="s">
        <v>856</v>
      </c>
      <c r="G378" s="4" t="s">
        <v>857</v>
      </c>
      <c r="H378" s="4" t="s">
        <v>6</v>
      </c>
      <c r="I378" s="4" t="n">
        <v>20546</v>
      </c>
      <c r="J378" s="4" t="s">
        <v>971</v>
      </c>
      <c r="K378" s="4" t="s">
        <v>859</v>
      </c>
      <c r="L378" s="5" t="str">
        <f aca="false">HYPERLINK("mailto:foia@hq.nasa.gov","foia@hq.nasa.gov")</f>
        <v>foia@hq.nasa.gov</v>
      </c>
      <c r="M378" s="4" t="s">
        <v>972</v>
      </c>
      <c r="P378" s="6"/>
      <c r="Q378" s="6"/>
      <c r="R378" s="4" t="s">
        <v>972</v>
      </c>
    </row>
    <row collapsed="false" customFormat="false" customHeight="true" hidden="false" ht="15.75" outlineLevel="0" r="379">
      <c r="A379" s="4" t="s">
        <v>288</v>
      </c>
      <c r="B379" s="4" t="s">
        <v>852</v>
      </c>
      <c r="C379" s="4"/>
      <c r="D379" s="4" t="s">
        <v>12</v>
      </c>
      <c r="E379" s="4" t="s">
        <v>861</v>
      </c>
      <c r="F379" s="4" t="s">
        <v>856</v>
      </c>
      <c r="G379" s="4" t="s">
        <v>857</v>
      </c>
      <c r="H379" s="4" t="s">
        <v>6</v>
      </c>
      <c r="I379" s="4" t="n">
        <v>20546</v>
      </c>
      <c r="J379" s="4" t="s">
        <v>862</v>
      </c>
      <c r="K379" s="4"/>
      <c r="L379" s="5"/>
      <c r="M379" s="4"/>
      <c r="P379" s="6"/>
      <c r="Q379" s="6"/>
      <c r="R379" s="4"/>
    </row>
    <row collapsed="false" customFormat="false" customHeight="true" hidden="false" ht="15.75" outlineLevel="0" r="380">
      <c r="A380" s="4" t="s">
        <v>288</v>
      </c>
      <c r="B380" s="4" t="s">
        <v>852</v>
      </c>
      <c r="C380" s="4"/>
      <c r="D380" s="4" t="s">
        <v>15</v>
      </c>
      <c r="E380" s="4"/>
      <c r="F380" s="4"/>
      <c r="G380" s="4"/>
      <c r="H380" s="4"/>
      <c r="I380" s="4"/>
      <c r="J380" s="4" t="s">
        <v>973</v>
      </c>
      <c r="K380" s="4"/>
      <c r="L380" s="5" t="str">
        <f aca="false">HYPERLINK("mailto:foia@hq.nasa.gov","foia@hq.nasa.gov")</f>
        <v>foia@hq.nasa.gov</v>
      </c>
      <c r="M380" s="4"/>
      <c r="P380" s="6"/>
      <c r="Q380" s="6"/>
      <c r="R380" s="4"/>
    </row>
    <row collapsed="false" customFormat="false" customHeight="true" hidden="false" ht="15.75" outlineLevel="0" r="381">
      <c r="A381" s="4" t="s">
        <v>974</v>
      </c>
      <c r="B381" s="4" t="s">
        <v>975</v>
      </c>
      <c r="C381" s="4" t="s">
        <v>976</v>
      </c>
      <c r="D381" s="4" t="s">
        <v>163</v>
      </c>
      <c r="E381" s="4" t="s">
        <v>977</v>
      </c>
      <c r="F381" s="4" t="s">
        <v>978</v>
      </c>
      <c r="G381" s="4" t="s">
        <v>979</v>
      </c>
      <c r="H381" s="4" t="s">
        <v>138</v>
      </c>
      <c r="I381" s="4" t="n">
        <v>20740</v>
      </c>
      <c r="J381" s="4" t="s">
        <v>980</v>
      </c>
      <c r="K381" s="4" t="s">
        <v>981</v>
      </c>
      <c r="L381" s="5" t="str">
        <f aca="false">HYPERLINK("mailto:foia@nara.gov","mailto:foia@nara.gov")</f>
        <v>mailto:foia@nara.gov</v>
      </c>
      <c r="M381" s="4" t="s">
        <v>982</v>
      </c>
      <c r="P381" s="6"/>
      <c r="Q381" s="6"/>
      <c r="R381" s="4" t="s">
        <v>982</v>
      </c>
    </row>
    <row collapsed="false" customFormat="false" customHeight="true" hidden="false" ht="15.75" outlineLevel="0" r="382">
      <c r="A382" s="4" t="s">
        <v>974</v>
      </c>
      <c r="B382" s="4" t="s">
        <v>975</v>
      </c>
      <c r="C382" s="4"/>
      <c r="D382" s="4" t="s">
        <v>12</v>
      </c>
      <c r="E382" s="4"/>
      <c r="F382" s="4"/>
      <c r="G382" s="4"/>
      <c r="H382" s="4"/>
      <c r="I382" s="4"/>
      <c r="J382" s="4" t="s">
        <v>980</v>
      </c>
      <c r="K382" s="4"/>
      <c r="L382" s="5"/>
      <c r="M382" s="4"/>
      <c r="P382" s="6"/>
      <c r="Q382" s="6"/>
      <c r="R382" s="4"/>
    </row>
    <row collapsed="false" customFormat="false" customHeight="true" hidden="false" ht="15.75" outlineLevel="0" r="383">
      <c r="A383" s="4" t="s">
        <v>974</v>
      </c>
      <c r="B383" s="4" t="s">
        <v>975</v>
      </c>
      <c r="C383" s="4" t="s">
        <v>983</v>
      </c>
      <c r="D383" s="4" t="s">
        <v>15</v>
      </c>
      <c r="E383" s="4"/>
      <c r="F383" s="4"/>
      <c r="G383" s="4"/>
      <c r="H383" s="4"/>
      <c r="I383" s="4"/>
      <c r="J383" s="4" t="s">
        <v>984</v>
      </c>
      <c r="K383" s="4"/>
      <c r="L383" s="5" t="str">
        <f aca="false">HYPERLINK("mailto:garym.stern@nara.gov","mailto:garym.stern@nara.gov")</f>
        <v>mailto:garym.stern@nara.gov</v>
      </c>
      <c r="M383" s="4"/>
      <c r="P383" s="6"/>
      <c r="Q383" s="6"/>
      <c r="R383" s="4"/>
    </row>
    <row collapsed="false" customFormat="false" customHeight="true" hidden="false" ht="15.75" outlineLevel="0" r="384">
      <c r="A384" s="4" t="s">
        <v>600</v>
      </c>
      <c r="B384" s="4" t="s">
        <v>975</v>
      </c>
      <c r="C384" s="4"/>
      <c r="D384" s="4" t="s">
        <v>114</v>
      </c>
      <c r="E384" s="4" t="s">
        <v>985</v>
      </c>
      <c r="F384" s="4" t="s">
        <v>978</v>
      </c>
      <c r="G384" s="4" t="s">
        <v>979</v>
      </c>
      <c r="H384" s="4" t="s">
        <v>138</v>
      </c>
      <c r="I384" s="4" t="n">
        <v>20740</v>
      </c>
      <c r="J384" s="4" t="s">
        <v>986</v>
      </c>
      <c r="K384" s="4" t="s">
        <v>987</v>
      </c>
      <c r="L384" s="5"/>
      <c r="M384" s="4" t="s">
        <v>982</v>
      </c>
      <c r="P384" s="6"/>
      <c r="Q384" s="6"/>
      <c r="R384" s="4" t="s">
        <v>982</v>
      </c>
    </row>
    <row collapsed="false" customFormat="false" customHeight="true" hidden="false" ht="15.75" outlineLevel="0" r="385">
      <c r="A385" s="4" t="s">
        <v>600</v>
      </c>
      <c r="B385" s="4" t="s">
        <v>975</v>
      </c>
      <c r="C385" s="4"/>
      <c r="D385" s="4" t="s">
        <v>12</v>
      </c>
      <c r="E385" s="4"/>
      <c r="F385" s="4"/>
      <c r="G385" s="4"/>
      <c r="H385" s="4"/>
      <c r="I385" s="4"/>
      <c r="J385" s="4" t="s">
        <v>986</v>
      </c>
      <c r="K385" s="4"/>
      <c r="L385" s="5"/>
      <c r="M385" s="4"/>
      <c r="P385" s="6"/>
      <c r="Q385" s="6"/>
      <c r="R385" s="4"/>
    </row>
    <row collapsed="false" customFormat="false" customHeight="true" hidden="false" ht="15.75" outlineLevel="0" r="386">
      <c r="A386" s="4" t="s">
        <v>600</v>
      </c>
      <c r="B386" s="4" t="s">
        <v>975</v>
      </c>
      <c r="C386" s="4" t="s">
        <v>988</v>
      </c>
      <c r="D386" s="4" t="s">
        <v>15</v>
      </c>
      <c r="E386" s="4"/>
      <c r="F386" s="4"/>
      <c r="G386" s="4"/>
      <c r="H386" s="4"/>
      <c r="I386" s="4"/>
      <c r="J386" s="4" t="s">
        <v>987</v>
      </c>
      <c r="K386" s="4"/>
      <c r="L386" s="5" t="str">
        <f aca="false">HYPERLINK("mailto:john.simms@nara.gov","mailto:john.simms@nara.gov")</f>
        <v>mailto:john.simms@nara.gov</v>
      </c>
      <c r="M386" s="4"/>
      <c r="P386" s="6"/>
      <c r="Q386" s="6"/>
      <c r="R386" s="4"/>
    </row>
    <row collapsed="false" customFormat="false" customHeight="true" hidden="false" ht="15.75" outlineLevel="0" r="387">
      <c r="A387" s="4" t="s">
        <v>989</v>
      </c>
      <c r="B387" s="4" t="s">
        <v>975</v>
      </c>
      <c r="C387" s="4" t="s">
        <v>114</v>
      </c>
      <c r="D387" s="4" t="s">
        <v>990</v>
      </c>
      <c r="E387" s="4" t="s">
        <v>991</v>
      </c>
      <c r="F387" s="4" t="s">
        <v>978</v>
      </c>
      <c r="G387" s="4" t="s">
        <v>979</v>
      </c>
      <c r="H387" s="4" t="s">
        <v>138</v>
      </c>
      <c r="I387" s="4" t="n">
        <v>20740</v>
      </c>
      <c r="J387" s="4" t="s">
        <v>992</v>
      </c>
      <c r="K387" s="4" t="s">
        <v>993</v>
      </c>
      <c r="L387" s="5" t="str">
        <f aca="false">HYPERLINK("mailto:specialaccess_foia@nara.gov","mailto:specialaccess_foia@nara.gov")</f>
        <v>mailto:specialaccess_foia@nara.gov</v>
      </c>
      <c r="M387" s="4" t="s">
        <v>982</v>
      </c>
      <c r="P387" s="6"/>
      <c r="Q387" s="6"/>
      <c r="R387" s="4" t="s">
        <v>982</v>
      </c>
    </row>
    <row collapsed="false" customFormat="false" customHeight="true" hidden="false" ht="15.75" outlineLevel="0" r="388">
      <c r="A388" s="4" t="s">
        <v>989</v>
      </c>
      <c r="B388" s="4" t="s">
        <v>975</v>
      </c>
      <c r="C388" s="4"/>
      <c r="D388" s="4" t="s">
        <v>12</v>
      </c>
      <c r="E388" s="4"/>
      <c r="F388" s="4"/>
      <c r="G388" s="4"/>
      <c r="H388" s="4"/>
      <c r="I388" s="4"/>
      <c r="J388" s="4" t="s">
        <v>992</v>
      </c>
      <c r="K388" s="4"/>
      <c r="L388" s="5"/>
      <c r="M388" s="4"/>
      <c r="P388" s="6"/>
      <c r="Q388" s="6"/>
      <c r="R388" s="4"/>
    </row>
    <row collapsed="false" customFormat="false" customHeight="true" hidden="false" ht="15.75" outlineLevel="0" r="389">
      <c r="A389" s="4" t="s">
        <v>989</v>
      </c>
      <c r="B389" s="4" t="s">
        <v>975</v>
      </c>
      <c r="C389" s="4" t="s">
        <v>994</v>
      </c>
      <c r="D389" s="4" t="s">
        <v>15</v>
      </c>
      <c r="E389" s="4"/>
      <c r="F389" s="4"/>
      <c r="G389" s="4"/>
      <c r="H389" s="4"/>
      <c r="I389" s="4"/>
      <c r="J389" s="4" t="s">
        <v>995</v>
      </c>
      <c r="K389" s="4"/>
      <c r="L389" s="5" t="str">
        <f aca="false">HYPERLINK("mailto:steven.tilley@nara.gov","mailto:steven.tilley@nara.gov")</f>
        <v>mailto:steven.tilley@nara.gov</v>
      </c>
      <c r="M389" s="4"/>
      <c r="P389" s="6"/>
      <c r="Q389" s="6"/>
      <c r="R389" s="4"/>
    </row>
    <row collapsed="false" customFormat="false" customHeight="true" hidden="false" ht="15.75" outlineLevel="0" r="390">
      <c r="A390" s="4" t="s">
        <v>996</v>
      </c>
      <c r="B390" s="4" t="s">
        <v>975</v>
      </c>
      <c r="C390" s="4"/>
      <c r="D390" s="4" t="s">
        <v>997</v>
      </c>
      <c r="E390" s="4"/>
      <c r="F390" s="4" t="s">
        <v>998</v>
      </c>
      <c r="G390" s="4" t="s">
        <v>999</v>
      </c>
      <c r="H390" s="4" t="s">
        <v>1000</v>
      </c>
      <c r="I390" s="4" t="s">
        <v>1001</v>
      </c>
      <c r="J390" s="4" t="s">
        <v>1002</v>
      </c>
      <c r="K390" s="4" t="s">
        <v>1003</v>
      </c>
      <c r="L390" s="5" t="str">
        <f aca="false">HYPERLINK("mailto:alaska.archives@nara.gov","mailto:alaska.archives@nara.gov")</f>
        <v>mailto:alaska.archives@nara.gov</v>
      </c>
      <c r="M390" s="4" t="s">
        <v>1004</v>
      </c>
      <c r="P390" s="6"/>
      <c r="Q390" s="6"/>
      <c r="R390" s="4" t="s">
        <v>1004</v>
      </c>
    </row>
    <row collapsed="false" customFormat="false" customHeight="true" hidden="false" ht="15.75" outlineLevel="0" r="391">
      <c r="A391" s="4" t="s">
        <v>996</v>
      </c>
      <c r="B391" s="4" t="s">
        <v>975</v>
      </c>
      <c r="C391" s="4"/>
      <c r="D391" s="4" t="s">
        <v>12</v>
      </c>
      <c r="E391" s="4"/>
      <c r="F391" s="4"/>
      <c r="G391" s="4"/>
      <c r="H391" s="4"/>
      <c r="I391" s="4"/>
      <c r="J391" s="4" t="s">
        <v>1005</v>
      </c>
      <c r="K391" s="4"/>
      <c r="L391" s="5"/>
      <c r="M391" s="4"/>
      <c r="P391" s="6"/>
      <c r="Q391" s="6"/>
      <c r="R391" s="4"/>
    </row>
    <row collapsed="false" customFormat="false" customHeight="true" hidden="false" ht="15.75" outlineLevel="0" r="392">
      <c r="A392" s="4" t="s">
        <v>996</v>
      </c>
      <c r="B392" s="4" t="s">
        <v>975</v>
      </c>
      <c r="C392" s="4" t="s">
        <v>1006</v>
      </c>
      <c r="D392" s="4" t="s">
        <v>15</v>
      </c>
      <c r="E392" s="4"/>
      <c r="F392" s="4"/>
      <c r="G392" s="4"/>
      <c r="H392" s="4"/>
      <c r="I392" s="4"/>
      <c r="J392" s="4" t="s">
        <v>1007</v>
      </c>
      <c r="K392" s="4"/>
      <c r="L392" s="5" t="str">
        <f aca="false">HYPERLINK("mailto:bruce.parham@nara.gob","mailto:bruce.parham@nara.gob")</f>
        <v>mailto:bruce.parham@nara.gob</v>
      </c>
      <c r="M392" s="4"/>
      <c r="P392" s="6"/>
      <c r="Q392" s="6"/>
      <c r="R392" s="4"/>
    </row>
    <row collapsed="false" customFormat="false" customHeight="true" hidden="false" ht="15.75" outlineLevel="0" r="393">
      <c r="A393" s="4" t="s">
        <v>1008</v>
      </c>
      <c r="B393" s="4" t="s">
        <v>975</v>
      </c>
      <c r="C393" s="4"/>
      <c r="D393" s="4" t="s">
        <v>997</v>
      </c>
      <c r="E393" s="4"/>
      <c r="F393" s="4" t="s">
        <v>1009</v>
      </c>
      <c r="G393" s="4" t="s">
        <v>1010</v>
      </c>
      <c r="H393" s="4" t="s">
        <v>227</v>
      </c>
      <c r="I393" s="4" t="n">
        <v>30260</v>
      </c>
      <c r="J393" s="4" t="s">
        <v>1011</v>
      </c>
      <c r="K393" s="4" t="s">
        <v>1012</v>
      </c>
      <c r="L393" s="5" t="str">
        <f aca="false">HYPERLINK("mailto:atlanta.archives@nara.gov","mailto:atlanta.archives@nara.gov")</f>
        <v>mailto:atlanta.archives@nara.gov</v>
      </c>
      <c r="M393" s="4" t="s">
        <v>1013</v>
      </c>
      <c r="P393" s="6"/>
      <c r="Q393" s="6"/>
      <c r="R393" s="4" t="s">
        <v>1013</v>
      </c>
    </row>
    <row collapsed="false" customFormat="false" customHeight="true" hidden="false" ht="15.75" outlineLevel="0" r="394">
      <c r="A394" s="4" t="s">
        <v>1008</v>
      </c>
      <c r="B394" s="4" t="s">
        <v>975</v>
      </c>
      <c r="C394" s="4"/>
      <c r="D394" s="4" t="s">
        <v>12</v>
      </c>
      <c r="E394" s="4"/>
      <c r="F394" s="4"/>
      <c r="G394" s="4"/>
      <c r="H394" s="4"/>
      <c r="I394" s="4"/>
      <c r="J394" s="4" t="s">
        <v>1011</v>
      </c>
      <c r="K394" s="4"/>
      <c r="L394" s="5"/>
      <c r="M394" s="4"/>
      <c r="P394" s="6"/>
      <c r="Q394" s="6"/>
      <c r="R394" s="4"/>
    </row>
    <row collapsed="false" customFormat="false" customHeight="true" hidden="false" ht="15.75" outlineLevel="0" r="395">
      <c r="A395" s="4" t="s">
        <v>1008</v>
      </c>
      <c r="B395" s="4" t="s">
        <v>975</v>
      </c>
      <c r="C395" s="4" t="s">
        <v>1014</v>
      </c>
      <c r="D395" s="4" t="s">
        <v>15</v>
      </c>
      <c r="E395" s="4"/>
      <c r="F395" s="4"/>
      <c r="G395" s="4"/>
      <c r="H395" s="4"/>
      <c r="I395" s="4"/>
      <c r="J395" s="4" t="s">
        <v>1012</v>
      </c>
      <c r="K395" s="4"/>
      <c r="L395" s="5" t="str">
        <f aca="false">HYPERLINK("mailto:richard.rayburn@nara.gov","mailto:richard.rayburn@nara.gov")</f>
        <v>mailto:richard.rayburn@nara.gov</v>
      </c>
      <c r="M395" s="4"/>
      <c r="P395" s="6"/>
      <c r="Q395" s="6"/>
      <c r="R395" s="4"/>
    </row>
    <row collapsed="false" customFormat="false" customHeight="true" hidden="false" ht="15.75" outlineLevel="0" r="396">
      <c r="A396" s="4" t="s">
        <v>1015</v>
      </c>
      <c r="B396" s="4" t="s">
        <v>975</v>
      </c>
      <c r="C396" s="4"/>
      <c r="D396" s="4" t="s">
        <v>997</v>
      </c>
      <c r="E396" s="4" t="s">
        <v>1016</v>
      </c>
      <c r="F396" s="4" t="s">
        <v>1017</v>
      </c>
      <c r="G396" s="4" t="s">
        <v>1018</v>
      </c>
      <c r="H396" s="4" t="s">
        <v>196</v>
      </c>
      <c r="I396" s="4" t="s">
        <v>1019</v>
      </c>
      <c r="J396" s="4" t="s">
        <v>1020</v>
      </c>
      <c r="K396" s="4" t="s">
        <v>1021</v>
      </c>
      <c r="L396" s="5" t="str">
        <f aca="false">HYPERLINK("mailto:waltham.archives@nara.gov","mailto:waltham.archives@nara.gov")</f>
        <v>mailto:waltham.archives@nara.gov</v>
      </c>
      <c r="M396" s="4"/>
      <c r="P396" s="6"/>
      <c r="Q396" s="6"/>
      <c r="R396" s="4"/>
    </row>
    <row collapsed="false" customFormat="false" customHeight="true" hidden="false" ht="15.75" outlineLevel="0" r="397">
      <c r="A397" s="4" t="s">
        <v>1015</v>
      </c>
      <c r="B397" s="4" t="s">
        <v>975</v>
      </c>
      <c r="C397" s="4"/>
      <c r="D397" s="4" t="s">
        <v>12</v>
      </c>
      <c r="E397" s="4"/>
      <c r="F397" s="4"/>
      <c r="G397" s="4"/>
      <c r="H397" s="4"/>
      <c r="I397" s="4"/>
      <c r="J397" s="4" t="s">
        <v>1020</v>
      </c>
      <c r="K397" s="4"/>
      <c r="L397" s="5"/>
      <c r="M397" s="4"/>
      <c r="P397" s="6"/>
      <c r="Q397" s="6"/>
      <c r="R397" s="4"/>
    </row>
    <row collapsed="false" customFormat="false" customHeight="true" hidden="false" ht="15.75" outlineLevel="0" r="398">
      <c r="A398" s="4" t="s">
        <v>1015</v>
      </c>
      <c r="B398" s="4" t="s">
        <v>975</v>
      </c>
      <c r="C398" s="4" t="s">
        <v>1022</v>
      </c>
      <c r="D398" s="4" t="s">
        <v>15</v>
      </c>
      <c r="E398" s="4"/>
      <c r="F398" s="4"/>
      <c r="G398" s="4"/>
      <c r="H398" s="4"/>
      <c r="I398" s="4"/>
      <c r="J398" s="4" t="s">
        <v>1023</v>
      </c>
      <c r="K398" s="4"/>
      <c r="L398" s="5" t="str">
        <f aca="false">HYPERLINK("mailto:patricia.foley@nara.gov","mailto:patricia.foley@nara.gov")</f>
        <v>mailto:patricia.foley@nara.gov</v>
      </c>
      <c r="M398" s="4"/>
      <c r="P398" s="6"/>
      <c r="Q398" s="6"/>
      <c r="R398" s="4"/>
    </row>
    <row collapsed="false" customFormat="false" customHeight="true" hidden="false" ht="15.75" outlineLevel="0" r="399">
      <c r="A399" s="4" t="s">
        <v>1024</v>
      </c>
      <c r="B399" s="4" t="s">
        <v>975</v>
      </c>
      <c r="C399" s="4"/>
      <c r="D399" s="4" t="s">
        <v>997</v>
      </c>
      <c r="E399" s="4"/>
      <c r="F399" s="4" t="s">
        <v>1025</v>
      </c>
      <c r="G399" s="4" t="s">
        <v>236</v>
      </c>
      <c r="H399" s="4" t="s">
        <v>237</v>
      </c>
      <c r="I399" s="4" t="s">
        <v>1026</v>
      </c>
      <c r="J399" s="4" t="s">
        <v>1027</v>
      </c>
      <c r="K399" s="4" t="s">
        <v>1028</v>
      </c>
      <c r="L399" s="5" t="str">
        <f aca="false">HYPERLINK("mailto:chicago.archives@nara.gov","mailto:chicago.archives@nara.gov")</f>
        <v>mailto:chicago.archives@nara.gov</v>
      </c>
      <c r="M399" s="4" t="s">
        <v>1029</v>
      </c>
      <c r="P399" s="6"/>
      <c r="Q399" s="6"/>
      <c r="R399" s="4" t="s">
        <v>1029</v>
      </c>
    </row>
    <row collapsed="false" customFormat="false" customHeight="true" hidden="false" ht="15.75" outlineLevel="0" r="400">
      <c r="A400" s="4" t="s">
        <v>1024</v>
      </c>
      <c r="B400" s="4" t="s">
        <v>975</v>
      </c>
      <c r="C400" s="4"/>
      <c r="D400" s="4" t="s">
        <v>12</v>
      </c>
      <c r="E400" s="4"/>
      <c r="F400" s="4"/>
      <c r="G400" s="4"/>
      <c r="H400" s="4"/>
      <c r="I400" s="4"/>
      <c r="J400" s="4" t="s">
        <v>1030</v>
      </c>
      <c r="K400" s="4"/>
      <c r="L400" s="5"/>
      <c r="M400" s="4"/>
      <c r="P400" s="6"/>
      <c r="Q400" s="6"/>
      <c r="R400" s="4"/>
    </row>
    <row collapsed="false" customFormat="false" customHeight="true" hidden="false" ht="15.75" outlineLevel="0" r="401">
      <c r="A401" s="4" t="s">
        <v>1024</v>
      </c>
      <c r="B401" s="4" t="s">
        <v>975</v>
      </c>
      <c r="C401" s="4" t="s">
        <v>1031</v>
      </c>
      <c r="D401" s="4" t="s">
        <v>15</v>
      </c>
      <c r="E401" s="4"/>
      <c r="F401" s="4"/>
      <c r="G401" s="4"/>
      <c r="H401" s="4"/>
      <c r="I401" s="4"/>
      <c r="J401" s="4" t="s">
        <v>1032</v>
      </c>
      <c r="K401" s="4"/>
      <c r="L401" s="5" t="str">
        <f aca="false">HYPERLINK("mailto:douglas.bicknese@nara.gov","mailto:douglas.bicknese@nara.gov")</f>
        <v>mailto:douglas.bicknese@nara.gov</v>
      </c>
      <c r="M401" s="4"/>
      <c r="P401" s="6"/>
      <c r="Q401" s="6"/>
      <c r="R401" s="4"/>
    </row>
    <row collapsed="false" customFormat="false" customHeight="true" hidden="false" ht="15.75" outlineLevel="0" r="402">
      <c r="A402" s="4" t="s">
        <v>1033</v>
      </c>
      <c r="B402" s="4" t="s">
        <v>975</v>
      </c>
      <c r="C402" s="4"/>
      <c r="D402" s="4" t="s">
        <v>997</v>
      </c>
      <c r="E402" s="4"/>
      <c r="F402" s="4" t="s">
        <v>1034</v>
      </c>
      <c r="G402" s="4" t="s">
        <v>264</v>
      </c>
      <c r="H402" s="4" t="s">
        <v>265</v>
      </c>
      <c r="I402" s="4" t="n">
        <v>80225</v>
      </c>
      <c r="J402" s="4" t="s">
        <v>1035</v>
      </c>
      <c r="K402" s="4" t="s">
        <v>1036</v>
      </c>
      <c r="L402" s="5" t="str">
        <f aca="false">HYPERLINK("mailto:denver.archives@nara.gov","mailto:denver.archives@nara.gov")</f>
        <v>mailto:denver.archives@nara.gov</v>
      </c>
      <c r="M402" s="4" t="s">
        <v>1037</v>
      </c>
      <c r="P402" s="6"/>
      <c r="Q402" s="6"/>
      <c r="R402" s="4" t="s">
        <v>1037</v>
      </c>
    </row>
    <row collapsed="false" customFormat="false" customHeight="true" hidden="false" ht="15.75" outlineLevel="0" r="403">
      <c r="A403" s="4" t="s">
        <v>1033</v>
      </c>
      <c r="B403" s="4" t="s">
        <v>975</v>
      </c>
      <c r="C403" s="4"/>
      <c r="D403" s="4" t="s">
        <v>12</v>
      </c>
      <c r="E403" s="4"/>
      <c r="F403" s="4"/>
      <c r="G403" s="4"/>
      <c r="H403" s="4"/>
      <c r="I403" s="4"/>
      <c r="J403" s="4" t="s">
        <v>1035</v>
      </c>
      <c r="K403" s="4"/>
      <c r="L403" s="5"/>
      <c r="M403" s="4"/>
      <c r="P403" s="6"/>
      <c r="Q403" s="6"/>
      <c r="R403" s="4"/>
    </row>
    <row collapsed="false" customFormat="false" customHeight="true" hidden="false" ht="15.75" outlineLevel="0" r="404">
      <c r="A404" s="4" t="s">
        <v>1033</v>
      </c>
      <c r="B404" s="4" t="s">
        <v>975</v>
      </c>
      <c r="C404" s="4" t="s">
        <v>1038</v>
      </c>
      <c r="D404" s="4" t="s">
        <v>15</v>
      </c>
      <c r="E404" s="4"/>
      <c r="F404" s="4"/>
      <c r="G404" s="4"/>
      <c r="H404" s="4"/>
      <c r="I404" s="4"/>
      <c r="J404" s="4" t="s">
        <v>1039</v>
      </c>
      <c r="K404" s="4"/>
      <c r="L404" s="5" t="str">
        <f aca="false">HYPERLINK("mailto:eileen.bolger@nara.gov","mailto:eileen.bolger@nara.gov")</f>
        <v>mailto:eileen.bolger@nara.gov</v>
      </c>
      <c r="M404" s="4"/>
      <c r="P404" s="6"/>
      <c r="Q404" s="6"/>
      <c r="R404" s="4"/>
    </row>
    <row collapsed="false" customFormat="false" customHeight="true" hidden="false" ht="15.75" outlineLevel="0" r="405">
      <c r="A405" s="4" t="s">
        <v>1040</v>
      </c>
      <c r="B405" s="4" t="s">
        <v>975</v>
      </c>
      <c r="C405" s="4"/>
      <c r="D405" s="4" t="s">
        <v>997</v>
      </c>
      <c r="E405" s="4"/>
      <c r="F405" s="4" t="s">
        <v>1041</v>
      </c>
      <c r="G405" s="4" t="s">
        <v>719</v>
      </c>
      <c r="H405" s="4" t="s">
        <v>247</v>
      </c>
      <c r="I405" s="4" t="n">
        <v>76140</v>
      </c>
      <c r="J405" s="4" t="s">
        <v>1042</v>
      </c>
      <c r="K405" s="4" t="s">
        <v>1043</v>
      </c>
      <c r="L405" s="5" t="str">
        <f aca="false">HYPERLINK("mailto:ftworth.archives@nara.gov","mailto:ftworth.archives@nara.gov")</f>
        <v>mailto:ftworth.archives@nara.gov</v>
      </c>
      <c r="M405" s="4" t="s">
        <v>1044</v>
      </c>
      <c r="P405" s="6"/>
      <c r="Q405" s="6"/>
      <c r="R405" s="4" t="s">
        <v>1044</v>
      </c>
    </row>
    <row collapsed="false" customFormat="false" customHeight="true" hidden="false" ht="15.75" outlineLevel="0" r="406">
      <c r="A406" s="4" t="s">
        <v>1040</v>
      </c>
      <c r="B406" s="4" t="s">
        <v>975</v>
      </c>
      <c r="C406" s="4"/>
      <c r="D406" s="4" t="s">
        <v>12</v>
      </c>
      <c r="E406" s="4"/>
      <c r="F406" s="4"/>
      <c r="G406" s="4"/>
      <c r="H406" s="4"/>
      <c r="I406" s="4"/>
      <c r="J406" s="4" t="s">
        <v>1045</v>
      </c>
      <c r="K406" s="4"/>
      <c r="L406" s="5"/>
      <c r="M406" s="4"/>
      <c r="P406" s="6"/>
      <c r="Q406" s="6"/>
      <c r="R406" s="4"/>
    </row>
    <row collapsed="false" customFormat="false" customHeight="true" hidden="false" ht="15.75" outlineLevel="0" r="407">
      <c r="A407" s="4" t="s">
        <v>1040</v>
      </c>
      <c r="B407" s="4" t="s">
        <v>975</v>
      </c>
      <c r="C407" s="4" t="s">
        <v>1046</v>
      </c>
      <c r="D407" s="4" t="s">
        <v>15</v>
      </c>
      <c r="E407" s="4"/>
      <c r="F407" s="4"/>
      <c r="G407" s="4"/>
      <c r="H407" s="4"/>
      <c r="I407" s="4"/>
      <c r="J407" s="4" t="s">
        <v>1047</v>
      </c>
      <c r="K407" s="4"/>
      <c r="L407" s="5" t="str">
        <f aca="false">HYPERLINK("mailto:meg.hacker@nara.gov","mailto:meg.hacker@nara.gov")</f>
        <v>mailto:meg.hacker@nara.gov</v>
      </c>
      <c r="M407" s="4"/>
      <c r="P407" s="6"/>
      <c r="Q407" s="6"/>
      <c r="R407" s="4"/>
    </row>
    <row collapsed="false" customFormat="false" customHeight="true" hidden="false" ht="15.75" outlineLevel="0" r="408">
      <c r="A408" s="4" t="s">
        <v>1048</v>
      </c>
      <c r="B408" s="4" t="s">
        <v>975</v>
      </c>
      <c r="C408" s="4"/>
      <c r="D408" s="4" t="s">
        <v>997</v>
      </c>
      <c r="E408" s="4"/>
      <c r="F408" s="4" t="s">
        <v>1049</v>
      </c>
      <c r="G408" s="4" t="s">
        <v>255</v>
      </c>
      <c r="H408" s="4" t="s">
        <v>424</v>
      </c>
      <c r="I408" s="4" t="n">
        <v>64108</v>
      </c>
      <c r="J408" s="4" t="s">
        <v>1050</v>
      </c>
      <c r="K408" s="4" t="s">
        <v>1051</v>
      </c>
      <c r="L408" s="5" t="str">
        <f aca="false">HYPERLINK("mailto:kansascity.archives@nara.gov","mailto:kansascity.archives@nara.gov")</f>
        <v>mailto:kansascity.archives@nara.gov</v>
      </c>
      <c r="M408" s="4" t="s">
        <v>1052</v>
      </c>
      <c r="P408" s="6"/>
      <c r="Q408" s="6"/>
      <c r="R408" s="4" t="s">
        <v>1052</v>
      </c>
    </row>
    <row collapsed="false" customFormat="false" customHeight="true" hidden="false" ht="15.75" outlineLevel="0" r="409">
      <c r="A409" s="4" t="s">
        <v>1048</v>
      </c>
      <c r="B409" s="4" t="s">
        <v>975</v>
      </c>
      <c r="C409" s="4"/>
      <c r="D409" s="4" t="s">
        <v>12</v>
      </c>
      <c r="E409" s="4"/>
      <c r="F409" s="4"/>
      <c r="G409" s="4"/>
      <c r="H409" s="4"/>
      <c r="I409" s="4"/>
      <c r="J409" s="4" t="s">
        <v>1050</v>
      </c>
      <c r="K409" s="4"/>
      <c r="L409" s="5"/>
      <c r="M409" s="4"/>
      <c r="P409" s="6"/>
      <c r="Q409" s="6"/>
      <c r="R409" s="4"/>
    </row>
    <row collapsed="false" customFormat="false" customHeight="true" hidden="false" ht="15.75" outlineLevel="0" r="410">
      <c r="A410" s="4" t="s">
        <v>1048</v>
      </c>
      <c r="B410" s="4" t="s">
        <v>975</v>
      </c>
      <c r="C410" s="4"/>
      <c r="D410" s="4" t="s">
        <v>15</v>
      </c>
      <c r="E410" s="4"/>
      <c r="F410" s="4"/>
      <c r="G410" s="4"/>
      <c r="H410" s="4"/>
      <c r="I410" s="4"/>
      <c r="J410" s="4" t="s">
        <v>1053</v>
      </c>
      <c r="K410" s="4"/>
      <c r="L410" s="5" t="str">
        <f aca="false">HYPERLINK("mailto:lori.cox-paul@nara.gov","mailto:lori.cox-paul@nara.gov")</f>
        <v>mailto:lori.cox-paul@nara.gov</v>
      </c>
      <c r="M410" s="4"/>
      <c r="P410" s="6"/>
      <c r="Q410" s="6"/>
      <c r="R410" s="4"/>
    </row>
    <row collapsed="false" customFormat="false" customHeight="true" hidden="false" ht="15.75" outlineLevel="0" r="411">
      <c r="A411" s="4" t="s">
        <v>1054</v>
      </c>
      <c r="B411" s="4" t="s">
        <v>975</v>
      </c>
      <c r="C411" s="4"/>
      <c r="D411" s="4" t="s">
        <v>997</v>
      </c>
      <c r="E411" s="4" t="s">
        <v>1055</v>
      </c>
      <c r="F411" s="4" t="s">
        <v>1056</v>
      </c>
      <c r="G411" s="4" t="s">
        <v>207</v>
      </c>
      <c r="H411" s="4" t="s">
        <v>208</v>
      </c>
      <c r="I411" s="4" t="n">
        <v>10014</v>
      </c>
      <c r="J411" s="4" t="s">
        <v>1057</v>
      </c>
      <c r="K411" s="4" t="s">
        <v>1058</v>
      </c>
      <c r="L411" s="5" t="str">
        <f aca="false">HYPERLINK("mailto:newyork.archives@nara.gov","mailto:newyork.archives@nara.gov")</f>
        <v>mailto:newyork.archives@nara.gov</v>
      </c>
      <c r="M411" s="4" t="s">
        <v>1059</v>
      </c>
      <c r="P411" s="6"/>
      <c r="Q411" s="6"/>
      <c r="R411" s="4" t="s">
        <v>1059</v>
      </c>
    </row>
    <row collapsed="false" customFormat="false" customHeight="true" hidden="false" ht="15.75" outlineLevel="0" r="412">
      <c r="A412" s="4" t="s">
        <v>1054</v>
      </c>
      <c r="B412" s="4" t="s">
        <v>975</v>
      </c>
      <c r="C412" s="4"/>
      <c r="D412" s="4" t="s">
        <v>12</v>
      </c>
      <c r="E412" s="4"/>
      <c r="F412" s="4"/>
      <c r="G412" s="4"/>
      <c r="H412" s="4"/>
      <c r="I412" s="4"/>
      <c r="J412" s="4" t="s">
        <v>1057</v>
      </c>
      <c r="K412" s="4"/>
      <c r="L412" s="5"/>
      <c r="M412" s="4"/>
      <c r="P412" s="6"/>
      <c r="Q412" s="6"/>
      <c r="R412" s="4"/>
    </row>
    <row collapsed="false" customFormat="false" customHeight="true" hidden="false" ht="15.75" outlineLevel="0" r="413">
      <c r="A413" s="4" t="s">
        <v>1054</v>
      </c>
      <c r="B413" s="4" t="s">
        <v>975</v>
      </c>
      <c r="C413" s="4" t="s">
        <v>1060</v>
      </c>
      <c r="D413" s="4" t="s">
        <v>15</v>
      </c>
      <c r="E413" s="4"/>
      <c r="F413" s="4"/>
      <c r="G413" s="4"/>
      <c r="H413" s="4"/>
      <c r="I413" s="4"/>
      <c r="J413" s="4" t="s">
        <v>1061</v>
      </c>
      <c r="K413" s="4"/>
      <c r="L413" s="5" t="str">
        <f aca="false">HYPERLINK("mailto:nancy.shader@nara.gov","mailto:nancy.shader@nara.gov")</f>
        <v>mailto:nancy.shader@nara.gov</v>
      </c>
      <c r="M413" s="4"/>
      <c r="P413" s="6"/>
      <c r="Q413" s="6"/>
      <c r="R413" s="4"/>
    </row>
    <row collapsed="false" customFormat="false" customHeight="true" hidden="false" ht="15.75" outlineLevel="0" r="414">
      <c r="A414" s="4" t="s">
        <v>1062</v>
      </c>
      <c r="B414" s="4" t="s">
        <v>975</v>
      </c>
      <c r="C414" s="4"/>
      <c r="D414" s="4" t="s">
        <v>997</v>
      </c>
      <c r="E414" s="4"/>
      <c r="F414" s="4" t="s">
        <v>1063</v>
      </c>
      <c r="G414" s="4" t="s">
        <v>217</v>
      </c>
      <c r="H414" s="4" t="s">
        <v>218</v>
      </c>
      <c r="I414" s="4" t="s">
        <v>1064</v>
      </c>
      <c r="J414" s="4" t="s">
        <v>1065</v>
      </c>
      <c r="K414" s="4" t="s">
        <v>1066</v>
      </c>
      <c r="L414" s="5" t="str">
        <f aca="false">HYPERLINK("mailto:philadelphia.archives@nara.gov","mailto:philadelphia.archives@nara.gov")</f>
        <v>mailto:philadelphia.archives@nara.gov</v>
      </c>
      <c r="M414" s="4" t="s">
        <v>1067</v>
      </c>
      <c r="P414" s="6"/>
      <c r="Q414" s="6"/>
      <c r="R414" s="4" t="s">
        <v>1067</v>
      </c>
    </row>
    <row collapsed="false" customFormat="false" customHeight="true" hidden="false" ht="15.75" outlineLevel="0" r="415">
      <c r="A415" s="4" t="s">
        <v>1062</v>
      </c>
      <c r="B415" s="4" t="s">
        <v>975</v>
      </c>
      <c r="C415" s="4"/>
      <c r="D415" s="4" t="s">
        <v>12</v>
      </c>
      <c r="E415" s="4"/>
      <c r="F415" s="4"/>
      <c r="G415" s="4"/>
      <c r="H415" s="4"/>
      <c r="I415" s="4"/>
      <c r="J415" s="4" t="s">
        <v>1068</v>
      </c>
      <c r="K415" s="4"/>
      <c r="L415" s="5"/>
      <c r="M415" s="4"/>
      <c r="P415" s="6"/>
      <c r="Q415" s="6"/>
      <c r="R415" s="4"/>
    </row>
    <row collapsed="false" customFormat="false" customHeight="true" hidden="false" ht="15.75" outlineLevel="0" r="416">
      <c r="A416" s="4" t="s">
        <v>1062</v>
      </c>
      <c r="B416" s="4" t="s">
        <v>975</v>
      </c>
      <c r="C416" s="4" t="s">
        <v>1069</v>
      </c>
      <c r="D416" s="4" t="s">
        <v>15</v>
      </c>
      <c r="E416" s="4"/>
      <c r="F416" s="4"/>
      <c r="G416" s="4"/>
      <c r="H416" s="4"/>
      <c r="I416" s="4"/>
      <c r="J416" s="4" t="s">
        <v>1070</v>
      </c>
      <c r="K416" s="4"/>
      <c r="L416" s="5" t="str">
        <f aca="false">HYPERLINK("mailto:john.mcevoy@nara.gov","mailto:john.mcevoy@nara.gov")</f>
        <v>mailto:john.mcevoy@nara.gov</v>
      </c>
      <c r="M416" s="4"/>
      <c r="P416" s="6"/>
      <c r="Q416" s="6"/>
      <c r="R416" s="4"/>
    </row>
    <row collapsed="false" customFormat="false" customHeight="true" hidden="false" ht="15.75" outlineLevel="0" r="417">
      <c r="A417" s="4" t="s">
        <v>1071</v>
      </c>
      <c r="B417" s="4" t="s">
        <v>975</v>
      </c>
      <c r="C417" s="4"/>
      <c r="D417" s="4" t="s">
        <v>997</v>
      </c>
      <c r="E417" s="4"/>
      <c r="F417" s="4" t="s">
        <v>1072</v>
      </c>
      <c r="G417" s="4" t="s">
        <v>1073</v>
      </c>
      <c r="H417" s="4" t="s">
        <v>275</v>
      </c>
      <c r="I417" s="4" t="s">
        <v>1074</v>
      </c>
      <c r="J417" s="4" t="s">
        <v>1075</v>
      </c>
      <c r="K417" s="4" t="s">
        <v>1076</v>
      </c>
      <c r="L417" s="5" t="str">
        <f aca="false">HYPERLINK("mailto:sanbruno.archives@nara.gov","mailto:sanbruno.archives@nara.gov")</f>
        <v>mailto:sanbruno.archives@nara.gov</v>
      </c>
      <c r="M417" s="4" t="s">
        <v>1077</v>
      </c>
      <c r="P417" s="6"/>
      <c r="Q417" s="6"/>
      <c r="R417" s="4" t="s">
        <v>1077</v>
      </c>
    </row>
    <row collapsed="false" customFormat="false" customHeight="true" hidden="false" ht="15.75" outlineLevel="0" r="418">
      <c r="A418" s="4" t="s">
        <v>1071</v>
      </c>
      <c r="B418" s="4" t="s">
        <v>975</v>
      </c>
      <c r="C418" s="4"/>
      <c r="D418" s="4" t="s">
        <v>12</v>
      </c>
      <c r="E418" s="4"/>
      <c r="F418" s="4"/>
      <c r="G418" s="4"/>
      <c r="H418" s="4"/>
      <c r="I418" s="4"/>
      <c r="J418" s="4" t="s">
        <v>1078</v>
      </c>
      <c r="K418" s="4"/>
      <c r="L418" s="5"/>
      <c r="M418" s="4"/>
      <c r="P418" s="6"/>
      <c r="Q418" s="6"/>
      <c r="R418" s="4"/>
    </row>
    <row collapsed="false" customFormat="false" customHeight="true" hidden="false" ht="15.75" outlineLevel="0" r="419">
      <c r="A419" s="4" t="s">
        <v>1071</v>
      </c>
      <c r="B419" s="4" t="s">
        <v>975</v>
      </c>
      <c r="C419" s="4" t="s">
        <v>1079</v>
      </c>
      <c r="D419" s="4" t="s">
        <v>15</v>
      </c>
      <c r="E419" s="4"/>
      <c r="F419" s="4"/>
      <c r="G419" s="4"/>
      <c r="H419" s="4"/>
      <c r="I419" s="4"/>
      <c r="J419" s="4" t="s">
        <v>1080</v>
      </c>
      <c r="K419" s="4"/>
      <c r="L419" s="5" t="str">
        <f aca="false">HYPERLINK("mailto:daniel.nealand@nara.gov","mailto:daniel.nealand@nara.gov")</f>
        <v>mailto:daniel.nealand@nara.gov</v>
      </c>
      <c r="M419" s="5"/>
      <c r="P419" s="6"/>
      <c r="Q419" s="6"/>
      <c r="R419" s="5"/>
    </row>
    <row collapsed="false" customFormat="false" customHeight="true" hidden="false" ht="15.75" outlineLevel="0" r="420">
      <c r="A420" s="4" t="s">
        <v>1081</v>
      </c>
      <c r="B420" s="4" t="s">
        <v>975</v>
      </c>
      <c r="C420" s="4"/>
      <c r="D420" s="4" t="s">
        <v>997</v>
      </c>
      <c r="E420" s="4"/>
      <c r="F420" s="4" t="s">
        <v>1082</v>
      </c>
      <c r="G420" s="4" t="s">
        <v>283</v>
      </c>
      <c r="H420" s="4" t="s">
        <v>284</v>
      </c>
      <c r="I420" s="4" t="s">
        <v>1083</v>
      </c>
      <c r="J420" s="4" t="s">
        <v>1084</v>
      </c>
      <c r="K420" s="4" t="s">
        <v>1085</v>
      </c>
      <c r="L420" s="5" t="str">
        <f aca="false">HYPERLINK("mailto:seattle.archives@nara.gov","mailto:seattle.archives@nara.gov")</f>
        <v>mailto:seattle.archives@nara.gov</v>
      </c>
      <c r="M420" s="4" t="s">
        <v>1086</v>
      </c>
      <c r="P420" s="6"/>
      <c r="Q420" s="6"/>
      <c r="R420" s="4" t="s">
        <v>1086</v>
      </c>
    </row>
    <row collapsed="false" customFormat="false" customHeight="true" hidden="false" ht="15.75" outlineLevel="0" r="421">
      <c r="A421" s="4" t="s">
        <v>1081</v>
      </c>
      <c r="B421" s="4" t="s">
        <v>975</v>
      </c>
      <c r="C421" s="4"/>
      <c r="D421" s="4" t="s">
        <v>12</v>
      </c>
      <c r="E421" s="4"/>
      <c r="F421" s="4"/>
      <c r="G421" s="4"/>
      <c r="H421" s="4"/>
      <c r="I421" s="4"/>
      <c r="J421" s="4" t="s">
        <v>1084</v>
      </c>
      <c r="K421" s="4"/>
      <c r="L421" s="5"/>
      <c r="M421" s="4"/>
      <c r="P421" s="6"/>
      <c r="Q421" s="6"/>
      <c r="R421" s="4"/>
    </row>
    <row collapsed="false" customFormat="false" customHeight="true" hidden="false" ht="15.75" outlineLevel="0" r="422">
      <c r="A422" s="4" t="s">
        <v>1081</v>
      </c>
      <c r="B422" s="4" t="s">
        <v>975</v>
      </c>
      <c r="C422" s="4" t="s">
        <v>1087</v>
      </c>
      <c r="D422" s="4" t="s">
        <v>15</v>
      </c>
      <c r="E422" s="4"/>
      <c r="F422" s="4"/>
      <c r="G422" s="4"/>
      <c r="H422" s="4"/>
      <c r="I422" s="4"/>
      <c r="J422" s="4" t="s">
        <v>1088</v>
      </c>
      <c r="K422" s="4"/>
      <c r="L422" s="5" t="str">
        <f aca="false">HYPERLINK("mailto:sue.karren@nara.gov","mailto:sue.karren@nara.gov")</f>
        <v>mailto:sue.karren@nara.gov</v>
      </c>
      <c r="M422" s="4"/>
      <c r="P422" s="6"/>
      <c r="Q422" s="6"/>
      <c r="R422" s="4"/>
    </row>
    <row collapsed="false" customFormat="false" customHeight="true" hidden="false" ht="15.75" outlineLevel="0" r="423">
      <c r="A423" s="4" t="s">
        <v>288</v>
      </c>
      <c r="B423" s="4" t="s">
        <v>975</v>
      </c>
      <c r="C423" s="4" t="s">
        <v>976</v>
      </c>
      <c r="D423" s="4" t="s">
        <v>163</v>
      </c>
      <c r="E423" s="4" t="s">
        <v>977</v>
      </c>
      <c r="F423" s="4" t="s">
        <v>978</v>
      </c>
      <c r="G423" s="4" t="s">
        <v>979</v>
      </c>
      <c r="H423" s="4" t="s">
        <v>138</v>
      </c>
      <c r="I423" s="4" t="n">
        <v>20740</v>
      </c>
      <c r="J423" s="4" t="s">
        <v>980</v>
      </c>
      <c r="K423" s="4" t="s">
        <v>981</v>
      </c>
      <c r="L423" s="5" t="str">
        <f aca="false">HYPERLINK("mailto:foia@nara.gov","mailto:foia@nara.gov")</f>
        <v>mailto:foia@nara.gov</v>
      </c>
      <c r="M423" s="4" t="s">
        <v>982</v>
      </c>
      <c r="P423" s="6"/>
      <c r="Q423" s="6"/>
      <c r="R423" s="4" t="s">
        <v>982</v>
      </c>
    </row>
    <row collapsed="false" customFormat="false" customHeight="true" hidden="false" ht="15.75" outlineLevel="0" r="424">
      <c r="A424" s="4" t="s">
        <v>288</v>
      </c>
      <c r="B424" s="4" t="s">
        <v>975</v>
      </c>
      <c r="C424" s="4"/>
      <c r="D424" s="4" t="s">
        <v>12</v>
      </c>
      <c r="E424" s="4"/>
      <c r="F424" s="4"/>
      <c r="G424" s="4"/>
      <c r="H424" s="4"/>
      <c r="I424" s="4"/>
      <c r="J424" s="4" t="s">
        <v>980</v>
      </c>
      <c r="K424" s="4"/>
      <c r="L424" s="5"/>
      <c r="M424" s="4"/>
      <c r="P424" s="6"/>
      <c r="Q424" s="6"/>
      <c r="R424" s="4"/>
    </row>
    <row collapsed="false" customFormat="false" customHeight="true" hidden="false" ht="15.75" outlineLevel="0" r="425">
      <c r="A425" s="4" t="s">
        <v>288</v>
      </c>
      <c r="B425" s="4" t="s">
        <v>975</v>
      </c>
      <c r="C425" s="4" t="s">
        <v>983</v>
      </c>
      <c r="D425" s="4" t="s">
        <v>15</v>
      </c>
      <c r="E425" s="4"/>
      <c r="F425" s="4"/>
      <c r="G425" s="4"/>
      <c r="H425" s="4"/>
      <c r="I425" s="4"/>
      <c r="J425" s="4" t="s">
        <v>984</v>
      </c>
      <c r="K425" s="4"/>
      <c r="L425" s="5" t="str">
        <f aca="false">HYPERLINK("mailto:garym.stern@nara.gov","mailto:garym.stern@nara.gov")</f>
        <v>mailto:garym.stern@nara.gov</v>
      </c>
      <c r="M425" s="4"/>
      <c r="P425" s="6"/>
      <c r="Q425" s="6"/>
      <c r="R425" s="4"/>
    </row>
    <row collapsed="false" customFormat="false" customHeight="true" hidden="false" ht="15.75" outlineLevel="0" r="426">
      <c r="A426" s="4" t="s">
        <v>1089</v>
      </c>
      <c r="B426" s="4" t="s">
        <v>1089</v>
      </c>
      <c r="C426" s="4" t="s">
        <v>1090</v>
      </c>
      <c r="D426" s="4" t="s">
        <v>114</v>
      </c>
      <c r="E426" s="4" t="s">
        <v>1091</v>
      </c>
      <c r="F426" s="4" t="s">
        <v>1092</v>
      </c>
      <c r="G426" s="4" t="s">
        <v>5</v>
      </c>
      <c r="H426" s="4" t="s">
        <v>6</v>
      </c>
      <c r="I426" s="4" t="n">
        <v>20004</v>
      </c>
      <c r="J426" s="4" t="s">
        <v>1093</v>
      </c>
      <c r="K426" s="4" t="s">
        <v>1094</v>
      </c>
      <c r="L426" s="5" t="str">
        <f aca="false">HYPERLINK("mailto:Deborah.Young@ncpc.gov","mailto:Deborah.Young@ncpc.gov")</f>
        <v>mailto:Deborah.Young@ncpc.gov</v>
      </c>
      <c r="M426" s="4" t="s">
        <v>1095</v>
      </c>
      <c r="P426" s="6"/>
      <c r="Q426" s="6"/>
      <c r="R426" s="4" t="s">
        <v>1095</v>
      </c>
    </row>
    <row collapsed="false" customFormat="false" customHeight="true" hidden="false" ht="15.75" outlineLevel="0" r="427">
      <c r="A427" s="4" t="s">
        <v>1089</v>
      </c>
      <c r="B427" s="4" t="s">
        <v>1089</v>
      </c>
      <c r="C427" s="4" t="s">
        <v>1096</v>
      </c>
      <c r="D427" s="4" t="s">
        <v>12</v>
      </c>
      <c r="E427" s="4"/>
      <c r="F427" s="4"/>
      <c r="G427" s="4"/>
      <c r="H427" s="4"/>
      <c r="I427" s="4"/>
      <c r="J427" s="4" t="s">
        <v>1097</v>
      </c>
      <c r="K427" s="4"/>
      <c r="L427" s="5" t="str">
        <f aca="false">HYPERLINK("mailto:marcella.brown@ncpc.gov?subject=FoIA%20Center","mailto:marcella.brown@ncpc.gov?subject=FoIA Center")</f>
        <v>mailto:marcella.brown@ncpc.gov?subject=FoIA Center</v>
      </c>
      <c r="M427" s="4"/>
      <c r="P427" s="6"/>
      <c r="Q427" s="6"/>
      <c r="R427" s="4"/>
    </row>
    <row collapsed="false" customFormat="false" customHeight="true" hidden="false" ht="15.75" outlineLevel="0" r="428">
      <c r="A428" s="4" t="s">
        <v>1089</v>
      </c>
      <c r="B428" s="4" t="s">
        <v>1089</v>
      </c>
      <c r="C428" s="4" t="s">
        <v>1090</v>
      </c>
      <c r="D428" s="4" t="s">
        <v>15</v>
      </c>
      <c r="E428" s="4"/>
      <c r="F428" s="4"/>
      <c r="G428" s="4"/>
      <c r="H428" s="4"/>
      <c r="I428" s="4"/>
      <c r="J428" s="4" t="s">
        <v>1093</v>
      </c>
      <c r="K428" s="4"/>
      <c r="L428" s="5" t="str">
        <f aca="false">HYPERLINK("mailto:Deborah.Young@ncpc.gov","mailto:Deborah.Young@ncpc.gov")</f>
        <v>mailto:Deborah.Young@ncpc.gov</v>
      </c>
      <c r="M428" s="4"/>
      <c r="P428" s="6"/>
      <c r="Q428" s="6"/>
      <c r="R428" s="4"/>
    </row>
    <row collapsed="false" customFormat="false" customHeight="true" hidden="false" ht="15" outlineLevel="0" r="429">
      <c r="A429" s="4" t="s">
        <v>974</v>
      </c>
      <c r="B429" s="4" t="s">
        <v>1098</v>
      </c>
      <c r="C429" s="4" t="s">
        <v>1099</v>
      </c>
      <c r="D429" s="4" t="s">
        <v>1100</v>
      </c>
      <c r="E429" s="4"/>
      <c r="F429" s="4" t="s">
        <v>1101</v>
      </c>
      <c r="G429" s="4" t="s">
        <v>807</v>
      </c>
      <c r="H429" s="4" t="s">
        <v>31</v>
      </c>
      <c r="I429" s="4" t="n">
        <v>22314</v>
      </c>
      <c r="J429" s="4" t="s">
        <v>1102</v>
      </c>
      <c r="K429" s="4" t="s">
        <v>1103</v>
      </c>
      <c r="L429" s="5" t="str">
        <f aca="false">HYPERLINK("mailto:FOIA@ncua.gov","mailto:FOIA@ncua.gov")</f>
        <v>mailto:FOIA@ncua.gov</v>
      </c>
      <c r="M429" s="4" t="s">
        <v>1104</v>
      </c>
      <c r="P429" s="6"/>
      <c r="Q429" s="6"/>
      <c r="R429" s="4" t="s">
        <v>1104</v>
      </c>
    </row>
    <row collapsed="false" customFormat="false" customHeight="true" hidden="false" ht="15" outlineLevel="0" r="430">
      <c r="A430" s="4" t="s">
        <v>974</v>
      </c>
      <c r="B430" s="4" t="s">
        <v>1098</v>
      </c>
      <c r="C430" s="4"/>
      <c r="D430" s="4" t="s">
        <v>12</v>
      </c>
      <c r="E430" s="4"/>
      <c r="F430" s="4"/>
      <c r="G430" s="4"/>
      <c r="H430" s="4"/>
      <c r="I430" s="4"/>
      <c r="J430" s="4" t="s">
        <v>1102</v>
      </c>
      <c r="K430" s="4"/>
      <c r="L430" s="5"/>
      <c r="M430" s="4"/>
      <c r="P430" s="6"/>
      <c r="Q430" s="6"/>
      <c r="R430" s="4"/>
    </row>
    <row collapsed="false" customFormat="false" customHeight="true" hidden="false" ht="15" outlineLevel="0" r="431">
      <c r="A431" s="4" t="s">
        <v>974</v>
      </c>
      <c r="B431" s="4" t="s">
        <v>1098</v>
      </c>
      <c r="C431" s="4"/>
      <c r="D431" s="4" t="s">
        <v>15</v>
      </c>
      <c r="E431" s="4"/>
      <c r="F431" s="4"/>
      <c r="G431" s="4"/>
      <c r="H431" s="4"/>
      <c r="I431" s="4"/>
      <c r="J431" s="4" t="s">
        <v>1102</v>
      </c>
      <c r="K431" s="4" t="s">
        <v>1103</v>
      </c>
      <c r="L431" s="5"/>
      <c r="M431" s="4"/>
      <c r="P431" s="6"/>
      <c r="Q431" s="6"/>
      <c r="R431" s="4"/>
    </row>
    <row collapsed="false" customFormat="false" customHeight="true" hidden="false" ht="15" outlineLevel="0" r="432">
      <c r="A432" s="4" t="s">
        <v>600</v>
      </c>
      <c r="B432" s="4" t="s">
        <v>1098</v>
      </c>
      <c r="C432" s="4" t="s">
        <v>1099</v>
      </c>
      <c r="D432" s="4" t="s">
        <v>1105</v>
      </c>
      <c r="E432" s="4"/>
      <c r="F432" s="4" t="s">
        <v>1101</v>
      </c>
      <c r="G432" s="4" t="s">
        <v>807</v>
      </c>
      <c r="H432" s="4" t="s">
        <v>31</v>
      </c>
      <c r="I432" s="4" t="n">
        <v>22314</v>
      </c>
      <c r="J432" s="4" t="s">
        <v>1102</v>
      </c>
      <c r="K432" s="4" t="s">
        <v>1106</v>
      </c>
      <c r="L432" s="5" t="str">
        <f aca="false">HYPERLINK("mailto:FOIA@ncua.gov","mailto:FOIA@ncua.gov")</f>
        <v>mailto:FOIA@ncua.gov</v>
      </c>
      <c r="M432" s="4" t="s">
        <v>1104</v>
      </c>
      <c r="P432" s="6"/>
      <c r="Q432" s="6"/>
      <c r="R432" s="4" t="s">
        <v>1104</v>
      </c>
    </row>
    <row collapsed="false" customFormat="false" customHeight="true" hidden="false" ht="15" outlineLevel="0" r="433">
      <c r="A433" s="4" t="s">
        <v>600</v>
      </c>
      <c r="B433" s="4" t="s">
        <v>1098</v>
      </c>
      <c r="C433" s="4"/>
      <c r="D433" s="4" t="s">
        <v>12</v>
      </c>
      <c r="E433" s="4"/>
      <c r="F433" s="4"/>
      <c r="G433" s="4"/>
      <c r="H433" s="4"/>
      <c r="I433" s="4"/>
      <c r="J433" s="4" t="s">
        <v>1102</v>
      </c>
      <c r="K433" s="4"/>
      <c r="L433" s="5"/>
      <c r="M433" s="4"/>
      <c r="P433" s="6"/>
      <c r="Q433" s="6"/>
      <c r="R433" s="4"/>
    </row>
    <row collapsed="false" customFormat="false" customHeight="true" hidden="false" ht="15" outlineLevel="0" r="434">
      <c r="A434" s="4" t="s">
        <v>600</v>
      </c>
      <c r="B434" s="4" t="s">
        <v>1098</v>
      </c>
      <c r="C434" s="4"/>
      <c r="D434" s="4" t="s">
        <v>15</v>
      </c>
      <c r="E434" s="4"/>
      <c r="F434" s="4"/>
      <c r="G434" s="4"/>
      <c r="H434" s="4"/>
      <c r="I434" s="4"/>
      <c r="J434" s="4" t="s">
        <v>1102</v>
      </c>
      <c r="K434" s="4" t="s">
        <v>1103</v>
      </c>
      <c r="L434" s="5"/>
      <c r="M434" s="4"/>
      <c r="P434" s="6"/>
      <c r="Q434" s="6"/>
      <c r="R434" s="4"/>
    </row>
    <row collapsed="false" customFormat="false" customHeight="true" hidden="false" ht="15" outlineLevel="0" r="435">
      <c r="A435" s="4" t="s">
        <v>1107</v>
      </c>
      <c r="B435" s="4" t="s">
        <v>1107</v>
      </c>
      <c r="C435" s="4" t="s">
        <v>1108</v>
      </c>
      <c r="D435" s="4" t="s">
        <v>2</v>
      </c>
      <c r="E435" s="4" t="s">
        <v>1109</v>
      </c>
      <c r="F435" s="4" t="s">
        <v>1110</v>
      </c>
      <c r="G435" s="4" t="s">
        <v>5</v>
      </c>
      <c r="H435" s="4" t="s">
        <v>6</v>
      </c>
      <c r="I435" s="4" t="n">
        <v>20506</v>
      </c>
      <c r="J435" s="4" t="s">
        <v>1111</v>
      </c>
      <c r="K435" s="4" t="s">
        <v>1112</v>
      </c>
      <c r="L435" s="5" t="str">
        <f aca="false">HYPERLINK("mailto:foia@arts.gov","mailto:foia@arts.gov")</f>
        <v>mailto:foia@arts.gov</v>
      </c>
      <c r="M435" s="4" t="s">
        <v>1113</v>
      </c>
      <c r="P435" s="6"/>
      <c r="Q435" s="6"/>
      <c r="R435" s="4" t="s">
        <v>1113</v>
      </c>
    </row>
    <row collapsed="false" customFormat="false" customHeight="true" hidden="false" ht="15" outlineLevel="0" r="436">
      <c r="A436" s="4" t="s">
        <v>1107</v>
      </c>
      <c r="B436" s="4" t="s">
        <v>1107</v>
      </c>
      <c r="C436" s="4"/>
      <c r="D436" s="4" t="s">
        <v>12</v>
      </c>
      <c r="E436" s="4"/>
      <c r="F436" s="4"/>
      <c r="G436" s="4"/>
      <c r="H436" s="4"/>
      <c r="I436" s="4"/>
      <c r="J436" s="4" t="s">
        <v>1111</v>
      </c>
      <c r="K436" s="4"/>
      <c r="L436" s="5"/>
      <c r="M436" s="4"/>
      <c r="P436" s="6"/>
      <c r="Q436" s="6"/>
      <c r="R436" s="4"/>
    </row>
    <row collapsed="false" customFormat="false" customHeight="true" hidden="false" ht="15" outlineLevel="0" r="437">
      <c r="A437" s="4" t="s">
        <v>1107</v>
      </c>
      <c r="B437" s="4" t="s">
        <v>1107</v>
      </c>
      <c r="C437" s="4"/>
      <c r="D437" s="4" t="s">
        <v>15</v>
      </c>
      <c r="E437" s="4"/>
      <c r="F437" s="4"/>
      <c r="G437" s="4"/>
      <c r="H437" s="4"/>
      <c r="I437" s="4"/>
      <c r="J437" s="4" t="s">
        <v>1111</v>
      </c>
      <c r="K437" s="4"/>
      <c r="L437" s="5"/>
      <c r="M437" s="4"/>
      <c r="P437" s="6"/>
      <c r="Q437" s="6"/>
      <c r="R437" s="4"/>
    </row>
    <row collapsed="false" customFormat="false" customHeight="true" hidden="false" ht="15" outlineLevel="0" r="438">
      <c r="A438" s="4" t="s">
        <v>1114</v>
      </c>
      <c r="B438" s="4" t="s">
        <v>1114</v>
      </c>
      <c r="C438" s="4" t="s">
        <v>1115</v>
      </c>
      <c r="D438" s="4" t="s">
        <v>1116</v>
      </c>
      <c r="E438" s="4" t="s">
        <v>1117</v>
      </c>
      <c r="F438" s="4" t="s">
        <v>1110</v>
      </c>
      <c r="G438" s="4" t="s">
        <v>5</v>
      </c>
      <c r="H438" s="4" t="s">
        <v>6</v>
      </c>
      <c r="I438" s="4" t="n">
        <v>20506</v>
      </c>
      <c r="J438" s="4" t="s">
        <v>1118</v>
      </c>
      <c r="K438" s="4" t="s">
        <v>1119</v>
      </c>
      <c r="L438" s="5" t="str">
        <f aca="false">HYPERLINK("mailto:foia@neh.gov","mailto:foia@neh.gov")</f>
        <v>mailto:foia@neh.gov</v>
      </c>
      <c r="M438" s="4" t="s">
        <v>1120</v>
      </c>
      <c r="P438" s="6"/>
      <c r="Q438" s="6"/>
      <c r="R438" s="4" t="s">
        <v>1120</v>
      </c>
    </row>
    <row collapsed="false" customFormat="false" customHeight="true" hidden="false" ht="15" outlineLevel="0" r="439">
      <c r="A439" s="4" t="s">
        <v>1114</v>
      </c>
      <c r="B439" s="4" t="s">
        <v>1114</v>
      </c>
      <c r="C439" s="4"/>
      <c r="D439" s="4" t="s">
        <v>12</v>
      </c>
      <c r="E439" s="4"/>
      <c r="F439" s="4"/>
      <c r="G439" s="4"/>
      <c r="H439" s="4"/>
      <c r="I439" s="4"/>
      <c r="J439" s="4" t="s">
        <v>1118</v>
      </c>
      <c r="K439" s="4" t="s">
        <v>1119</v>
      </c>
      <c r="L439" s="5" t="str">
        <f aca="false">HYPERLINK("mailto:gencounsel@neh.gov","mailto:gencounsel@neh.gov")</f>
        <v>mailto:gencounsel@neh.gov</v>
      </c>
      <c r="M439" s="4"/>
      <c r="P439" s="6"/>
      <c r="Q439" s="6"/>
      <c r="R439" s="4"/>
    </row>
    <row collapsed="false" customFormat="false" customHeight="true" hidden="false" ht="15" outlineLevel="0" r="440">
      <c r="A440" s="4" t="s">
        <v>1114</v>
      </c>
      <c r="B440" s="4" t="s">
        <v>1114</v>
      </c>
      <c r="C440" s="4" t="s">
        <v>1121</v>
      </c>
      <c r="D440" s="4" t="s">
        <v>15</v>
      </c>
      <c r="E440" s="4"/>
      <c r="F440" s="4"/>
      <c r="G440" s="4"/>
      <c r="H440" s="4"/>
      <c r="I440" s="4"/>
      <c r="J440" s="4" t="s">
        <v>1118</v>
      </c>
      <c r="K440" s="4"/>
      <c r="L440" s="5" t="str">
        <f aca="false">HYPERLINK("mailto:evoyatzis@neh.gov","mailto:evoyatzis@neh.gov")</f>
        <v>mailto:evoyatzis@neh.gov</v>
      </c>
      <c r="M440" s="4"/>
      <c r="P440" s="6"/>
      <c r="Q440" s="6"/>
      <c r="R440" s="4"/>
    </row>
    <row collapsed="false" customFormat="false" customHeight="true" hidden="false" ht="15" outlineLevel="0" r="441">
      <c r="A441" s="4" t="s">
        <v>1122</v>
      </c>
      <c r="B441" s="4" t="s">
        <v>1122</v>
      </c>
      <c r="C441" s="4" t="s">
        <v>1123</v>
      </c>
      <c r="D441" s="4" t="s">
        <v>1124</v>
      </c>
      <c r="E441" s="4" t="s">
        <v>1125</v>
      </c>
      <c r="F441" s="4" t="s">
        <v>1126</v>
      </c>
      <c r="G441" s="4" t="s">
        <v>5</v>
      </c>
      <c r="H441" s="4" t="s">
        <v>6</v>
      </c>
      <c r="I441" s="4" t="n">
        <v>20005</v>
      </c>
      <c r="J441" s="4" t="s">
        <v>1127</v>
      </c>
      <c r="K441" s="4" t="s">
        <v>1128</v>
      </c>
      <c r="L441" s="5"/>
      <c r="M441" s="4" t="s">
        <v>1129</v>
      </c>
      <c r="P441" s="6"/>
      <c r="Q441" s="6"/>
      <c r="R441" s="4" t="s">
        <v>1129</v>
      </c>
    </row>
    <row collapsed="false" customFormat="false" customHeight="true" hidden="false" ht="15" outlineLevel="0" r="442">
      <c r="A442" s="4" t="s">
        <v>1122</v>
      </c>
      <c r="B442" s="4" t="s">
        <v>1122</v>
      </c>
      <c r="C442" s="4"/>
      <c r="D442" s="4" t="s">
        <v>12</v>
      </c>
      <c r="E442" s="4"/>
      <c r="F442" s="4"/>
      <c r="G442" s="4"/>
      <c r="H442" s="4"/>
      <c r="I442" s="4"/>
      <c r="J442" s="4" t="s">
        <v>1127</v>
      </c>
      <c r="K442" s="4"/>
      <c r="L442" s="5"/>
      <c r="M442" s="4"/>
      <c r="P442" s="6"/>
      <c r="Q442" s="6"/>
      <c r="R442" s="4"/>
    </row>
    <row collapsed="false" customFormat="false" customHeight="true" hidden="false" ht="15" outlineLevel="0" r="443">
      <c r="A443" s="4" t="s">
        <v>1122</v>
      </c>
      <c r="B443" s="4" t="s">
        <v>1122</v>
      </c>
      <c r="C443" s="4" t="s">
        <v>1123</v>
      </c>
      <c r="D443" s="4" t="s">
        <v>15</v>
      </c>
      <c r="E443" s="4"/>
      <c r="F443" s="4"/>
      <c r="G443" s="4"/>
      <c r="H443" s="4"/>
      <c r="I443" s="4"/>
      <c r="J443" s="4" t="s">
        <v>1127</v>
      </c>
      <c r="K443" s="4"/>
      <c r="L443" s="5" t="str">
        <f aca="false">HYPERLINK("mailto:Andrea_Choate@nigc.gov","Andrea_Choate@nigc.gov")</f>
        <v>Andrea_Choate@nigc.gov</v>
      </c>
      <c r="M443" s="4"/>
      <c r="P443" s="6"/>
      <c r="Q443" s="6"/>
      <c r="R443" s="4"/>
    </row>
    <row collapsed="false" customFormat="false" customHeight="true" hidden="false" ht="15" outlineLevel="0" r="444">
      <c r="A444" s="4" t="s">
        <v>1130</v>
      </c>
      <c r="B444" s="4" t="s">
        <v>1130</v>
      </c>
      <c r="C444" s="4" t="s">
        <v>1131</v>
      </c>
      <c r="D444" s="4" t="s">
        <v>2</v>
      </c>
      <c r="E444" s="4" t="s">
        <v>1132</v>
      </c>
      <c r="F444" s="4" t="s">
        <v>1133</v>
      </c>
      <c r="G444" s="4" t="s">
        <v>5</v>
      </c>
      <c r="H444" s="4" t="s">
        <v>6</v>
      </c>
      <c r="I444" s="4" t="n">
        <v>20570</v>
      </c>
      <c r="J444" s="4" t="s">
        <v>1134</v>
      </c>
      <c r="K444" s="4" t="s">
        <v>1135</v>
      </c>
      <c r="L444" s="5"/>
      <c r="M444" s="4" t="s">
        <v>1136</v>
      </c>
      <c r="P444" s="6"/>
      <c r="Q444" s="6"/>
      <c r="R444" s="4" t="s">
        <v>1136</v>
      </c>
    </row>
    <row collapsed="false" customFormat="false" customHeight="true" hidden="false" ht="15" outlineLevel="0" r="445">
      <c r="A445" s="4" t="s">
        <v>1130</v>
      </c>
      <c r="B445" s="4" t="s">
        <v>1130</v>
      </c>
      <c r="C445" s="4"/>
      <c r="D445" s="4" t="s">
        <v>12</v>
      </c>
      <c r="E445" s="4"/>
      <c r="F445" s="4"/>
      <c r="G445" s="4"/>
      <c r="H445" s="4"/>
      <c r="I445" s="4"/>
      <c r="J445" s="4" t="s">
        <v>1137</v>
      </c>
      <c r="K445" s="4"/>
      <c r="L445" s="5"/>
      <c r="M445" s="4"/>
      <c r="P445" s="6"/>
      <c r="Q445" s="6"/>
      <c r="R445" s="4"/>
    </row>
    <row collapsed="false" customFormat="false" customHeight="true" hidden="false" ht="15" outlineLevel="0" r="446">
      <c r="A446" s="4" t="s">
        <v>1130</v>
      </c>
      <c r="B446" s="4" t="s">
        <v>1130</v>
      </c>
      <c r="C446" s="4" t="s">
        <v>1138</v>
      </c>
      <c r="D446" s="4" t="s">
        <v>15</v>
      </c>
      <c r="E446" s="4"/>
      <c r="F446" s="4"/>
      <c r="G446" s="4"/>
      <c r="H446" s="4"/>
      <c r="I446" s="4"/>
      <c r="J446" s="4" t="s">
        <v>1139</v>
      </c>
      <c r="K446" s="4"/>
      <c r="L446" s="5"/>
      <c r="M446" s="4"/>
      <c r="P446" s="6"/>
      <c r="Q446" s="6"/>
      <c r="R446" s="4"/>
    </row>
    <row collapsed="false" customFormat="false" customHeight="true" hidden="false" ht="15" outlineLevel="0" r="447">
      <c r="A447" s="4" t="s">
        <v>1140</v>
      </c>
      <c r="B447" s="4" t="s">
        <v>1140</v>
      </c>
      <c r="C447" s="4" t="s">
        <v>1141</v>
      </c>
      <c r="D447" s="4" t="s">
        <v>456</v>
      </c>
      <c r="E447" s="4" t="s">
        <v>1142</v>
      </c>
      <c r="F447" s="4" t="s">
        <v>1143</v>
      </c>
      <c r="G447" s="4" t="s">
        <v>5</v>
      </c>
      <c r="H447" s="4" t="s">
        <v>6</v>
      </c>
      <c r="I447" s="4" t="n">
        <v>20005</v>
      </c>
      <c r="J447" s="4" t="s">
        <v>1144</v>
      </c>
      <c r="K447" s="4" t="s">
        <v>1145</v>
      </c>
      <c r="L447" s="5"/>
      <c r="M447" s="4" t="s">
        <v>1146</v>
      </c>
      <c r="P447" s="6"/>
      <c r="Q447" s="6"/>
      <c r="R447" s="4" t="s">
        <v>1146</v>
      </c>
    </row>
    <row collapsed="false" customFormat="false" customHeight="true" hidden="false" ht="15" outlineLevel="0" r="448">
      <c r="A448" s="4" t="s">
        <v>1140</v>
      </c>
      <c r="B448" s="4" t="s">
        <v>1140</v>
      </c>
      <c r="C448" s="4" t="s">
        <v>1147</v>
      </c>
      <c r="D448" s="4" t="s">
        <v>12</v>
      </c>
      <c r="E448" s="4"/>
      <c r="F448" s="4"/>
      <c r="G448" s="4"/>
      <c r="H448" s="4"/>
      <c r="I448" s="4"/>
      <c r="J448" s="4" t="s">
        <v>1144</v>
      </c>
      <c r="K448" s="4"/>
      <c r="L448" s="5"/>
      <c r="M448" s="4"/>
      <c r="P448" s="6"/>
      <c r="Q448" s="6"/>
      <c r="R448" s="4"/>
    </row>
    <row collapsed="false" customFormat="false" customHeight="true" hidden="false" ht="15" outlineLevel="0" r="449">
      <c r="A449" s="4" t="s">
        <v>1140</v>
      </c>
      <c r="B449" s="4" t="s">
        <v>1140</v>
      </c>
      <c r="C449" s="4" t="s">
        <v>1148</v>
      </c>
      <c r="D449" s="4" t="s">
        <v>15</v>
      </c>
      <c r="E449" s="4"/>
      <c r="F449" s="4"/>
      <c r="G449" s="4"/>
      <c r="H449" s="4"/>
      <c r="I449" s="4"/>
      <c r="J449" s="4" t="s">
        <v>1144</v>
      </c>
      <c r="K449" s="4"/>
      <c r="L449" s="5" t="str">
        <f aca="false">HYPERLINK("mailto:parker@nmb.gov","mailto:parker@nmb.gov")</f>
        <v>mailto:parker@nmb.gov</v>
      </c>
      <c r="M449" s="4"/>
      <c r="P449" s="6"/>
      <c r="Q449" s="6"/>
      <c r="R449" s="4"/>
    </row>
    <row collapsed="false" customFormat="false" customHeight="true" hidden="false" ht="15" outlineLevel="0" r="450">
      <c r="A450" s="4" t="s">
        <v>1149</v>
      </c>
      <c r="B450" s="4" t="s">
        <v>1149</v>
      </c>
      <c r="C450" s="4" t="s">
        <v>1150</v>
      </c>
      <c r="D450" s="4" t="s">
        <v>2</v>
      </c>
      <c r="E450" s="4" t="s">
        <v>1151</v>
      </c>
      <c r="F450" s="4" t="s">
        <v>1152</v>
      </c>
      <c r="G450" s="4" t="s">
        <v>30</v>
      </c>
      <c r="H450" s="4" t="s">
        <v>31</v>
      </c>
      <c r="I450" s="4" t="n">
        <v>22230</v>
      </c>
      <c r="J450" s="4" t="s">
        <v>1153</v>
      </c>
      <c r="K450" s="4" t="s">
        <v>1154</v>
      </c>
      <c r="L450" s="5" t="str">
        <f aca="false">HYPERLINK("mailto:foia@nsf.gov","mailto:foia@nsf.gov")</f>
        <v>mailto:foia@nsf.gov</v>
      </c>
      <c r="M450" s="4" t="s">
        <v>1155</v>
      </c>
      <c r="P450" s="6"/>
      <c r="Q450" s="6"/>
      <c r="R450" s="4" t="s">
        <v>1155</v>
      </c>
    </row>
    <row collapsed="false" customFormat="false" customHeight="true" hidden="false" ht="15" outlineLevel="0" r="451">
      <c r="A451" s="4" t="s">
        <v>1149</v>
      </c>
      <c r="B451" s="4" t="s">
        <v>1149</v>
      </c>
      <c r="C451" s="4"/>
      <c r="D451" s="4" t="s">
        <v>12</v>
      </c>
      <c r="E451" s="4"/>
      <c r="F451" s="4"/>
      <c r="G451" s="4"/>
      <c r="H451" s="4"/>
      <c r="I451" s="4"/>
      <c r="J451" s="4" t="s">
        <v>1156</v>
      </c>
      <c r="K451" s="4"/>
      <c r="L451" s="5"/>
      <c r="M451" s="4"/>
      <c r="P451" s="6"/>
      <c r="Q451" s="6"/>
      <c r="R451" s="4"/>
    </row>
    <row collapsed="false" customFormat="false" customHeight="true" hidden="false" ht="15" outlineLevel="0" r="452">
      <c r="A452" s="4" t="s">
        <v>1149</v>
      </c>
      <c r="B452" s="4" t="s">
        <v>1149</v>
      </c>
      <c r="C452" s="4" t="s">
        <v>1150</v>
      </c>
      <c r="D452" s="4" t="s">
        <v>15</v>
      </c>
      <c r="E452" s="4"/>
      <c r="F452" s="4"/>
      <c r="G452" s="4"/>
      <c r="H452" s="4"/>
      <c r="I452" s="4"/>
      <c r="J452" s="4" t="s">
        <v>1156</v>
      </c>
      <c r="K452" s="4"/>
      <c r="L452" s="5" t="str">
        <f aca="false">HYPERLINK("mailto:ljensen@nsf.gov","mailto:ljensen@nsf.gov")</f>
        <v>mailto:ljensen@nsf.gov</v>
      </c>
      <c r="M452" s="4"/>
      <c r="P452" s="6"/>
      <c r="Q452" s="6"/>
      <c r="R452" s="4"/>
    </row>
    <row collapsed="false" customFormat="false" customHeight="true" hidden="false" ht="15" outlineLevel="0" r="453">
      <c r="A453" s="4" t="s">
        <v>1157</v>
      </c>
      <c r="B453" s="4" t="s">
        <v>1157</v>
      </c>
      <c r="C453" s="4" t="s">
        <v>1158</v>
      </c>
      <c r="D453" s="4" t="s">
        <v>1159</v>
      </c>
      <c r="E453" s="4" t="s">
        <v>1160</v>
      </c>
      <c r="F453" s="4" t="s">
        <v>1161</v>
      </c>
      <c r="G453" s="4" t="s">
        <v>5</v>
      </c>
      <c r="H453" s="4" t="s">
        <v>6</v>
      </c>
      <c r="I453" s="4" t="n">
        <v>20594</v>
      </c>
      <c r="J453" s="4" t="s">
        <v>1162</v>
      </c>
      <c r="K453" s="4" t="s">
        <v>1163</v>
      </c>
      <c r="L453" s="5" t="str">
        <f aca="false">HYPERLINK("mailto:foia@ntsb.gov","mailto:foia@ntsb.gov")</f>
        <v>mailto:foia@ntsb.gov</v>
      </c>
      <c r="M453" s="4" t="s">
        <v>1164</v>
      </c>
      <c r="P453" s="6"/>
      <c r="Q453" s="6"/>
      <c r="R453" s="4" t="s">
        <v>1164</v>
      </c>
    </row>
    <row collapsed="false" customFormat="false" customHeight="true" hidden="false" ht="15" outlineLevel="0" r="454">
      <c r="A454" s="4" t="s">
        <v>1157</v>
      </c>
      <c r="B454" s="4" t="s">
        <v>1157</v>
      </c>
      <c r="C454" s="4"/>
      <c r="D454" s="4" t="s">
        <v>12</v>
      </c>
      <c r="E454" s="4"/>
      <c r="F454" s="4"/>
      <c r="G454" s="4"/>
      <c r="H454" s="4"/>
      <c r="I454" s="4"/>
      <c r="J454" s="4" t="s">
        <v>1162</v>
      </c>
      <c r="K454" s="4"/>
      <c r="L454" s="5"/>
      <c r="M454" s="4"/>
      <c r="P454" s="6"/>
      <c r="Q454" s="6"/>
      <c r="R454" s="4"/>
    </row>
    <row collapsed="false" customFormat="false" customHeight="true" hidden="false" ht="15" outlineLevel="0" r="455">
      <c r="A455" s="4" t="s">
        <v>1157</v>
      </c>
      <c r="B455" s="4" t="s">
        <v>1157</v>
      </c>
      <c r="C455" s="4" t="s">
        <v>1158</v>
      </c>
      <c r="D455" s="4" t="s">
        <v>15</v>
      </c>
      <c r="E455" s="4"/>
      <c r="F455" s="4"/>
      <c r="G455" s="4"/>
      <c r="H455" s="4"/>
      <c r="I455" s="4"/>
      <c r="J455" s="4" t="s">
        <v>1162</v>
      </c>
      <c r="K455" s="4"/>
      <c r="L455" s="5"/>
      <c r="M455" s="4"/>
      <c r="P455" s="6"/>
      <c r="Q455" s="6"/>
      <c r="R455" s="4"/>
    </row>
    <row collapsed="false" customFormat="false" customHeight="true" hidden="false" ht="15" outlineLevel="0" r="456">
      <c r="A456" s="4" t="s">
        <v>1165</v>
      </c>
      <c r="B456" s="4" t="s">
        <v>1165</v>
      </c>
      <c r="C456" s="4" t="s">
        <v>1166</v>
      </c>
      <c r="D456" s="4" t="s">
        <v>1167</v>
      </c>
      <c r="E456" s="4"/>
      <c r="F456" s="4" t="s">
        <v>1168</v>
      </c>
      <c r="G456" s="4" t="s">
        <v>5</v>
      </c>
      <c r="H456" s="4" t="s">
        <v>6</v>
      </c>
      <c r="I456" s="4" t="s">
        <v>1169</v>
      </c>
      <c r="J456" s="4" t="s">
        <v>1170</v>
      </c>
      <c r="K456" s="4" t="s">
        <v>1171</v>
      </c>
      <c r="L456" s="5" t="str">
        <f aca="false">HYPERLINK("mailto:FOIA.resource@nrc.gov","mailto:FOIA.resource@nrc.gov")</f>
        <v>mailto:FOIA.resource@nrc.gov</v>
      </c>
      <c r="M456" s="4" t="s">
        <v>1172</v>
      </c>
      <c r="P456" s="6"/>
      <c r="Q456" s="6"/>
      <c r="R456" s="4" t="s">
        <v>1172</v>
      </c>
    </row>
    <row collapsed="false" customFormat="false" customHeight="true" hidden="false" ht="15" outlineLevel="0" r="457">
      <c r="A457" s="4" t="s">
        <v>1165</v>
      </c>
      <c r="B457" s="4" t="s">
        <v>1165</v>
      </c>
      <c r="C457" s="4"/>
      <c r="D457" s="4" t="s">
        <v>12</v>
      </c>
      <c r="E457" s="4"/>
      <c r="F457" s="4"/>
      <c r="G457" s="4"/>
      <c r="H457" s="4"/>
      <c r="I457" s="4"/>
      <c r="J457" s="4" t="s">
        <v>1170</v>
      </c>
      <c r="K457" s="4"/>
      <c r="L457" s="5"/>
      <c r="M457" s="4"/>
      <c r="P457" s="6"/>
      <c r="Q457" s="6"/>
      <c r="R457" s="4"/>
    </row>
    <row collapsed="false" customFormat="false" customHeight="true" hidden="false" ht="15" outlineLevel="0" r="458">
      <c r="A458" s="4" t="s">
        <v>1165</v>
      </c>
      <c r="B458" s="4" t="s">
        <v>1165</v>
      </c>
      <c r="C458" s="4" t="s">
        <v>1173</v>
      </c>
      <c r="D458" s="4" t="s">
        <v>15</v>
      </c>
      <c r="E458" s="4" t="s">
        <v>1174</v>
      </c>
      <c r="F458" s="4" t="s">
        <v>1175</v>
      </c>
      <c r="G458" s="4" t="s">
        <v>1176</v>
      </c>
      <c r="H458" s="4" t="s">
        <v>138</v>
      </c>
      <c r="I458" s="4" t="n">
        <v>20852</v>
      </c>
      <c r="J458" s="4" t="s">
        <v>1177</v>
      </c>
      <c r="K458" s="4"/>
      <c r="L458" s="5" t="str">
        <f aca="false">HYPERLINK("mailto:Russell.Nichols@nrc.gov","mailto:Russell.Nichols@nrc.gov")</f>
        <v>mailto:Russell.Nichols@nrc.gov</v>
      </c>
      <c r="M458" s="4"/>
      <c r="P458" s="6"/>
      <c r="Q458" s="6"/>
      <c r="R458" s="4"/>
    </row>
    <row collapsed="false" customFormat="false" customHeight="true" hidden="false" ht="15" outlineLevel="0" r="459">
      <c r="A459" s="4" t="s">
        <v>1165</v>
      </c>
      <c r="B459" s="4" t="s">
        <v>1165</v>
      </c>
      <c r="C459" s="4" t="s">
        <v>1166</v>
      </c>
      <c r="D459" s="4" t="s">
        <v>15</v>
      </c>
      <c r="E459" s="4" t="s">
        <v>1178</v>
      </c>
      <c r="F459" s="4" t="s">
        <v>1175</v>
      </c>
      <c r="G459" s="4" t="s">
        <v>1176</v>
      </c>
      <c r="H459" s="4" t="s">
        <v>138</v>
      </c>
      <c r="I459" s="4" t="n">
        <v>20852</v>
      </c>
      <c r="J459" s="4" t="s">
        <v>1179</v>
      </c>
      <c r="K459" s="4"/>
      <c r="L459" s="5" t="str">
        <f aca="false">HYPERLINK("mailto:Donna.Sealing@nrc.gov","mailto:Donna.Sealing@nrc.gov")</f>
        <v>mailto:Donna.Sealing@nrc.gov</v>
      </c>
      <c r="M459" s="4"/>
      <c r="P459" s="6"/>
      <c r="Q459" s="6"/>
      <c r="R459" s="4"/>
    </row>
    <row collapsed="false" customFormat="false" customHeight="true" hidden="false" ht="15" outlineLevel="0" r="460">
      <c r="A460" s="4" t="s">
        <v>1165</v>
      </c>
      <c r="B460" s="4" t="s">
        <v>1165</v>
      </c>
      <c r="C460" s="4" t="s">
        <v>1180</v>
      </c>
      <c r="D460" s="4" t="s">
        <v>1181</v>
      </c>
      <c r="E460" s="4"/>
      <c r="F460" s="4"/>
      <c r="G460" s="4"/>
      <c r="H460" s="4"/>
      <c r="I460" s="4"/>
      <c r="J460" s="4" t="s">
        <v>1182</v>
      </c>
      <c r="K460" s="4"/>
      <c r="L460" s="5"/>
      <c r="M460" s="4"/>
      <c r="P460" s="6"/>
      <c r="Q460" s="6"/>
      <c r="R460" s="4"/>
    </row>
    <row collapsed="false" customFormat="false" customHeight="true" hidden="false" ht="15" outlineLevel="0" r="461">
      <c r="A461" s="4" t="s">
        <v>1183</v>
      </c>
      <c r="B461" s="4" t="s">
        <v>1183</v>
      </c>
      <c r="C461" s="4" t="s">
        <v>1184</v>
      </c>
      <c r="D461" s="4" t="s">
        <v>12</v>
      </c>
      <c r="E461" s="4" t="s">
        <v>754</v>
      </c>
      <c r="F461" s="4" t="s">
        <v>4</v>
      </c>
      <c r="G461" s="4" t="s">
        <v>5</v>
      </c>
      <c r="H461" s="4" t="s">
        <v>6</v>
      </c>
      <c r="I461" s="4" t="s">
        <v>1185</v>
      </c>
      <c r="J461" s="4" t="s">
        <v>1186</v>
      </c>
      <c r="K461" s="4" t="s">
        <v>1187</v>
      </c>
      <c r="L461" s="5"/>
      <c r="M461" s="4" t="s">
        <v>1188</v>
      </c>
      <c r="P461" s="6"/>
      <c r="Q461" s="6"/>
      <c r="R461" s="4" t="s">
        <v>1188</v>
      </c>
    </row>
    <row collapsed="false" customFormat="false" customHeight="true" hidden="false" ht="15" outlineLevel="0" r="462">
      <c r="A462" s="4" t="s">
        <v>1183</v>
      </c>
      <c r="B462" s="4" t="s">
        <v>1183</v>
      </c>
      <c r="C462" s="4"/>
      <c r="D462" s="4" t="s">
        <v>12</v>
      </c>
      <c r="E462" s="4"/>
      <c r="F462" s="4"/>
      <c r="G462" s="4"/>
      <c r="H462" s="4"/>
      <c r="I462" s="4"/>
      <c r="J462" s="4" t="s">
        <v>1186</v>
      </c>
      <c r="K462" s="4" t="s">
        <v>1187</v>
      </c>
      <c r="L462" s="5"/>
      <c r="M462" s="4"/>
      <c r="P462" s="6"/>
      <c r="Q462" s="6"/>
      <c r="R462" s="4"/>
    </row>
    <row collapsed="false" customFormat="false" customHeight="true" hidden="false" ht="15" outlineLevel="0" r="463">
      <c r="A463" s="4" t="s">
        <v>1183</v>
      </c>
      <c r="B463" s="4" t="s">
        <v>1183</v>
      </c>
      <c r="C463" s="4" t="s">
        <v>1189</v>
      </c>
      <c r="D463" s="4" t="s">
        <v>15</v>
      </c>
      <c r="E463" s="4"/>
      <c r="F463" s="4"/>
      <c r="G463" s="4"/>
      <c r="H463" s="4"/>
      <c r="I463" s="4"/>
      <c r="J463" s="4" t="s">
        <v>1186</v>
      </c>
      <c r="K463" s="4" t="s">
        <v>1187</v>
      </c>
      <c r="L463" s="5"/>
      <c r="M463" s="4"/>
      <c r="P463" s="6"/>
      <c r="Q463" s="6"/>
      <c r="R463" s="4"/>
    </row>
    <row collapsed="false" customFormat="false" customHeight="true" hidden="false" ht="15" outlineLevel="0" r="464">
      <c r="A464" s="4" t="s">
        <v>1190</v>
      </c>
      <c r="B464" s="4" t="s">
        <v>1190</v>
      </c>
      <c r="C464" s="4" t="s">
        <v>1191</v>
      </c>
      <c r="D464" s="4" t="s">
        <v>1192</v>
      </c>
      <c r="E464" s="4"/>
      <c r="F464" s="4"/>
      <c r="G464" s="4" t="s">
        <v>5</v>
      </c>
      <c r="H464" s="4" t="s">
        <v>6</v>
      </c>
      <c r="I464" s="4" t="n">
        <v>20511</v>
      </c>
      <c r="J464" s="4" t="s">
        <v>1193</v>
      </c>
      <c r="K464" s="4" t="s">
        <v>1194</v>
      </c>
      <c r="L464" s="5" t="str">
        <f aca="false">HYPERLINK("mailto:dni-foia@dni.gov","mailto:dni-foia@dni.gov")</f>
        <v>mailto:dni-foia@dni.gov</v>
      </c>
      <c r="M464" s="4" t="s">
        <v>1195</v>
      </c>
      <c r="P464" s="6"/>
      <c r="Q464" s="6"/>
      <c r="R464" s="4" t="s">
        <v>1195</v>
      </c>
    </row>
    <row collapsed="false" customFormat="false" customHeight="true" hidden="false" ht="15" outlineLevel="0" r="465">
      <c r="A465" s="4" t="s">
        <v>1190</v>
      </c>
      <c r="B465" s="4" t="s">
        <v>1190</v>
      </c>
      <c r="C465" s="4"/>
      <c r="D465" s="4" t="s">
        <v>12</v>
      </c>
      <c r="E465" s="4"/>
      <c r="F465" s="4"/>
      <c r="G465" s="4"/>
      <c r="H465" s="4"/>
      <c r="I465" s="4"/>
      <c r="J465" s="4" t="s">
        <v>1193</v>
      </c>
      <c r="K465" s="4"/>
      <c r="L465" s="5"/>
      <c r="M465" s="4"/>
      <c r="P465" s="6"/>
      <c r="Q465" s="6"/>
      <c r="R465" s="4"/>
    </row>
    <row collapsed="false" customFormat="false" customHeight="true" hidden="false" ht="15" outlineLevel="0" r="466">
      <c r="A466" s="4" t="s">
        <v>1190</v>
      </c>
      <c r="B466" s="4" t="s">
        <v>1190</v>
      </c>
      <c r="C466" s="4" t="s">
        <v>1196</v>
      </c>
      <c r="D466" s="4" t="s">
        <v>15</v>
      </c>
      <c r="E466" s="4"/>
      <c r="F466" s="4"/>
      <c r="G466" s="4"/>
      <c r="H466" s="4"/>
      <c r="I466" s="4"/>
      <c r="J466" s="4" t="s">
        <v>1193</v>
      </c>
      <c r="K466" s="4"/>
      <c r="L466" s="5"/>
      <c r="M466" s="4"/>
      <c r="P466" s="6"/>
      <c r="Q466" s="6"/>
      <c r="R466" s="4"/>
    </row>
    <row collapsed="false" customFormat="false" customHeight="true" hidden="false" ht="15" outlineLevel="0" r="467">
      <c r="A467" s="4" t="s">
        <v>1197</v>
      </c>
      <c r="B467" s="4" t="s">
        <v>1197</v>
      </c>
      <c r="C467" s="4" t="s">
        <v>1198</v>
      </c>
      <c r="D467" s="4" t="s">
        <v>1199</v>
      </c>
      <c r="E467" s="4" t="s">
        <v>28</v>
      </c>
      <c r="F467" s="4" t="s">
        <v>149</v>
      </c>
      <c r="G467" s="4" t="s">
        <v>5</v>
      </c>
      <c r="H467" s="4" t="s">
        <v>6</v>
      </c>
      <c r="I467" s="4" t="s">
        <v>1200</v>
      </c>
      <c r="J467" s="4" t="s">
        <v>1201</v>
      </c>
      <c r="K467" s="4" t="s">
        <v>1202</v>
      </c>
      <c r="L467" s="5" t="str">
        <f aca="false">HYPERLINK("mailto:usoge@oge.gov","mailto:usoge@oge.gov")</f>
        <v>mailto:usoge@oge.gov</v>
      </c>
      <c r="M467" s="4" t="s">
        <v>1203</v>
      </c>
      <c r="P467" s="6"/>
      <c r="Q467" s="6"/>
      <c r="R467" s="4" t="s">
        <v>1203</v>
      </c>
    </row>
    <row collapsed="false" customFormat="false" customHeight="true" hidden="false" ht="15" outlineLevel="0" r="468">
      <c r="A468" s="4" t="s">
        <v>1197</v>
      </c>
      <c r="B468" s="4" t="s">
        <v>1197</v>
      </c>
      <c r="C468" s="4"/>
      <c r="D468" s="4" t="s">
        <v>12</v>
      </c>
      <c r="E468" s="4"/>
      <c r="F468" s="4"/>
      <c r="G468" s="4"/>
      <c r="H468" s="4"/>
      <c r="I468" s="4"/>
      <c r="J468" s="4" t="s">
        <v>1204</v>
      </c>
      <c r="K468" s="4"/>
      <c r="L468" s="5"/>
      <c r="M468" s="4"/>
      <c r="P468" s="6"/>
      <c r="Q468" s="6"/>
      <c r="R468" s="4"/>
    </row>
    <row collapsed="false" customFormat="false" customHeight="true" hidden="false" ht="15" outlineLevel="0" r="469">
      <c r="A469" s="4" t="s">
        <v>1197</v>
      </c>
      <c r="B469" s="4" t="s">
        <v>1197</v>
      </c>
      <c r="C469" s="4"/>
      <c r="D469" s="4" t="s">
        <v>15</v>
      </c>
      <c r="E469" s="4"/>
      <c r="F469" s="4"/>
      <c r="G469" s="4"/>
      <c r="H469" s="4"/>
      <c r="I469" s="4"/>
      <c r="J469" s="4" t="s">
        <v>1201</v>
      </c>
      <c r="K469" s="4"/>
      <c r="L469" s="5"/>
      <c r="M469" s="4"/>
      <c r="P469" s="6"/>
      <c r="Q469" s="6"/>
      <c r="R469" s="4"/>
    </row>
    <row collapsed="false" customFormat="false" customHeight="true" hidden="false" ht="15" outlineLevel="0" r="470">
      <c r="A470" s="4" t="s">
        <v>1205</v>
      </c>
      <c r="B470" s="4" t="s">
        <v>1205</v>
      </c>
      <c r="C470" s="4" t="s">
        <v>1206</v>
      </c>
      <c r="D470" s="4" t="s">
        <v>1207</v>
      </c>
      <c r="E470" s="4" t="s">
        <v>1208</v>
      </c>
      <c r="F470" s="4" t="s">
        <v>1209</v>
      </c>
      <c r="G470" s="4" t="s">
        <v>1210</v>
      </c>
      <c r="H470" s="4" t="s">
        <v>407</v>
      </c>
      <c r="I470" s="4" t="n">
        <v>86002</v>
      </c>
      <c r="J470" s="4" t="s">
        <v>1211</v>
      </c>
      <c r="K470" s="4" t="s">
        <v>1212</v>
      </c>
      <c r="L470" s="5"/>
      <c r="M470" s="4" t="s">
        <v>1213</v>
      </c>
      <c r="P470" s="6"/>
      <c r="Q470" s="6"/>
      <c r="R470" s="4" t="s">
        <v>1213</v>
      </c>
    </row>
    <row collapsed="false" customFormat="false" customHeight="true" hidden="false" ht="15" outlineLevel="0" r="471">
      <c r="A471" s="4" t="s">
        <v>1205</v>
      </c>
      <c r="B471" s="4" t="s">
        <v>1205</v>
      </c>
      <c r="C471" s="4"/>
      <c r="D471" s="4" t="s">
        <v>12</v>
      </c>
      <c r="E471" s="4"/>
      <c r="F471" s="4"/>
      <c r="G471" s="4"/>
      <c r="H471" s="4"/>
      <c r="I471" s="4"/>
      <c r="J471" s="4" t="s">
        <v>1211</v>
      </c>
      <c r="K471" s="4"/>
      <c r="L471" s="5"/>
      <c r="M471" s="4"/>
      <c r="P471" s="6"/>
      <c r="Q471" s="6"/>
      <c r="R471" s="4"/>
    </row>
    <row collapsed="false" customFormat="false" customHeight="true" hidden="false" ht="15" outlineLevel="0" r="472">
      <c r="A472" s="4" t="s">
        <v>1205</v>
      </c>
      <c r="B472" s="4" t="s">
        <v>1205</v>
      </c>
      <c r="C472" s="4" t="s">
        <v>1214</v>
      </c>
      <c r="D472" s="4" t="s">
        <v>15</v>
      </c>
      <c r="E472" s="4"/>
      <c r="F472" s="4"/>
      <c r="G472" s="4"/>
      <c r="H472" s="4"/>
      <c r="I472" s="4"/>
      <c r="J472" s="4" t="s">
        <v>1215</v>
      </c>
      <c r="K472" s="4"/>
      <c r="L472" s="5" t="str">
        <f aca="false">HYPERLINK("mailto:eligilility@onhir.gov","mailto:eligilility@onhir.gov")</f>
        <v>mailto:eligilility@onhir.gov</v>
      </c>
      <c r="M472" s="4"/>
      <c r="P472" s="6"/>
      <c r="Q472" s="6"/>
      <c r="R472" s="4"/>
    </row>
    <row collapsed="false" customFormat="false" customHeight="true" hidden="false" ht="15" outlineLevel="0" r="473">
      <c r="A473" s="4" t="s">
        <v>1216</v>
      </c>
      <c r="B473" s="4" t="s">
        <v>1216</v>
      </c>
      <c r="C473" s="4" t="s">
        <v>1217</v>
      </c>
      <c r="D473" s="4" t="s">
        <v>12</v>
      </c>
      <c r="E473" s="4" t="s">
        <v>1218</v>
      </c>
      <c r="F473" s="4" t="s">
        <v>1219</v>
      </c>
      <c r="G473" s="4" t="s">
        <v>5</v>
      </c>
      <c r="H473" s="4" t="s">
        <v>6</v>
      </c>
      <c r="I473" s="4" t="s">
        <v>1220</v>
      </c>
      <c r="J473" s="4" t="s">
        <v>1221</v>
      </c>
      <c r="K473" s="4" t="s">
        <v>1222</v>
      </c>
      <c r="L473" s="5" t="str">
        <f aca="false">HYPERLINK("mailto:foia@opm.gov","mailto:foia@opm.gov")</f>
        <v>mailto:foia@opm.gov</v>
      </c>
      <c r="M473" s="4" t="s">
        <v>1223</v>
      </c>
      <c r="P473" s="6"/>
      <c r="Q473" s="6"/>
      <c r="R473" s="4" t="s">
        <v>1223</v>
      </c>
    </row>
    <row collapsed="false" customFormat="false" customHeight="true" hidden="false" ht="15" outlineLevel="0" r="474">
      <c r="A474" s="4" t="s">
        <v>1216</v>
      </c>
      <c r="B474" s="4" t="s">
        <v>1216</v>
      </c>
      <c r="C474" s="4"/>
      <c r="D474" s="4" t="s">
        <v>12</v>
      </c>
      <c r="E474" s="4"/>
      <c r="F474" s="4"/>
      <c r="G474" s="4"/>
      <c r="H474" s="4"/>
      <c r="I474" s="4"/>
      <c r="J474" s="4" t="s">
        <v>1224</v>
      </c>
      <c r="K474" s="4" t="s">
        <v>1222</v>
      </c>
      <c r="L474" s="5"/>
      <c r="M474" s="4"/>
      <c r="P474" s="6"/>
      <c r="Q474" s="6"/>
      <c r="R474" s="4"/>
    </row>
    <row collapsed="false" customFormat="false" customHeight="true" hidden="false" ht="15" outlineLevel="0" r="475">
      <c r="A475" s="4" t="s">
        <v>1216</v>
      </c>
      <c r="B475" s="4" t="s">
        <v>1216</v>
      </c>
      <c r="C475" s="4" t="s">
        <v>1217</v>
      </c>
      <c r="D475" s="4" t="s">
        <v>15</v>
      </c>
      <c r="E475" s="4"/>
      <c r="F475" s="4"/>
      <c r="G475" s="4"/>
      <c r="H475" s="4"/>
      <c r="I475" s="4"/>
      <c r="J475" s="4" t="s">
        <v>1221</v>
      </c>
      <c r="K475" s="4" t="s">
        <v>1222</v>
      </c>
      <c r="L475" s="5"/>
      <c r="M475" s="4"/>
      <c r="P475" s="6"/>
      <c r="Q475" s="6"/>
      <c r="R475" s="4"/>
    </row>
    <row collapsed="false" customFormat="false" customHeight="true" hidden="false" ht="15" outlineLevel="0" r="476">
      <c r="A476" s="4" t="s">
        <v>1225</v>
      </c>
      <c r="B476" s="4" t="s">
        <v>1225</v>
      </c>
      <c r="C476" s="4" t="s">
        <v>1226</v>
      </c>
      <c r="D476" s="4" t="s">
        <v>2</v>
      </c>
      <c r="E476" s="4" t="s">
        <v>1227</v>
      </c>
      <c r="F476" s="4" t="s">
        <v>1228</v>
      </c>
      <c r="G476" s="4" t="s">
        <v>5</v>
      </c>
      <c r="H476" s="4" t="s">
        <v>6</v>
      </c>
      <c r="I476" s="4" t="s">
        <v>1229</v>
      </c>
      <c r="J476" s="4" t="s">
        <v>1230</v>
      </c>
      <c r="K476" s="4" t="s">
        <v>1231</v>
      </c>
      <c r="L476" s="5"/>
      <c r="M476" s="4" t="s">
        <v>1232</v>
      </c>
      <c r="P476" s="6"/>
      <c r="Q476" s="6"/>
      <c r="R476" s="4" t="s">
        <v>1232</v>
      </c>
    </row>
    <row collapsed="false" customFormat="false" customHeight="true" hidden="false" ht="15" outlineLevel="0" r="477">
      <c r="A477" s="4" t="s">
        <v>1225</v>
      </c>
      <c r="B477" s="4" t="s">
        <v>1225</v>
      </c>
      <c r="C477" s="4"/>
      <c r="D477" s="4" t="s">
        <v>12</v>
      </c>
      <c r="E477" s="4"/>
      <c r="F477" s="4"/>
      <c r="G477" s="4"/>
      <c r="H477" s="4"/>
      <c r="I477" s="4"/>
      <c r="J477" s="4" t="s">
        <v>1230</v>
      </c>
      <c r="K477" s="4"/>
      <c r="L477" s="5"/>
      <c r="M477" s="4"/>
      <c r="P477" s="6"/>
      <c r="Q477" s="6"/>
      <c r="R477" s="4"/>
    </row>
    <row collapsed="false" customFormat="false" customHeight="true" hidden="false" ht="15" outlineLevel="0" r="478">
      <c r="A478" s="4" t="s">
        <v>1225</v>
      </c>
      <c r="B478" s="4" t="s">
        <v>1225</v>
      </c>
      <c r="C478" s="4" t="s">
        <v>1233</v>
      </c>
      <c r="D478" s="4" t="s">
        <v>15</v>
      </c>
      <c r="E478" s="4"/>
      <c r="F478" s="4"/>
      <c r="G478" s="4"/>
      <c r="H478" s="4"/>
      <c r="I478" s="4"/>
      <c r="J478" s="4" t="s">
        <v>1234</v>
      </c>
      <c r="K478" s="4"/>
      <c r="L478" s="5"/>
      <c r="M478" s="4"/>
      <c r="P478" s="6"/>
      <c r="Q478" s="6"/>
      <c r="R478" s="4"/>
    </row>
    <row collapsed="false" customFormat="false" customHeight="true" hidden="false" ht="15" outlineLevel="0" r="479">
      <c r="A479" s="4" t="s">
        <v>1235</v>
      </c>
      <c r="B479" s="4" t="s">
        <v>1235</v>
      </c>
      <c r="C479" s="4" t="s">
        <v>1236</v>
      </c>
      <c r="D479" s="4" t="s">
        <v>1237</v>
      </c>
      <c r="E479" s="4"/>
      <c r="F479" s="4" t="s">
        <v>1238</v>
      </c>
      <c r="G479" s="4" t="s">
        <v>5</v>
      </c>
      <c r="H479" s="4" t="s">
        <v>6</v>
      </c>
      <c r="I479" s="4" t="n">
        <v>20527</v>
      </c>
      <c r="J479" s="4" t="s">
        <v>1239</v>
      </c>
      <c r="K479" s="4"/>
      <c r="L479" s="5" t="str">
        <f aca="false">HYPERLINK("mailto:FOIA@opic.gov","mailto:FOIA@opic.gov")</f>
        <v>mailto:FOIA@opic.gov</v>
      </c>
      <c r="M479" s="4" t="s">
        <v>1240</v>
      </c>
      <c r="P479" s="6"/>
      <c r="Q479" s="6"/>
      <c r="R479" s="4" t="s">
        <v>1240</v>
      </c>
    </row>
    <row collapsed="false" customFormat="false" customHeight="true" hidden="false" ht="15" outlineLevel="0" r="480">
      <c r="A480" s="4" t="s">
        <v>1235</v>
      </c>
      <c r="B480" s="4" t="s">
        <v>1235</v>
      </c>
      <c r="C480" s="4"/>
      <c r="D480" s="4" t="s">
        <v>12</v>
      </c>
      <c r="E480" s="4"/>
      <c r="F480" s="4"/>
      <c r="G480" s="4"/>
      <c r="H480" s="4"/>
      <c r="I480" s="4"/>
      <c r="J480" s="4" t="s">
        <v>1239</v>
      </c>
      <c r="K480" s="4"/>
      <c r="L480" s="5"/>
      <c r="M480" s="4"/>
      <c r="P480" s="6"/>
      <c r="Q480" s="6"/>
      <c r="R480" s="4"/>
    </row>
    <row collapsed="false" customFormat="false" customHeight="true" hidden="false" ht="15" outlineLevel="0" r="481">
      <c r="A481" s="4" t="s">
        <v>1235</v>
      </c>
      <c r="B481" s="4" t="s">
        <v>1235</v>
      </c>
      <c r="C481" s="4" t="s">
        <v>1236</v>
      </c>
      <c r="D481" s="4" t="s">
        <v>15</v>
      </c>
      <c r="E481" s="4"/>
      <c r="F481" s="4"/>
      <c r="G481" s="4"/>
      <c r="H481" s="4"/>
      <c r="I481" s="4"/>
      <c r="J481" s="4" t="s">
        <v>1239</v>
      </c>
      <c r="K481" s="4"/>
      <c r="L481" s="5"/>
      <c r="M481" s="4"/>
      <c r="P481" s="6"/>
      <c r="Q481" s="6"/>
      <c r="R481" s="4"/>
    </row>
    <row collapsed="false" customFormat="false" customHeight="true" hidden="false" ht="15" outlineLevel="0" r="482">
      <c r="A482" s="4" t="s">
        <v>974</v>
      </c>
      <c r="B482" s="4" t="s">
        <v>1241</v>
      </c>
      <c r="C482" s="4" t="s">
        <v>1242</v>
      </c>
      <c r="D482" s="4" t="s">
        <v>1243</v>
      </c>
      <c r="E482" s="4"/>
      <c r="F482" s="4" t="s">
        <v>1244</v>
      </c>
      <c r="G482" s="4" t="s">
        <v>5</v>
      </c>
      <c r="H482" s="4" t="s">
        <v>6</v>
      </c>
      <c r="I482" s="4" t="s">
        <v>1245</v>
      </c>
      <c r="J482" s="4" t="s">
        <v>1246</v>
      </c>
      <c r="K482" s="4" t="s">
        <v>1247</v>
      </c>
      <c r="L482" s="5" t="str">
        <f aca="false">HYPERLINK("mailto:foia@peacecorps.gov","mailto:foia@peacecorps.gov")</f>
        <v>mailto:foia@peacecorps.gov</v>
      </c>
      <c r="M482" s="4" t="s">
        <v>1248</v>
      </c>
      <c r="P482" s="6"/>
      <c r="Q482" s="6"/>
      <c r="R482" s="4" t="s">
        <v>1248</v>
      </c>
    </row>
    <row collapsed="false" customFormat="false" customHeight="true" hidden="false" ht="15" outlineLevel="0" r="483">
      <c r="A483" s="4" t="s">
        <v>974</v>
      </c>
      <c r="B483" s="4" t="s">
        <v>1241</v>
      </c>
      <c r="C483" s="4"/>
      <c r="D483" s="4" t="s">
        <v>12</v>
      </c>
      <c r="E483" s="4"/>
      <c r="F483" s="4"/>
      <c r="G483" s="4"/>
      <c r="H483" s="4"/>
      <c r="I483" s="4"/>
      <c r="J483" s="4" t="s">
        <v>1246</v>
      </c>
      <c r="K483" s="4"/>
      <c r="L483" s="5"/>
      <c r="M483" s="4"/>
      <c r="P483" s="6"/>
      <c r="Q483" s="6"/>
      <c r="R483" s="4"/>
    </row>
    <row collapsed="false" customFormat="false" customHeight="true" hidden="false" ht="15" outlineLevel="0" r="484">
      <c r="A484" s="4" t="s">
        <v>974</v>
      </c>
      <c r="B484" s="4" t="s">
        <v>1241</v>
      </c>
      <c r="C484" s="4" t="s">
        <v>1242</v>
      </c>
      <c r="D484" s="4" t="s">
        <v>15</v>
      </c>
      <c r="E484" s="4"/>
      <c r="F484" s="4"/>
      <c r="G484" s="4"/>
      <c r="H484" s="4"/>
      <c r="I484" s="4"/>
      <c r="J484" s="4" t="s">
        <v>1246</v>
      </c>
      <c r="K484" s="4"/>
      <c r="L484" s="5"/>
      <c r="M484" s="4"/>
      <c r="P484" s="6"/>
      <c r="Q484" s="6"/>
      <c r="R484" s="4"/>
    </row>
    <row collapsed="false" customFormat="false" customHeight="true" hidden="false" ht="15" outlineLevel="0" r="485">
      <c r="A485" s="4" t="s">
        <v>600</v>
      </c>
      <c r="B485" s="4" t="s">
        <v>1241</v>
      </c>
      <c r="C485" s="4" t="s">
        <v>1249</v>
      </c>
      <c r="D485" s="4" t="s">
        <v>114</v>
      </c>
      <c r="E485" s="4"/>
      <c r="F485" s="4" t="s">
        <v>1244</v>
      </c>
      <c r="G485" s="4" t="s">
        <v>5</v>
      </c>
      <c r="H485" s="4" t="s">
        <v>6</v>
      </c>
      <c r="I485" s="4" t="s">
        <v>1245</v>
      </c>
      <c r="J485" s="4" t="s">
        <v>1250</v>
      </c>
      <c r="K485" s="4"/>
      <c r="L485" s="5" t="str">
        <f aca="false">HYPERLINK("mailto:foia@peacecorps.gov","mailto:foia@peacecorps.gov")</f>
        <v>mailto:foia@peacecorps.gov</v>
      </c>
      <c r="M485" s="4" t="s">
        <v>1248</v>
      </c>
      <c r="P485" s="6"/>
      <c r="Q485" s="6"/>
      <c r="R485" s="4" t="s">
        <v>1248</v>
      </c>
    </row>
    <row collapsed="false" customFormat="false" customHeight="true" hidden="false" ht="15" outlineLevel="0" r="486">
      <c r="A486" s="4" t="s">
        <v>600</v>
      </c>
      <c r="B486" s="4" t="s">
        <v>1241</v>
      </c>
      <c r="C486" s="4"/>
      <c r="D486" s="4" t="s">
        <v>12</v>
      </c>
      <c r="E486" s="4"/>
      <c r="F486" s="4"/>
      <c r="G486" s="4"/>
      <c r="H486" s="4"/>
      <c r="I486" s="4"/>
      <c r="J486" s="4" t="s">
        <v>1250</v>
      </c>
      <c r="K486" s="4"/>
      <c r="L486" s="5"/>
      <c r="M486" s="4"/>
      <c r="P486" s="6"/>
      <c r="Q486" s="6"/>
      <c r="R486" s="4"/>
    </row>
    <row collapsed="false" customFormat="false" customHeight="true" hidden="false" ht="15" outlineLevel="0" r="487">
      <c r="A487" s="4" t="s">
        <v>600</v>
      </c>
      <c r="B487" s="4" t="s">
        <v>1241</v>
      </c>
      <c r="C487" s="4" t="s">
        <v>1249</v>
      </c>
      <c r="D487" s="4" t="s">
        <v>15</v>
      </c>
      <c r="E487" s="4"/>
      <c r="F487" s="4"/>
      <c r="G487" s="4"/>
      <c r="H487" s="4"/>
      <c r="I487" s="4"/>
      <c r="J487" s="4" t="s">
        <v>1250</v>
      </c>
      <c r="K487" s="4"/>
      <c r="L487" s="5"/>
      <c r="M487" s="4"/>
      <c r="P487" s="6"/>
      <c r="Q487" s="6"/>
      <c r="R487" s="4"/>
    </row>
    <row collapsed="false" customFormat="false" customHeight="true" hidden="false" ht="15" outlineLevel="0" r="488">
      <c r="A488" s="4" t="s">
        <v>1251</v>
      </c>
      <c r="B488" s="4" t="s">
        <v>1251</v>
      </c>
      <c r="C488" s="4" t="s">
        <v>1252</v>
      </c>
      <c r="D488" s="4" t="s">
        <v>1253</v>
      </c>
      <c r="E488" s="4" t="s">
        <v>1254</v>
      </c>
      <c r="F488" s="4" t="s">
        <v>1255</v>
      </c>
      <c r="G488" s="4" t="s">
        <v>5</v>
      </c>
      <c r="H488" s="4" t="s">
        <v>6</v>
      </c>
      <c r="I488" s="4" t="n">
        <v>20005</v>
      </c>
      <c r="J488" s="4" t="s">
        <v>1256</v>
      </c>
      <c r="K488" s="4" t="s">
        <v>1257</v>
      </c>
      <c r="L488" s="5"/>
      <c r="M488" s="4" t="s">
        <v>1258</v>
      </c>
      <c r="P488" s="6"/>
      <c r="Q488" s="6"/>
      <c r="R488" s="4" t="s">
        <v>1258</v>
      </c>
    </row>
    <row collapsed="false" customFormat="false" customHeight="true" hidden="false" ht="15" outlineLevel="0" r="489">
      <c r="A489" s="4" t="s">
        <v>1251</v>
      </c>
      <c r="B489" s="4" t="s">
        <v>1251</v>
      </c>
      <c r="C489" s="4"/>
      <c r="D489" s="4" t="s">
        <v>12</v>
      </c>
      <c r="E489" s="4"/>
      <c r="F489" s="4"/>
      <c r="G489" s="4"/>
      <c r="H489" s="4"/>
      <c r="I489" s="4"/>
      <c r="J489" s="4" t="s">
        <v>1256</v>
      </c>
      <c r="K489" s="4"/>
      <c r="L489" s="5"/>
      <c r="M489" s="4"/>
      <c r="P489" s="6"/>
      <c r="Q489" s="6"/>
      <c r="R489" s="4"/>
    </row>
    <row collapsed="false" customFormat="false" customHeight="true" hidden="false" ht="15" outlineLevel="0" r="490">
      <c r="A490" s="4" t="s">
        <v>1251</v>
      </c>
      <c r="B490" s="4" t="s">
        <v>1251</v>
      </c>
      <c r="C490" s="4" t="s">
        <v>1259</v>
      </c>
      <c r="D490" s="4" t="s">
        <v>15</v>
      </c>
      <c r="E490" s="4"/>
      <c r="F490" s="4"/>
      <c r="G490" s="4"/>
      <c r="H490" s="4"/>
      <c r="I490" s="4"/>
      <c r="J490" s="4" t="s">
        <v>1256</v>
      </c>
      <c r="K490" s="4"/>
      <c r="L490" s="5" t="str">
        <f aca="false">HYPERLINK("mailto:Chase.Michelle@pbgc.gov","mailto:Chase.Michelle@pbgc.gov")</f>
        <v>mailto:Chase.Michelle@pbgc.gov</v>
      </c>
      <c r="M490" s="4"/>
      <c r="P490" s="6"/>
      <c r="Q490" s="6"/>
      <c r="R490" s="4"/>
    </row>
    <row collapsed="false" customFormat="false" customHeight="true" hidden="false" ht="15" outlineLevel="0" r="491">
      <c r="A491" s="4" t="s">
        <v>1260</v>
      </c>
      <c r="B491" s="4" t="s">
        <v>1260</v>
      </c>
      <c r="C491" s="4" t="s">
        <v>1261</v>
      </c>
      <c r="D491" s="4" t="s">
        <v>1262</v>
      </c>
      <c r="E491" s="4" t="s">
        <v>1263</v>
      </c>
      <c r="F491" s="4" t="s">
        <v>1264</v>
      </c>
      <c r="G491" s="4" t="s">
        <v>5</v>
      </c>
      <c r="H491" s="4" t="s">
        <v>6</v>
      </c>
      <c r="I491" s="4" t="n">
        <v>20268</v>
      </c>
      <c r="J491" s="4" t="s">
        <v>1265</v>
      </c>
      <c r="K491" s="4" t="s">
        <v>1266</v>
      </c>
      <c r="L491" s="5"/>
      <c r="M491" s="5" t="str">
        <f aca="false">HYPERLINK("http://www.prc.gov/prc-pages/misc/foia/default.aspx?AspxAutoDetectCookieSupport=1","http://www.prc.gov/prc-pages/misc/foia/default.aspx?AspxAutoDetectCookieSupport=1")</f>
        <v>http://www.prc.gov/prc-pages/misc/foia/default.aspx?AspxAutoDetectCookieSupport=1</v>
      </c>
      <c r="P491" s="6"/>
      <c r="Q491" s="6"/>
      <c r="R491" s="5" t="str">
        <f aca="false">HYPERLINK("http://www.prc.gov/prc-pages/misc/foia/default.aspx?AspxAutoDetectCookieSupport=1","http://www.prc.gov/prc-pages/misc/foia/default.aspx?AspxAutoDetectCookieSupport=1")</f>
        <v>http://www.prc.gov/prc-pages/misc/foia/default.aspx?AspxAutoDetectCookieSupport=1</v>
      </c>
    </row>
    <row collapsed="false" customFormat="false" customHeight="true" hidden="false" ht="15" outlineLevel="0" r="492">
      <c r="A492" s="4" t="s">
        <v>1260</v>
      </c>
      <c r="B492" s="4" t="s">
        <v>1260</v>
      </c>
      <c r="C492" s="4"/>
      <c r="D492" s="4" t="s">
        <v>12</v>
      </c>
      <c r="E492" s="4"/>
      <c r="F492" s="4"/>
      <c r="G492" s="4"/>
      <c r="H492" s="4"/>
      <c r="I492" s="4"/>
      <c r="J492" s="4" t="s">
        <v>1265</v>
      </c>
      <c r="K492" s="4"/>
      <c r="L492" s="5"/>
      <c r="M492" s="4"/>
      <c r="P492" s="6"/>
      <c r="Q492" s="6"/>
      <c r="R492" s="4"/>
    </row>
    <row collapsed="false" customFormat="false" customHeight="true" hidden="false" ht="15" outlineLevel="0" r="493">
      <c r="A493" s="4" t="s">
        <v>1260</v>
      </c>
      <c r="B493" s="4" t="s">
        <v>1260</v>
      </c>
      <c r="C493" s="4" t="s">
        <v>1267</v>
      </c>
      <c r="D493" s="4" t="s">
        <v>15</v>
      </c>
      <c r="E493" s="4"/>
      <c r="F493" s="4"/>
      <c r="G493" s="4"/>
      <c r="H493" s="4"/>
      <c r="I493" s="4"/>
      <c r="J493" s="4" t="s">
        <v>1265</v>
      </c>
      <c r="K493" s="4"/>
      <c r="L493" s="5"/>
      <c r="M493" s="4"/>
      <c r="P493" s="6"/>
      <c r="Q493" s="6"/>
      <c r="R493" s="4"/>
    </row>
    <row collapsed="false" customFormat="false" customHeight="true" hidden="false" ht="15" outlineLevel="0" r="494">
      <c r="A494" s="4" t="s">
        <v>974</v>
      </c>
      <c r="B494" s="4" t="s">
        <v>1268</v>
      </c>
      <c r="C494" s="4" t="s">
        <v>1269</v>
      </c>
      <c r="D494" s="4" t="s">
        <v>2</v>
      </c>
      <c r="E494" s="4"/>
      <c r="F494" s="4" t="s">
        <v>1270</v>
      </c>
      <c r="G494" s="4" t="s">
        <v>236</v>
      </c>
      <c r="H494" s="4" t="s">
        <v>237</v>
      </c>
      <c r="I494" s="4" t="s">
        <v>1271</v>
      </c>
      <c r="J494" s="4" t="s">
        <v>1272</v>
      </c>
      <c r="K494" s="4" t="s">
        <v>1273</v>
      </c>
      <c r="L494" s="5"/>
      <c r="M494" s="4" t="s">
        <v>1274</v>
      </c>
      <c r="P494" s="6"/>
      <c r="Q494" s="6"/>
      <c r="R494" s="4" t="s">
        <v>1274</v>
      </c>
    </row>
    <row collapsed="false" customFormat="false" customHeight="true" hidden="false" ht="15" outlineLevel="0" r="495">
      <c r="A495" s="4" t="s">
        <v>974</v>
      </c>
      <c r="B495" s="4" t="s">
        <v>1268</v>
      </c>
      <c r="C495" s="4"/>
      <c r="D495" s="4" t="s">
        <v>12</v>
      </c>
      <c r="E495" s="4"/>
      <c r="F495" s="4"/>
      <c r="G495" s="4"/>
      <c r="H495" s="4"/>
      <c r="I495" s="4"/>
      <c r="J495" s="4" t="s">
        <v>1275</v>
      </c>
      <c r="K495" s="4"/>
      <c r="L495" s="5"/>
      <c r="M495" s="4"/>
      <c r="P495" s="6"/>
      <c r="Q495" s="6"/>
      <c r="R495" s="4"/>
    </row>
    <row collapsed="false" customFormat="false" customHeight="true" hidden="false" ht="15" outlineLevel="0" r="496">
      <c r="A496" s="4" t="s">
        <v>974</v>
      </c>
      <c r="B496" s="4" t="s">
        <v>1268</v>
      </c>
      <c r="C496" s="4" t="s">
        <v>1276</v>
      </c>
      <c r="D496" s="4" t="s">
        <v>15</v>
      </c>
      <c r="E496" s="4"/>
      <c r="F496" s="4"/>
      <c r="G496" s="4"/>
      <c r="H496" s="4"/>
      <c r="I496" s="4"/>
      <c r="J496" s="4" t="s">
        <v>1272</v>
      </c>
      <c r="K496" s="4"/>
      <c r="L496" s="5"/>
      <c r="M496" s="4"/>
      <c r="P496" s="6"/>
      <c r="Q496" s="6"/>
      <c r="R496" s="4"/>
    </row>
    <row collapsed="false" customFormat="false" customHeight="true" hidden="false" ht="15" outlineLevel="0" r="497">
      <c r="A497" s="4" t="s">
        <v>600</v>
      </c>
      <c r="B497" s="4" t="s">
        <v>1268</v>
      </c>
      <c r="C497" s="4"/>
      <c r="D497" s="4" t="s">
        <v>493</v>
      </c>
      <c r="E497" s="4" t="s">
        <v>1277</v>
      </c>
      <c r="F497" s="4" t="s">
        <v>1270</v>
      </c>
      <c r="G497" s="4" t="s">
        <v>236</v>
      </c>
      <c r="H497" s="4" t="s">
        <v>237</v>
      </c>
      <c r="I497" s="4" t="s">
        <v>1271</v>
      </c>
      <c r="J497" s="4" t="s">
        <v>1278</v>
      </c>
      <c r="K497" s="4"/>
      <c r="L497" s="5"/>
      <c r="M497" s="4" t="s">
        <v>1274</v>
      </c>
      <c r="P497" s="6"/>
      <c r="Q497" s="6"/>
      <c r="R497" s="4" t="s">
        <v>1274</v>
      </c>
    </row>
    <row collapsed="false" customFormat="false" customHeight="true" hidden="false" ht="15" outlineLevel="0" r="498">
      <c r="A498" s="4" t="s">
        <v>600</v>
      </c>
      <c r="B498" s="4" t="s">
        <v>1268</v>
      </c>
      <c r="C498" s="4"/>
      <c r="D498" s="4" t="s">
        <v>12</v>
      </c>
      <c r="E498" s="4"/>
      <c r="F498" s="4"/>
      <c r="G498" s="4"/>
      <c r="H498" s="4"/>
      <c r="I498" s="4"/>
      <c r="J498" s="4" t="s">
        <v>1278</v>
      </c>
      <c r="K498" s="4"/>
      <c r="L498" s="5"/>
      <c r="M498" s="4"/>
      <c r="P498" s="6"/>
      <c r="Q498" s="6"/>
      <c r="R498" s="4"/>
    </row>
    <row collapsed="false" customFormat="false" customHeight="true" hidden="false" ht="15" outlineLevel="0" r="499">
      <c r="A499" s="4" t="s">
        <v>600</v>
      </c>
      <c r="B499" s="4" t="s">
        <v>1268</v>
      </c>
      <c r="C499" s="4"/>
      <c r="D499" s="4" t="s">
        <v>15</v>
      </c>
      <c r="E499" s="4"/>
      <c r="F499" s="4"/>
      <c r="G499" s="4"/>
      <c r="H499" s="4"/>
      <c r="I499" s="4"/>
      <c r="J499" s="4" t="s">
        <v>1278</v>
      </c>
      <c r="K499" s="4"/>
      <c r="L499" s="5"/>
      <c r="M499" s="4"/>
      <c r="P499" s="6"/>
      <c r="Q499" s="6"/>
      <c r="R499" s="4"/>
    </row>
    <row collapsed="false" customFormat="false" customHeight="true" hidden="false" ht="15" outlineLevel="0" r="500">
      <c r="A500" s="4" t="s">
        <v>1279</v>
      </c>
      <c r="B500" s="4" t="s">
        <v>1279</v>
      </c>
      <c r="C500" s="4"/>
      <c r="D500" s="4" t="s">
        <v>2</v>
      </c>
      <c r="E500" s="4" t="s">
        <v>173</v>
      </c>
      <c r="F500" s="4" t="s">
        <v>1280</v>
      </c>
      <c r="G500" s="4" t="s">
        <v>5</v>
      </c>
      <c r="H500" s="4" t="s">
        <v>6</v>
      </c>
      <c r="I500" s="4" t="n">
        <v>20006</v>
      </c>
      <c r="J500" s="4" t="s">
        <v>1281</v>
      </c>
      <c r="K500" s="4" t="s">
        <v>1282</v>
      </c>
      <c r="L500" s="5" t="str">
        <f aca="false">HYPERLINK("mailto:FOIA@ratb.gov","FOIA@ratb.gov")</f>
        <v>FOIA@ratb.gov</v>
      </c>
      <c r="M500" s="4" t="s">
        <v>1283</v>
      </c>
      <c r="P500" s="6"/>
      <c r="Q500" s="6"/>
      <c r="R500" s="4" t="s">
        <v>1283</v>
      </c>
    </row>
    <row collapsed="false" customFormat="false" customHeight="true" hidden="false" ht="15" outlineLevel="0" r="501">
      <c r="A501" s="4" t="s">
        <v>1279</v>
      </c>
      <c r="B501" s="4" t="s">
        <v>1279</v>
      </c>
      <c r="C501" s="4"/>
      <c r="D501" s="4" t="s">
        <v>12</v>
      </c>
      <c r="E501" s="4"/>
      <c r="F501" s="4"/>
      <c r="G501" s="4"/>
      <c r="H501" s="4"/>
      <c r="I501" s="4"/>
      <c r="J501" s="4" t="s">
        <v>1281</v>
      </c>
      <c r="K501" s="4"/>
      <c r="L501" s="5" t="str">
        <f aca="false">HYPERLINK("mailto:FOIA@ratb.gov","FOIA@ratb.gov")</f>
        <v>FOIA@ratb.gov</v>
      </c>
      <c r="M501" s="4"/>
      <c r="P501" s="6"/>
      <c r="Q501" s="6"/>
      <c r="R501" s="4"/>
    </row>
    <row collapsed="false" customFormat="false" customHeight="true" hidden="false" ht="15" outlineLevel="0" r="502">
      <c r="A502" s="4" t="s">
        <v>1279</v>
      </c>
      <c r="B502" s="4" t="s">
        <v>1279</v>
      </c>
      <c r="C502" s="4" t="s">
        <v>1284</v>
      </c>
      <c r="D502" s="4" t="s">
        <v>15</v>
      </c>
      <c r="E502" s="4"/>
      <c r="F502" s="4"/>
      <c r="G502" s="4"/>
      <c r="H502" s="4"/>
      <c r="I502" s="4"/>
      <c r="J502" s="4" t="s">
        <v>1281</v>
      </c>
      <c r="K502" s="4"/>
      <c r="L502" s="5"/>
      <c r="M502" s="4"/>
      <c r="P502" s="6"/>
      <c r="Q502" s="6"/>
      <c r="R502" s="4"/>
    </row>
    <row collapsed="false" customFormat="false" customHeight="true" hidden="false" ht="15" outlineLevel="0" r="503">
      <c r="A503" s="4" t="s">
        <v>1285</v>
      </c>
      <c r="B503" s="4" t="s">
        <v>1285</v>
      </c>
      <c r="C503" s="4" t="s">
        <v>1286</v>
      </c>
      <c r="D503" s="4" t="s">
        <v>1287</v>
      </c>
      <c r="E503" s="4" t="s">
        <v>1288</v>
      </c>
      <c r="F503" s="4" t="s">
        <v>1289</v>
      </c>
      <c r="G503" s="4" t="s">
        <v>5</v>
      </c>
      <c r="H503" s="4" t="s">
        <v>6</v>
      </c>
      <c r="I503" s="4" t="s">
        <v>1290</v>
      </c>
      <c r="J503" s="4" t="s">
        <v>1291</v>
      </c>
      <c r="K503" s="4" t="s">
        <v>1292</v>
      </c>
      <c r="L503" s="5" t="str">
        <f aca="false">HYPERLINK("mailto:foiapa@sec.gov","mailto:foiapa@sec.gov")</f>
        <v>mailto:foiapa@sec.gov</v>
      </c>
      <c r="M503" s="4" t="s">
        <v>1293</v>
      </c>
      <c r="P503" s="6"/>
      <c r="Q503" s="6"/>
      <c r="R503" s="4" t="s">
        <v>1293</v>
      </c>
    </row>
    <row collapsed="false" customFormat="false" customHeight="true" hidden="false" ht="15" outlineLevel="0" r="504">
      <c r="A504" s="4" t="s">
        <v>1285</v>
      </c>
      <c r="B504" s="4" t="s">
        <v>1285</v>
      </c>
      <c r="C504" s="4"/>
      <c r="D504" s="4" t="s">
        <v>12</v>
      </c>
      <c r="E504" s="4"/>
      <c r="F504" s="4"/>
      <c r="G504" s="4"/>
      <c r="H504" s="4"/>
      <c r="I504" s="4"/>
      <c r="J504" s="4" t="s">
        <v>1291</v>
      </c>
      <c r="K504" s="4"/>
      <c r="L504" s="5"/>
      <c r="M504" s="4"/>
      <c r="P504" s="6"/>
      <c r="Q504" s="6"/>
      <c r="R504" s="4"/>
    </row>
    <row collapsed="false" customFormat="false" customHeight="true" hidden="false" ht="15" outlineLevel="0" r="505">
      <c r="A505" s="4" t="s">
        <v>1285</v>
      </c>
      <c r="B505" s="4" t="s">
        <v>1285</v>
      </c>
      <c r="C505" s="4" t="s">
        <v>1294</v>
      </c>
      <c r="D505" s="4" t="s">
        <v>15</v>
      </c>
      <c r="E505" s="4"/>
      <c r="F505" s="4"/>
      <c r="G505" s="4"/>
      <c r="H505" s="4"/>
      <c r="I505" s="4"/>
      <c r="J505" s="4" t="s">
        <v>1295</v>
      </c>
      <c r="K505" s="4"/>
      <c r="L505" s="5"/>
      <c r="M505" s="4"/>
      <c r="P505" s="6"/>
      <c r="Q505" s="6"/>
      <c r="R505" s="4"/>
    </row>
    <row collapsed="false" customFormat="false" customHeight="true" hidden="false" ht="15" outlineLevel="0" r="506">
      <c r="A506" s="4" t="s">
        <v>1296</v>
      </c>
      <c r="B506" s="4" t="s">
        <v>1296</v>
      </c>
      <c r="C506" s="4" t="s">
        <v>1297</v>
      </c>
      <c r="D506" s="4" t="s">
        <v>2</v>
      </c>
      <c r="E506" s="4"/>
      <c r="F506" s="4" t="s">
        <v>177</v>
      </c>
      <c r="G506" s="4" t="s">
        <v>30</v>
      </c>
      <c r="H506" s="4" t="s">
        <v>31</v>
      </c>
      <c r="I506" s="4" t="s">
        <v>1298</v>
      </c>
      <c r="J506" s="4" t="s">
        <v>1299</v>
      </c>
      <c r="K506" s="4" t="s">
        <v>1300</v>
      </c>
      <c r="L506" s="5"/>
      <c r="M506" s="4" t="s">
        <v>1301</v>
      </c>
      <c r="P506" s="6"/>
      <c r="Q506" s="6"/>
      <c r="R506" s="4" t="s">
        <v>1301</v>
      </c>
    </row>
    <row collapsed="false" customFormat="false" customHeight="true" hidden="false" ht="15" outlineLevel="0" r="507">
      <c r="A507" s="4" t="s">
        <v>1296</v>
      </c>
      <c r="B507" s="4" t="s">
        <v>1296</v>
      </c>
      <c r="C507" s="4"/>
      <c r="D507" s="4" t="s">
        <v>12</v>
      </c>
      <c r="E507" s="4"/>
      <c r="F507" s="4"/>
      <c r="G507" s="4"/>
      <c r="H507" s="4"/>
      <c r="I507" s="4"/>
      <c r="J507" s="4" t="s">
        <v>1299</v>
      </c>
      <c r="K507" s="4"/>
      <c r="L507" s="5"/>
      <c r="M507" s="4"/>
      <c r="P507" s="6"/>
      <c r="Q507" s="6"/>
      <c r="R507" s="4"/>
    </row>
    <row collapsed="false" customFormat="false" customHeight="true" hidden="false" ht="15" outlineLevel="0" r="508">
      <c r="A508" s="4" t="s">
        <v>1296</v>
      </c>
      <c r="B508" s="4" t="s">
        <v>1296</v>
      </c>
      <c r="C508" s="4" t="s">
        <v>1302</v>
      </c>
      <c r="D508" s="4" t="s">
        <v>15</v>
      </c>
      <c r="E508" s="4"/>
      <c r="F508" s="4"/>
      <c r="G508" s="4"/>
      <c r="H508" s="4"/>
      <c r="I508" s="4"/>
      <c r="J508" s="4" t="s">
        <v>1299</v>
      </c>
      <c r="K508" s="4"/>
      <c r="L508" s="5"/>
      <c r="M508" s="4"/>
      <c r="P508" s="6"/>
      <c r="Q508" s="6"/>
      <c r="R508" s="4"/>
    </row>
    <row collapsed="false" customFormat="false" customHeight="true" hidden="false" ht="15" outlineLevel="0" r="509">
      <c r="A509" s="4" t="s">
        <v>1303</v>
      </c>
      <c r="B509" s="4" t="s">
        <v>1303</v>
      </c>
      <c r="C509" s="4" t="s">
        <v>1304</v>
      </c>
      <c r="D509" s="4" t="s">
        <v>1305</v>
      </c>
      <c r="E509" s="4"/>
      <c r="F509" s="4" t="s">
        <v>1306</v>
      </c>
      <c r="G509" s="4" t="s">
        <v>5</v>
      </c>
      <c r="H509" s="4" t="s">
        <v>6</v>
      </c>
      <c r="I509" s="4" t="n">
        <v>20416</v>
      </c>
      <c r="J509" s="4" t="s">
        <v>1307</v>
      </c>
      <c r="K509" s="4" t="s">
        <v>1308</v>
      </c>
      <c r="L509" s="5" t="str">
        <f aca="false">HYPERLINK("mailto:foia@sba.gov","mailto:foia@sba.gov")</f>
        <v>mailto:foia@sba.gov</v>
      </c>
      <c r="M509" s="4" t="s">
        <v>1309</v>
      </c>
      <c r="P509" s="6"/>
      <c r="Q509" s="6"/>
      <c r="R509" s="4" t="s">
        <v>1309</v>
      </c>
    </row>
    <row collapsed="false" customFormat="false" customHeight="true" hidden="false" ht="15" outlineLevel="0" r="510">
      <c r="A510" s="4" t="s">
        <v>1303</v>
      </c>
      <c r="B510" s="4" t="s">
        <v>1303</v>
      </c>
      <c r="C510" s="4"/>
      <c r="D510" s="4" t="s">
        <v>12</v>
      </c>
      <c r="E510" s="4"/>
      <c r="F510" s="4"/>
      <c r="G510" s="4"/>
      <c r="H510" s="4"/>
      <c r="I510" s="4"/>
      <c r="J510" s="4" t="s">
        <v>1307</v>
      </c>
      <c r="K510" s="4"/>
      <c r="L510" s="5"/>
      <c r="M510" s="4"/>
      <c r="P510" s="6"/>
      <c r="Q510" s="6"/>
      <c r="R510" s="4"/>
    </row>
    <row collapsed="false" customFormat="false" customHeight="true" hidden="false" ht="15" outlineLevel="0" r="511">
      <c r="A511" s="4" t="s">
        <v>1303</v>
      </c>
      <c r="B511" s="4" t="s">
        <v>1303</v>
      </c>
      <c r="C511" s="4" t="s">
        <v>1304</v>
      </c>
      <c r="D511" s="4" t="s">
        <v>15</v>
      </c>
      <c r="E511" s="4"/>
      <c r="F511" s="4"/>
      <c r="G511" s="4"/>
      <c r="H511" s="4"/>
      <c r="I511" s="4"/>
      <c r="J511" s="4" t="s">
        <v>1307</v>
      </c>
      <c r="K511" s="4"/>
      <c r="L511" s="5"/>
      <c r="M511" s="4"/>
      <c r="P511" s="6"/>
      <c r="Q511" s="6"/>
      <c r="R511" s="4"/>
    </row>
    <row collapsed="false" customFormat="false" customHeight="true" hidden="false" ht="15" outlineLevel="0" r="512">
      <c r="A512" s="4" t="s">
        <v>1310</v>
      </c>
      <c r="B512" s="4" t="s">
        <v>1310</v>
      </c>
      <c r="C512" s="4" t="s">
        <v>1311</v>
      </c>
      <c r="D512" s="4" t="s">
        <v>1312</v>
      </c>
      <c r="E512" s="4" t="s">
        <v>1313</v>
      </c>
      <c r="F512" s="4" t="s">
        <v>1314</v>
      </c>
      <c r="G512" s="4" t="s">
        <v>1315</v>
      </c>
      <c r="H512" s="4" t="s">
        <v>138</v>
      </c>
      <c r="I512" s="4" t="n">
        <v>21235</v>
      </c>
      <c r="J512" s="4" t="s">
        <v>1316</v>
      </c>
      <c r="K512" s="4" t="s">
        <v>1317</v>
      </c>
      <c r="L512" s="5"/>
      <c r="M512" s="4" t="s">
        <v>1318</v>
      </c>
      <c r="P512" s="6"/>
      <c r="Q512" s="6"/>
      <c r="R512" s="4" t="s">
        <v>1318</v>
      </c>
    </row>
    <row collapsed="false" customFormat="false" customHeight="true" hidden="false" ht="15" outlineLevel="0" r="513">
      <c r="A513" s="4" t="s">
        <v>1310</v>
      </c>
      <c r="B513" s="4" t="s">
        <v>1310</v>
      </c>
      <c r="C513" s="4" t="s">
        <v>1319</v>
      </c>
      <c r="D513" s="4" t="s">
        <v>1320</v>
      </c>
      <c r="E513" s="4"/>
      <c r="F513" s="4"/>
      <c r="G513" s="4"/>
      <c r="H513" s="4"/>
      <c r="I513" s="4"/>
      <c r="J513" s="4" t="s">
        <v>1316</v>
      </c>
      <c r="K513" s="4"/>
      <c r="L513" s="5"/>
      <c r="M513" s="4"/>
      <c r="P513" s="6"/>
      <c r="Q513" s="6"/>
      <c r="R513" s="4"/>
    </row>
    <row collapsed="false" customFormat="false" customHeight="true" hidden="false" ht="15" outlineLevel="0" r="514">
      <c r="A514" s="4" t="s">
        <v>1310</v>
      </c>
      <c r="B514" s="4" t="s">
        <v>1310</v>
      </c>
      <c r="C514" s="4" t="s">
        <v>1321</v>
      </c>
      <c r="D514" s="4" t="s">
        <v>1322</v>
      </c>
      <c r="E514" s="4"/>
      <c r="F514" s="4"/>
      <c r="G514" s="4"/>
      <c r="H514" s="4"/>
      <c r="I514" s="4"/>
      <c r="J514" s="4" t="s">
        <v>1323</v>
      </c>
      <c r="K514" s="4"/>
      <c r="L514" s="5"/>
      <c r="M514" s="4"/>
      <c r="P514" s="6"/>
      <c r="Q514" s="6"/>
      <c r="R514" s="4"/>
    </row>
    <row collapsed="false" customFormat="false" customHeight="true" hidden="false" ht="15" outlineLevel="0" r="515">
      <c r="A515" s="4" t="s">
        <v>1310</v>
      </c>
      <c r="B515" s="4" t="s">
        <v>1310</v>
      </c>
      <c r="C515" s="4" t="s">
        <v>1311</v>
      </c>
      <c r="D515" s="4" t="s">
        <v>15</v>
      </c>
      <c r="E515" s="4"/>
      <c r="F515" s="4"/>
      <c r="G515" s="4"/>
      <c r="H515" s="4"/>
      <c r="I515" s="4"/>
      <c r="J515" s="4" t="s">
        <v>1316</v>
      </c>
      <c r="K515" s="4"/>
      <c r="L515" s="5" t="str">
        <f aca="false">HYPERLINK("mailto:Foia.pa.officers@ssa.gov","mailto:Foia.pa.officers@ssa.gov")</f>
        <v>mailto:Foia.pa.officers@ssa.gov</v>
      </c>
      <c r="M515" s="4"/>
      <c r="P515" s="6"/>
      <c r="Q515" s="6"/>
      <c r="R515" s="4"/>
    </row>
    <row collapsed="false" customFormat="false" customHeight="true" hidden="false" ht="15" outlineLevel="0" r="516">
      <c r="A516" s="4" t="s">
        <v>1324</v>
      </c>
      <c r="B516" s="4" t="s">
        <v>1324</v>
      </c>
      <c r="C516" s="4" t="s">
        <v>114</v>
      </c>
      <c r="D516" s="4" t="s">
        <v>1325</v>
      </c>
      <c r="E516" s="4"/>
      <c r="F516" s="4" t="s">
        <v>1326</v>
      </c>
      <c r="G516" s="4" t="s">
        <v>30</v>
      </c>
      <c r="H516" s="4" t="s">
        <v>31</v>
      </c>
      <c r="I516" s="4" t="n">
        <v>22202</v>
      </c>
      <c r="J516" s="4" t="s">
        <v>1327</v>
      </c>
      <c r="K516" s="4" t="s">
        <v>1328</v>
      </c>
      <c r="L516" s="5" t="str">
        <f aca="false">HYPERLINK("mailto:sigar.pentagon.gen-coun.mbx.foia@mail.mil","mailto:sigar.pentagon.gen-coun.mbx.foia@mail.mil")</f>
        <v>mailto:sigar.pentagon.gen-coun.mbx.foia@mail.mil</v>
      </c>
      <c r="M516" s="4" t="s">
        <v>1329</v>
      </c>
      <c r="P516" s="6"/>
      <c r="Q516" s="6"/>
      <c r="R516" s="4" t="s">
        <v>1329</v>
      </c>
    </row>
    <row collapsed="false" customFormat="false" customHeight="true" hidden="false" ht="15" outlineLevel="0" r="517">
      <c r="A517" s="4" t="s">
        <v>1324</v>
      </c>
      <c r="B517" s="4" t="s">
        <v>1324</v>
      </c>
      <c r="C517" s="4"/>
      <c r="D517" s="4" t="s">
        <v>12</v>
      </c>
      <c r="E517" s="4"/>
      <c r="F517" s="4"/>
      <c r="G517" s="4"/>
      <c r="H517" s="4"/>
      <c r="I517" s="4"/>
      <c r="J517" s="4" t="s">
        <v>1327</v>
      </c>
      <c r="K517" s="4"/>
      <c r="L517" s="5"/>
      <c r="M517" s="4"/>
      <c r="P517" s="6"/>
      <c r="Q517" s="6"/>
      <c r="R517" s="4"/>
    </row>
    <row collapsed="false" customFormat="false" customHeight="true" hidden="false" ht="15" outlineLevel="0" r="518">
      <c r="A518" s="4" t="s">
        <v>1324</v>
      </c>
      <c r="B518" s="4" t="s">
        <v>1324</v>
      </c>
      <c r="C518" s="4"/>
      <c r="D518" s="4" t="s">
        <v>15</v>
      </c>
      <c r="E518" s="4"/>
      <c r="F518" s="4"/>
      <c r="G518" s="4"/>
      <c r="H518" s="4"/>
      <c r="I518" s="4"/>
      <c r="J518" s="4" t="s">
        <v>1327</v>
      </c>
      <c r="K518" s="4"/>
      <c r="L518" s="5"/>
      <c r="M518" s="4"/>
      <c r="P518" s="6"/>
      <c r="Q518" s="6"/>
      <c r="R518" s="4"/>
    </row>
    <row collapsed="false" customFormat="false" customHeight="true" hidden="false" ht="15" outlineLevel="0" r="519">
      <c r="A519" s="4" t="s">
        <v>1330</v>
      </c>
      <c r="B519" s="4" t="s">
        <v>1330</v>
      </c>
      <c r="C519" s="4" t="s">
        <v>1331</v>
      </c>
      <c r="D519" s="4" t="s">
        <v>2</v>
      </c>
      <c r="E519" s="4"/>
      <c r="F519" s="4" t="s">
        <v>1332</v>
      </c>
      <c r="G519" s="4" t="s">
        <v>30</v>
      </c>
      <c r="H519" s="4" t="s">
        <v>31</v>
      </c>
      <c r="I519" s="4" t="n">
        <v>22202</v>
      </c>
      <c r="J519" s="4" t="s">
        <v>1333</v>
      </c>
      <c r="K519" s="4" t="s">
        <v>1334</v>
      </c>
      <c r="L519" s="5" t="str">
        <f aca="false">HYPERLINK("mailto:FOIA@sigir.mil","mailto:FOIA@sigir.mil")</f>
        <v>mailto:FOIA@sigir.mil</v>
      </c>
      <c r="M519" s="4" t="s">
        <v>1335</v>
      </c>
      <c r="P519" s="6"/>
      <c r="Q519" s="6"/>
      <c r="R519" s="4" t="s">
        <v>1335</v>
      </c>
    </row>
    <row collapsed="false" customFormat="false" customHeight="true" hidden="false" ht="15" outlineLevel="0" r="520">
      <c r="A520" s="4" t="s">
        <v>1330</v>
      </c>
      <c r="B520" s="4" t="s">
        <v>1330</v>
      </c>
      <c r="C520" s="4"/>
      <c r="D520" s="4" t="s">
        <v>12</v>
      </c>
      <c r="E520" s="4"/>
      <c r="F520" s="4"/>
      <c r="G520" s="4"/>
      <c r="H520" s="4"/>
      <c r="I520" s="4"/>
      <c r="J520" s="4" t="s">
        <v>1333</v>
      </c>
      <c r="K520" s="4"/>
      <c r="L520" s="5"/>
      <c r="M520" s="4"/>
      <c r="P520" s="6"/>
      <c r="Q520" s="6"/>
      <c r="R520" s="4"/>
    </row>
    <row collapsed="false" customFormat="false" customHeight="true" hidden="false" ht="15" outlineLevel="0" r="521">
      <c r="A521" s="4" t="s">
        <v>1330</v>
      </c>
      <c r="B521" s="4" t="s">
        <v>1330</v>
      </c>
      <c r="C521" s="4"/>
      <c r="D521" s="4" t="s">
        <v>15</v>
      </c>
      <c r="E521" s="4"/>
      <c r="F521" s="4"/>
      <c r="G521" s="4"/>
      <c r="H521" s="4"/>
      <c r="I521" s="4"/>
      <c r="J521" s="4" t="s">
        <v>1333</v>
      </c>
      <c r="K521" s="4"/>
      <c r="L521" s="5"/>
      <c r="M521" s="4"/>
      <c r="P521" s="6"/>
      <c r="Q521" s="6"/>
      <c r="R521" s="4"/>
    </row>
    <row collapsed="false" customFormat="false" customHeight="true" hidden="false" ht="15" outlineLevel="0" r="522">
      <c r="A522" s="4" t="s">
        <v>1336</v>
      </c>
      <c r="B522" s="4" t="s">
        <v>1336</v>
      </c>
      <c r="C522" s="4" t="s">
        <v>1337</v>
      </c>
      <c r="D522" s="4" t="s">
        <v>1338</v>
      </c>
      <c r="E522" s="4"/>
      <c r="F522" s="4" t="s">
        <v>1339</v>
      </c>
      <c r="G522" s="4" t="s">
        <v>5</v>
      </c>
      <c r="H522" s="4" t="s">
        <v>6</v>
      </c>
      <c r="I522" s="4" t="s">
        <v>1340</v>
      </c>
      <c r="J522" s="4" t="s">
        <v>1341</v>
      </c>
      <c r="K522" s="4" t="s">
        <v>1342</v>
      </c>
      <c r="L522" s="5" t="str">
        <f aca="false">HYPERLINK("mailto:FOIA.Privacy@stb.dot.gov","mailto:FOIA.Privacy@stb.dot.gov")</f>
        <v>mailto:FOIA.Privacy@stb.dot.gov</v>
      </c>
      <c r="M522" s="4" t="s">
        <v>1343</v>
      </c>
      <c r="P522" s="6"/>
      <c r="Q522" s="6"/>
      <c r="R522" s="4" t="s">
        <v>1343</v>
      </c>
    </row>
    <row collapsed="false" customFormat="false" customHeight="true" hidden="false" ht="15" outlineLevel="0" r="523">
      <c r="A523" s="4" t="s">
        <v>1336</v>
      </c>
      <c r="B523" s="4" t="s">
        <v>1336</v>
      </c>
      <c r="C523" s="4" t="s">
        <v>1337</v>
      </c>
      <c r="D523" s="4" t="s">
        <v>12</v>
      </c>
      <c r="E523" s="4"/>
      <c r="F523" s="4"/>
      <c r="G523" s="4"/>
      <c r="H523" s="4"/>
      <c r="I523" s="4"/>
      <c r="J523" s="4" t="s">
        <v>1341</v>
      </c>
      <c r="K523" s="4"/>
      <c r="L523" s="5" t="str">
        <f aca="false">HYPERLINK("mailto:FOIA.Privacy@stb.dot.gov","mailto:FOIA.Privacy@stb.dot.gov")</f>
        <v>mailto:FOIA.Privacy@stb.dot.gov</v>
      </c>
      <c r="M523" s="4"/>
      <c r="P523" s="6"/>
      <c r="Q523" s="6"/>
      <c r="R523" s="4"/>
    </row>
    <row collapsed="false" customFormat="false" customHeight="true" hidden="false" ht="15" outlineLevel="0" r="524">
      <c r="A524" s="4" t="s">
        <v>1336</v>
      </c>
      <c r="B524" s="4" t="s">
        <v>1336</v>
      </c>
      <c r="C524" s="4" t="s">
        <v>1344</v>
      </c>
      <c r="D524" s="4" t="s">
        <v>15</v>
      </c>
      <c r="E524" s="4"/>
      <c r="F524" s="4"/>
      <c r="G524" s="4"/>
      <c r="H524" s="4"/>
      <c r="I524" s="4"/>
      <c r="J524" s="4" t="s">
        <v>1345</v>
      </c>
      <c r="K524" s="4"/>
      <c r="L524" s="5" t="str">
        <f aca="false">HYPERLINK("mailto:keatsc@stb.dot.gov","mailto:keatsc@stb.dot.gov")</f>
        <v>mailto:keatsc@stb.dot.gov</v>
      </c>
      <c r="M524" s="4"/>
      <c r="P524" s="6"/>
      <c r="Q524" s="6"/>
      <c r="R524" s="4"/>
    </row>
    <row collapsed="false" customFormat="false" customHeight="true" hidden="false" ht="15" outlineLevel="0" r="525">
      <c r="A525" s="4" t="s">
        <v>1346</v>
      </c>
      <c r="B525" s="4" t="s">
        <v>1346</v>
      </c>
      <c r="C525" s="4" t="s">
        <v>1347</v>
      </c>
      <c r="D525" s="4" t="s">
        <v>1348</v>
      </c>
      <c r="E525" s="4" t="s">
        <v>1349</v>
      </c>
      <c r="F525" s="4" t="s">
        <v>1350</v>
      </c>
      <c r="G525" s="4" t="s">
        <v>1351</v>
      </c>
      <c r="H525" s="4" t="s">
        <v>373</v>
      </c>
      <c r="I525" s="4" t="s">
        <v>1352</v>
      </c>
      <c r="J525" s="4" t="s">
        <v>1353</v>
      </c>
      <c r="K525" s="4" t="s">
        <v>1354</v>
      </c>
      <c r="L525" s="5"/>
      <c r="M525" s="4" t="s">
        <v>1355</v>
      </c>
      <c r="P525" s="6"/>
      <c r="Q525" s="6"/>
      <c r="R525" s="4" t="s">
        <v>1355</v>
      </c>
    </row>
    <row collapsed="false" customFormat="false" customHeight="true" hidden="false" ht="15" outlineLevel="0" r="526">
      <c r="A526" s="4" t="s">
        <v>1346</v>
      </c>
      <c r="B526" s="4" t="s">
        <v>1346</v>
      </c>
      <c r="C526" s="4"/>
      <c r="D526" s="4" t="s">
        <v>12</v>
      </c>
      <c r="E526" s="4"/>
      <c r="F526" s="4"/>
      <c r="G526" s="4"/>
      <c r="H526" s="4"/>
      <c r="I526" s="4"/>
      <c r="J526" s="4" t="s">
        <v>1353</v>
      </c>
      <c r="K526" s="4"/>
      <c r="L526" s="5" t="str">
        <f aca="false">HYPERLINK("mailto:foia@tva.gov","mailto:foia@tva.gov")</f>
        <v>mailto:foia@tva.gov</v>
      </c>
      <c r="M526" s="4"/>
      <c r="P526" s="6"/>
      <c r="Q526" s="6"/>
      <c r="R526" s="4"/>
    </row>
    <row collapsed="false" customFormat="false" customHeight="true" hidden="false" ht="15" outlineLevel="0" r="527">
      <c r="A527" s="4" t="s">
        <v>1346</v>
      </c>
      <c r="B527" s="4" t="s">
        <v>1346</v>
      </c>
      <c r="C527" s="4" t="s">
        <v>1356</v>
      </c>
      <c r="D527" s="4" t="s">
        <v>15</v>
      </c>
      <c r="E527" s="4"/>
      <c r="F527" s="4"/>
      <c r="G527" s="4"/>
      <c r="H527" s="4"/>
      <c r="I527" s="4"/>
      <c r="J527" s="4" t="s">
        <v>1357</v>
      </c>
      <c r="K527" s="4" t="s">
        <v>1358</v>
      </c>
      <c r="L527" s="5"/>
      <c r="M527" s="4"/>
      <c r="P527" s="6"/>
      <c r="Q527" s="6"/>
      <c r="R527" s="4"/>
    </row>
    <row collapsed="false" customFormat="false" customHeight="true" hidden="false" ht="15" outlineLevel="0" r="528">
      <c r="A528" s="4" t="s">
        <v>1359</v>
      </c>
      <c r="B528" s="4" t="s">
        <v>1359</v>
      </c>
      <c r="C528" s="4" t="s">
        <v>1360</v>
      </c>
      <c r="D528" s="4" t="s">
        <v>1361</v>
      </c>
      <c r="E528" s="4"/>
      <c r="F528" s="4" t="s">
        <v>1362</v>
      </c>
      <c r="G528" s="4" t="s">
        <v>5</v>
      </c>
      <c r="H528" s="4" t="s">
        <v>6</v>
      </c>
      <c r="I528" s="4" t="s">
        <v>1363</v>
      </c>
      <c r="J528" s="4" t="s">
        <v>1364</v>
      </c>
      <c r="K528" s="4" t="s">
        <v>1365</v>
      </c>
      <c r="L528" s="5"/>
      <c r="M528" s="4" t="s">
        <v>1366</v>
      </c>
      <c r="P528" s="6"/>
      <c r="Q528" s="6"/>
      <c r="R528" s="4" t="s">
        <v>1366</v>
      </c>
    </row>
    <row collapsed="false" customFormat="false" customHeight="true" hidden="false" ht="15" outlineLevel="0" r="529">
      <c r="A529" s="4" t="s">
        <v>1359</v>
      </c>
      <c r="B529" s="4" t="s">
        <v>1359</v>
      </c>
      <c r="C529" s="4"/>
      <c r="D529" s="4" t="s">
        <v>12</v>
      </c>
      <c r="E529" s="4"/>
      <c r="F529" s="4"/>
      <c r="G529" s="4"/>
      <c r="H529" s="4"/>
      <c r="I529" s="4"/>
      <c r="J529" s="4" t="s">
        <v>1364</v>
      </c>
      <c r="K529" s="4"/>
      <c r="L529" s="5"/>
      <c r="M529" s="4"/>
      <c r="P529" s="6"/>
      <c r="Q529" s="6"/>
      <c r="R529" s="4"/>
    </row>
    <row collapsed="false" customFormat="false" customHeight="true" hidden="false" ht="15" outlineLevel="0" r="530">
      <c r="A530" s="4" t="s">
        <v>1359</v>
      </c>
      <c r="B530" s="4" t="s">
        <v>1359</v>
      </c>
      <c r="C530" s="4"/>
      <c r="D530" s="4" t="s">
        <v>15</v>
      </c>
      <c r="E530" s="4"/>
      <c r="F530" s="4"/>
      <c r="G530" s="4"/>
      <c r="H530" s="4"/>
      <c r="I530" s="4"/>
      <c r="J530" s="4" t="s">
        <v>1364</v>
      </c>
      <c r="K530" s="4"/>
      <c r="L530" s="5"/>
      <c r="M530" s="4"/>
      <c r="P530" s="6"/>
      <c r="Q530" s="6"/>
      <c r="R530" s="4"/>
    </row>
    <row collapsed="false" customFormat="false" customHeight="true" hidden="false" ht="15" outlineLevel="0" r="531">
      <c r="A531" s="4" t="s">
        <v>1367</v>
      </c>
      <c r="B531" s="4" t="s">
        <v>1367</v>
      </c>
      <c r="C531" s="4" t="s">
        <v>1368</v>
      </c>
      <c r="D531" s="4" t="s">
        <v>1369</v>
      </c>
      <c r="E531" s="4"/>
      <c r="F531" s="4" t="s">
        <v>1370</v>
      </c>
      <c r="G531" s="4" t="s">
        <v>5</v>
      </c>
      <c r="H531" s="4" t="s">
        <v>6</v>
      </c>
      <c r="I531" s="4" t="n">
        <v>20024</v>
      </c>
      <c r="J531" s="4" t="s">
        <v>1371</v>
      </c>
      <c r="K531" s="4" t="s">
        <v>1372</v>
      </c>
      <c r="L531" s="5"/>
      <c r="M531" s="4" t="s">
        <v>1373</v>
      </c>
      <c r="P531" s="6"/>
      <c r="Q531" s="6"/>
      <c r="R531" s="4" t="s">
        <v>1373</v>
      </c>
    </row>
    <row collapsed="false" customFormat="false" customHeight="true" hidden="false" ht="15" outlineLevel="0" r="532">
      <c r="A532" s="4" t="s">
        <v>1367</v>
      </c>
      <c r="B532" s="4" t="s">
        <v>1367</v>
      </c>
      <c r="C532" s="4"/>
      <c r="D532" s="4" t="s">
        <v>12</v>
      </c>
      <c r="E532" s="4"/>
      <c r="F532" s="4"/>
      <c r="G532" s="4"/>
      <c r="H532" s="4"/>
      <c r="I532" s="4"/>
      <c r="J532" s="4" t="s">
        <v>1371</v>
      </c>
      <c r="K532" s="4"/>
      <c r="L532" s="5"/>
      <c r="M532" s="4"/>
      <c r="P532" s="6"/>
      <c r="Q532" s="6"/>
      <c r="R532" s="4"/>
    </row>
    <row collapsed="false" customFormat="false" customHeight="true" hidden="false" ht="15" outlineLevel="0" r="533">
      <c r="A533" s="4" t="s">
        <v>1367</v>
      </c>
      <c r="B533" s="4" t="s">
        <v>1367</v>
      </c>
      <c r="C533" s="4" t="s">
        <v>1368</v>
      </c>
      <c r="D533" s="4" t="s">
        <v>15</v>
      </c>
      <c r="E533" s="4"/>
      <c r="F533" s="4"/>
      <c r="G533" s="4"/>
      <c r="H533" s="4"/>
      <c r="I533" s="4"/>
      <c r="J533" s="4" t="s">
        <v>1371</v>
      </c>
      <c r="K533" s="4"/>
      <c r="L533" s="5"/>
      <c r="M533" s="4"/>
      <c r="P533" s="6"/>
      <c r="Q533" s="6"/>
      <c r="R533" s="4"/>
    </row>
    <row collapsed="false" customFormat="false" customHeight="true" hidden="false" ht="15" outlineLevel="0" r="534">
      <c r="A534" s="4" t="s">
        <v>1374</v>
      </c>
      <c r="B534" s="4" t="s">
        <v>1374</v>
      </c>
      <c r="C534" s="4" t="s">
        <v>1375</v>
      </c>
      <c r="D534" s="4" t="s">
        <v>1376</v>
      </c>
      <c r="E534" s="4" t="s">
        <v>1377</v>
      </c>
      <c r="F534" s="4" t="s">
        <v>1378</v>
      </c>
      <c r="G534" s="4" t="s">
        <v>1379</v>
      </c>
      <c r="H534" s="4" t="s">
        <v>247</v>
      </c>
      <c r="I534" s="4" t="n">
        <v>79902</v>
      </c>
      <c r="J534" s="4" t="s">
        <v>1380</v>
      </c>
      <c r="K534" s="4" t="s">
        <v>1381</v>
      </c>
      <c r="L534" s="5" t="str">
        <f aca="false">HYPERLINK("mailto:ericmeza@ibwc.gov","mailto:ericmeza@ibwc.gov")</f>
        <v>mailto:ericmeza@ibwc.gov</v>
      </c>
      <c r="M534" s="4" t="s">
        <v>1382</v>
      </c>
      <c r="P534" s="6"/>
      <c r="Q534" s="6"/>
      <c r="R534" s="4" t="s">
        <v>1382</v>
      </c>
    </row>
    <row collapsed="false" customFormat="false" customHeight="true" hidden="false" ht="15" outlineLevel="0" r="535">
      <c r="A535" s="4" t="s">
        <v>1374</v>
      </c>
      <c r="B535" s="4" t="s">
        <v>1374</v>
      </c>
      <c r="C535" s="4"/>
      <c r="D535" s="4" t="s">
        <v>12</v>
      </c>
      <c r="E535" s="4"/>
      <c r="F535" s="4"/>
      <c r="G535" s="4"/>
      <c r="H535" s="4"/>
      <c r="I535" s="4"/>
      <c r="J535" s="4" t="s">
        <v>1380</v>
      </c>
      <c r="K535" s="4"/>
      <c r="L535" s="5"/>
      <c r="M535" s="4"/>
      <c r="P535" s="6"/>
      <c r="Q535" s="6"/>
      <c r="R535" s="4"/>
    </row>
    <row collapsed="false" customFormat="false" customHeight="true" hidden="false" ht="15" outlineLevel="0" r="536">
      <c r="A536" s="4" t="s">
        <v>1374</v>
      </c>
      <c r="B536" s="4" t="s">
        <v>1374</v>
      </c>
      <c r="C536" s="4" t="s">
        <v>1375</v>
      </c>
      <c r="D536" s="4" t="s">
        <v>15</v>
      </c>
      <c r="E536" s="4"/>
      <c r="F536" s="4"/>
      <c r="G536" s="4"/>
      <c r="H536" s="4"/>
      <c r="I536" s="4"/>
      <c r="J536" s="4" t="s">
        <v>1380</v>
      </c>
      <c r="K536" s="4"/>
      <c r="L536" s="5"/>
      <c r="M536" s="4"/>
      <c r="P536" s="6"/>
      <c r="Q536" s="6"/>
      <c r="R536" s="4"/>
    </row>
    <row collapsed="false" customFormat="false" customHeight="true" hidden="false" ht="15" outlineLevel="0" r="537">
      <c r="A537" s="4" t="s">
        <v>1383</v>
      </c>
      <c r="B537" s="4" t="s">
        <v>1383</v>
      </c>
      <c r="C537" s="4" t="s">
        <v>1384</v>
      </c>
      <c r="D537" s="4" t="s">
        <v>124</v>
      </c>
      <c r="E537" s="4"/>
      <c r="F537" s="4" t="s">
        <v>1385</v>
      </c>
      <c r="G537" s="4" t="s">
        <v>5</v>
      </c>
      <c r="H537" s="4" t="s">
        <v>6</v>
      </c>
      <c r="I537" s="4" t="n">
        <v>20436</v>
      </c>
      <c r="J537" s="4" t="s">
        <v>1386</v>
      </c>
      <c r="K537" s="4" t="s">
        <v>1387</v>
      </c>
      <c r="L537" s="5"/>
      <c r="M537" s="4" t="s">
        <v>1388</v>
      </c>
      <c r="P537" s="6"/>
      <c r="Q537" s="6"/>
      <c r="R537" s="4" t="s">
        <v>1388</v>
      </c>
    </row>
    <row collapsed="false" customFormat="false" customHeight="true" hidden="false" ht="15" outlineLevel="0" r="538">
      <c r="A538" s="4" t="s">
        <v>1383</v>
      </c>
      <c r="B538" s="4" t="s">
        <v>1383</v>
      </c>
      <c r="C538" s="4"/>
      <c r="D538" s="4" t="s">
        <v>12</v>
      </c>
      <c r="E538" s="4"/>
      <c r="F538" s="4"/>
      <c r="G538" s="4"/>
      <c r="H538" s="4"/>
      <c r="I538" s="4"/>
      <c r="J538" s="4" t="s">
        <v>1389</v>
      </c>
      <c r="K538" s="4"/>
      <c r="L538" s="5"/>
      <c r="M538" s="4"/>
      <c r="P538" s="6"/>
      <c r="Q538" s="6"/>
      <c r="R538" s="4"/>
    </row>
    <row collapsed="false" customFormat="false" customHeight="true" hidden="false" ht="15" outlineLevel="0" r="539">
      <c r="A539" s="4" t="s">
        <v>1383</v>
      </c>
      <c r="B539" s="4" t="s">
        <v>1383</v>
      </c>
      <c r="C539" s="4" t="s">
        <v>1390</v>
      </c>
      <c r="D539" s="4" t="s">
        <v>15</v>
      </c>
      <c r="E539" s="4"/>
      <c r="F539" s="4"/>
      <c r="G539" s="4"/>
      <c r="H539" s="4"/>
      <c r="I539" s="4"/>
      <c r="J539" s="4" t="s">
        <v>1391</v>
      </c>
      <c r="K539" s="4"/>
      <c r="L539" s="5"/>
      <c r="M539" s="4"/>
      <c r="P539" s="6"/>
      <c r="Q539" s="6"/>
      <c r="R539" s="4"/>
    </row>
    <row collapsed="false" customFormat="false" customHeight="true" hidden="false" ht="15" outlineLevel="0" r="540">
      <c r="A540" s="4" t="s">
        <v>974</v>
      </c>
      <c r="B540" s="4" t="s">
        <v>1392</v>
      </c>
      <c r="C540" s="4" t="s">
        <v>114</v>
      </c>
      <c r="D540" s="4" t="s">
        <v>1393</v>
      </c>
      <c r="E540" s="4" t="s">
        <v>1394</v>
      </c>
      <c r="F540" s="4" t="s">
        <v>1395</v>
      </c>
      <c r="G540" s="4" t="s">
        <v>5</v>
      </c>
      <c r="H540" s="4" t="s">
        <v>6</v>
      </c>
      <c r="I540" s="4" t="n">
        <v>20260</v>
      </c>
      <c r="J540" s="4" t="s">
        <v>1396</v>
      </c>
      <c r="K540" s="4" t="s">
        <v>1397</v>
      </c>
      <c r="L540" s="5"/>
      <c r="M540" s="4" t="s">
        <v>1398</v>
      </c>
      <c r="P540" s="6"/>
      <c r="Q540" s="6"/>
      <c r="R540" s="4" t="s">
        <v>1398</v>
      </c>
    </row>
    <row collapsed="false" customFormat="false" customHeight="true" hidden="false" ht="15" outlineLevel="0" r="541">
      <c r="A541" s="4" t="s">
        <v>974</v>
      </c>
      <c r="B541" s="4" t="s">
        <v>1392</v>
      </c>
      <c r="C541" s="4"/>
      <c r="D541" s="4" t="s">
        <v>12</v>
      </c>
      <c r="E541" s="4"/>
      <c r="F541" s="4"/>
      <c r="G541" s="4"/>
      <c r="H541" s="4"/>
      <c r="I541" s="4"/>
      <c r="J541" s="4" t="s">
        <v>1396</v>
      </c>
      <c r="K541" s="4"/>
      <c r="L541" s="5"/>
      <c r="M541" s="4"/>
      <c r="P541" s="6"/>
      <c r="Q541" s="6"/>
      <c r="R541" s="4"/>
    </row>
    <row collapsed="false" customFormat="false" customHeight="true" hidden="false" ht="15" outlineLevel="0" r="542">
      <c r="A542" s="4" t="s">
        <v>974</v>
      </c>
      <c r="B542" s="4" t="s">
        <v>1392</v>
      </c>
      <c r="C542" s="4" t="s">
        <v>1399</v>
      </c>
      <c r="D542" s="4" t="s">
        <v>15</v>
      </c>
      <c r="E542" s="4"/>
      <c r="F542" s="4"/>
      <c r="G542" s="4"/>
      <c r="H542" s="4"/>
      <c r="I542" s="4"/>
      <c r="J542" s="4" t="s">
        <v>1396</v>
      </c>
      <c r="K542" s="4"/>
      <c r="L542" s="5"/>
      <c r="M542" s="4"/>
      <c r="P542" s="6"/>
      <c r="Q542" s="6"/>
      <c r="R542" s="4"/>
    </row>
    <row collapsed="false" customFormat="false" customHeight="true" hidden="false" ht="15" outlineLevel="0" r="543">
      <c r="A543" s="4" t="s">
        <v>1400</v>
      </c>
      <c r="B543" s="4" t="s">
        <v>1392</v>
      </c>
      <c r="C543" s="4" t="s">
        <v>114</v>
      </c>
      <c r="D543" s="4" t="s">
        <v>1401</v>
      </c>
      <c r="E543" s="4" t="s">
        <v>1402</v>
      </c>
      <c r="F543" s="4" t="s">
        <v>1395</v>
      </c>
      <c r="G543" s="4" t="s">
        <v>5</v>
      </c>
      <c r="H543" s="4" t="s">
        <v>6</v>
      </c>
      <c r="I543" s="4" t="n">
        <v>20260</v>
      </c>
      <c r="J543" s="4" t="s">
        <v>1403</v>
      </c>
      <c r="K543" s="4" t="s">
        <v>1404</v>
      </c>
      <c r="L543" s="5"/>
      <c r="M543" s="4" t="s">
        <v>1398</v>
      </c>
      <c r="P543" s="6"/>
      <c r="Q543" s="6"/>
      <c r="R543" s="4" t="s">
        <v>1398</v>
      </c>
    </row>
    <row collapsed="false" customFormat="false" customHeight="true" hidden="false" ht="15" outlineLevel="0" r="544">
      <c r="A544" s="4" t="s">
        <v>1400</v>
      </c>
      <c r="B544" s="4" t="s">
        <v>1392</v>
      </c>
      <c r="C544" s="4"/>
      <c r="D544" s="4" t="s">
        <v>12</v>
      </c>
      <c r="E544" s="4"/>
      <c r="F544" s="4"/>
      <c r="G544" s="4"/>
      <c r="H544" s="4"/>
      <c r="I544" s="4"/>
      <c r="J544" s="4" t="s">
        <v>1403</v>
      </c>
      <c r="K544" s="4"/>
      <c r="L544" s="5"/>
      <c r="M544" s="4"/>
      <c r="P544" s="6"/>
      <c r="Q544" s="6"/>
      <c r="R544" s="4"/>
    </row>
    <row collapsed="false" customFormat="false" customHeight="true" hidden="false" ht="15" outlineLevel="0" r="545">
      <c r="A545" s="4" t="s">
        <v>1400</v>
      </c>
      <c r="B545" s="4" t="s">
        <v>1392</v>
      </c>
      <c r="C545" s="4" t="s">
        <v>1405</v>
      </c>
      <c r="D545" s="4" t="s">
        <v>15</v>
      </c>
      <c r="E545" s="4"/>
      <c r="F545" s="4"/>
      <c r="G545" s="4"/>
      <c r="H545" s="4"/>
      <c r="I545" s="4"/>
      <c r="J545" s="4" t="s">
        <v>1403</v>
      </c>
      <c r="K545" s="4"/>
      <c r="L545" s="5"/>
      <c r="M545" s="4"/>
      <c r="P545" s="6"/>
      <c r="Q545" s="6"/>
      <c r="R545" s="4"/>
    </row>
    <row collapsed="false" customFormat="false" customHeight="true" hidden="false" ht="15" outlineLevel="0" r="546">
      <c r="A546" s="4" t="s">
        <v>600</v>
      </c>
      <c r="B546" s="4" t="s">
        <v>1392</v>
      </c>
      <c r="C546" s="4"/>
      <c r="D546" s="4" t="s">
        <v>114</v>
      </c>
      <c r="E546" s="4" t="s">
        <v>1406</v>
      </c>
      <c r="F546" s="4" t="s">
        <v>1407</v>
      </c>
      <c r="G546" s="4" t="s">
        <v>30</v>
      </c>
      <c r="H546" s="4" t="s">
        <v>31</v>
      </c>
      <c r="I546" s="4" t="s">
        <v>1408</v>
      </c>
      <c r="J546" s="4" t="s">
        <v>1409</v>
      </c>
      <c r="K546" s="4" t="s">
        <v>1410</v>
      </c>
      <c r="L546" s="5" t="str">
        <f aca="false">HYPERLINK("mailto:FOIA@uspsoig.gov","mailto:FOIA@uspsoig.gov")</f>
        <v>mailto:FOIA@uspsoig.gov</v>
      </c>
      <c r="M546" s="4" t="s">
        <v>1411</v>
      </c>
      <c r="P546" s="6"/>
      <c r="Q546" s="6"/>
      <c r="R546" s="4" t="s">
        <v>1411</v>
      </c>
    </row>
    <row collapsed="false" customFormat="false" customHeight="true" hidden="false" ht="15" outlineLevel="0" r="547">
      <c r="A547" s="4" t="s">
        <v>600</v>
      </c>
      <c r="B547" s="4" t="s">
        <v>1392</v>
      </c>
      <c r="C547" s="4"/>
      <c r="D547" s="4" t="s">
        <v>12</v>
      </c>
      <c r="E547" s="4"/>
      <c r="F547" s="4"/>
      <c r="G547" s="4"/>
      <c r="H547" s="4"/>
      <c r="I547" s="4"/>
      <c r="J547" s="4" t="s">
        <v>1409</v>
      </c>
      <c r="K547" s="4"/>
      <c r="L547" s="5"/>
      <c r="M547" s="4"/>
      <c r="P547" s="6"/>
      <c r="Q547" s="6"/>
      <c r="R547" s="4"/>
    </row>
    <row collapsed="false" customFormat="false" customHeight="true" hidden="false" ht="15" outlineLevel="0" r="548">
      <c r="A548" s="4" t="s">
        <v>600</v>
      </c>
      <c r="B548" s="4" t="s">
        <v>1392</v>
      </c>
      <c r="C548" s="4" t="s">
        <v>1412</v>
      </c>
      <c r="D548" s="4" t="s">
        <v>15</v>
      </c>
      <c r="E548" s="4"/>
      <c r="F548" s="4"/>
      <c r="G548" s="4"/>
      <c r="H548" s="4"/>
      <c r="I548" s="4"/>
      <c r="J548" s="4" t="s">
        <v>1409</v>
      </c>
      <c r="K548" s="4"/>
      <c r="L548" s="5"/>
      <c r="M548" s="4"/>
      <c r="P548" s="6"/>
      <c r="Q548" s="6"/>
      <c r="R548" s="4"/>
    </row>
    <row collapsed="false" customFormat="false" customHeight="true" hidden="false" ht="15" outlineLevel="0" r="549">
      <c r="A549" s="4" t="s">
        <v>1413</v>
      </c>
      <c r="B549" s="4" t="s">
        <v>1413</v>
      </c>
      <c r="C549" s="4" t="s">
        <v>1414</v>
      </c>
      <c r="D549" s="4" t="s">
        <v>1415</v>
      </c>
      <c r="E549" s="4" t="s">
        <v>1416</v>
      </c>
      <c r="F549" s="4" t="s">
        <v>1417</v>
      </c>
      <c r="G549" s="4" t="s">
        <v>30</v>
      </c>
      <c r="H549" s="4" t="s">
        <v>31</v>
      </c>
      <c r="I549" s="4" t="s">
        <v>1418</v>
      </c>
      <c r="J549" s="4" t="s">
        <v>1419</v>
      </c>
      <c r="K549" s="4" t="s">
        <v>1420</v>
      </c>
      <c r="L549" s="5"/>
      <c r="M549" s="4" t="s">
        <v>1421</v>
      </c>
      <c r="P549" s="6"/>
      <c r="Q549" s="6"/>
      <c r="R549" s="4" t="s">
        <v>1421</v>
      </c>
    </row>
    <row collapsed="false" customFormat="false" customHeight="true" hidden="false" ht="15" outlineLevel="0" r="550">
      <c r="A550" s="4" t="s">
        <v>1413</v>
      </c>
      <c r="B550" s="4" t="s">
        <v>1413</v>
      </c>
      <c r="C550" s="4"/>
      <c r="D550" s="4" t="s">
        <v>12</v>
      </c>
      <c r="E550" s="4"/>
      <c r="F550" s="4"/>
      <c r="G550" s="4"/>
      <c r="H550" s="4"/>
      <c r="I550" s="4"/>
      <c r="J550" s="4" t="s">
        <v>1422</v>
      </c>
      <c r="K550" s="4"/>
      <c r="L550" s="5"/>
      <c r="M550" s="4"/>
      <c r="P550" s="6"/>
      <c r="Q550" s="6"/>
      <c r="R550" s="4"/>
    </row>
    <row collapsed="false" customFormat="false" customHeight="true" hidden="false" ht="15" outlineLevel="0" r="551">
      <c r="A551" s="4" t="s">
        <v>1413</v>
      </c>
      <c r="B551" s="4" t="s">
        <v>1413</v>
      </c>
      <c r="C551" s="4" t="s">
        <v>1414</v>
      </c>
      <c r="D551" s="4" t="s">
        <v>15</v>
      </c>
      <c r="E551" s="4"/>
      <c r="F551" s="4"/>
      <c r="G551" s="4"/>
      <c r="H551" s="4"/>
      <c r="I551" s="4"/>
      <c r="J551" s="4" t="s">
        <v>1419</v>
      </c>
      <c r="K551" s="4"/>
      <c r="L551" s="5"/>
      <c r="M551" s="4"/>
      <c r="P551" s="6"/>
      <c r="Q551" s="6"/>
      <c r="R551" s="4"/>
    </row>
    <row collapsed="false" customFormat="false" customHeight="true" hidden="false" ht="15" outlineLevel="0" r="552">
      <c r="A552" s="4" t="s">
        <v>1413</v>
      </c>
      <c r="B552" s="4" t="s">
        <v>1413</v>
      </c>
      <c r="C552" s="4" t="s">
        <v>1414</v>
      </c>
      <c r="D552" s="4" t="s">
        <v>1415</v>
      </c>
      <c r="E552" s="4" t="s">
        <v>1416</v>
      </c>
      <c r="F552" s="4" t="s">
        <v>1417</v>
      </c>
      <c r="G552" s="4" t="s">
        <v>30</v>
      </c>
      <c r="H552" s="4" t="s">
        <v>31</v>
      </c>
      <c r="I552" s="4" t="s">
        <v>1418</v>
      </c>
      <c r="J552" s="4" t="s">
        <v>1419</v>
      </c>
      <c r="K552" s="4" t="s">
        <v>1420</v>
      </c>
      <c r="L552" s="5"/>
      <c r="M552" s="4" t="s">
        <v>1421</v>
      </c>
      <c r="P552" s="6"/>
      <c r="Q552" s="6"/>
      <c r="R552" s="4" t="s">
        <v>1421</v>
      </c>
    </row>
    <row collapsed="false" customFormat="false" customHeight="true" hidden="false" ht="15" outlineLevel="0" r="553">
      <c r="A553" s="4" t="s">
        <v>1413</v>
      </c>
      <c r="B553" s="4" t="s">
        <v>1413</v>
      </c>
      <c r="C553" s="4"/>
      <c r="D553" s="4" t="s">
        <v>12</v>
      </c>
      <c r="E553" s="4"/>
      <c r="F553" s="4"/>
      <c r="G553" s="4"/>
      <c r="H553" s="4"/>
      <c r="I553" s="4"/>
      <c r="J553" s="4" t="s">
        <v>1422</v>
      </c>
      <c r="K553" s="4"/>
      <c r="L553" s="5"/>
      <c r="M553" s="4"/>
      <c r="P553" s="6"/>
      <c r="Q553" s="6"/>
      <c r="R553" s="4"/>
    </row>
    <row collapsed="false" customFormat="false" customHeight="true" hidden="false" ht="15" outlineLevel="0" r="554">
      <c r="A554" s="4" t="s">
        <v>1413</v>
      </c>
      <c r="B554" s="4" t="s">
        <v>1413</v>
      </c>
      <c r="C554" s="4" t="s">
        <v>1414</v>
      </c>
      <c r="D554" s="4" t="s">
        <v>15</v>
      </c>
      <c r="E554" s="4"/>
      <c r="F554" s="4"/>
      <c r="G554" s="4"/>
      <c r="H554" s="4"/>
      <c r="I554" s="4"/>
      <c r="J554" s="4" t="s">
        <v>1419</v>
      </c>
      <c r="K554" s="4"/>
      <c r="L554" s="5"/>
      <c r="M554" s="4"/>
      <c r="P554" s="6"/>
      <c r="Q554" s="6"/>
      <c r="R554" s="4"/>
    </row>
    <row collapsed="false" customFormat="false" customHeight="true" hidden="false" ht="15" outlineLevel="0" r="555">
      <c r="A555" s="4"/>
      <c r="B555" s="4"/>
      <c r="C555" s="4"/>
      <c r="D555" s="4"/>
      <c r="E555" s="4"/>
      <c r="F555" s="4"/>
      <c r="G555" s="4"/>
      <c r="H555" s="4"/>
      <c r="I555" s="4"/>
      <c r="J555" s="4"/>
      <c r="K555" s="4"/>
      <c r="L555" s="4"/>
      <c r="M555" s="4"/>
      <c r="P555" s="6"/>
      <c r="Q555" s="6"/>
      <c r="R555" s="4"/>
    </row>
    <row collapsed="false" customFormat="false" customHeight="true" hidden="false" ht="15" outlineLevel="0" r="556">
      <c r="A556" s="4"/>
      <c r="B556" s="4"/>
      <c r="C556" s="4"/>
      <c r="D556" s="4"/>
      <c r="E556" s="4"/>
      <c r="F556" s="4"/>
      <c r="G556" s="4"/>
      <c r="H556" s="4"/>
      <c r="I556" s="4"/>
      <c r="J556" s="4"/>
      <c r="K556" s="4"/>
      <c r="L556" s="4"/>
      <c r="M556" s="4"/>
      <c r="P556" s="6"/>
      <c r="Q556" s="6"/>
      <c r="R556" s="4"/>
    </row>
    <row collapsed="false" customFormat="false" customHeight="true" hidden="false" ht="15" outlineLevel="0" r="557">
      <c r="A557" s="4"/>
      <c r="B557" s="4"/>
      <c r="C557" s="4"/>
      <c r="D557" s="4"/>
      <c r="E557" s="4"/>
      <c r="F557" s="4"/>
      <c r="G557" s="4"/>
      <c r="H557" s="4"/>
      <c r="I557" s="4"/>
      <c r="J557" s="4"/>
      <c r="K557" s="4"/>
      <c r="L557" s="4"/>
      <c r="M557" s="4"/>
      <c r="P557" s="6"/>
      <c r="Q557" s="6"/>
      <c r="R557" s="4"/>
    </row>
    <row collapsed="false" customFormat="false" customHeight="true" hidden="false" ht="15" outlineLevel="0" r="558">
      <c r="A558" s="4"/>
      <c r="B558" s="4"/>
      <c r="C558" s="4"/>
      <c r="D558" s="4"/>
      <c r="E558" s="4"/>
      <c r="F558" s="4"/>
      <c r="G558" s="4"/>
      <c r="H558" s="4"/>
      <c r="I558" s="4"/>
      <c r="J558" s="4"/>
      <c r="K558" s="4"/>
      <c r="L558" s="4"/>
      <c r="M558" s="4"/>
      <c r="P558" s="6"/>
      <c r="Q558" s="6"/>
      <c r="R558" s="4"/>
    </row>
    <row collapsed="false" customFormat="false" customHeight="true" hidden="false" ht="15" outlineLevel="0" r="559">
      <c r="A559" s="4"/>
      <c r="B559" s="4"/>
      <c r="C559" s="4"/>
      <c r="D559" s="4"/>
      <c r="E559" s="4"/>
      <c r="F559" s="4"/>
      <c r="G559" s="4"/>
      <c r="H559" s="4"/>
      <c r="I559" s="4"/>
      <c r="J559" s="4"/>
      <c r="K559" s="4"/>
      <c r="L559" s="4"/>
      <c r="M559" s="4"/>
      <c r="P559" s="6"/>
      <c r="Q559" s="6"/>
      <c r="R559" s="4"/>
    </row>
    <row collapsed="false" customFormat="false" customHeight="true" hidden="false" ht="15" outlineLevel="0" r="560">
      <c r="A560" s="4"/>
      <c r="B560" s="4"/>
      <c r="C560" s="4"/>
      <c r="D560" s="4"/>
      <c r="E560" s="4"/>
      <c r="F560" s="4"/>
      <c r="G560" s="4"/>
      <c r="H560" s="4"/>
      <c r="I560" s="4"/>
      <c r="J560" s="4"/>
      <c r="K560" s="4"/>
      <c r="L560" s="4"/>
      <c r="M560" s="4"/>
      <c r="P560" s="6"/>
      <c r="Q560" s="6"/>
      <c r="R560" s="4"/>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787"/>
  <sheetViews>
    <sheetView colorId="64" defaultGridColor="true" rightToLeft="false" showFormulas="false" showGridLines="true" showOutlineSymbols="true" showRowColHeaders="true" showZeros="true" tabSelected="false" topLeftCell="I1" view="normal" windowProtection="false" workbookViewId="0" zoomScale="100" zoomScaleNormal="100" zoomScalePageLayoutView="100">
      <selection activeCell="M10" activeCellId="1" pane="topLeft" sqref="N1:Q1 M10"/>
    </sheetView>
  </sheetViews>
  <sheetFormatPr defaultRowHeight="12.75"/>
  <cols>
    <col collapsed="false" hidden="false" max="1" min="1" style="0" width="36.8622448979592"/>
    <col collapsed="false" hidden="false" max="2" min="2" style="0" width="31.4285714285714"/>
    <col collapsed="false" hidden="false" max="3" min="3" style="0" width="16.4336734693878"/>
    <col collapsed="false" hidden="false" max="4" min="4" style="0" width="17.7091836734694"/>
    <col collapsed="false" hidden="false" max="13" min="5" style="0" width="13.2908163265306"/>
    <col collapsed="false" hidden="false" max="14" min="14" style="0" width="35.1326530612245"/>
    <col collapsed="false" hidden="false" max="15" min="15" style="0" width="13.2908163265306"/>
    <col collapsed="false" hidden="false" max="1025" min="16" style="0" width="8.86224489795918"/>
  </cols>
  <sheetData>
    <row collapsed="false" customFormat="false" customHeight="true" hidden="false" ht="15" outlineLevel="0" r="1">
      <c r="A1" s="1" t="s">
        <v>1423</v>
      </c>
      <c r="B1" s="1" t="s">
        <v>1424</v>
      </c>
      <c r="C1" s="1" t="s">
        <v>1425</v>
      </c>
      <c r="D1" s="1" t="s">
        <v>1426</v>
      </c>
      <c r="E1" s="1" t="s">
        <v>1427</v>
      </c>
      <c r="F1" s="1" t="s">
        <v>1428</v>
      </c>
      <c r="G1" s="1" t="s">
        <v>1429</v>
      </c>
      <c r="H1" s="1" t="s">
        <v>1430</v>
      </c>
      <c r="I1" s="1" t="s">
        <v>1431</v>
      </c>
      <c r="J1" s="1" t="s">
        <v>1432</v>
      </c>
      <c r="K1" s="1" t="s">
        <v>1433</v>
      </c>
      <c r="L1" s="1" t="s">
        <v>1434</v>
      </c>
      <c r="M1" s="1" t="s">
        <v>1435</v>
      </c>
      <c r="N1" s="1"/>
      <c r="O1" s="1"/>
    </row>
    <row collapsed="false" customFormat="false" customHeight="true" hidden="false" ht="15" outlineLevel="0" r="2">
      <c r="A2" s="4" t="s">
        <v>1436</v>
      </c>
      <c r="B2" s="4" t="s">
        <v>1437</v>
      </c>
      <c r="C2" s="4" t="s">
        <v>1438</v>
      </c>
      <c r="D2" s="4" t="s">
        <v>1439</v>
      </c>
      <c r="E2" s="4" t="s">
        <v>1440</v>
      </c>
      <c r="F2" s="4" t="s">
        <v>1441</v>
      </c>
      <c r="G2" s="4" t="s">
        <v>5</v>
      </c>
      <c r="H2" s="4" t="s">
        <v>6</v>
      </c>
      <c r="I2" s="4" t="s">
        <v>1442</v>
      </c>
      <c r="J2" s="4" t="s">
        <v>1443</v>
      </c>
      <c r="K2" s="4" t="s">
        <v>1444</v>
      </c>
      <c r="L2" s="5" t="str">
        <f aca="false">HYPERLINK("mailto:AMS.FOIA@usda.gov","mailto:AMS.FOIA@usda.gov")</f>
        <v>mailto:AMS.FOIA@usda.gov</v>
      </c>
      <c r="M2" s="4" t="s">
        <v>1445</v>
      </c>
      <c r="N2" s="5"/>
      <c r="O2" s="4"/>
    </row>
    <row collapsed="false" customFormat="false" customHeight="true" hidden="false" ht="15" outlineLevel="0" r="3">
      <c r="A3" s="4" t="s">
        <v>1436</v>
      </c>
      <c r="B3" s="4" t="s">
        <v>1437</v>
      </c>
      <c r="C3" s="4"/>
      <c r="D3" s="4" t="s">
        <v>12</v>
      </c>
      <c r="E3" s="4"/>
      <c r="F3" s="4"/>
      <c r="G3" s="4"/>
      <c r="H3" s="4"/>
      <c r="I3" s="4"/>
      <c r="J3" s="4" t="s">
        <v>1443</v>
      </c>
      <c r="K3" s="4"/>
      <c r="L3" s="5"/>
      <c r="M3" s="4"/>
      <c r="N3" s="4"/>
      <c r="O3" s="4"/>
    </row>
    <row collapsed="false" customFormat="false" customHeight="true" hidden="false" ht="15" outlineLevel="0" r="4">
      <c r="A4" s="4" t="s">
        <v>1436</v>
      </c>
      <c r="B4" s="4" t="s">
        <v>1437</v>
      </c>
      <c r="C4" s="4" t="s">
        <v>1446</v>
      </c>
      <c r="D4" s="4" t="s">
        <v>15</v>
      </c>
      <c r="E4" s="4"/>
      <c r="F4" s="4"/>
      <c r="G4" s="4"/>
      <c r="H4" s="4"/>
      <c r="I4" s="4"/>
      <c r="J4" s="4" t="s">
        <v>1447</v>
      </c>
      <c r="K4" s="4"/>
      <c r="L4" s="5"/>
      <c r="M4" s="4"/>
      <c r="N4" s="4"/>
      <c r="O4" s="4"/>
    </row>
    <row collapsed="false" customFormat="false" customHeight="true" hidden="false" ht="15" outlineLevel="0" r="5">
      <c r="A5" s="4" t="s">
        <v>1448</v>
      </c>
      <c r="B5" s="4" t="s">
        <v>1437</v>
      </c>
      <c r="C5" s="4" t="s">
        <v>1449</v>
      </c>
      <c r="D5" s="4" t="s">
        <v>1237</v>
      </c>
      <c r="E5" s="4" t="s">
        <v>1450</v>
      </c>
      <c r="F5" s="4" t="s">
        <v>1451</v>
      </c>
      <c r="G5" s="4" t="s">
        <v>1452</v>
      </c>
      <c r="H5" s="4" t="s">
        <v>138</v>
      </c>
      <c r="I5" s="4" t="s">
        <v>1453</v>
      </c>
      <c r="J5" s="4" t="s">
        <v>1454</v>
      </c>
      <c r="K5" s="4" t="s">
        <v>1455</v>
      </c>
      <c r="L5" s="5" t="str">
        <f aca="false">HYPERLINK("mailto:foia.officer@aphis.usda.gov","mailto:foia.officer@aphis.usda.gov")</f>
        <v>mailto:foia.officer@aphis.usda.gov</v>
      </c>
      <c r="M5" s="4" t="s">
        <v>1456</v>
      </c>
      <c r="N5" s="4"/>
      <c r="O5" s="4"/>
    </row>
    <row collapsed="false" customFormat="false" customHeight="true" hidden="false" ht="15" outlineLevel="0" r="6">
      <c r="A6" s="4" t="s">
        <v>1448</v>
      </c>
      <c r="B6" s="4" t="s">
        <v>1437</v>
      </c>
      <c r="C6" s="4"/>
      <c r="D6" s="4" t="s">
        <v>12</v>
      </c>
      <c r="E6" s="4"/>
      <c r="F6" s="4"/>
      <c r="G6" s="4"/>
      <c r="H6" s="4"/>
      <c r="I6" s="4"/>
      <c r="J6" s="4" t="s">
        <v>1454</v>
      </c>
      <c r="K6" s="4"/>
      <c r="L6" s="5"/>
      <c r="M6" s="4"/>
      <c r="N6" s="4"/>
      <c r="O6" s="4"/>
    </row>
    <row collapsed="false" customFormat="false" customHeight="true" hidden="false" ht="15" outlineLevel="0" r="7">
      <c r="A7" s="4" t="s">
        <v>1448</v>
      </c>
      <c r="B7" s="4" t="s">
        <v>1437</v>
      </c>
      <c r="C7" s="4" t="s">
        <v>1449</v>
      </c>
      <c r="D7" s="4" t="s">
        <v>15</v>
      </c>
      <c r="E7" s="4"/>
      <c r="F7" s="4"/>
      <c r="G7" s="4"/>
      <c r="H7" s="4"/>
      <c r="I7" s="4"/>
      <c r="J7" s="4" t="s">
        <v>1457</v>
      </c>
      <c r="K7" s="4"/>
      <c r="L7" s="5"/>
      <c r="M7" s="4"/>
      <c r="N7" s="4"/>
      <c r="O7" s="4"/>
    </row>
    <row collapsed="false" customFormat="false" customHeight="true" hidden="false" ht="15" outlineLevel="0" r="8">
      <c r="A8" s="4" t="s">
        <v>1458</v>
      </c>
      <c r="B8" s="4" t="s">
        <v>1437</v>
      </c>
      <c r="C8" s="4" t="s">
        <v>1459</v>
      </c>
      <c r="D8" s="4" t="s">
        <v>114</v>
      </c>
      <c r="E8" s="4" t="s">
        <v>1460</v>
      </c>
      <c r="F8" s="4" t="s">
        <v>1441</v>
      </c>
      <c r="G8" s="4" t="s">
        <v>5</v>
      </c>
      <c r="H8" s="4" t="s">
        <v>6</v>
      </c>
      <c r="I8" s="4" t="n">
        <v>20250</v>
      </c>
      <c r="J8" s="4" t="s">
        <v>1461</v>
      </c>
      <c r="K8" s="4" t="s">
        <v>1462</v>
      </c>
      <c r="L8" s="5" t="str">
        <f aca="false">HYPERLINK("mailto:phyllis.holmes@usda.gov","mailto:phyllis.holmes@usda.gov")</f>
        <v>mailto:phyllis.holmes@usda.gov</v>
      </c>
      <c r="M8" s="4" t="s">
        <v>1463</v>
      </c>
      <c r="N8" s="4"/>
      <c r="O8" s="4"/>
    </row>
    <row collapsed="false" customFormat="false" customHeight="true" hidden="false" ht="15" outlineLevel="0" r="9">
      <c r="A9" s="4" t="s">
        <v>1458</v>
      </c>
      <c r="B9" s="4" t="s">
        <v>1437</v>
      </c>
      <c r="C9" s="4"/>
      <c r="D9" s="4" t="s">
        <v>12</v>
      </c>
      <c r="E9" s="4"/>
      <c r="F9" s="4"/>
      <c r="G9" s="4"/>
      <c r="H9" s="4"/>
      <c r="I9" s="4"/>
      <c r="J9" s="4" t="s">
        <v>1461</v>
      </c>
      <c r="K9" s="4"/>
      <c r="L9" s="5"/>
      <c r="M9" s="4"/>
      <c r="N9" s="4"/>
      <c r="O9" s="4"/>
    </row>
    <row collapsed="false" customFormat="false" customHeight="true" hidden="false" ht="15" outlineLevel="0" r="10">
      <c r="A10" s="4" t="s">
        <v>1458</v>
      </c>
      <c r="B10" s="4" t="s">
        <v>1437</v>
      </c>
      <c r="C10" s="4" t="s">
        <v>1459</v>
      </c>
      <c r="D10" s="4" t="s">
        <v>15</v>
      </c>
      <c r="E10" s="4"/>
      <c r="F10" s="4"/>
      <c r="G10" s="4"/>
      <c r="H10" s="4"/>
      <c r="I10" s="4"/>
      <c r="J10" s="4" t="s">
        <v>1461</v>
      </c>
      <c r="K10" s="4"/>
      <c r="L10" s="5"/>
      <c r="M10" s="4"/>
      <c r="N10" s="4"/>
      <c r="O10" s="4"/>
    </row>
    <row collapsed="false" customFormat="false" customHeight="true" hidden="false" ht="15" outlineLevel="0" r="11">
      <c r="A11" s="4" t="s">
        <v>1464</v>
      </c>
      <c r="B11" s="4" t="s">
        <v>1437</v>
      </c>
      <c r="C11" s="4" t="s">
        <v>1465</v>
      </c>
      <c r="D11" s="4" t="s">
        <v>2</v>
      </c>
      <c r="E11" s="4" t="s">
        <v>1466</v>
      </c>
      <c r="F11" s="4" t="s">
        <v>1441</v>
      </c>
      <c r="G11" s="4" t="s">
        <v>5</v>
      </c>
      <c r="H11" s="4" t="s">
        <v>6</v>
      </c>
      <c r="I11" s="4" t="n">
        <v>20250</v>
      </c>
      <c r="J11" s="4" t="s">
        <v>1467</v>
      </c>
      <c r="K11" s="4" t="s">
        <v>1468</v>
      </c>
      <c r="L11" s="5" t="str">
        <f aca="false">HYPERLINK("mailto:fsa.foia@wdc.usda.gov","mailto:fsa.foia@wdc.usda.gov")</f>
        <v>mailto:fsa.foia@wdc.usda.gov</v>
      </c>
      <c r="M11" s="4" t="s">
        <v>1469</v>
      </c>
      <c r="N11" s="5"/>
      <c r="O11" s="4"/>
    </row>
    <row collapsed="false" customFormat="false" customHeight="true" hidden="false" ht="15" outlineLevel="0" r="12">
      <c r="A12" s="4" t="s">
        <v>1464</v>
      </c>
      <c r="B12" s="4" t="s">
        <v>1437</v>
      </c>
      <c r="C12" s="4"/>
      <c r="D12" s="4" t="s">
        <v>12</v>
      </c>
      <c r="E12" s="4"/>
      <c r="F12" s="4"/>
      <c r="G12" s="4"/>
      <c r="H12" s="4"/>
      <c r="I12" s="4"/>
      <c r="J12" s="4" t="s">
        <v>1470</v>
      </c>
      <c r="K12" s="4"/>
      <c r="L12" s="5"/>
      <c r="M12" s="4"/>
      <c r="N12" s="4"/>
      <c r="O12" s="4"/>
    </row>
    <row collapsed="false" customFormat="false" customHeight="true" hidden="false" ht="15" outlineLevel="0" r="13">
      <c r="A13" s="4" t="s">
        <v>1464</v>
      </c>
      <c r="B13" s="4" t="s">
        <v>1437</v>
      </c>
      <c r="C13" s="4" t="s">
        <v>1465</v>
      </c>
      <c r="D13" s="4" t="s">
        <v>15</v>
      </c>
      <c r="E13" s="4"/>
      <c r="F13" s="4"/>
      <c r="G13" s="4"/>
      <c r="H13" s="4"/>
      <c r="I13" s="4"/>
      <c r="J13" s="4" t="s">
        <v>1467</v>
      </c>
      <c r="K13" s="4"/>
      <c r="L13" s="5"/>
      <c r="M13" s="4"/>
      <c r="N13" s="4"/>
      <c r="O13" s="4"/>
    </row>
    <row collapsed="false" customFormat="false" customHeight="true" hidden="false" ht="15" outlineLevel="0" r="14">
      <c r="A14" s="4" t="s">
        <v>1471</v>
      </c>
      <c r="B14" s="4" t="s">
        <v>1437</v>
      </c>
      <c r="C14" s="4" t="s">
        <v>1472</v>
      </c>
      <c r="D14" s="4" t="s">
        <v>1473</v>
      </c>
      <c r="E14" s="4" t="s">
        <v>1474</v>
      </c>
      <c r="F14" s="4" t="s">
        <v>1475</v>
      </c>
      <c r="G14" s="4" t="s">
        <v>807</v>
      </c>
      <c r="H14" s="4" t="s">
        <v>31</v>
      </c>
      <c r="I14" s="4" t="n">
        <v>22302</v>
      </c>
      <c r="J14" s="4" t="s">
        <v>1476</v>
      </c>
      <c r="K14" s="4" t="s">
        <v>1477</v>
      </c>
      <c r="L14" s="5" t="str">
        <f aca="false">HYPERLINK("mailto:foia@fns.usda.gov","mailto:foia@fns.usda.gov")</f>
        <v>mailto:foia@fns.usda.gov</v>
      </c>
      <c r="M14" s="4" t="s">
        <v>1478</v>
      </c>
      <c r="N14" s="4"/>
      <c r="O14" s="4"/>
    </row>
    <row collapsed="false" customFormat="false" customHeight="true" hidden="false" ht="15" outlineLevel="0" r="15">
      <c r="A15" s="4" t="s">
        <v>1471</v>
      </c>
      <c r="B15" s="4" t="s">
        <v>1437</v>
      </c>
      <c r="C15" s="4"/>
      <c r="D15" s="4" t="s">
        <v>12</v>
      </c>
      <c r="E15" s="4"/>
      <c r="F15" s="4"/>
      <c r="G15" s="4"/>
      <c r="H15" s="4"/>
      <c r="I15" s="4"/>
      <c r="J15" s="4" t="s">
        <v>1476</v>
      </c>
      <c r="K15" s="4"/>
      <c r="L15" s="5"/>
      <c r="M15" s="4"/>
      <c r="N15" s="4"/>
      <c r="O15" s="4"/>
    </row>
    <row collapsed="false" customFormat="false" customHeight="true" hidden="false" ht="15" outlineLevel="0" r="16">
      <c r="A16" s="4" t="s">
        <v>1471</v>
      </c>
      <c r="B16" s="4" t="s">
        <v>1437</v>
      </c>
      <c r="C16" s="4" t="s">
        <v>1479</v>
      </c>
      <c r="D16" s="4" t="s">
        <v>15</v>
      </c>
      <c r="E16" s="4"/>
      <c r="F16" s="4"/>
      <c r="G16" s="4"/>
      <c r="H16" s="4"/>
      <c r="I16" s="4"/>
      <c r="J16" s="4" t="s">
        <v>1476</v>
      </c>
      <c r="K16" s="4"/>
      <c r="L16" s="5"/>
      <c r="M16" s="4"/>
      <c r="N16" s="4"/>
      <c r="O16" s="4"/>
    </row>
    <row collapsed="false" customFormat="false" customHeight="true" hidden="false" ht="15" outlineLevel="0" r="17">
      <c r="A17" s="4" t="s">
        <v>1480</v>
      </c>
      <c r="B17" s="4" t="s">
        <v>1437</v>
      </c>
      <c r="C17" s="4" t="s">
        <v>1481</v>
      </c>
      <c r="D17" s="4" t="s">
        <v>114</v>
      </c>
      <c r="E17" s="4" t="s">
        <v>1482</v>
      </c>
      <c r="F17" s="4" t="s">
        <v>1441</v>
      </c>
      <c r="G17" s="4" t="s">
        <v>5</v>
      </c>
      <c r="H17" s="4" t="s">
        <v>6</v>
      </c>
      <c r="I17" s="4" t="s">
        <v>1483</v>
      </c>
      <c r="J17" s="4" t="s">
        <v>1484</v>
      </c>
      <c r="K17" s="4" t="s">
        <v>1485</v>
      </c>
      <c r="L17" s="5" t="str">
        <f aca="false">HYPERLINK("mailto:FOIA@FSIS.USDA.gov","mailto:FOIA@FSIS.USDA.gov")</f>
        <v>mailto:FOIA@FSIS.USDA.gov</v>
      </c>
      <c r="M17" s="4" t="s">
        <v>1486</v>
      </c>
      <c r="N17" s="4"/>
      <c r="O17" s="4"/>
    </row>
    <row collapsed="false" customFormat="false" customHeight="true" hidden="false" ht="15" outlineLevel="0" r="18">
      <c r="A18" s="4" t="s">
        <v>1480</v>
      </c>
      <c r="B18" s="4" t="s">
        <v>1437</v>
      </c>
      <c r="C18" s="4"/>
      <c r="D18" s="4" t="s">
        <v>12</v>
      </c>
      <c r="E18" s="4"/>
      <c r="F18" s="4"/>
      <c r="G18" s="4"/>
      <c r="H18" s="4"/>
      <c r="I18" s="4"/>
      <c r="J18" s="4" t="s">
        <v>1487</v>
      </c>
      <c r="K18" s="4"/>
      <c r="L18" s="5"/>
      <c r="M18" s="4"/>
      <c r="N18" s="4"/>
      <c r="O18" s="4"/>
    </row>
    <row collapsed="false" customFormat="false" customHeight="true" hidden="false" ht="15" outlineLevel="0" r="19">
      <c r="A19" s="4" t="s">
        <v>1480</v>
      </c>
      <c r="B19" s="4" t="s">
        <v>1437</v>
      </c>
      <c r="C19" s="4" t="s">
        <v>1481</v>
      </c>
      <c r="D19" s="4" t="s">
        <v>15</v>
      </c>
      <c r="E19" s="4"/>
      <c r="F19" s="4"/>
      <c r="G19" s="4"/>
      <c r="H19" s="4"/>
      <c r="I19" s="4"/>
      <c r="J19" s="4" t="s">
        <v>1484</v>
      </c>
      <c r="K19" s="4"/>
      <c r="L19" s="5"/>
      <c r="M19" s="4"/>
      <c r="N19" s="4"/>
      <c r="O19" s="4"/>
    </row>
    <row collapsed="false" customFormat="false" customHeight="true" hidden="false" ht="15" outlineLevel="0" r="20">
      <c r="A20" s="4" t="s">
        <v>1488</v>
      </c>
      <c r="B20" s="4" t="s">
        <v>1437</v>
      </c>
      <c r="C20" s="4" t="s">
        <v>1489</v>
      </c>
      <c r="D20" s="4" t="s">
        <v>2</v>
      </c>
      <c r="E20" s="4" t="s">
        <v>1490</v>
      </c>
      <c r="F20" s="4" t="s">
        <v>1441</v>
      </c>
      <c r="G20" s="4" t="s">
        <v>5</v>
      </c>
      <c r="H20" s="4" t="s">
        <v>6</v>
      </c>
      <c r="I20" s="4" t="s">
        <v>1491</v>
      </c>
      <c r="J20" s="4" t="s">
        <v>1492</v>
      </c>
      <c r="K20" s="4"/>
      <c r="L20" s="5" t="str">
        <f aca="false">HYPERLINK("mailto:Henry.Noland@fas.usda.gov","mailto:Henry.Noland@fas.usda.gov")</f>
        <v>mailto:Henry.Noland@fas.usda.gov</v>
      </c>
      <c r="M20" s="4" t="s">
        <v>1493</v>
      </c>
      <c r="N20" s="4"/>
      <c r="O20" s="4"/>
    </row>
    <row collapsed="false" customFormat="false" customHeight="true" hidden="false" ht="15" outlineLevel="0" r="21">
      <c r="A21" s="4" t="s">
        <v>1488</v>
      </c>
      <c r="B21" s="4" t="s">
        <v>1437</v>
      </c>
      <c r="C21" s="4"/>
      <c r="D21" s="4" t="s">
        <v>12</v>
      </c>
      <c r="E21" s="4"/>
      <c r="F21" s="4"/>
      <c r="G21" s="4"/>
      <c r="H21" s="4"/>
      <c r="I21" s="4"/>
      <c r="J21" s="4" t="s">
        <v>1494</v>
      </c>
      <c r="K21" s="4"/>
      <c r="L21" s="5"/>
      <c r="M21" s="4"/>
      <c r="N21" s="4"/>
      <c r="O21" s="4"/>
    </row>
    <row collapsed="false" customFormat="false" customHeight="true" hidden="false" ht="15" outlineLevel="0" r="22">
      <c r="A22" s="4" t="s">
        <v>1488</v>
      </c>
      <c r="B22" s="4" t="s">
        <v>1437</v>
      </c>
      <c r="C22" s="4" t="s">
        <v>1495</v>
      </c>
      <c r="D22" s="4" t="s">
        <v>15</v>
      </c>
      <c r="E22" s="4"/>
      <c r="F22" s="4"/>
      <c r="G22" s="4"/>
      <c r="H22" s="4"/>
      <c r="I22" s="4"/>
      <c r="J22" s="4" t="s">
        <v>1496</v>
      </c>
      <c r="K22" s="4"/>
      <c r="L22" s="5"/>
      <c r="M22" s="4"/>
      <c r="N22" s="4"/>
      <c r="O22" s="4"/>
    </row>
    <row collapsed="false" customFormat="false" customHeight="true" hidden="false" ht="15" outlineLevel="0" r="23">
      <c r="A23" s="4" t="s">
        <v>1497</v>
      </c>
      <c r="B23" s="4" t="s">
        <v>1437</v>
      </c>
      <c r="C23" s="4" t="s">
        <v>1498</v>
      </c>
      <c r="D23" s="4" t="s">
        <v>1499</v>
      </c>
      <c r="E23" s="4" t="s">
        <v>1500</v>
      </c>
      <c r="F23" s="4" t="s">
        <v>1441</v>
      </c>
      <c r="G23" s="4" t="s">
        <v>5</v>
      </c>
      <c r="H23" s="4" t="s">
        <v>6</v>
      </c>
      <c r="I23" s="4" t="s">
        <v>1501</v>
      </c>
      <c r="J23" s="4" t="s">
        <v>1502</v>
      </c>
      <c r="K23" s="4" t="s">
        <v>1503</v>
      </c>
      <c r="L23" s="5" t="str">
        <f aca="false">HYPERLINK("mailto:wo_foia@fs.fed.us","mailto:wo_foia@fs.fed.us")</f>
        <v>mailto:wo_foia@fs.fed.us</v>
      </c>
      <c r="M23" s="4" t="s">
        <v>1504</v>
      </c>
      <c r="N23" s="4"/>
      <c r="O23" s="4"/>
    </row>
    <row collapsed="false" customFormat="false" customHeight="true" hidden="false" ht="15" outlineLevel="0" r="24">
      <c r="A24" s="4" t="s">
        <v>1497</v>
      </c>
      <c r="B24" s="4" t="s">
        <v>1437</v>
      </c>
      <c r="C24" s="4"/>
      <c r="D24" s="4" t="s">
        <v>12</v>
      </c>
      <c r="E24" s="4"/>
      <c r="F24" s="4"/>
      <c r="G24" s="4"/>
      <c r="H24" s="4"/>
      <c r="I24" s="4"/>
      <c r="J24" s="4" t="s">
        <v>1505</v>
      </c>
      <c r="K24" s="4" t="s">
        <v>1503</v>
      </c>
      <c r="L24" s="5"/>
      <c r="M24" s="4"/>
      <c r="N24" s="4"/>
      <c r="O24" s="4"/>
    </row>
    <row collapsed="false" customFormat="false" customHeight="true" hidden="false" ht="15" outlineLevel="0" r="25">
      <c r="A25" s="4" t="s">
        <v>1497</v>
      </c>
      <c r="B25" s="4" t="s">
        <v>1437</v>
      </c>
      <c r="C25" s="4" t="s">
        <v>1498</v>
      </c>
      <c r="D25" s="4" t="s">
        <v>15</v>
      </c>
      <c r="E25" s="4"/>
      <c r="F25" s="4"/>
      <c r="G25" s="4"/>
      <c r="H25" s="4"/>
      <c r="I25" s="4"/>
      <c r="J25" s="4" t="s">
        <v>1502</v>
      </c>
      <c r="K25" s="4" t="s">
        <v>1503</v>
      </c>
      <c r="L25" s="5"/>
      <c r="M25" s="4"/>
      <c r="N25" s="4"/>
      <c r="O25" s="4"/>
    </row>
    <row collapsed="false" customFormat="false" customHeight="true" hidden="false" ht="15" outlineLevel="0" r="26">
      <c r="A26" s="4" t="s">
        <v>1506</v>
      </c>
      <c r="B26" s="4" t="s">
        <v>1437</v>
      </c>
      <c r="C26" s="4" t="s">
        <v>1507</v>
      </c>
      <c r="D26" s="4" t="s">
        <v>1439</v>
      </c>
      <c r="E26" s="4" t="s">
        <v>1508</v>
      </c>
      <c r="F26" s="4" t="s">
        <v>1441</v>
      </c>
      <c r="G26" s="4" t="s">
        <v>5</v>
      </c>
      <c r="H26" s="4" t="s">
        <v>6</v>
      </c>
      <c r="I26" s="4" t="s">
        <v>1509</v>
      </c>
      <c r="J26" s="4" t="s">
        <v>1510</v>
      </c>
      <c r="K26" s="4" t="s">
        <v>1511</v>
      </c>
      <c r="L26" s="5" t="str">
        <f aca="false">HYPERLINK("mailto:joanne.c.peterson@usda.gov","mailto:joanne.c.peterson@usda.gov")</f>
        <v>mailto:joanne.c.peterson@usda.gov</v>
      </c>
      <c r="M26" s="4" t="s">
        <v>1512</v>
      </c>
      <c r="N26" s="4"/>
      <c r="O26" s="4"/>
    </row>
    <row collapsed="false" customFormat="false" customHeight="true" hidden="false" ht="15" outlineLevel="0" r="27">
      <c r="A27" s="4" t="s">
        <v>1506</v>
      </c>
      <c r="B27" s="4" t="s">
        <v>1437</v>
      </c>
      <c r="C27" s="4" t="s">
        <v>1507</v>
      </c>
      <c r="D27" s="4" t="s">
        <v>12</v>
      </c>
      <c r="E27" s="4"/>
      <c r="F27" s="4"/>
      <c r="G27" s="4"/>
      <c r="H27" s="4"/>
      <c r="I27" s="4"/>
      <c r="J27" s="4" t="s">
        <v>1510</v>
      </c>
      <c r="K27" s="4" t="s">
        <v>1513</v>
      </c>
      <c r="L27" s="5" t="str">
        <f aca="false">HYPERLINK("mailto:joanne.c.peterson@usda.gov","mailto:joanne.c.peterson@usda.gov")</f>
        <v>mailto:joanne.c.peterson@usda.gov</v>
      </c>
      <c r="M27" s="4"/>
      <c r="N27" s="4"/>
      <c r="O27" s="4"/>
    </row>
    <row collapsed="false" customFormat="false" customHeight="true" hidden="false" ht="15" outlineLevel="0" r="28">
      <c r="A28" s="4" t="s">
        <v>1506</v>
      </c>
      <c r="B28" s="4" t="s">
        <v>1437</v>
      </c>
      <c r="C28" s="4" t="s">
        <v>1514</v>
      </c>
      <c r="D28" s="4" t="s">
        <v>15</v>
      </c>
      <c r="E28" s="4"/>
      <c r="F28" s="4"/>
      <c r="G28" s="4"/>
      <c r="H28" s="4"/>
      <c r="I28" s="4"/>
      <c r="J28" s="4" t="s">
        <v>1515</v>
      </c>
      <c r="K28" s="4"/>
      <c r="L28" s="5"/>
      <c r="M28" s="4"/>
      <c r="N28" s="4"/>
      <c r="O28" s="4"/>
    </row>
    <row collapsed="false" customFormat="false" customHeight="true" hidden="false" ht="15" outlineLevel="0" r="29">
      <c r="A29" s="4" t="s">
        <v>1516</v>
      </c>
      <c r="B29" s="4" t="s">
        <v>1437</v>
      </c>
      <c r="C29" s="4" t="s">
        <v>1517</v>
      </c>
      <c r="D29" s="4" t="s">
        <v>1518</v>
      </c>
      <c r="E29" s="4" t="s">
        <v>1519</v>
      </c>
      <c r="F29" s="4" t="s">
        <v>1475</v>
      </c>
      <c r="G29" s="4" t="s">
        <v>807</v>
      </c>
      <c r="H29" s="4" t="s">
        <v>31</v>
      </c>
      <c r="I29" s="4" t="n">
        <v>22302</v>
      </c>
      <c r="J29" s="4" t="s">
        <v>1520</v>
      </c>
      <c r="K29" s="4" t="s">
        <v>1521</v>
      </c>
      <c r="L29" s="5" t="str">
        <f aca="false">HYPERLINK("mailto:Brenda.Seegars@nad.usda.gov","mailto:Brenda.Seegars@nad.usda.gov")</f>
        <v>mailto:Brenda.Seegars@nad.usda.gov</v>
      </c>
      <c r="M29" s="4" t="s">
        <v>1522</v>
      </c>
      <c r="N29" s="4"/>
      <c r="O29" s="4"/>
    </row>
    <row collapsed="false" customFormat="false" customHeight="true" hidden="false" ht="15" outlineLevel="0" r="30">
      <c r="A30" s="4" t="s">
        <v>1516</v>
      </c>
      <c r="B30" s="4" t="s">
        <v>1437</v>
      </c>
      <c r="C30" s="4"/>
      <c r="D30" s="4" t="s">
        <v>12</v>
      </c>
      <c r="E30" s="4"/>
      <c r="F30" s="4"/>
      <c r="G30" s="4"/>
      <c r="H30" s="4"/>
      <c r="I30" s="4"/>
      <c r="J30" s="4" t="s">
        <v>1520</v>
      </c>
      <c r="K30" s="4"/>
      <c r="L30" s="5"/>
      <c r="M30" s="4"/>
      <c r="N30" s="4"/>
      <c r="O30" s="4"/>
    </row>
    <row collapsed="false" customFormat="false" customHeight="true" hidden="false" ht="15" outlineLevel="0" r="31">
      <c r="A31" s="4" t="s">
        <v>1516</v>
      </c>
      <c r="B31" s="4" t="s">
        <v>1437</v>
      </c>
      <c r="C31" s="4" t="s">
        <v>1517</v>
      </c>
      <c r="D31" s="4" t="s">
        <v>15</v>
      </c>
      <c r="E31" s="4"/>
      <c r="F31" s="4"/>
      <c r="G31" s="4"/>
      <c r="H31" s="4"/>
      <c r="I31" s="4"/>
      <c r="J31" s="4" t="s">
        <v>1520</v>
      </c>
      <c r="K31" s="4"/>
      <c r="L31" s="5"/>
      <c r="M31" s="4"/>
      <c r="N31" s="4"/>
      <c r="O31" s="4"/>
    </row>
    <row collapsed="false" customFormat="false" customHeight="true" hidden="false" ht="15" outlineLevel="0" r="32">
      <c r="A32" s="4" t="s">
        <v>1523</v>
      </c>
      <c r="B32" s="4" t="s">
        <v>1437</v>
      </c>
      <c r="C32" s="4" t="s">
        <v>1524</v>
      </c>
      <c r="D32" s="4" t="s">
        <v>2</v>
      </c>
      <c r="E32" s="4"/>
      <c r="F32" s="4" t="s">
        <v>1525</v>
      </c>
      <c r="G32" s="4" t="s">
        <v>1526</v>
      </c>
      <c r="H32" s="4" t="s">
        <v>1527</v>
      </c>
      <c r="I32" s="4" t="n">
        <v>70160</v>
      </c>
      <c r="J32" s="4" t="s">
        <v>1528</v>
      </c>
      <c r="K32" s="4" t="s">
        <v>1529</v>
      </c>
      <c r="L32" s="5"/>
      <c r="M32" s="4" t="s">
        <v>1530</v>
      </c>
      <c r="N32" s="4"/>
      <c r="O32" s="4"/>
    </row>
    <row collapsed="false" customFormat="false" customHeight="true" hidden="false" ht="15" outlineLevel="0" r="33">
      <c r="A33" s="4" t="s">
        <v>1523</v>
      </c>
      <c r="B33" s="4" t="s">
        <v>1437</v>
      </c>
      <c r="C33" s="4"/>
      <c r="D33" s="4" t="s">
        <v>12</v>
      </c>
      <c r="E33" s="4"/>
      <c r="F33" s="4"/>
      <c r="G33" s="4"/>
      <c r="H33" s="4"/>
      <c r="I33" s="4"/>
      <c r="J33" s="4" t="s">
        <v>1531</v>
      </c>
      <c r="K33" s="4"/>
      <c r="L33" s="5"/>
      <c r="M33" s="4"/>
      <c r="N33" s="4"/>
      <c r="O33" s="4"/>
    </row>
    <row collapsed="false" customFormat="false" customHeight="true" hidden="false" ht="15" outlineLevel="0" r="34">
      <c r="A34" s="4" t="s">
        <v>1523</v>
      </c>
      <c r="B34" s="4" t="s">
        <v>1437</v>
      </c>
      <c r="C34" s="4" t="s">
        <v>1532</v>
      </c>
      <c r="D34" s="4" t="s">
        <v>15</v>
      </c>
      <c r="E34" s="4"/>
      <c r="F34" s="4"/>
      <c r="G34" s="4"/>
      <c r="H34" s="4"/>
      <c r="I34" s="4"/>
      <c r="J34" s="4" t="s">
        <v>1533</v>
      </c>
      <c r="K34" s="4"/>
      <c r="L34" s="5"/>
      <c r="M34" s="4"/>
      <c r="N34" s="4"/>
      <c r="O34" s="4"/>
    </row>
    <row collapsed="false" customFormat="false" customHeight="true" hidden="false" ht="15" outlineLevel="0" r="35">
      <c r="A35" s="4" t="s">
        <v>1534</v>
      </c>
      <c r="B35" s="4" t="s">
        <v>1437</v>
      </c>
      <c r="C35" s="4" t="s">
        <v>1535</v>
      </c>
      <c r="D35" s="4" t="s">
        <v>1536</v>
      </c>
      <c r="E35" s="4" t="s">
        <v>1537</v>
      </c>
      <c r="F35" s="4" t="s">
        <v>1441</v>
      </c>
      <c r="G35" s="4" t="s">
        <v>5</v>
      </c>
      <c r="H35" s="4" t="s">
        <v>6</v>
      </c>
      <c r="I35" s="4" t="n">
        <v>20250</v>
      </c>
      <c r="J35" s="4" t="s">
        <v>1538</v>
      </c>
      <c r="K35" s="4" t="s">
        <v>1539</v>
      </c>
      <c r="L35" s="5" t="str">
        <f aca="false">HYPERLINK("mailto:NRCSfoia@wdc.usda.gov","mailto:NRCSfoia@wdc.usda.gov")</f>
        <v>mailto:NRCSfoia@wdc.usda.gov</v>
      </c>
      <c r="M35" s="4" t="s">
        <v>1540</v>
      </c>
      <c r="N35" s="4"/>
      <c r="O35" s="4"/>
    </row>
    <row collapsed="false" customFormat="false" customHeight="true" hidden="false" ht="15" outlineLevel="0" r="36">
      <c r="A36" s="4" t="s">
        <v>1534</v>
      </c>
      <c r="B36" s="4" t="s">
        <v>1437</v>
      </c>
      <c r="C36" s="4"/>
      <c r="D36" s="4" t="s">
        <v>12</v>
      </c>
      <c r="E36" s="4"/>
      <c r="F36" s="4"/>
      <c r="G36" s="4"/>
      <c r="H36" s="4"/>
      <c r="I36" s="4"/>
      <c r="J36" s="4" t="s">
        <v>1538</v>
      </c>
      <c r="K36" s="4" t="s">
        <v>1539</v>
      </c>
      <c r="L36" s="5"/>
      <c r="M36" s="4"/>
      <c r="N36" s="4"/>
      <c r="O36" s="4"/>
    </row>
    <row collapsed="false" customFormat="false" customHeight="true" hidden="false" ht="15" outlineLevel="0" r="37">
      <c r="A37" s="4" t="s">
        <v>1534</v>
      </c>
      <c r="B37" s="4" t="s">
        <v>1437</v>
      </c>
      <c r="C37" s="4" t="s">
        <v>1535</v>
      </c>
      <c r="D37" s="4" t="s">
        <v>15</v>
      </c>
      <c r="E37" s="4"/>
      <c r="F37" s="4"/>
      <c r="G37" s="4"/>
      <c r="H37" s="4"/>
      <c r="I37" s="4"/>
      <c r="J37" s="4" t="s">
        <v>1538</v>
      </c>
      <c r="K37" s="4"/>
      <c r="L37" s="5"/>
      <c r="M37" s="4"/>
      <c r="N37" s="4"/>
      <c r="O37" s="4"/>
    </row>
    <row collapsed="false" customFormat="false" customHeight="true" hidden="false" ht="15" outlineLevel="0" r="38">
      <c r="A38" s="4" t="s">
        <v>1541</v>
      </c>
      <c r="B38" s="4" t="s">
        <v>1437</v>
      </c>
      <c r="C38" s="4" t="s">
        <v>1542</v>
      </c>
      <c r="D38" s="4" t="s">
        <v>1439</v>
      </c>
      <c r="E38" s="4" t="s">
        <v>1543</v>
      </c>
      <c r="F38" s="4" t="s">
        <v>1544</v>
      </c>
      <c r="G38" s="4" t="s">
        <v>5</v>
      </c>
      <c r="H38" s="4" t="s">
        <v>6</v>
      </c>
      <c r="I38" s="4" t="n">
        <v>20250</v>
      </c>
      <c r="J38" s="4" t="s">
        <v>1545</v>
      </c>
      <c r="K38" s="4" t="s">
        <v>1546</v>
      </c>
      <c r="L38" s="5"/>
      <c r="M38" s="4" t="s">
        <v>1463</v>
      </c>
      <c r="N38" s="4"/>
      <c r="O38" s="4"/>
    </row>
    <row collapsed="false" customFormat="false" customHeight="true" hidden="false" ht="15" outlineLevel="0" r="39">
      <c r="A39" s="4" t="s">
        <v>1541</v>
      </c>
      <c r="B39" s="4" t="s">
        <v>1437</v>
      </c>
      <c r="C39" s="4"/>
      <c r="D39" s="4" t="s">
        <v>12</v>
      </c>
      <c r="E39" s="4"/>
      <c r="F39" s="4"/>
      <c r="G39" s="4"/>
      <c r="H39" s="4"/>
      <c r="I39" s="4"/>
      <c r="J39" s="4" t="s">
        <v>1545</v>
      </c>
      <c r="K39" s="4"/>
      <c r="L39" s="5"/>
      <c r="M39" s="4"/>
      <c r="N39" s="4"/>
      <c r="O39" s="4"/>
    </row>
    <row collapsed="false" customFormat="false" customHeight="true" hidden="false" ht="15" outlineLevel="0" r="40">
      <c r="A40" s="4" t="s">
        <v>1541</v>
      </c>
      <c r="B40" s="4" t="s">
        <v>1437</v>
      </c>
      <c r="C40" s="4" t="s">
        <v>1542</v>
      </c>
      <c r="D40" s="4" t="s">
        <v>15</v>
      </c>
      <c r="E40" s="4"/>
      <c r="F40" s="4"/>
      <c r="G40" s="4"/>
      <c r="H40" s="4"/>
      <c r="I40" s="4"/>
      <c r="J40" s="4" t="s">
        <v>1545</v>
      </c>
      <c r="K40" s="4"/>
      <c r="L40" s="5"/>
      <c r="M40" s="4"/>
      <c r="N40" s="4"/>
      <c r="O40" s="4"/>
    </row>
    <row collapsed="false" customFormat="false" customHeight="true" hidden="false" ht="15" outlineLevel="0" r="41">
      <c r="A41" s="4" t="s">
        <v>1547</v>
      </c>
      <c r="B41" s="4" t="s">
        <v>1437</v>
      </c>
      <c r="C41" s="4" t="s">
        <v>1548</v>
      </c>
      <c r="D41" s="4" t="s">
        <v>1549</v>
      </c>
      <c r="E41" s="4" t="s">
        <v>1550</v>
      </c>
      <c r="F41" s="4" t="s">
        <v>1551</v>
      </c>
      <c r="G41" s="4" t="s">
        <v>5</v>
      </c>
      <c r="H41" s="4" t="s">
        <v>6</v>
      </c>
      <c r="I41" s="4" t="n">
        <v>20250</v>
      </c>
      <c r="J41" s="4" t="s">
        <v>1552</v>
      </c>
      <c r="K41" s="4" t="s">
        <v>1553</v>
      </c>
      <c r="L41" s="5"/>
      <c r="M41" s="4" t="s">
        <v>1463</v>
      </c>
      <c r="N41" s="4"/>
      <c r="O41" s="4"/>
    </row>
    <row collapsed="false" customFormat="false" customHeight="true" hidden="false" ht="15" outlineLevel="0" r="42">
      <c r="A42" s="4" t="s">
        <v>1547</v>
      </c>
      <c r="B42" s="4" t="s">
        <v>1437</v>
      </c>
      <c r="C42" s="4"/>
      <c r="D42" s="4" t="s">
        <v>12</v>
      </c>
      <c r="E42" s="4"/>
      <c r="F42" s="4"/>
      <c r="G42" s="4"/>
      <c r="H42" s="4"/>
      <c r="I42" s="4"/>
      <c r="J42" s="4" t="s">
        <v>1554</v>
      </c>
      <c r="K42" s="4"/>
      <c r="L42" s="5"/>
      <c r="M42" s="4"/>
      <c r="N42" s="4"/>
      <c r="O42" s="4"/>
    </row>
    <row collapsed="false" customFormat="false" customHeight="true" hidden="false" ht="15" outlineLevel="0" r="43">
      <c r="A43" s="4" t="s">
        <v>1547</v>
      </c>
      <c r="B43" s="4" t="s">
        <v>1437</v>
      </c>
      <c r="C43" s="4" t="s">
        <v>1548</v>
      </c>
      <c r="D43" s="4" t="s">
        <v>15</v>
      </c>
      <c r="E43" s="4"/>
      <c r="F43" s="4"/>
      <c r="G43" s="4"/>
      <c r="H43" s="4"/>
      <c r="I43" s="4"/>
      <c r="J43" s="4" t="s">
        <v>1552</v>
      </c>
      <c r="K43" s="4"/>
      <c r="L43" s="5"/>
      <c r="M43" s="4"/>
      <c r="N43" s="4"/>
      <c r="O43" s="4"/>
    </row>
    <row collapsed="false" customFormat="false" customHeight="true" hidden="false" ht="15" outlineLevel="0" r="44">
      <c r="A44" s="4" t="s">
        <v>1555</v>
      </c>
      <c r="B44" s="4" t="s">
        <v>1437</v>
      </c>
      <c r="C44" s="4" t="s">
        <v>1556</v>
      </c>
      <c r="D44" s="4" t="s">
        <v>1439</v>
      </c>
      <c r="E44" s="4" t="s">
        <v>1557</v>
      </c>
      <c r="F44" s="4" t="s">
        <v>1558</v>
      </c>
      <c r="G44" s="4" t="s">
        <v>5</v>
      </c>
      <c r="H44" s="4" t="s">
        <v>6</v>
      </c>
      <c r="I44" s="4" t="n">
        <v>20024</v>
      </c>
      <c r="J44" s="4" t="s">
        <v>1559</v>
      </c>
      <c r="K44" s="4"/>
      <c r="L44" s="5"/>
      <c r="M44" s="4" t="s">
        <v>1463</v>
      </c>
      <c r="N44" s="4"/>
      <c r="O44" s="4"/>
    </row>
    <row collapsed="false" customFormat="false" customHeight="true" hidden="false" ht="15" outlineLevel="0" r="45">
      <c r="A45" s="4" t="s">
        <v>1555</v>
      </c>
      <c r="B45" s="4" t="s">
        <v>1437</v>
      </c>
      <c r="C45" s="4"/>
      <c r="D45" s="4" t="s">
        <v>12</v>
      </c>
      <c r="E45" s="4"/>
      <c r="F45" s="4"/>
      <c r="G45" s="4"/>
      <c r="H45" s="4"/>
      <c r="I45" s="4"/>
      <c r="J45" s="4" t="s">
        <v>1560</v>
      </c>
      <c r="K45" s="4"/>
      <c r="L45" s="5"/>
      <c r="M45" s="4"/>
      <c r="N45" s="4"/>
      <c r="O45" s="4"/>
    </row>
    <row collapsed="false" customFormat="false" customHeight="true" hidden="false" ht="15" outlineLevel="0" r="46">
      <c r="A46" s="4" t="s">
        <v>1555</v>
      </c>
      <c r="B46" s="4" t="s">
        <v>1437</v>
      </c>
      <c r="C46" s="4" t="s">
        <v>1561</v>
      </c>
      <c r="D46" s="4" t="s">
        <v>15</v>
      </c>
      <c r="E46" s="4"/>
      <c r="F46" s="4"/>
      <c r="G46" s="4"/>
      <c r="H46" s="4"/>
      <c r="I46" s="4"/>
      <c r="J46" s="4" t="s">
        <v>1562</v>
      </c>
      <c r="K46" s="4"/>
      <c r="L46" s="5"/>
      <c r="M46" s="4"/>
      <c r="N46" s="4"/>
      <c r="O46" s="4"/>
    </row>
    <row collapsed="false" customFormat="false" customHeight="true" hidden="false" ht="15" outlineLevel="0" r="47">
      <c r="A47" s="4" t="s">
        <v>1563</v>
      </c>
      <c r="B47" s="4" t="s">
        <v>1437</v>
      </c>
      <c r="C47" s="4" t="s">
        <v>1564</v>
      </c>
      <c r="D47" s="4" t="s">
        <v>1565</v>
      </c>
      <c r="E47" s="4"/>
      <c r="F47" s="4" t="s">
        <v>1441</v>
      </c>
      <c r="G47" s="4" t="s">
        <v>5</v>
      </c>
      <c r="H47" s="4" t="s">
        <v>6</v>
      </c>
      <c r="I47" s="4" t="s">
        <v>1566</v>
      </c>
      <c r="J47" s="4" t="s">
        <v>1567</v>
      </c>
      <c r="K47" s="4" t="s">
        <v>1568</v>
      </c>
      <c r="L47" s="5" t="str">
        <f aca="false">HYPERLINK("mailto:ascrfoia@usda.gov","mailto:ascrfoia@usda.gov")</f>
        <v>mailto:ascrfoia@usda.gov</v>
      </c>
      <c r="M47" s="4" t="s">
        <v>1569</v>
      </c>
      <c r="N47" s="4"/>
      <c r="O47" s="4"/>
    </row>
    <row collapsed="false" customFormat="false" customHeight="true" hidden="false" ht="15" outlineLevel="0" r="48">
      <c r="A48" s="4" t="s">
        <v>1563</v>
      </c>
      <c r="B48" s="4" t="s">
        <v>1437</v>
      </c>
      <c r="C48" s="4"/>
      <c r="D48" s="4" t="s">
        <v>12</v>
      </c>
      <c r="E48" s="4"/>
      <c r="F48" s="4"/>
      <c r="G48" s="4"/>
      <c r="H48" s="4"/>
      <c r="I48" s="4"/>
      <c r="J48" s="4" t="s">
        <v>1567</v>
      </c>
      <c r="K48" s="4" t="s">
        <v>1568</v>
      </c>
      <c r="L48" s="5" t="str">
        <f aca="false">HYPERLINK("mailto:ascrfoia@usda.gov","mailto:ascrfoia@usda.gov")</f>
        <v>mailto:ascrfoia@usda.gov</v>
      </c>
      <c r="M48" s="4"/>
      <c r="N48" s="4"/>
      <c r="O48" s="4"/>
    </row>
    <row collapsed="false" customFormat="false" customHeight="true" hidden="false" ht="15" outlineLevel="0" r="49">
      <c r="A49" s="4" t="s">
        <v>1563</v>
      </c>
      <c r="B49" s="4" t="s">
        <v>1437</v>
      </c>
      <c r="C49" s="4" t="s">
        <v>1564</v>
      </c>
      <c r="D49" s="4" t="s">
        <v>15</v>
      </c>
      <c r="E49" s="4"/>
      <c r="F49" s="4"/>
      <c r="G49" s="4"/>
      <c r="H49" s="4"/>
      <c r="I49" s="4"/>
      <c r="J49" s="4" t="s">
        <v>1567</v>
      </c>
      <c r="K49" s="4" t="s">
        <v>1568</v>
      </c>
      <c r="L49" s="5"/>
      <c r="M49" s="4"/>
      <c r="N49" s="4"/>
      <c r="O49" s="4"/>
    </row>
    <row collapsed="false" customFormat="false" customHeight="true" hidden="false" ht="15" outlineLevel="0" r="50">
      <c r="A50" s="4" t="s">
        <v>555</v>
      </c>
      <c r="B50" s="4" t="s">
        <v>1437</v>
      </c>
      <c r="C50" s="4" t="s">
        <v>1570</v>
      </c>
      <c r="D50" s="4" t="s">
        <v>1571</v>
      </c>
      <c r="E50" s="4" t="s">
        <v>1572</v>
      </c>
      <c r="F50" s="4"/>
      <c r="G50" s="4" t="s">
        <v>5</v>
      </c>
      <c r="H50" s="4" t="s">
        <v>6</v>
      </c>
      <c r="I50" s="4" t="s">
        <v>1573</v>
      </c>
      <c r="J50" s="4" t="s">
        <v>1574</v>
      </c>
      <c r="K50" s="4" t="s">
        <v>1575</v>
      </c>
      <c r="L50" s="5"/>
      <c r="M50" s="4" t="s">
        <v>1463</v>
      </c>
      <c r="N50" s="4"/>
      <c r="O50" s="4"/>
    </row>
    <row collapsed="false" customFormat="false" customHeight="true" hidden="false" ht="15" outlineLevel="0" r="51">
      <c r="A51" s="4" t="s">
        <v>555</v>
      </c>
      <c r="B51" s="4" t="s">
        <v>1437</v>
      </c>
      <c r="C51" s="4"/>
      <c r="D51" s="4" t="s">
        <v>12</v>
      </c>
      <c r="E51" s="4"/>
      <c r="F51" s="4"/>
      <c r="G51" s="4"/>
      <c r="H51" s="4"/>
      <c r="I51" s="4"/>
      <c r="J51" s="4" t="s">
        <v>1574</v>
      </c>
      <c r="K51" s="4"/>
      <c r="L51" s="5"/>
      <c r="M51" s="4"/>
      <c r="N51" s="4"/>
      <c r="O51" s="4"/>
    </row>
    <row collapsed="false" customFormat="false" customHeight="true" hidden="false" ht="15" outlineLevel="0" r="52">
      <c r="A52" s="4" t="s">
        <v>555</v>
      </c>
      <c r="B52" s="4" t="s">
        <v>1437</v>
      </c>
      <c r="C52" s="4" t="s">
        <v>1576</v>
      </c>
      <c r="D52" s="4" t="s">
        <v>15</v>
      </c>
      <c r="E52" s="4"/>
      <c r="F52" s="4"/>
      <c r="G52" s="4"/>
      <c r="H52" s="4"/>
      <c r="I52" s="4"/>
      <c r="J52" s="4" t="s">
        <v>1577</v>
      </c>
      <c r="K52" s="4"/>
      <c r="L52" s="5"/>
      <c r="M52" s="4"/>
      <c r="N52" s="4"/>
      <c r="O52" s="4"/>
    </row>
    <row collapsed="false" customFormat="false" customHeight="true" hidden="false" ht="15" outlineLevel="0" r="53">
      <c r="A53" s="4" t="s">
        <v>1578</v>
      </c>
      <c r="B53" s="4" t="s">
        <v>1437</v>
      </c>
      <c r="C53" s="4" t="s">
        <v>1579</v>
      </c>
      <c r="D53" s="4" t="s">
        <v>1580</v>
      </c>
      <c r="E53" s="4" t="s">
        <v>789</v>
      </c>
      <c r="F53" s="4" t="s">
        <v>1581</v>
      </c>
      <c r="G53" s="4" t="s">
        <v>5</v>
      </c>
      <c r="H53" s="4" t="s">
        <v>6</v>
      </c>
      <c r="I53" s="4" t="n">
        <v>20024</v>
      </c>
      <c r="J53" s="4" t="s">
        <v>1582</v>
      </c>
      <c r="K53" s="4"/>
      <c r="L53" s="5" t="str">
        <f aca="false">HYPERLINK("mailto:usdafoia@ocio.usda.gov","mailto:usdafoia@ocio.usda.gov")</f>
        <v>mailto:usdafoia@ocio.usda.gov</v>
      </c>
      <c r="M53" s="4" t="s">
        <v>1463</v>
      </c>
      <c r="N53" s="4"/>
      <c r="O53" s="4"/>
    </row>
    <row collapsed="false" customFormat="false" customHeight="true" hidden="false" ht="15" outlineLevel="0" r="54">
      <c r="A54" s="4" t="s">
        <v>1578</v>
      </c>
      <c r="B54" s="4" t="s">
        <v>1437</v>
      </c>
      <c r="C54" s="4"/>
      <c r="D54" s="4" t="s">
        <v>12</v>
      </c>
      <c r="E54" s="4"/>
      <c r="F54" s="4"/>
      <c r="G54" s="4"/>
      <c r="H54" s="4"/>
      <c r="I54" s="4"/>
      <c r="J54" s="4" t="s">
        <v>1583</v>
      </c>
      <c r="K54" s="4"/>
      <c r="L54" s="5"/>
      <c r="M54" s="4"/>
      <c r="N54" s="4"/>
      <c r="O54" s="4"/>
    </row>
    <row collapsed="false" customFormat="false" customHeight="true" hidden="false" ht="15" outlineLevel="0" r="55">
      <c r="A55" s="4" t="s">
        <v>1578</v>
      </c>
      <c r="B55" s="4" t="s">
        <v>1437</v>
      </c>
      <c r="C55" s="4" t="s">
        <v>1579</v>
      </c>
      <c r="D55" s="4" t="s">
        <v>15</v>
      </c>
      <c r="E55" s="4"/>
      <c r="F55" s="4"/>
      <c r="G55" s="4"/>
      <c r="H55" s="4"/>
      <c r="I55" s="4"/>
      <c r="J55" s="4" t="s">
        <v>1583</v>
      </c>
      <c r="K55" s="4"/>
      <c r="L55" s="5"/>
      <c r="M55" s="4"/>
      <c r="N55" s="4"/>
      <c r="O55" s="4"/>
    </row>
    <row collapsed="false" customFormat="false" customHeight="true" hidden="false" ht="15" outlineLevel="0" r="56">
      <c r="A56" s="4" t="s">
        <v>1584</v>
      </c>
      <c r="B56" s="4" t="s">
        <v>1437</v>
      </c>
      <c r="C56" s="4" t="s">
        <v>1585</v>
      </c>
      <c r="D56" s="4" t="s">
        <v>2</v>
      </c>
      <c r="E56" s="4" t="s">
        <v>1586</v>
      </c>
      <c r="F56" s="4" t="s">
        <v>1441</v>
      </c>
      <c r="G56" s="4" t="s">
        <v>5</v>
      </c>
      <c r="H56" s="4" t="s">
        <v>6</v>
      </c>
      <c r="I56" s="4" t="n">
        <v>20250</v>
      </c>
      <c r="J56" s="4" t="s">
        <v>1587</v>
      </c>
      <c r="K56" s="4" t="s">
        <v>1588</v>
      </c>
      <c r="L56" s="5" t="str">
        <f aca="false">HYPERLINK("mailto:bill.crews@rma.usda.gov","mailto:bill.crews@rma.usda.gov")</f>
        <v>mailto:bill.crews@rma.usda.gov</v>
      </c>
      <c r="M56" s="4" t="s">
        <v>1589</v>
      </c>
      <c r="N56" s="4"/>
      <c r="O56" s="4"/>
    </row>
    <row collapsed="false" customFormat="false" customHeight="true" hidden="false" ht="15" outlineLevel="0" r="57">
      <c r="A57" s="4" t="s">
        <v>1584</v>
      </c>
      <c r="B57" s="4" t="s">
        <v>1437</v>
      </c>
      <c r="C57" s="4"/>
      <c r="D57" s="4" t="s">
        <v>12</v>
      </c>
      <c r="E57" s="4"/>
      <c r="F57" s="4"/>
      <c r="G57" s="4"/>
      <c r="H57" s="4"/>
      <c r="I57" s="4"/>
      <c r="J57" s="4" t="s">
        <v>1587</v>
      </c>
      <c r="K57" s="4"/>
      <c r="L57" s="5"/>
      <c r="M57" s="4"/>
      <c r="N57" s="4"/>
      <c r="O57" s="4"/>
    </row>
    <row collapsed="false" customFormat="false" customHeight="true" hidden="false" ht="15" outlineLevel="0" r="58">
      <c r="A58" s="4" t="s">
        <v>1584</v>
      </c>
      <c r="B58" s="4" t="s">
        <v>1437</v>
      </c>
      <c r="C58" s="4" t="s">
        <v>1590</v>
      </c>
      <c r="D58" s="4" t="s">
        <v>15</v>
      </c>
      <c r="E58" s="4"/>
      <c r="F58" s="4"/>
      <c r="G58" s="4"/>
      <c r="H58" s="4"/>
      <c r="I58" s="4"/>
      <c r="J58" s="4" t="s">
        <v>1591</v>
      </c>
      <c r="K58" s="4"/>
      <c r="L58" s="5"/>
      <c r="M58" s="4"/>
      <c r="N58" s="4"/>
      <c r="O58" s="4"/>
    </row>
    <row collapsed="false" customFormat="false" customHeight="true" hidden="false" ht="15" outlineLevel="0" r="59">
      <c r="A59" s="4" t="s">
        <v>1592</v>
      </c>
      <c r="B59" s="4" t="s">
        <v>1437</v>
      </c>
      <c r="C59" s="4" t="s">
        <v>1593</v>
      </c>
      <c r="D59" s="4" t="s">
        <v>1594</v>
      </c>
      <c r="E59" s="4" t="s">
        <v>1595</v>
      </c>
      <c r="F59" s="4" t="s">
        <v>1596</v>
      </c>
      <c r="G59" s="4" t="s">
        <v>1597</v>
      </c>
      <c r="H59" s="4" t="s">
        <v>138</v>
      </c>
      <c r="I59" s="4" t="s">
        <v>1598</v>
      </c>
      <c r="J59" s="4" t="s">
        <v>1599</v>
      </c>
      <c r="K59" s="4" t="s">
        <v>1600</v>
      </c>
      <c r="L59" s="5"/>
      <c r="M59" s="4" t="s">
        <v>1601</v>
      </c>
      <c r="N59" s="5"/>
      <c r="O59" s="4"/>
    </row>
    <row collapsed="false" customFormat="false" customHeight="true" hidden="false" ht="15" outlineLevel="0" r="60">
      <c r="A60" s="4" t="s">
        <v>1592</v>
      </c>
      <c r="B60" s="4" t="s">
        <v>1437</v>
      </c>
      <c r="C60" s="4"/>
      <c r="D60" s="4" t="s">
        <v>12</v>
      </c>
      <c r="E60" s="4"/>
      <c r="F60" s="4"/>
      <c r="G60" s="4"/>
      <c r="H60" s="4"/>
      <c r="I60" s="4"/>
      <c r="J60" s="4" t="s">
        <v>1602</v>
      </c>
      <c r="K60" s="4"/>
      <c r="L60" s="5" t="str">
        <f aca="false">HYPERLINK("mailto:REEFOIA@ars.usda.gov","mailto:REEFOIA@ars.usda.gov")</f>
        <v>mailto:REEFOIA@ars.usda.gov</v>
      </c>
      <c r="M60" s="4"/>
      <c r="N60" s="4"/>
      <c r="O60" s="4"/>
    </row>
    <row collapsed="false" customFormat="false" customHeight="true" hidden="false" ht="15" outlineLevel="0" r="61">
      <c r="A61" s="4" t="s">
        <v>1592</v>
      </c>
      <c r="B61" s="4" t="s">
        <v>1437</v>
      </c>
      <c r="C61" s="4" t="s">
        <v>1603</v>
      </c>
      <c r="D61" s="4" t="s">
        <v>15</v>
      </c>
      <c r="E61" s="4"/>
      <c r="F61" s="4"/>
      <c r="G61" s="4"/>
      <c r="H61" s="4"/>
      <c r="I61" s="4"/>
      <c r="J61" s="4" t="s">
        <v>1602</v>
      </c>
      <c r="K61" s="4"/>
      <c r="L61" s="5" t="str">
        <f aca="false">HYPERLINK("mailto:REEFOIA@ars.usda.gov","mailto:REEFOIA@ars.usda.gov")</f>
        <v>mailto:REEFOIA@ars.usda.gov</v>
      </c>
      <c r="M61" s="4"/>
      <c r="N61" s="4"/>
      <c r="O61" s="4"/>
    </row>
    <row collapsed="false" customFormat="false" customHeight="true" hidden="false" ht="15" outlineLevel="0" r="62">
      <c r="A62" s="4" t="s">
        <v>1604</v>
      </c>
      <c r="B62" s="4" t="s">
        <v>1437</v>
      </c>
      <c r="C62" s="4" t="s">
        <v>1605</v>
      </c>
      <c r="D62" s="4" t="s">
        <v>1439</v>
      </c>
      <c r="E62" s="4" t="s">
        <v>1606</v>
      </c>
      <c r="F62" s="4" t="s">
        <v>1441</v>
      </c>
      <c r="G62" s="4" t="s">
        <v>5</v>
      </c>
      <c r="H62" s="4" t="s">
        <v>6</v>
      </c>
      <c r="I62" s="4" t="s">
        <v>1607</v>
      </c>
      <c r="J62" s="4" t="s">
        <v>1608</v>
      </c>
      <c r="K62" s="4" t="s">
        <v>1609</v>
      </c>
      <c r="L62" s="5"/>
      <c r="M62" s="4" t="s">
        <v>1610</v>
      </c>
      <c r="N62" s="4"/>
      <c r="O62" s="4"/>
    </row>
    <row collapsed="false" customFormat="false" customHeight="true" hidden="false" ht="15" outlineLevel="0" r="63">
      <c r="A63" s="4" t="s">
        <v>1604</v>
      </c>
      <c r="B63" s="4" t="s">
        <v>1437</v>
      </c>
      <c r="C63" s="4"/>
      <c r="D63" s="4" t="s">
        <v>12</v>
      </c>
      <c r="E63" s="4"/>
      <c r="F63" s="4"/>
      <c r="G63" s="4"/>
      <c r="H63" s="4"/>
      <c r="I63" s="4"/>
      <c r="J63" s="4" t="s">
        <v>1611</v>
      </c>
      <c r="K63" s="4"/>
      <c r="L63" s="5"/>
      <c r="M63" s="4"/>
      <c r="N63" s="4"/>
      <c r="O63" s="4"/>
    </row>
    <row collapsed="false" customFormat="false" customHeight="true" hidden="false" ht="15" outlineLevel="0" r="64">
      <c r="A64" s="4" t="s">
        <v>1604</v>
      </c>
      <c r="B64" s="4" t="s">
        <v>1437</v>
      </c>
      <c r="C64" s="4" t="s">
        <v>1612</v>
      </c>
      <c r="D64" s="4" t="s">
        <v>15</v>
      </c>
      <c r="E64" s="4"/>
      <c r="F64" s="4"/>
      <c r="G64" s="4"/>
      <c r="H64" s="4"/>
      <c r="I64" s="4"/>
      <c r="J64" s="4" t="s">
        <v>1613</v>
      </c>
      <c r="K64" s="4"/>
      <c r="L64" s="5"/>
      <c r="M64" s="4"/>
      <c r="N64" s="4"/>
      <c r="O64" s="4"/>
    </row>
    <row collapsed="false" customFormat="false" customHeight="true" hidden="false" ht="15" outlineLevel="0" r="65">
      <c r="A65" s="4" t="s">
        <v>288</v>
      </c>
      <c r="B65" s="4" t="s">
        <v>1437</v>
      </c>
      <c r="C65" s="4" t="s">
        <v>1614</v>
      </c>
      <c r="D65" s="4" t="s">
        <v>1615</v>
      </c>
      <c r="E65" s="4" t="s">
        <v>789</v>
      </c>
      <c r="F65" s="4" t="s">
        <v>1581</v>
      </c>
      <c r="G65" s="4" t="s">
        <v>5</v>
      </c>
      <c r="H65" s="4" t="s">
        <v>6</v>
      </c>
      <c r="I65" s="4" t="n">
        <v>20024</v>
      </c>
      <c r="J65" s="4" t="s">
        <v>1582</v>
      </c>
      <c r="K65" s="4"/>
      <c r="L65" s="5" t="str">
        <f aca="false">HYPERLINK("mailto:usdafoia@ocio.usda.gov","mailto:usdafoia@ocio.usda.gov")</f>
        <v>mailto:usdafoia@ocio.usda.gov</v>
      </c>
      <c r="M65" s="4" t="s">
        <v>1463</v>
      </c>
      <c r="N65" s="4"/>
      <c r="O65" s="4"/>
    </row>
    <row collapsed="false" customFormat="false" customHeight="true" hidden="false" ht="15" outlineLevel="0" r="66">
      <c r="A66" s="4" t="s">
        <v>288</v>
      </c>
      <c r="B66" s="4" t="s">
        <v>1437</v>
      </c>
      <c r="C66" s="4"/>
      <c r="D66" s="4" t="s">
        <v>12</v>
      </c>
      <c r="E66" s="4"/>
      <c r="F66" s="4"/>
      <c r="G66" s="4"/>
      <c r="H66" s="4"/>
      <c r="I66" s="4"/>
      <c r="J66" s="4" t="s">
        <v>1582</v>
      </c>
      <c r="K66" s="4"/>
      <c r="L66" s="5"/>
      <c r="M66" s="4"/>
      <c r="N66" s="4"/>
      <c r="O66" s="4"/>
    </row>
    <row collapsed="false" customFormat="false" customHeight="true" hidden="false" ht="15" outlineLevel="0" r="67">
      <c r="A67" s="4" t="s">
        <v>288</v>
      </c>
      <c r="B67" s="4" t="s">
        <v>1437</v>
      </c>
      <c r="C67" s="4" t="s">
        <v>1614</v>
      </c>
      <c r="D67" s="4" t="s">
        <v>15</v>
      </c>
      <c r="E67" s="4"/>
      <c r="F67" s="4"/>
      <c r="G67" s="4"/>
      <c r="H67" s="4"/>
      <c r="I67" s="4"/>
      <c r="J67" s="4" t="s">
        <v>1582</v>
      </c>
      <c r="K67" s="4"/>
      <c r="L67" s="5"/>
      <c r="M67" s="4"/>
      <c r="N67" s="4"/>
      <c r="O67" s="4"/>
    </row>
    <row collapsed="false" customFormat="false" customHeight="true" hidden="false" ht="15" outlineLevel="0" r="68">
      <c r="A68" s="4" t="s">
        <v>1616</v>
      </c>
      <c r="B68" s="4" t="s">
        <v>1617</v>
      </c>
      <c r="C68" s="4" t="s">
        <v>1618</v>
      </c>
      <c r="D68" s="4" t="s">
        <v>1619</v>
      </c>
      <c r="E68" s="4" t="s">
        <v>1620</v>
      </c>
      <c r="F68" s="4" t="s">
        <v>1621</v>
      </c>
      <c r="G68" s="4" t="s">
        <v>5</v>
      </c>
      <c r="H68" s="4" t="s">
        <v>6</v>
      </c>
      <c r="I68" s="4" t="s">
        <v>1622</v>
      </c>
      <c r="J68" s="4" t="s">
        <v>1623</v>
      </c>
      <c r="K68" s="4" t="s">
        <v>1624</v>
      </c>
      <c r="L68" s="5" t="str">
        <f aca="false">HYPERLINK("mailto:census.efoia@census.gov","mailto:census.efoia@census.gov")</f>
        <v>mailto:census.efoia@census.gov</v>
      </c>
      <c r="M68" s="5" t="str">
        <f aca="false">HYPERLINK("http://www.census.gov/foia/","http://www.census.gov/foia/")</f>
        <v>http://www.census.gov/foia/</v>
      </c>
      <c r="N68" s="5"/>
      <c r="O68" s="4"/>
    </row>
    <row collapsed="false" customFormat="false" customHeight="true" hidden="false" ht="15" outlineLevel="0" r="69">
      <c r="A69" s="4" t="s">
        <v>1616</v>
      </c>
      <c r="B69" s="4" t="s">
        <v>1617</v>
      </c>
      <c r="C69" s="4"/>
      <c r="D69" s="4" t="s">
        <v>12</v>
      </c>
      <c r="E69" s="4"/>
      <c r="F69" s="4"/>
      <c r="G69" s="4"/>
      <c r="H69" s="4"/>
      <c r="I69" s="4"/>
      <c r="J69" s="4" t="s">
        <v>1623</v>
      </c>
      <c r="K69" s="4"/>
      <c r="L69" s="5"/>
      <c r="M69" s="4"/>
      <c r="N69" s="4"/>
      <c r="O69" s="4"/>
    </row>
    <row collapsed="false" customFormat="false" customHeight="true" hidden="false" ht="15" outlineLevel="0" r="70">
      <c r="A70" s="4" t="s">
        <v>1616</v>
      </c>
      <c r="B70" s="4" t="s">
        <v>1617</v>
      </c>
      <c r="C70" s="4" t="s">
        <v>1625</v>
      </c>
      <c r="D70" s="4" t="s">
        <v>15</v>
      </c>
      <c r="E70" s="4"/>
      <c r="F70" s="4"/>
      <c r="G70" s="4"/>
      <c r="H70" s="4"/>
      <c r="I70" s="4"/>
      <c r="J70" s="4" t="s">
        <v>1623</v>
      </c>
      <c r="K70" s="4"/>
      <c r="L70" s="5" t="str">
        <f aca="false">HYPERLINK("mailto:Jill.M.Harbison@census.gov","mailto:Jill.M.Harbison@census.gov")</f>
        <v>mailto:Jill.M.Harbison@census.gov</v>
      </c>
      <c r="M70" s="4"/>
      <c r="N70" s="4"/>
      <c r="O70" s="4"/>
    </row>
    <row collapsed="false" customFormat="false" customHeight="true" hidden="false" ht="15" outlineLevel="0" r="71">
      <c r="A71" s="4" t="s">
        <v>1626</v>
      </c>
      <c r="B71" s="4" t="s">
        <v>1617</v>
      </c>
      <c r="C71" s="4" t="s">
        <v>1627</v>
      </c>
      <c r="D71" s="4" t="s">
        <v>1628</v>
      </c>
      <c r="E71" s="4" t="s">
        <v>1629</v>
      </c>
      <c r="F71" s="4"/>
      <c r="G71" s="4" t="s">
        <v>5</v>
      </c>
      <c r="H71" s="4" t="s">
        <v>6</v>
      </c>
      <c r="I71" s="4" t="n">
        <v>20230</v>
      </c>
      <c r="J71" s="4" t="s">
        <v>1630</v>
      </c>
      <c r="K71" s="4" t="s">
        <v>1631</v>
      </c>
      <c r="L71" s="5" t="str">
        <f aca="false">HYPERLINK("mailto:p.moulder@doc.gov","mailto:p.moulder@doc.gov")</f>
        <v>mailto:p.moulder@doc.gov</v>
      </c>
      <c r="M71" s="4" t="s">
        <v>1632</v>
      </c>
      <c r="N71" s="4"/>
      <c r="O71" s="4"/>
    </row>
    <row collapsed="false" customFormat="false" customHeight="true" hidden="false" ht="15" outlineLevel="0" r="72">
      <c r="A72" s="4" t="s">
        <v>1626</v>
      </c>
      <c r="B72" s="4" t="s">
        <v>1617</v>
      </c>
      <c r="C72" s="4"/>
      <c r="D72" s="4" t="s">
        <v>12</v>
      </c>
      <c r="E72" s="4"/>
      <c r="F72" s="4"/>
      <c r="G72" s="4"/>
      <c r="H72" s="4"/>
      <c r="I72" s="4"/>
      <c r="J72" s="4" t="s">
        <v>1630</v>
      </c>
      <c r="K72" s="4"/>
      <c r="L72" s="5"/>
      <c r="M72" s="4"/>
      <c r="N72" s="4"/>
      <c r="O72" s="4"/>
    </row>
    <row collapsed="false" customFormat="false" customHeight="true" hidden="false" ht="15" outlineLevel="0" r="73">
      <c r="A73" s="4" t="s">
        <v>1626</v>
      </c>
      <c r="B73" s="4" t="s">
        <v>1617</v>
      </c>
      <c r="C73" s="4" t="s">
        <v>1627</v>
      </c>
      <c r="D73" s="4" t="s">
        <v>15</v>
      </c>
      <c r="E73" s="4"/>
      <c r="F73" s="4"/>
      <c r="G73" s="4"/>
      <c r="H73" s="4"/>
      <c r="I73" s="4"/>
      <c r="J73" s="4" t="s">
        <v>1630</v>
      </c>
      <c r="K73" s="4"/>
      <c r="L73" s="5" t="str">
        <f aca="false">HYPERLINK("mailto:p.moulder@doc.gov","mailto:p.moulder@doc.gov")</f>
        <v>mailto:p.moulder@doc.gov</v>
      </c>
      <c r="M73" s="4"/>
      <c r="N73" s="4"/>
      <c r="O73" s="4"/>
    </row>
    <row collapsed="false" customFormat="false" customHeight="true" hidden="false" ht="15" outlineLevel="0" r="74">
      <c r="A74" s="4" t="s">
        <v>1633</v>
      </c>
      <c r="B74" s="4" t="s">
        <v>1617</v>
      </c>
      <c r="C74" s="4" t="s">
        <v>1634</v>
      </c>
      <c r="D74" s="4" t="s">
        <v>114</v>
      </c>
      <c r="E74" s="4" t="s">
        <v>1635</v>
      </c>
      <c r="F74" s="4" t="s">
        <v>1636</v>
      </c>
      <c r="G74" s="4" t="s">
        <v>5</v>
      </c>
      <c r="H74" s="4" t="s">
        <v>6</v>
      </c>
      <c r="I74" s="4" t="n">
        <v>20230</v>
      </c>
      <c r="J74" s="4" t="s">
        <v>1637</v>
      </c>
      <c r="K74" s="4" t="s">
        <v>1638</v>
      </c>
      <c r="L74" s="5" t="str">
        <f aca="false">HYPERLINK("mailto:JLipsey@eda.doc.gov","mailto:JLipsey@eda.doc.gov")</f>
        <v>mailto:JLipsey@eda.doc.gov</v>
      </c>
      <c r="M74" s="5" t="str">
        <f aca="false">HYPERLINK("http://www.eda.gov/foia.htm","http://www.eda.gov/foia.htm")</f>
        <v>http://www.eda.gov/foia.htm</v>
      </c>
      <c r="N74" s="4"/>
      <c r="O74" s="4"/>
    </row>
    <row collapsed="false" customFormat="false" customHeight="true" hidden="false" ht="15" outlineLevel="0" r="75">
      <c r="A75" s="4" t="s">
        <v>1633</v>
      </c>
      <c r="B75" s="4" t="s">
        <v>1617</v>
      </c>
      <c r="C75" s="4"/>
      <c r="D75" s="4" t="s">
        <v>12</v>
      </c>
      <c r="E75" s="4"/>
      <c r="F75" s="4"/>
      <c r="G75" s="4"/>
      <c r="H75" s="4"/>
      <c r="I75" s="4"/>
      <c r="J75" s="4" t="s">
        <v>1637</v>
      </c>
      <c r="K75" s="4"/>
      <c r="L75" s="5"/>
      <c r="M75" s="4"/>
      <c r="N75" s="4"/>
      <c r="O75" s="4"/>
    </row>
    <row collapsed="false" customFormat="false" customHeight="true" hidden="false" ht="15" outlineLevel="0" r="76">
      <c r="A76" s="4" t="s">
        <v>1633</v>
      </c>
      <c r="B76" s="4" t="s">
        <v>1617</v>
      </c>
      <c r="C76" s="4" t="s">
        <v>1639</v>
      </c>
      <c r="D76" s="4" t="s">
        <v>15</v>
      </c>
      <c r="E76" s="4"/>
      <c r="F76" s="4"/>
      <c r="G76" s="4"/>
      <c r="H76" s="4"/>
      <c r="I76" s="4"/>
      <c r="J76" s="4" t="s">
        <v>1637</v>
      </c>
      <c r="K76" s="4"/>
      <c r="L76" s="5" t="str">
        <f aca="false">HYPERLINK("mailto:BBird@eda.doc.gov","mailto:BBird@eda.doc.gov")</f>
        <v>mailto:BBird@eda.doc.gov</v>
      </c>
      <c r="M76" s="4"/>
      <c r="N76" s="4"/>
      <c r="O76" s="4"/>
    </row>
    <row collapsed="false" customFormat="false" customHeight="true" hidden="false" ht="15" outlineLevel="0" r="77">
      <c r="A77" s="4" t="s">
        <v>1640</v>
      </c>
      <c r="B77" s="4" t="s">
        <v>1617</v>
      </c>
      <c r="C77" s="4" t="s">
        <v>1641</v>
      </c>
      <c r="D77" s="4" t="s">
        <v>1642</v>
      </c>
      <c r="E77" s="4" t="s">
        <v>1643</v>
      </c>
      <c r="F77" s="4"/>
      <c r="G77" s="4" t="s">
        <v>5</v>
      </c>
      <c r="H77" s="4" t="s">
        <v>6</v>
      </c>
      <c r="I77" s="4" t="n">
        <v>20230</v>
      </c>
      <c r="J77" s="4" t="s">
        <v>1644</v>
      </c>
      <c r="K77" s="4" t="s">
        <v>1645</v>
      </c>
      <c r="L77" s="5" t="str">
        <f aca="false">HYPERLINK("mailto:efoiarequest@bis.doc.gov","mailto:efoiarequest@bis.doc.gov")</f>
        <v>mailto:efoiarequest@bis.doc.gov</v>
      </c>
      <c r="M77" s="4" t="s">
        <v>1646</v>
      </c>
      <c r="N77" s="4"/>
      <c r="O77" s="4"/>
    </row>
    <row collapsed="false" customFormat="false" customHeight="true" hidden="false" ht="15" outlineLevel="0" r="78">
      <c r="A78" s="4" t="s">
        <v>1640</v>
      </c>
      <c r="B78" s="4" t="s">
        <v>1617</v>
      </c>
      <c r="C78" s="4"/>
      <c r="D78" s="4" t="s">
        <v>12</v>
      </c>
      <c r="E78" s="4"/>
      <c r="F78" s="4"/>
      <c r="G78" s="4"/>
      <c r="H78" s="4"/>
      <c r="I78" s="4"/>
      <c r="J78" s="4" t="s">
        <v>1644</v>
      </c>
      <c r="K78" s="4"/>
      <c r="L78" s="5"/>
      <c r="M78" s="4"/>
      <c r="N78" s="4"/>
      <c r="O78" s="4"/>
    </row>
    <row collapsed="false" customFormat="false" customHeight="true" hidden="false" ht="15" outlineLevel="0" r="79">
      <c r="A79" s="4" t="s">
        <v>1640</v>
      </c>
      <c r="B79" s="4" t="s">
        <v>1617</v>
      </c>
      <c r="C79" s="4" t="s">
        <v>1647</v>
      </c>
      <c r="D79" s="4" t="s">
        <v>15</v>
      </c>
      <c r="E79" s="4"/>
      <c r="F79" s="4"/>
      <c r="G79" s="4"/>
      <c r="H79" s="4"/>
      <c r="I79" s="4"/>
      <c r="J79" s="4" t="s">
        <v>1644</v>
      </c>
      <c r="K79" s="4"/>
      <c r="L79" s="5"/>
      <c r="M79" s="4"/>
      <c r="N79" s="4"/>
      <c r="O79" s="4"/>
    </row>
    <row collapsed="false" customFormat="false" customHeight="true" hidden="false" ht="15" outlineLevel="0" r="80">
      <c r="A80" s="4" t="s">
        <v>1648</v>
      </c>
      <c r="B80" s="4" t="s">
        <v>1617</v>
      </c>
      <c r="C80" s="4" t="s">
        <v>1649</v>
      </c>
      <c r="D80" s="4" t="s">
        <v>1650</v>
      </c>
      <c r="E80" s="4" t="s">
        <v>1651</v>
      </c>
      <c r="F80" s="4" t="s">
        <v>1652</v>
      </c>
      <c r="G80" s="4" t="s">
        <v>5</v>
      </c>
      <c r="H80" s="4" t="s">
        <v>6</v>
      </c>
      <c r="I80" s="4" t="n">
        <v>20230</v>
      </c>
      <c r="J80" s="4" t="s">
        <v>1653</v>
      </c>
      <c r="K80" s="4" t="s">
        <v>1654</v>
      </c>
      <c r="L80" s="5" t="str">
        <f aca="false">HYPERLINK("mailto:FOIA@trade.gov","mailto:FOIA@trade.gov")</f>
        <v>mailto:FOIA@trade.gov</v>
      </c>
      <c r="M80" s="4" t="s">
        <v>1655</v>
      </c>
      <c r="N80" s="4"/>
      <c r="O80" s="4"/>
    </row>
    <row collapsed="false" customFormat="false" customHeight="true" hidden="false" ht="15" outlineLevel="0" r="81">
      <c r="A81" s="4" t="s">
        <v>1648</v>
      </c>
      <c r="B81" s="4" t="s">
        <v>1617</v>
      </c>
      <c r="C81" s="4"/>
      <c r="D81" s="4" t="s">
        <v>12</v>
      </c>
      <c r="E81" s="4"/>
      <c r="F81" s="4"/>
      <c r="G81" s="4"/>
      <c r="H81" s="4"/>
      <c r="I81" s="4"/>
      <c r="J81" s="4" t="s">
        <v>1653</v>
      </c>
      <c r="K81" s="4"/>
      <c r="L81" s="5"/>
      <c r="M81" s="4"/>
      <c r="N81" s="4"/>
      <c r="O81" s="4"/>
    </row>
    <row collapsed="false" customFormat="false" customHeight="true" hidden="false" ht="15" outlineLevel="0" r="82">
      <c r="A82" s="4" t="s">
        <v>1648</v>
      </c>
      <c r="B82" s="4" t="s">
        <v>1617</v>
      </c>
      <c r="C82" s="4" t="s">
        <v>1649</v>
      </c>
      <c r="D82" s="4" t="s">
        <v>15</v>
      </c>
      <c r="E82" s="4"/>
      <c r="F82" s="4"/>
      <c r="G82" s="4"/>
      <c r="H82" s="4"/>
      <c r="I82" s="4"/>
      <c r="J82" s="4" t="s">
        <v>1653</v>
      </c>
      <c r="K82" s="4"/>
      <c r="L82" s="5"/>
      <c r="M82" s="4"/>
      <c r="N82" s="4"/>
      <c r="O82" s="4"/>
    </row>
    <row collapsed="false" customFormat="false" customHeight="true" hidden="false" ht="15" outlineLevel="0" r="83">
      <c r="A83" s="4" t="s">
        <v>1656</v>
      </c>
      <c r="B83" s="4" t="s">
        <v>1617</v>
      </c>
      <c r="C83" s="4" t="s">
        <v>1657</v>
      </c>
      <c r="D83" s="4" t="s">
        <v>2</v>
      </c>
      <c r="E83" s="4"/>
      <c r="F83" s="4" t="s">
        <v>1652</v>
      </c>
      <c r="G83" s="4" t="s">
        <v>5</v>
      </c>
      <c r="H83" s="4" t="s">
        <v>6</v>
      </c>
      <c r="I83" s="4" t="n">
        <v>20230</v>
      </c>
      <c r="J83" s="4" t="s">
        <v>1658</v>
      </c>
      <c r="K83" s="4" t="s">
        <v>1659</v>
      </c>
      <c r="L83" s="5"/>
      <c r="M83" s="4" t="s">
        <v>1660</v>
      </c>
      <c r="N83" s="4"/>
      <c r="O83" s="4"/>
    </row>
    <row collapsed="false" customFormat="false" customHeight="true" hidden="false" ht="15" outlineLevel="0" r="84">
      <c r="A84" s="4" t="s">
        <v>1656</v>
      </c>
      <c r="B84" s="4" t="s">
        <v>1617</v>
      </c>
      <c r="C84" s="4"/>
      <c r="D84" s="4" t="s">
        <v>12</v>
      </c>
      <c r="E84" s="4"/>
      <c r="F84" s="4"/>
      <c r="G84" s="4"/>
      <c r="H84" s="4"/>
      <c r="I84" s="4"/>
      <c r="J84" s="4" t="s">
        <v>1661</v>
      </c>
      <c r="K84" s="4"/>
      <c r="L84" s="5"/>
      <c r="M84" s="4"/>
      <c r="N84" s="4"/>
      <c r="O84" s="4"/>
    </row>
    <row collapsed="false" customFormat="false" customHeight="true" hidden="false" ht="15" outlineLevel="0" r="85">
      <c r="A85" s="4" t="s">
        <v>1656</v>
      </c>
      <c r="B85" s="4" t="s">
        <v>1617</v>
      </c>
      <c r="C85" s="4" t="s">
        <v>1662</v>
      </c>
      <c r="D85" s="4" t="s">
        <v>15</v>
      </c>
      <c r="E85" s="4"/>
      <c r="F85" s="4"/>
      <c r="G85" s="4"/>
      <c r="H85" s="4"/>
      <c r="I85" s="4"/>
      <c r="J85" s="4" t="s">
        <v>1663</v>
      </c>
      <c r="K85" s="4"/>
      <c r="L85" s="5"/>
      <c r="M85" s="4"/>
      <c r="N85" s="4"/>
      <c r="O85" s="4"/>
    </row>
    <row collapsed="false" customFormat="false" customHeight="true" hidden="false" ht="15" outlineLevel="0" r="86">
      <c r="A86" s="4" t="s">
        <v>1664</v>
      </c>
      <c r="B86" s="4" t="s">
        <v>1617</v>
      </c>
      <c r="C86" s="4" t="s">
        <v>1665</v>
      </c>
      <c r="D86" s="4" t="s">
        <v>1666</v>
      </c>
      <c r="E86" s="4" t="s">
        <v>1667</v>
      </c>
      <c r="F86" s="4" t="s">
        <v>1668</v>
      </c>
      <c r="G86" s="4" t="s">
        <v>1669</v>
      </c>
      <c r="H86" s="4" t="s">
        <v>138</v>
      </c>
      <c r="I86" s="4" t="s">
        <v>1670</v>
      </c>
      <c r="J86" s="4" t="s">
        <v>1671</v>
      </c>
      <c r="K86" s="4" t="s">
        <v>1672</v>
      </c>
      <c r="L86" s="5" t="str">
        <f aca="false">HYPERLINK("mailto:foia@nist.gov","mailto:foia@nist.gov")</f>
        <v>mailto:foia@nist.gov</v>
      </c>
      <c r="M86" s="4" t="s">
        <v>1673</v>
      </c>
      <c r="N86" s="4"/>
      <c r="O86" s="4"/>
    </row>
    <row collapsed="false" customFormat="false" customHeight="true" hidden="false" ht="15" outlineLevel="0" r="87">
      <c r="A87" s="4" t="s">
        <v>1664</v>
      </c>
      <c r="B87" s="4" t="s">
        <v>1617</v>
      </c>
      <c r="C87" s="4"/>
      <c r="D87" s="4" t="s">
        <v>12</v>
      </c>
      <c r="E87" s="4"/>
      <c r="F87" s="4"/>
      <c r="G87" s="4"/>
      <c r="H87" s="4"/>
      <c r="I87" s="4"/>
      <c r="J87" s="4" t="s">
        <v>1671</v>
      </c>
      <c r="K87" s="4"/>
      <c r="L87" s="5"/>
      <c r="M87" s="4"/>
      <c r="N87" s="4"/>
      <c r="O87" s="4"/>
    </row>
    <row collapsed="false" customFormat="false" customHeight="true" hidden="false" ht="15" outlineLevel="0" r="88">
      <c r="A88" s="4" t="s">
        <v>1664</v>
      </c>
      <c r="B88" s="4" t="s">
        <v>1617</v>
      </c>
      <c r="C88" s="4" t="s">
        <v>1665</v>
      </c>
      <c r="D88" s="4" t="s">
        <v>15</v>
      </c>
      <c r="E88" s="4"/>
      <c r="F88" s="4"/>
      <c r="G88" s="4"/>
      <c r="H88" s="4"/>
      <c r="I88" s="4"/>
      <c r="J88" s="4" t="s">
        <v>1671</v>
      </c>
      <c r="K88" s="4"/>
      <c r="L88" s="5"/>
      <c r="M88" s="4"/>
      <c r="N88" s="4"/>
      <c r="O88" s="4"/>
    </row>
    <row collapsed="false" customFormat="false" customHeight="true" hidden="false" ht="15" outlineLevel="0" r="89">
      <c r="A89" s="4" t="s">
        <v>1674</v>
      </c>
      <c r="B89" s="4" t="s">
        <v>1617</v>
      </c>
      <c r="C89" s="4" t="s">
        <v>1675</v>
      </c>
      <c r="D89" s="4" t="s">
        <v>114</v>
      </c>
      <c r="E89" s="4" t="s">
        <v>1676</v>
      </c>
      <c r="F89" s="4" t="s">
        <v>1677</v>
      </c>
      <c r="G89" s="4" t="s">
        <v>807</v>
      </c>
      <c r="H89" s="4" t="s">
        <v>31</v>
      </c>
      <c r="I89" s="4" t="n">
        <v>22312</v>
      </c>
      <c r="J89" s="4" t="s">
        <v>1678</v>
      </c>
      <c r="K89" s="4" t="s">
        <v>1679</v>
      </c>
      <c r="L89" s="5" t="str">
        <f aca="false">HYPERLINK("mailto:LHalvorsen@ntis.gov","mailto:LHalvorsen@ntis.gov")</f>
        <v>mailto:LHalvorsen@ntis.gov</v>
      </c>
      <c r="M89" s="4" t="s">
        <v>1680</v>
      </c>
      <c r="N89" s="4"/>
      <c r="O89" s="4"/>
    </row>
    <row collapsed="false" customFormat="false" customHeight="true" hidden="false" ht="15" outlineLevel="0" r="90">
      <c r="A90" s="4" t="s">
        <v>1674</v>
      </c>
      <c r="B90" s="4" t="s">
        <v>1617</v>
      </c>
      <c r="C90" s="4"/>
      <c r="D90" s="4" t="s">
        <v>12</v>
      </c>
      <c r="E90" s="4"/>
      <c r="F90" s="4"/>
      <c r="G90" s="4"/>
      <c r="H90" s="4"/>
      <c r="I90" s="4"/>
      <c r="J90" s="4" t="s">
        <v>1681</v>
      </c>
      <c r="K90" s="4"/>
      <c r="L90" s="5"/>
      <c r="M90" s="4"/>
      <c r="N90" s="4"/>
      <c r="O90" s="4"/>
    </row>
    <row collapsed="false" customFormat="false" customHeight="true" hidden="false" ht="15" outlineLevel="0" r="91">
      <c r="A91" s="4" t="s">
        <v>1674</v>
      </c>
      <c r="B91" s="4" t="s">
        <v>1617</v>
      </c>
      <c r="C91" s="4" t="s">
        <v>1682</v>
      </c>
      <c r="D91" s="4" t="s">
        <v>15</v>
      </c>
      <c r="E91" s="4"/>
      <c r="F91" s="4"/>
      <c r="G91" s="4"/>
      <c r="H91" s="4"/>
      <c r="I91" s="4"/>
      <c r="J91" s="4" t="s">
        <v>1681</v>
      </c>
      <c r="K91" s="4"/>
      <c r="L91" s="5"/>
      <c r="M91" s="4"/>
      <c r="N91" s="4"/>
      <c r="O91" s="4"/>
    </row>
    <row collapsed="false" customFormat="false" customHeight="true" hidden="false" ht="15" outlineLevel="0" r="92">
      <c r="A92" s="4" t="s">
        <v>1683</v>
      </c>
      <c r="B92" s="4" t="s">
        <v>1617</v>
      </c>
      <c r="C92" s="4" t="s">
        <v>1684</v>
      </c>
      <c r="D92" s="4" t="s">
        <v>1685</v>
      </c>
      <c r="E92" s="4" t="s">
        <v>1686</v>
      </c>
      <c r="F92" s="4" t="s">
        <v>1636</v>
      </c>
      <c r="G92" s="4" t="s">
        <v>5</v>
      </c>
      <c r="H92" s="4" t="s">
        <v>6</v>
      </c>
      <c r="I92" s="4" t="n">
        <v>20230</v>
      </c>
      <c r="J92" s="4" t="s">
        <v>1687</v>
      </c>
      <c r="K92" s="4" t="s">
        <v>1688</v>
      </c>
      <c r="L92" s="5" t="str">
        <f aca="false">HYPERLINK("mailto:eFOIA@ntia.doc.gov","mailto:eFOIA@ntia.doc.gov")</f>
        <v>mailto:eFOIA@ntia.doc.gov</v>
      </c>
      <c r="M92" s="4" t="s">
        <v>1689</v>
      </c>
      <c r="N92" s="4"/>
      <c r="O92" s="4"/>
    </row>
    <row collapsed="false" customFormat="false" customHeight="true" hidden="false" ht="15" outlineLevel="0" r="93">
      <c r="A93" s="4" t="s">
        <v>1683</v>
      </c>
      <c r="B93" s="4" t="s">
        <v>1617</v>
      </c>
      <c r="C93" s="4"/>
      <c r="D93" s="4" t="s">
        <v>12</v>
      </c>
      <c r="E93" s="4"/>
      <c r="F93" s="4"/>
      <c r="G93" s="4"/>
      <c r="H93" s="4"/>
      <c r="I93" s="4"/>
      <c r="J93" s="4" t="s">
        <v>1687</v>
      </c>
      <c r="K93" s="4"/>
      <c r="L93" s="5"/>
      <c r="M93" s="4"/>
      <c r="N93" s="4"/>
      <c r="O93" s="4"/>
    </row>
    <row collapsed="false" customFormat="false" customHeight="true" hidden="false" ht="15" outlineLevel="0" r="94">
      <c r="A94" s="4" t="s">
        <v>1683</v>
      </c>
      <c r="B94" s="4" t="s">
        <v>1617</v>
      </c>
      <c r="C94" s="4" t="s">
        <v>1684</v>
      </c>
      <c r="D94" s="4" t="s">
        <v>15</v>
      </c>
      <c r="E94" s="4"/>
      <c r="F94" s="4"/>
      <c r="G94" s="4"/>
      <c r="H94" s="4"/>
      <c r="I94" s="4"/>
      <c r="J94" s="4" t="s">
        <v>1687</v>
      </c>
      <c r="K94" s="4"/>
      <c r="L94" s="5"/>
      <c r="M94" s="4"/>
      <c r="N94" s="4"/>
      <c r="O94" s="4"/>
    </row>
    <row collapsed="false" customFormat="false" customHeight="true" hidden="false" ht="15" outlineLevel="0" r="95">
      <c r="A95" s="4" t="s">
        <v>1690</v>
      </c>
      <c r="B95" s="4" t="s">
        <v>1617</v>
      </c>
      <c r="C95" s="4" t="s">
        <v>1691</v>
      </c>
      <c r="D95" s="4" t="s">
        <v>114</v>
      </c>
      <c r="E95" s="4" t="s">
        <v>1692</v>
      </c>
      <c r="F95" s="4" t="s">
        <v>1693</v>
      </c>
      <c r="G95" s="4" t="s">
        <v>1694</v>
      </c>
      <c r="H95" s="4" t="s">
        <v>138</v>
      </c>
      <c r="I95" s="4" t="n">
        <v>20910</v>
      </c>
      <c r="J95" s="4" t="s">
        <v>1695</v>
      </c>
      <c r="K95" s="4" t="s">
        <v>1696</v>
      </c>
      <c r="L95" s="5" t="str">
        <f aca="false">HYPERLINK("mailto:FOIA@noaa.gov","mailto:FOIA@noaa.gov")</f>
        <v>mailto:FOIA@noaa.gov</v>
      </c>
      <c r="M95" s="5" t="str">
        <f aca="false">HYPERLINK("http://www.noaa.gov/foia/","http://www.noaa.gov/foia/")</f>
        <v>http://www.noaa.gov/foia/</v>
      </c>
      <c r="N95" s="4"/>
      <c r="O95" s="4"/>
    </row>
    <row collapsed="false" customFormat="false" customHeight="true" hidden="false" ht="15" outlineLevel="0" r="96">
      <c r="A96" s="4" t="s">
        <v>1690</v>
      </c>
      <c r="B96" s="4" t="s">
        <v>1617</v>
      </c>
      <c r="C96" s="4"/>
      <c r="D96" s="4" t="s">
        <v>12</v>
      </c>
      <c r="E96" s="4"/>
      <c r="F96" s="4"/>
      <c r="G96" s="4"/>
      <c r="H96" s="4"/>
      <c r="I96" s="4"/>
      <c r="J96" s="4" t="s">
        <v>1695</v>
      </c>
      <c r="K96" s="4"/>
      <c r="L96" s="5"/>
      <c r="M96" s="4"/>
      <c r="N96" s="4"/>
      <c r="O96" s="4"/>
    </row>
    <row collapsed="false" customFormat="false" customHeight="true" hidden="false" ht="15" outlineLevel="0" r="97">
      <c r="A97" s="4" t="s">
        <v>1690</v>
      </c>
      <c r="B97" s="4" t="s">
        <v>1617</v>
      </c>
      <c r="C97" s="4" t="s">
        <v>1697</v>
      </c>
      <c r="D97" s="4" t="s">
        <v>15</v>
      </c>
      <c r="E97" s="4"/>
      <c r="F97" s="4"/>
      <c r="G97" s="4"/>
      <c r="H97" s="4"/>
      <c r="I97" s="4"/>
      <c r="J97" s="4" t="s">
        <v>1698</v>
      </c>
      <c r="K97" s="4"/>
      <c r="L97" s="5"/>
      <c r="M97" s="4"/>
      <c r="N97" s="4"/>
      <c r="O97" s="4"/>
    </row>
    <row collapsed="false" customFormat="false" customHeight="true" hidden="false" ht="15" outlineLevel="0" r="98">
      <c r="A98" s="4" t="s">
        <v>1699</v>
      </c>
      <c r="B98" s="4" t="s">
        <v>1617</v>
      </c>
      <c r="C98" s="4" t="s">
        <v>1700</v>
      </c>
      <c r="D98" s="4" t="s">
        <v>114</v>
      </c>
      <c r="E98" s="4"/>
      <c r="F98" s="4" t="s">
        <v>1701</v>
      </c>
      <c r="G98" s="4" t="s">
        <v>807</v>
      </c>
      <c r="H98" s="4" t="s">
        <v>31</v>
      </c>
      <c r="I98" s="4" t="s">
        <v>1702</v>
      </c>
      <c r="J98" s="4" t="s">
        <v>1703</v>
      </c>
      <c r="K98" s="4" t="s">
        <v>1704</v>
      </c>
      <c r="L98" s="5" t="str">
        <f aca="false">HYPERLINK("mailto:efoia@uspto.gov","mailto:efoia@uspto.gov")</f>
        <v>mailto:efoia@uspto.gov</v>
      </c>
      <c r="M98" s="4" t="s">
        <v>1705</v>
      </c>
      <c r="N98" s="4"/>
      <c r="O98" s="4"/>
    </row>
    <row collapsed="false" customFormat="false" customHeight="true" hidden="false" ht="15" outlineLevel="0" r="99">
      <c r="A99" s="4" t="s">
        <v>1699</v>
      </c>
      <c r="B99" s="4" t="s">
        <v>1617</v>
      </c>
      <c r="C99" s="4"/>
      <c r="D99" s="4" t="s">
        <v>12</v>
      </c>
      <c r="E99" s="4"/>
      <c r="F99" s="4"/>
      <c r="G99" s="4"/>
      <c r="H99" s="4"/>
      <c r="I99" s="4"/>
      <c r="J99" s="4" t="s">
        <v>1703</v>
      </c>
      <c r="K99" s="4"/>
      <c r="L99" s="5"/>
      <c r="M99" s="4"/>
      <c r="N99" s="4"/>
      <c r="O99" s="4"/>
    </row>
    <row collapsed="false" customFormat="false" customHeight="true" hidden="false" ht="15" outlineLevel="0" r="100">
      <c r="A100" s="4" t="s">
        <v>1699</v>
      </c>
      <c r="B100" s="4" t="s">
        <v>1617</v>
      </c>
      <c r="C100" s="4" t="s">
        <v>1706</v>
      </c>
      <c r="D100" s="4" t="s">
        <v>15</v>
      </c>
      <c r="E100" s="4"/>
      <c r="F100" s="4"/>
      <c r="G100" s="4"/>
      <c r="H100" s="4"/>
      <c r="I100" s="4"/>
      <c r="J100" s="4" t="s">
        <v>1703</v>
      </c>
      <c r="K100" s="4"/>
      <c r="L100" s="5"/>
      <c r="M100" s="4"/>
      <c r="N100" s="4"/>
      <c r="O100" s="4"/>
    </row>
    <row collapsed="false" customFormat="false" customHeight="true" hidden="false" ht="15" outlineLevel="0" r="101">
      <c r="A101" s="4" t="s">
        <v>1707</v>
      </c>
      <c r="B101" s="4" t="s">
        <v>1617</v>
      </c>
      <c r="C101" s="4" t="s">
        <v>1708</v>
      </c>
      <c r="D101" s="4" t="s">
        <v>1709</v>
      </c>
      <c r="E101" s="4" t="s">
        <v>1710</v>
      </c>
      <c r="F101" s="4" t="s">
        <v>1652</v>
      </c>
      <c r="G101" s="4" t="s">
        <v>5</v>
      </c>
      <c r="H101" s="4" t="s">
        <v>6</v>
      </c>
      <c r="I101" s="4" t="n">
        <v>20230</v>
      </c>
      <c r="J101" s="4" t="s">
        <v>1711</v>
      </c>
      <c r="K101" s="4" t="s">
        <v>1712</v>
      </c>
      <c r="L101" s="5" t="str">
        <f aca="false">HYPERLINK("mailto:FOIA@oig.doc.gov","mailto:FOIA@oig.doc.gov")</f>
        <v>mailto:FOIA@oig.doc.gov</v>
      </c>
      <c r="M101" s="4" t="s">
        <v>1713</v>
      </c>
      <c r="N101" s="5"/>
      <c r="O101" s="4"/>
    </row>
    <row collapsed="false" customFormat="false" customHeight="true" hidden="false" ht="15" outlineLevel="0" r="102">
      <c r="A102" s="4" t="s">
        <v>1707</v>
      </c>
      <c r="B102" s="4" t="s">
        <v>1617</v>
      </c>
      <c r="C102" s="4"/>
      <c r="D102" s="4" t="s">
        <v>12</v>
      </c>
      <c r="E102" s="4"/>
      <c r="F102" s="4"/>
      <c r="G102" s="4"/>
      <c r="H102" s="4"/>
      <c r="I102" s="4"/>
      <c r="J102" s="4" t="s">
        <v>1711</v>
      </c>
      <c r="K102" s="4"/>
      <c r="L102" s="5"/>
      <c r="M102" s="4"/>
      <c r="N102" s="4"/>
      <c r="O102" s="4"/>
    </row>
    <row collapsed="false" customFormat="false" customHeight="true" hidden="false" ht="15" outlineLevel="0" r="103">
      <c r="A103" s="4" t="s">
        <v>1707</v>
      </c>
      <c r="B103" s="4" t="s">
        <v>1617</v>
      </c>
      <c r="C103" s="4" t="s">
        <v>1708</v>
      </c>
      <c r="D103" s="4" t="s">
        <v>15</v>
      </c>
      <c r="E103" s="4"/>
      <c r="F103" s="4"/>
      <c r="G103" s="4"/>
      <c r="H103" s="4"/>
      <c r="I103" s="4"/>
      <c r="J103" s="4" t="s">
        <v>1711</v>
      </c>
      <c r="K103" s="4"/>
      <c r="L103" s="5"/>
      <c r="M103" s="4"/>
      <c r="N103" s="4"/>
      <c r="O103" s="4"/>
    </row>
    <row collapsed="false" customFormat="false" customHeight="true" hidden="false" ht="15" outlineLevel="0" r="104">
      <c r="A104" s="4" t="s">
        <v>1578</v>
      </c>
      <c r="B104" s="4" t="s">
        <v>1617</v>
      </c>
      <c r="C104" s="4" t="s">
        <v>1714</v>
      </c>
      <c r="D104" s="4" t="s">
        <v>1715</v>
      </c>
      <c r="E104" s="4" t="s">
        <v>1716</v>
      </c>
      <c r="F104" s="4" t="s">
        <v>1636</v>
      </c>
      <c r="G104" s="4" t="s">
        <v>5</v>
      </c>
      <c r="H104" s="4" t="s">
        <v>6</v>
      </c>
      <c r="I104" s="4" t="n">
        <v>20230</v>
      </c>
      <c r="J104" s="4" t="s">
        <v>1717</v>
      </c>
      <c r="K104" s="4" t="s">
        <v>1718</v>
      </c>
      <c r="L104" s="5" t="str">
        <f aca="false">HYPERLINK("mailto:Efoia@doc.gov","mailto:Efoia@doc.gov")</f>
        <v>mailto:Efoia@doc.gov</v>
      </c>
      <c r="M104" s="4" t="s">
        <v>1719</v>
      </c>
      <c r="N104" s="4"/>
      <c r="O104" s="4"/>
    </row>
    <row collapsed="false" customFormat="false" customHeight="true" hidden="false" ht="15" outlineLevel="0" r="105">
      <c r="A105" s="4" t="s">
        <v>1578</v>
      </c>
      <c r="B105" s="4" t="s">
        <v>1617</v>
      </c>
      <c r="C105" s="4"/>
      <c r="D105" s="4" t="s">
        <v>12</v>
      </c>
      <c r="E105" s="4"/>
      <c r="F105" s="4"/>
      <c r="G105" s="4"/>
      <c r="H105" s="4"/>
      <c r="I105" s="4"/>
      <c r="J105" s="4" t="s">
        <v>1717</v>
      </c>
      <c r="K105" s="4"/>
      <c r="L105" s="5"/>
      <c r="M105" s="4"/>
      <c r="N105" s="4"/>
      <c r="O105" s="4"/>
    </row>
    <row collapsed="false" customFormat="false" customHeight="true" hidden="false" ht="15" outlineLevel="0" r="106">
      <c r="A106" s="4" t="s">
        <v>1578</v>
      </c>
      <c r="B106" s="4" t="s">
        <v>1617</v>
      </c>
      <c r="C106" s="4" t="s">
        <v>1714</v>
      </c>
      <c r="D106" s="4" t="s">
        <v>15</v>
      </c>
      <c r="E106" s="4"/>
      <c r="F106" s="4"/>
      <c r="G106" s="4"/>
      <c r="H106" s="4"/>
      <c r="I106" s="4"/>
      <c r="J106" s="4" t="s">
        <v>1717</v>
      </c>
      <c r="K106" s="4"/>
      <c r="L106" s="5"/>
      <c r="M106" s="4"/>
      <c r="N106" s="4"/>
      <c r="O106" s="4"/>
    </row>
    <row collapsed="false" customFormat="false" customHeight="true" hidden="false" ht="15" outlineLevel="0" r="107">
      <c r="A107" s="4" t="s">
        <v>288</v>
      </c>
      <c r="B107" s="4" t="s">
        <v>1617</v>
      </c>
      <c r="C107" s="4" t="s">
        <v>1720</v>
      </c>
      <c r="D107" s="4" t="s">
        <v>1721</v>
      </c>
      <c r="E107" s="4" t="s">
        <v>1716</v>
      </c>
      <c r="F107" s="4" t="s">
        <v>1636</v>
      </c>
      <c r="G107" s="4" t="s">
        <v>5</v>
      </c>
      <c r="H107" s="4" t="s">
        <v>6</v>
      </c>
      <c r="I107" s="4" t="n">
        <v>20230</v>
      </c>
      <c r="J107" s="4" t="s">
        <v>1722</v>
      </c>
      <c r="K107" s="4" t="s">
        <v>1718</v>
      </c>
      <c r="L107" s="5" t="str">
        <f aca="false">HYPERLINK("mailto:Efoia@doc.gov","mailto:Efoia@doc.gov")</f>
        <v>mailto:Efoia@doc.gov</v>
      </c>
      <c r="M107" s="4" t="s">
        <v>1719</v>
      </c>
      <c r="N107" s="4"/>
      <c r="O107" s="4"/>
    </row>
    <row collapsed="false" customFormat="false" customHeight="true" hidden="false" ht="15" outlineLevel="0" r="108">
      <c r="A108" s="4" t="s">
        <v>288</v>
      </c>
      <c r="B108" s="4" t="s">
        <v>1617</v>
      </c>
      <c r="C108" s="4"/>
      <c r="D108" s="4" t="s">
        <v>12</v>
      </c>
      <c r="E108" s="4"/>
      <c r="F108" s="4"/>
      <c r="G108" s="4"/>
      <c r="H108" s="4"/>
      <c r="I108" s="4"/>
      <c r="J108" s="4" t="s">
        <v>1722</v>
      </c>
      <c r="K108" s="4"/>
      <c r="L108" s="5"/>
      <c r="M108" s="4"/>
      <c r="N108" s="4"/>
      <c r="O108" s="4"/>
    </row>
    <row collapsed="false" customFormat="false" customHeight="true" hidden="false" ht="15" outlineLevel="0" r="109">
      <c r="A109" s="4" t="s">
        <v>288</v>
      </c>
      <c r="B109" s="4" t="s">
        <v>1617</v>
      </c>
      <c r="C109" s="4" t="s">
        <v>1720</v>
      </c>
      <c r="D109" s="4" t="s">
        <v>15</v>
      </c>
      <c r="E109" s="4"/>
      <c r="F109" s="4"/>
      <c r="G109" s="4"/>
      <c r="H109" s="4"/>
      <c r="I109" s="4"/>
      <c r="J109" s="4" t="s">
        <v>1722</v>
      </c>
      <c r="K109" s="4"/>
      <c r="L109" s="5"/>
      <c r="M109" s="4"/>
      <c r="N109" s="4"/>
      <c r="O109" s="4"/>
    </row>
    <row collapsed="false" customFormat="false" customHeight="true" hidden="false" ht="15" outlineLevel="0" r="110">
      <c r="A110" s="4" t="s">
        <v>1723</v>
      </c>
      <c r="B110" s="4" t="s">
        <v>1724</v>
      </c>
      <c r="C110" s="4"/>
      <c r="D110" s="4" t="s">
        <v>114</v>
      </c>
      <c r="E110" s="4" t="s">
        <v>1725</v>
      </c>
      <c r="F110" s="4" t="s">
        <v>1726</v>
      </c>
      <c r="G110" s="4" t="s">
        <v>5</v>
      </c>
      <c r="H110" s="4" t="s">
        <v>6</v>
      </c>
      <c r="I110" s="4" t="s">
        <v>1727</v>
      </c>
      <c r="J110" s="4" t="s">
        <v>1728</v>
      </c>
      <c r="K110" s="4" t="s">
        <v>1729</v>
      </c>
      <c r="L110" s="5"/>
      <c r="M110" s="4" t="s">
        <v>1730</v>
      </c>
      <c r="N110" s="5"/>
      <c r="O110" s="4"/>
    </row>
    <row collapsed="false" customFormat="false" customHeight="true" hidden="false" ht="15" outlineLevel="0" r="111">
      <c r="A111" s="4" t="s">
        <v>1723</v>
      </c>
      <c r="B111" s="4" t="s">
        <v>1724</v>
      </c>
      <c r="C111" s="4"/>
      <c r="D111" s="4" t="s">
        <v>12</v>
      </c>
      <c r="E111" s="4"/>
      <c r="F111" s="4"/>
      <c r="G111" s="4"/>
      <c r="H111" s="4"/>
      <c r="I111" s="4"/>
      <c r="J111" s="4" t="s">
        <v>1728</v>
      </c>
      <c r="K111" s="4"/>
      <c r="L111" s="5"/>
      <c r="M111" s="4"/>
      <c r="N111" s="4"/>
      <c r="O111" s="4"/>
    </row>
    <row collapsed="false" customFormat="false" customHeight="true" hidden="false" ht="15" outlineLevel="0" r="112">
      <c r="A112" s="4" t="s">
        <v>1723</v>
      </c>
      <c r="B112" s="4" t="s">
        <v>1724</v>
      </c>
      <c r="C112" s="4" t="s">
        <v>1731</v>
      </c>
      <c r="D112" s="4" t="s">
        <v>15</v>
      </c>
      <c r="E112" s="4"/>
      <c r="F112" s="4"/>
      <c r="G112" s="4"/>
      <c r="H112" s="4"/>
      <c r="I112" s="4"/>
      <c r="J112" s="4" t="s">
        <v>1732</v>
      </c>
      <c r="K112" s="4"/>
      <c r="L112" s="5" t="str">
        <f aca="false">HYPERLINK("mailto:FOIA.LIAISON@WHS.MIL","mailto:FOIA.LIAISON@WHS.MIL")</f>
        <v>mailto:FOIA.LIAISON@WHS.MIL</v>
      </c>
      <c r="M112" s="4"/>
      <c r="N112" s="4"/>
      <c r="O112" s="4"/>
    </row>
    <row collapsed="false" customFormat="false" customHeight="true" hidden="false" ht="15" outlineLevel="0" r="113">
      <c r="A113" s="4" t="s">
        <v>1733</v>
      </c>
      <c r="B113" s="4" t="s">
        <v>1724</v>
      </c>
      <c r="C113" s="4" t="s">
        <v>1734</v>
      </c>
      <c r="D113" s="4" t="s">
        <v>114</v>
      </c>
      <c r="E113" s="4" t="s">
        <v>1735</v>
      </c>
      <c r="F113" s="4" t="s">
        <v>1736</v>
      </c>
      <c r="G113" s="4" t="s">
        <v>5</v>
      </c>
      <c r="H113" s="4" t="s">
        <v>6</v>
      </c>
      <c r="I113" s="4" t="s">
        <v>1737</v>
      </c>
      <c r="J113" s="4" t="s">
        <v>1738</v>
      </c>
      <c r="K113" s="4" t="s">
        <v>1739</v>
      </c>
      <c r="L113" s="5" t="str">
        <f aca="false">HYPERLINK("mailto:haffoia.workflow@pentagon.af.mil","mailto:haffoia.workflow@pentagon.af.mil")</f>
        <v>mailto:haffoia.workflow@pentagon.af.mil</v>
      </c>
      <c r="M113" s="4" t="s">
        <v>1740</v>
      </c>
      <c r="N113" s="5"/>
      <c r="O113" s="4"/>
    </row>
    <row collapsed="false" customFormat="false" customHeight="true" hidden="false" ht="15" outlineLevel="0" r="114">
      <c r="A114" s="4" t="s">
        <v>1733</v>
      </c>
      <c r="B114" s="4" t="s">
        <v>1724</v>
      </c>
      <c r="C114" s="4"/>
      <c r="D114" s="4" t="s">
        <v>12</v>
      </c>
      <c r="E114" s="4"/>
      <c r="F114" s="4"/>
      <c r="G114" s="4"/>
      <c r="H114" s="4"/>
      <c r="I114" s="4"/>
      <c r="J114" s="4" t="s">
        <v>1741</v>
      </c>
      <c r="K114" s="4"/>
      <c r="L114" s="5"/>
      <c r="M114" s="4"/>
      <c r="N114" s="4"/>
      <c r="O114" s="4"/>
    </row>
    <row collapsed="false" customFormat="false" customHeight="true" hidden="false" ht="15" outlineLevel="0" r="115">
      <c r="A115" s="4" t="s">
        <v>1733</v>
      </c>
      <c r="B115" s="4" t="s">
        <v>1724</v>
      </c>
      <c r="C115" s="4" t="s">
        <v>1742</v>
      </c>
      <c r="D115" s="4" t="s">
        <v>15</v>
      </c>
      <c r="E115" s="4"/>
      <c r="F115" s="4" t="s">
        <v>1743</v>
      </c>
      <c r="G115" s="4" t="s">
        <v>5</v>
      </c>
      <c r="H115" s="4" t="s">
        <v>6</v>
      </c>
      <c r="I115" s="4" t="s">
        <v>1744</v>
      </c>
      <c r="J115" s="4" t="s">
        <v>1745</v>
      </c>
      <c r="K115" s="4" t="s">
        <v>1746</v>
      </c>
      <c r="L115" s="5"/>
      <c r="M115" s="4"/>
      <c r="N115" s="4"/>
      <c r="O115" s="4"/>
    </row>
    <row collapsed="false" customFormat="false" customHeight="true" hidden="false" ht="15" outlineLevel="0" r="116">
      <c r="A116" s="4" t="s">
        <v>1747</v>
      </c>
      <c r="B116" s="4" t="s">
        <v>1724</v>
      </c>
      <c r="C116" s="4" t="s">
        <v>1748</v>
      </c>
      <c r="D116" s="4" t="s">
        <v>114</v>
      </c>
      <c r="E116" s="4" t="s">
        <v>1749</v>
      </c>
      <c r="F116" s="4" t="s">
        <v>1750</v>
      </c>
      <c r="G116" s="4" t="s">
        <v>807</v>
      </c>
      <c r="H116" s="4" t="s">
        <v>31</v>
      </c>
      <c r="I116" s="4" t="s">
        <v>1751</v>
      </c>
      <c r="J116" s="4" t="s">
        <v>1752</v>
      </c>
      <c r="K116" s="4" t="s">
        <v>1753</v>
      </c>
      <c r="L116" s="5" t="str">
        <f aca="false">HYPERLINK("mailto:DAFOIA@conus.army.mil","mailto:usarmy.belvoir.hqda-oaa-aha.mbx.rmda-foia@mail.mil")</f>
        <v>mailto:usarmy.belvoir.hqda-oaa-aha.mbx.rmda-foia@mail.mil</v>
      </c>
      <c r="M116" s="4" t="s">
        <v>1754</v>
      </c>
      <c r="N116" s="4"/>
      <c r="O116" s="4"/>
    </row>
    <row collapsed="false" customFormat="false" customHeight="true" hidden="false" ht="15" outlineLevel="0" r="117">
      <c r="A117" s="4" t="s">
        <v>1747</v>
      </c>
      <c r="B117" s="4" t="s">
        <v>1724</v>
      </c>
      <c r="C117" s="4"/>
      <c r="D117" s="4" t="s">
        <v>12</v>
      </c>
      <c r="E117" s="4"/>
      <c r="F117" s="4"/>
      <c r="G117" s="4"/>
      <c r="H117" s="4"/>
      <c r="I117" s="4"/>
      <c r="J117" s="4" t="s">
        <v>1755</v>
      </c>
      <c r="K117" s="4" t="s">
        <v>1753</v>
      </c>
      <c r="L117" s="5"/>
      <c r="M117" s="4"/>
      <c r="N117" s="4"/>
      <c r="O117" s="4"/>
    </row>
    <row collapsed="false" customFormat="false" customHeight="true" hidden="false" ht="15" outlineLevel="0" r="118">
      <c r="A118" s="4" t="s">
        <v>1747</v>
      </c>
      <c r="B118" s="4" t="s">
        <v>1724</v>
      </c>
      <c r="C118" s="4" t="s">
        <v>1756</v>
      </c>
      <c r="D118" s="4" t="s">
        <v>15</v>
      </c>
      <c r="E118" s="4"/>
      <c r="F118" s="4"/>
      <c r="G118" s="4"/>
      <c r="H118" s="4"/>
      <c r="I118" s="4"/>
      <c r="J118" s="4" t="s">
        <v>1757</v>
      </c>
      <c r="K118" s="4"/>
      <c r="L118" s="5" t="str">
        <f aca="false">HYPERLINK("mailto:ARMY_FOIA_Liaison@conus.army.mil","mailto:ARMY_FOIA_Liaison@conus.army.mil")</f>
        <v>mailto:ARMY_FOIA_Liaison@conus.army.mil</v>
      </c>
      <c r="M118" s="4"/>
      <c r="N118" s="4"/>
      <c r="O118" s="4"/>
    </row>
    <row collapsed="false" customFormat="false" customHeight="true" hidden="false" ht="15" outlineLevel="0" r="119">
      <c r="A119" s="4" t="s">
        <v>1758</v>
      </c>
      <c r="B119" s="4" t="s">
        <v>1724</v>
      </c>
      <c r="C119" s="4" t="s">
        <v>1759</v>
      </c>
      <c r="D119" s="4" t="s">
        <v>1760</v>
      </c>
      <c r="E119" s="4" t="s">
        <v>1761</v>
      </c>
      <c r="F119" s="4" t="s">
        <v>1762</v>
      </c>
      <c r="G119" s="4" t="s">
        <v>5</v>
      </c>
      <c r="H119" s="4" t="s">
        <v>6</v>
      </c>
      <c r="I119" s="4" t="s">
        <v>1763</v>
      </c>
      <c r="J119" s="4" t="s">
        <v>1764</v>
      </c>
      <c r="K119" s="4" t="s">
        <v>1765</v>
      </c>
      <c r="L119" s="5"/>
      <c r="M119" s="4" t="s">
        <v>1766</v>
      </c>
      <c r="N119" s="5"/>
      <c r="O119" s="4"/>
    </row>
    <row collapsed="false" customFormat="false" customHeight="true" hidden="false" ht="15" outlineLevel="0" r="120">
      <c r="A120" s="4" t="s">
        <v>1758</v>
      </c>
      <c r="B120" s="4" t="s">
        <v>1724</v>
      </c>
      <c r="C120" s="4"/>
      <c r="D120" s="4" t="s">
        <v>12</v>
      </c>
      <c r="E120" s="4"/>
      <c r="F120" s="4"/>
      <c r="G120" s="4"/>
      <c r="H120" s="4"/>
      <c r="I120" s="4"/>
      <c r="J120" s="4" t="s">
        <v>1764</v>
      </c>
      <c r="K120" s="4"/>
      <c r="L120" s="5"/>
      <c r="M120" s="4"/>
      <c r="N120" s="4"/>
      <c r="O120" s="4"/>
    </row>
    <row collapsed="false" customFormat="false" customHeight="true" hidden="false" ht="15" outlineLevel="0" r="121">
      <c r="A121" s="4" t="s">
        <v>1758</v>
      </c>
      <c r="B121" s="4" t="s">
        <v>1724</v>
      </c>
      <c r="C121" s="4" t="s">
        <v>1767</v>
      </c>
      <c r="D121" s="4" t="s">
        <v>15</v>
      </c>
      <c r="E121" s="4"/>
      <c r="F121" s="4"/>
      <c r="G121" s="4"/>
      <c r="H121" s="4"/>
      <c r="I121" s="4"/>
      <c r="J121" s="4" t="s">
        <v>1768</v>
      </c>
      <c r="K121" s="4"/>
      <c r="L121" s="5"/>
      <c r="M121" s="4"/>
      <c r="N121" s="4"/>
      <c r="O121" s="4"/>
    </row>
    <row collapsed="false" customFormat="false" customHeight="true" hidden="false" ht="15" outlineLevel="0" r="122">
      <c r="A122" s="4" t="s">
        <v>1769</v>
      </c>
      <c r="B122" s="4" t="s">
        <v>1724</v>
      </c>
      <c r="C122" s="4" t="s">
        <v>1770</v>
      </c>
      <c r="D122" s="4" t="s">
        <v>1771</v>
      </c>
      <c r="E122" s="4" t="s">
        <v>1772</v>
      </c>
      <c r="F122" s="4" t="s">
        <v>1773</v>
      </c>
      <c r="G122" s="4" t="s">
        <v>5</v>
      </c>
      <c r="H122" s="4" t="s">
        <v>6</v>
      </c>
      <c r="I122" s="4" t="s">
        <v>1774</v>
      </c>
      <c r="J122" s="4" t="s">
        <v>1775</v>
      </c>
      <c r="K122" s="4" t="s">
        <v>1776</v>
      </c>
      <c r="L122" s="5" t="str">
        <f aca="false">HYPERLINK("mailto:SMB.HQMC.FOIA@usmc.mil","mailto:SMB.HQMC.FOIA@usmc.mil")</f>
        <v>mailto:SMB.HQMC.FOIA@usmc.mil</v>
      </c>
      <c r="M122" s="4" t="s">
        <v>1777</v>
      </c>
      <c r="N122" s="4"/>
      <c r="O122" s="4"/>
    </row>
    <row collapsed="false" customFormat="false" customHeight="true" hidden="false" ht="15" outlineLevel="0" r="123">
      <c r="A123" s="4" t="s">
        <v>1769</v>
      </c>
      <c r="B123" s="4" t="s">
        <v>1724</v>
      </c>
      <c r="C123" s="4"/>
      <c r="D123" s="4" t="s">
        <v>12</v>
      </c>
      <c r="E123" s="4"/>
      <c r="F123" s="4"/>
      <c r="G123" s="4"/>
      <c r="H123" s="4"/>
      <c r="I123" s="4"/>
      <c r="J123" s="4" t="s">
        <v>1778</v>
      </c>
      <c r="K123" s="4" t="s">
        <v>1776</v>
      </c>
      <c r="L123" s="5" t="str">
        <f aca="false">HYPERLINK("mailto:smbhqmcfoiareqsvctr@usmc.mil","mailto:smbhqmcfoiareqsvctr@usmc.mil")</f>
        <v>mailto:smbhqmcfoiareqsvctr@usmc.mil</v>
      </c>
      <c r="M123" s="4"/>
      <c r="N123" s="4"/>
      <c r="O123" s="4"/>
    </row>
    <row collapsed="false" customFormat="false" customHeight="true" hidden="false" ht="15" outlineLevel="0" r="124">
      <c r="A124" s="4" t="s">
        <v>1769</v>
      </c>
      <c r="B124" s="4" t="s">
        <v>1724</v>
      </c>
      <c r="C124" s="4" t="s">
        <v>1767</v>
      </c>
      <c r="D124" s="4" t="s">
        <v>15</v>
      </c>
      <c r="E124" s="4"/>
      <c r="F124" s="4"/>
      <c r="G124" s="4"/>
      <c r="H124" s="4"/>
      <c r="I124" s="4"/>
      <c r="J124" s="4" t="s">
        <v>1779</v>
      </c>
      <c r="K124" s="4"/>
      <c r="L124" s="5" t="str">
        <f aca="false">HYPERLINK("mailto:smbusmcpublicliaison@usmc.mil","mailto:smbusmcpublicliaison@usmc.mil")</f>
        <v>mailto:smbusmcpublicliaison@usmc.mil</v>
      </c>
      <c r="M124" s="4"/>
      <c r="N124" s="4"/>
      <c r="O124" s="4"/>
    </row>
    <row collapsed="false" customFormat="false" customHeight="true" hidden="false" ht="15" outlineLevel="0" r="125">
      <c r="A125" s="4" t="s">
        <v>1780</v>
      </c>
      <c r="B125" s="4" t="s">
        <v>1724</v>
      </c>
      <c r="C125" s="4" t="s">
        <v>1781</v>
      </c>
      <c r="D125" s="4" t="s">
        <v>1167</v>
      </c>
      <c r="E125" s="4"/>
      <c r="F125" s="4" t="s">
        <v>1782</v>
      </c>
      <c r="G125" s="4" t="s">
        <v>1783</v>
      </c>
      <c r="H125" s="4" t="s">
        <v>31</v>
      </c>
      <c r="I125" s="4" t="s">
        <v>1784</v>
      </c>
      <c r="J125" s="4" t="s">
        <v>1785</v>
      </c>
      <c r="K125" s="4" t="s">
        <v>1785</v>
      </c>
      <c r="L125" s="5" t="str">
        <f aca="false">HYPERLINK("mailto:foia@deca.mil","mailto:foia@deca.mil")</f>
        <v>mailto:foia@deca.mil</v>
      </c>
      <c r="M125" s="4" t="s">
        <v>1786</v>
      </c>
      <c r="N125" s="4"/>
      <c r="O125" s="4"/>
    </row>
    <row collapsed="false" customFormat="false" customHeight="true" hidden="false" ht="15" outlineLevel="0" r="126">
      <c r="A126" s="4" t="s">
        <v>1780</v>
      </c>
      <c r="B126" s="4" t="s">
        <v>1724</v>
      </c>
      <c r="C126" s="4"/>
      <c r="D126" s="4" t="s">
        <v>12</v>
      </c>
      <c r="E126" s="4"/>
      <c r="F126" s="4"/>
      <c r="G126" s="4"/>
      <c r="H126" s="4"/>
      <c r="I126" s="4"/>
      <c r="J126" s="4" t="s">
        <v>1785</v>
      </c>
      <c r="K126" s="4"/>
      <c r="L126" s="5"/>
      <c r="M126" s="4"/>
      <c r="N126" s="4"/>
      <c r="O126" s="4"/>
    </row>
    <row collapsed="false" customFormat="false" customHeight="true" hidden="false" ht="15" outlineLevel="0" r="127">
      <c r="A127" s="4" t="s">
        <v>1780</v>
      </c>
      <c r="B127" s="4" t="s">
        <v>1724</v>
      </c>
      <c r="C127" s="4" t="s">
        <v>1787</v>
      </c>
      <c r="D127" s="4" t="s">
        <v>15</v>
      </c>
      <c r="E127" s="4"/>
      <c r="F127" s="4"/>
      <c r="G127" s="4"/>
      <c r="H127" s="4"/>
      <c r="I127" s="4"/>
      <c r="J127" s="4" t="s">
        <v>1785</v>
      </c>
      <c r="K127" s="4"/>
      <c r="L127" s="5" t="str">
        <f aca="false">HYPERLINK("mailto:foia@deca.mil","mailto:foia@deca.mil")</f>
        <v>mailto:foia@deca.mil</v>
      </c>
      <c r="M127" s="4"/>
      <c r="N127" s="4"/>
      <c r="O127" s="4"/>
    </row>
    <row collapsed="false" customFormat="false" customHeight="true" hidden="false" ht="15" outlineLevel="0" r="128">
      <c r="A128" s="4" t="s">
        <v>1788</v>
      </c>
      <c r="B128" s="4" t="s">
        <v>1724</v>
      </c>
      <c r="C128" s="4" t="s">
        <v>1789</v>
      </c>
      <c r="D128" s="4" t="s">
        <v>1790</v>
      </c>
      <c r="E128" s="4" t="s">
        <v>1791</v>
      </c>
      <c r="F128" s="4" t="s">
        <v>1792</v>
      </c>
      <c r="G128" s="4" t="s">
        <v>1793</v>
      </c>
      <c r="H128" s="4" t="s">
        <v>31</v>
      </c>
      <c r="I128" s="4" t="s">
        <v>1794</v>
      </c>
      <c r="J128" s="4" t="s">
        <v>1795</v>
      </c>
      <c r="K128" s="4" t="s">
        <v>1796</v>
      </c>
      <c r="L128" s="5" t="str">
        <f aca="false">HYPERLINK("mailto:DCAA-FOIA@dcaa.mil","mailto:DCAA-FOIA@dcaa.mil")</f>
        <v>mailto:DCAA-FOIA@dcaa.mil</v>
      </c>
      <c r="M128" s="4" t="s">
        <v>1797</v>
      </c>
      <c r="N128" s="4"/>
      <c r="O128" s="4"/>
    </row>
    <row collapsed="false" customFormat="false" customHeight="true" hidden="false" ht="15" outlineLevel="0" r="129">
      <c r="A129" s="4" t="s">
        <v>1788</v>
      </c>
      <c r="B129" s="4" t="s">
        <v>1724</v>
      </c>
      <c r="C129" s="4"/>
      <c r="D129" s="4" t="s">
        <v>12</v>
      </c>
      <c r="E129" s="4"/>
      <c r="F129" s="4"/>
      <c r="G129" s="4"/>
      <c r="H129" s="4"/>
      <c r="I129" s="4"/>
      <c r="J129" s="4" t="s">
        <v>1795</v>
      </c>
      <c r="K129" s="4"/>
      <c r="L129" s="5"/>
      <c r="M129" s="4"/>
      <c r="N129" s="4"/>
      <c r="O129" s="4"/>
    </row>
    <row collapsed="false" customFormat="false" customHeight="true" hidden="false" ht="15" outlineLevel="0" r="130">
      <c r="A130" s="4" t="s">
        <v>1788</v>
      </c>
      <c r="B130" s="4" t="s">
        <v>1724</v>
      </c>
      <c r="C130" s="4" t="s">
        <v>785</v>
      </c>
      <c r="D130" s="4" t="s">
        <v>15</v>
      </c>
      <c r="E130" s="4"/>
      <c r="F130" s="4"/>
      <c r="G130" s="4"/>
      <c r="H130" s="4"/>
      <c r="I130" s="4"/>
      <c r="J130" s="4" t="s">
        <v>1798</v>
      </c>
      <c r="K130" s="4" t="s">
        <v>1796</v>
      </c>
      <c r="L130" s="5" t="str">
        <f aca="false">HYPERLINK("mailto:DCAA-FOIA@dcaa.mil","mailto:DCAA-FOIA@dcaa.mil")</f>
        <v>mailto:DCAA-FOIA@dcaa.mil</v>
      </c>
      <c r="M130" s="4"/>
      <c r="N130" s="4"/>
      <c r="O130" s="4"/>
    </row>
    <row collapsed="false" customFormat="false" customHeight="true" hidden="false" ht="15" outlineLevel="0" r="131">
      <c r="A131" s="4" t="s">
        <v>1799</v>
      </c>
      <c r="B131" s="4" t="s">
        <v>1724</v>
      </c>
      <c r="C131" s="4" t="s">
        <v>1800</v>
      </c>
      <c r="D131" s="4" t="s">
        <v>1801</v>
      </c>
      <c r="E131" s="4" t="s">
        <v>1802</v>
      </c>
      <c r="F131" s="4" t="s">
        <v>1803</v>
      </c>
      <c r="G131" s="4" t="s">
        <v>1783</v>
      </c>
      <c r="H131" s="4" t="s">
        <v>31</v>
      </c>
      <c r="I131" s="4" t="n">
        <v>23801</v>
      </c>
      <c r="J131" s="4" t="s">
        <v>1804</v>
      </c>
      <c r="K131" s="4" t="s">
        <v>1805</v>
      </c>
      <c r="L131" s="5" t="str">
        <f aca="false">HYPERLINK("mailto:DCMA.FOIA@DCMA.mil","mailto:DCMA.FOIA@DCMA.mil")</f>
        <v>mailto:DCMA.FOIA@DCMA.mil</v>
      </c>
      <c r="M131" s="5" t="str">
        <f aca="false">HYPERLINK("http://www.dcma.mil/DCMAHQ/FOIA/index.cfm","http://www.dcma.mil/DCMAHQ/FOIA/index.cfm")</f>
        <v>http://www.dcma.mil/DCMAHQ/FOIA/index.cfm</v>
      </c>
      <c r="N131" s="4"/>
      <c r="O131" s="4"/>
    </row>
    <row collapsed="false" customFormat="false" customHeight="true" hidden="false" ht="15" outlineLevel="0" r="132">
      <c r="A132" s="4" t="s">
        <v>1799</v>
      </c>
      <c r="B132" s="4" t="s">
        <v>1724</v>
      </c>
      <c r="C132" s="4"/>
      <c r="D132" s="4" t="s">
        <v>12</v>
      </c>
      <c r="E132" s="4"/>
      <c r="F132" s="4"/>
      <c r="G132" s="4"/>
      <c r="H132" s="4"/>
      <c r="I132" s="4"/>
      <c r="J132" s="4" t="s">
        <v>1806</v>
      </c>
      <c r="K132" s="4"/>
      <c r="L132" s="5"/>
      <c r="M132" s="4"/>
      <c r="N132" s="4"/>
      <c r="O132" s="4"/>
    </row>
    <row collapsed="false" customFormat="false" customHeight="true" hidden="false" ht="15" outlineLevel="0" r="133">
      <c r="A133" s="4" t="s">
        <v>1799</v>
      </c>
      <c r="B133" s="4" t="s">
        <v>1724</v>
      </c>
      <c r="C133" s="4" t="s">
        <v>1807</v>
      </c>
      <c r="D133" s="4" t="s">
        <v>15</v>
      </c>
      <c r="E133" s="4"/>
      <c r="F133" s="4"/>
      <c r="G133" s="4"/>
      <c r="H133" s="4"/>
      <c r="I133" s="4"/>
      <c r="J133" s="4" t="s">
        <v>1808</v>
      </c>
      <c r="K133" s="4"/>
      <c r="L133" s="5" t="str">
        <f aca="false">HYPERLINK("mailto:foiapublicliaison@dcma.mil","mailto:foiapublicliaison@dcma.mil")</f>
        <v>mailto:foiapublicliaison@dcma.mil</v>
      </c>
      <c r="M133" s="4"/>
      <c r="N133" s="4"/>
      <c r="O133" s="4"/>
    </row>
    <row collapsed="false" customFormat="false" customHeight="true" hidden="false" ht="15" outlineLevel="0" r="134">
      <c r="A134" s="4" t="s">
        <v>1809</v>
      </c>
      <c r="B134" s="4" t="s">
        <v>1724</v>
      </c>
      <c r="C134" s="4" t="s">
        <v>1810</v>
      </c>
      <c r="D134" s="4" t="s">
        <v>1811</v>
      </c>
      <c r="E134" s="4" t="s">
        <v>1812</v>
      </c>
      <c r="F134" s="4" t="s">
        <v>1813</v>
      </c>
      <c r="G134" s="4" t="s">
        <v>354</v>
      </c>
      <c r="H134" s="4" t="s">
        <v>355</v>
      </c>
      <c r="I134" s="4" t="s">
        <v>1814</v>
      </c>
      <c r="J134" s="4" t="s">
        <v>1815</v>
      </c>
      <c r="K134" s="4" t="s">
        <v>1816</v>
      </c>
      <c r="L134" s="5" t="str">
        <f aca="false">HYPERLINK("mailto:gregory.outlaw@dfas.mil","mailto:gregory.outlaw@dfas.mil")</f>
        <v>mailto:gregory.outlaw@dfas.mil</v>
      </c>
      <c r="M134" s="4" t="s">
        <v>1817</v>
      </c>
      <c r="N134" s="4"/>
      <c r="O134" s="4"/>
    </row>
    <row collapsed="false" customFormat="false" customHeight="true" hidden="false" ht="15" outlineLevel="0" r="135">
      <c r="A135" s="4" t="s">
        <v>1809</v>
      </c>
      <c r="B135" s="4" t="s">
        <v>1724</v>
      </c>
      <c r="C135" s="4"/>
      <c r="D135" s="4" t="s">
        <v>12</v>
      </c>
      <c r="E135" s="4"/>
      <c r="F135" s="4"/>
      <c r="G135" s="4"/>
      <c r="H135" s="4"/>
      <c r="I135" s="4"/>
      <c r="J135" s="4" t="s">
        <v>1815</v>
      </c>
      <c r="K135" s="4"/>
      <c r="L135" s="5"/>
      <c r="M135" s="4"/>
      <c r="N135" s="4"/>
      <c r="O135" s="4"/>
    </row>
    <row collapsed="false" customFormat="false" customHeight="true" hidden="false" ht="15" outlineLevel="0" r="136">
      <c r="A136" s="4" t="s">
        <v>1809</v>
      </c>
      <c r="B136" s="4" t="s">
        <v>1724</v>
      </c>
      <c r="C136" s="4" t="s">
        <v>1810</v>
      </c>
      <c r="D136" s="4" t="s">
        <v>15</v>
      </c>
      <c r="E136" s="4"/>
      <c r="F136" s="4"/>
      <c r="G136" s="4"/>
      <c r="H136" s="4"/>
      <c r="I136" s="4"/>
      <c r="J136" s="4" t="s">
        <v>1815</v>
      </c>
      <c r="K136" s="4"/>
      <c r="L136" s="5" t="str">
        <f aca="false">HYPERLINK("mailto:gregory.outlaw@dfas.mil","mailto:gregory.outlaw@dfas.mil")</f>
        <v>mailto:gregory.outlaw@dfas.mil</v>
      </c>
      <c r="M136" s="4"/>
      <c r="N136" s="4"/>
      <c r="O136" s="4"/>
    </row>
    <row collapsed="false" customFormat="false" customHeight="true" hidden="false" ht="15" outlineLevel="0" r="137">
      <c r="A137" s="4" t="s">
        <v>1818</v>
      </c>
      <c r="B137" s="4" t="s">
        <v>1724</v>
      </c>
      <c r="C137" s="4" t="s">
        <v>1819</v>
      </c>
      <c r="D137" s="4" t="s">
        <v>1820</v>
      </c>
      <c r="E137" s="4"/>
      <c r="F137" s="4" t="s">
        <v>1821</v>
      </c>
      <c r="G137" s="4" t="s">
        <v>1822</v>
      </c>
      <c r="H137" s="4" t="s">
        <v>138</v>
      </c>
      <c r="I137" s="4" t="n">
        <v>20755</v>
      </c>
      <c r="J137" s="4" t="s">
        <v>1823</v>
      </c>
      <c r="K137" s="4" t="s">
        <v>1824</v>
      </c>
      <c r="L137" s="5" t="str">
        <f aca="false">HYPERLINK("mailto:GeneralCounselDISA@disa.mil","mailto:GeneralCounselDISA@disa.mil")</f>
        <v>mailto:GeneralCounselDISA@disa.mil</v>
      </c>
      <c r="M137" s="4" t="s">
        <v>1825</v>
      </c>
      <c r="N137" s="4"/>
      <c r="O137" s="4"/>
    </row>
    <row collapsed="false" customFormat="false" customHeight="true" hidden="false" ht="15" outlineLevel="0" r="138">
      <c r="A138" s="4" t="s">
        <v>1818</v>
      </c>
      <c r="B138" s="4" t="s">
        <v>1724</v>
      </c>
      <c r="C138" s="4"/>
      <c r="D138" s="4" t="s">
        <v>12</v>
      </c>
      <c r="E138" s="4"/>
      <c r="F138" s="4"/>
      <c r="G138" s="4"/>
      <c r="H138" s="4"/>
      <c r="I138" s="4"/>
      <c r="J138" s="4" t="s">
        <v>1823</v>
      </c>
      <c r="K138" s="4"/>
      <c r="L138" s="5"/>
      <c r="M138" s="4"/>
      <c r="N138" s="4"/>
      <c r="O138" s="4"/>
    </row>
    <row collapsed="false" customFormat="false" customHeight="true" hidden="false" ht="15" outlineLevel="0" r="139">
      <c r="A139" s="4" t="s">
        <v>1818</v>
      </c>
      <c r="B139" s="4" t="s">
        <v>1724</v>
      </c>
      <c r="C139" s="4" t="s">
        <v>1826</v>
      </c>
      <c r="D139" s="4" t="s">
        <v>15</v>
      </c>
      <c r="E139" s="4"/>
      <c r="F139" s="4"/>
      <c r="G139" s="4"/>
      <c r="H139" s="4"/>
      <c r="I139" s="4"/>
      <c r="J139" s="4" t="s">
        <v>1827</v>
      </c>
      <c r="K139" s="4"/>
      <c r="L139" s="5" t="str">
        <f aca="false">HYPERLINK("mailto:GeneralCounselDISA@disa.mil","mailto:GeneralCounselDISA@disa.mil")</f>
        <v>mailto:GeneralCounselDISA@disa.mil</v>
      </c>
      <c r="M139" s="4"/>
      <c r="N139" s="4"/>
      <c r="O139" s="4"/>
    </row>
    <row collapsed="false" customFormat="false" customHeight="true" hidden="false" ht="15" outlineLevel="0" r="140">
      <c r="A140" s="4" t="s">
        <v>1828</v>
      </c>
      <c r="B140" s="4" t="s">
        <v>1724</v>
      </c>
      <c r="C140" s="4" t="s">
        <v>1829</v>
      </c>
      <c r="D140" s="4" t="s">
        <v>1830</v>
      </c>
      <c r="E140" s="4" t="s">
        <v>1831</v>
      </c>
      <c r="F140" s="4" t="s">
        <v>1832</v>
      </c>
      <c r="G140" s="4" t="s">
        <v>5</v>
      </c>
      <c r="H140" s="4" t="s">
        <v>6</v>
      </c>
      <c r="I140" s="4" t="s">
        <v>1833</v>
      </c>
      <c r="J140" s="4" t="s">
        <v>1834</v>
      </c>
      <c r="K140" s="4" t="s">
        <v>1835</v>
      </c>
      <c r="L140" s="5" t="str">
        <f aca="false">HYPERLINK("mailto:foia@dia.mil","mailto:foia@dia.mil")</f>
        <v>mailto:foia@dia.mil</v>
      </c>
      <c r="M140" s="4" t="s">
        <v>1836</v>
      </c>
      <c r="N140" s="4"/>
      <c r="O140" s="4"/>
    </row>
    <row collapsed="false" customFormat="false" customHeight="true" hidden="false" ht="15" outlineLevel="0" r="141">
      <c r="A141" s="4" t="s">
        <v>1828</v>
      </c>
      <c r="B141" s="4" t="s">
        <v>1724</v>
      </c>
      <c r="C141" s="4"/>
      <c r="D141" s="4" t="s">
        <v>12</v>
      </c>
      <c r="E141" s="4"/>
      <c r="F141" s="4"/>
      <c r="G141" s="4"/>
      <c r="H141" s="4"/>
      <c r="I141" s="4"/>
      <c r="J141" s="4" t="s">
        <v>1834</v>
      </c>
      <c r="K141" s="4"/>
      <c r="L141" s="5"/>
      <c r="M141" s="4"/>
      <c r="N141" s="4"/>
      <c r="O141" s="4"/>
    </row>
    <row collapsed="false" customFormat="false" customHeight="true" hidden="false" ht="15" outlineLevel="0" r="142">
      <c r="A142" s="4" t="s">
        <v>1828</v>
      </c>
      <c r="B142" s="4" t="s">
        <v>1724</v>
      </c>
      <c r="C142" s="4" t="s">
        <v>1837</v>
      </c>
      <c r="D142" s="4" t="s">
        <v>15</v>
      </c>
      <c r="E142" s="4"/>
      <c r="F142" s="4"/>
      <c r="G142" s="4"/>
      <c r="H142" s="4"/>
      <c r="I142" s="4"/>
      <c r="J142" s="4" t="s">
        <v>1834</v>
      </c>
      <c r="K142" s="4"/>
      <c r="L142" s="5" t="str">
        <f aca="false">HYPERLINK("mailto:foia@dia.mil","mailto:foia@dia.mil")</f>
        <v>mailto:foia@dia.mil</v>
      </c>
      <c r="M142" s="4"/>
      <c r="N142" s="4"/>
      <c r="O142" s="4"/>
    </row>
    <row collapsed="false" customFormat="false" customHeight="true" hidden="false" ht="15" outlineLevel="0" r="143">
      <c r="A143" s="4" t="s">
        <v>1838</v>
      </c>
      <c r="B143" s="4" t="s">
        <v>1724</v>
      </c>
      <c r="C143" s="4" t="s">
        <v>1839</v>
      </c>
      <c r="D143" s="4" t="s">
        <v>1840</v>
      </c>
      <c r="E143" s="4" t="s">
        <v>1841</v>
      </c>
      <c r="F143" s="4" t="s">
        <v>1792</v>
      </c>
      <c r="G143" s="4" t="s">
        <v>1793</v>
      </c>
      <c r="H143" s="4" t="s">
        <v>31</v>
      </c>
      <c r="I143" s="4" t="s">
        <v>1842</v>
      </c>
      <c r="J143" s="4" t="s">
        <v>1843</v>
      </c>
      <c r="K143" s="4" t="s">
        <v>1844</v>
      </c>
      <c r="L143" s="5" t="str">
        <f aca="false">HYPERLINK("mailto:hq-foia@dla.mil","mailto:hq-foia@dla.mil")</f>
        <v>mailto:hq-foia@dla.mil</v>
      </c>
      <c r="M143" s="4" t="s">
        <v>1845</v>
      </c>
      <c r="N143" s="4"/>
      <c r="O143" s="4"/>
    </row>
    <row collapsed="false" customFormat="false" customHeight="true" hidden="false" ht="15" outlineLevel="0" r="144">
      <c r="A144" s="4" t="s">
        <v>1838</v>
      </c>
      <c r="B144" s="4" t="s">
        <v>1724</v>
      </c>
      <c r="C144" s="4"/>
      <c r="D144" s="4" t="s">
        <v>12</v>
      </c>
      <c r="E144" s="4"/>
      <c r="F144" s="4"/>
      <c r="G144" s="4"/>
      <c r="H144" s="4"/>
      <c r="I144" s="4"/>
      <c r="J144" s="4" t="s">
        <v>1843</v>
      </c>
      <c r="K144" s="4"/>
      <c r="L144" s="5"/>
      <c r="M144" s="4"/>
      <c r="N144" s="4"/>
      <c r="O144" s="4"/>
    </row>
    <row collapsed="false" customFormat="false" customHeight="true" hidden="false" ht="15" outlineLevel="0" r="145">
      <c r="A145" s="4" t="s">
        <v>1838</v>
      </c>
      <c r="B145" s="4" t="s">
        <v>1724</v>
      </c>
      <c r="C145" s="4" t="s">
        <v>1846</v>
      </c>
      <c r="D145" s="4" t="s">
        <v>15</v>
      </c>
      <c r="E145" s="4"/>
      <c r="F145" s="4"/>
      <c r="G145" s="4"/>
      <c r="H145" s="4"/>
      <c r="I145" s="4"/>
      <c r="J145" s="4" t="s">
        <v>1847</v>
      </c>
      <c r="K145" s="4" t="s">
        <v>1844</v>
      </c>
      <c r="L145" s="5" t="str">
        <f aca="false">HYPERLINK("mailto:FOIA.Liaison@dla.mil","mailto:FOIA.Liaison@dla.mil")</f>
        <v>mailto:FOIA.Liaison@dla.mil</v>
      </c>
      <c r="M145" s="4"/>
      <c r="N145" s="4"/>
      <c r="O145" s="4"/>
    </row>
    <row collapsed="false" customFormat="false" customHeight="true" hidden="false" ht="15" outlineLevel="0" r="146">
      <c r="A146" s="4" t="s">
        <v>1848</v>
      </c>
      <c r="B146" s="4" t="s">
        <v>1724</v>
      </c>
      <c r="C146" s="4" t="s">
        <v>1849</v>
      </c>
      <c r="D146" s="4" t="s">
        <v>1850</v>
      </c>
      <c r="E146" s="4"/>
      <c r="F146" s="4" t="s">
        <v>1851</v>
      </c>
      <c r="G146" s="4" t="s">
        <v>1852</v>
      </c>
      <c r="H146" s="4" t="s">
        <v>31</v>
      </c>
      <c r="I146" s="4" t="n">
        <v>22314</v>
      </c>
      <c r="J146" s="4" t="s">
        <v>1853</v>
      </c>
      <c r="K146" s="4" t="s">
        <v>1854</v>
      </c>
      <c r="L146" s="5" t="str">
        <f aca="false">HYPERLINK("mailto:Leslie.Blake@dss.mil","mailto:Leslie.Blake@dss.mil")</f>
        <v>mailto:Leslie.Blake@dss.mil</v>
      </c>
      <c r="M146" s="4" t="s">
        <v>1855</v>
      </c>
      <c r="N146" s="4"/>
      <c r="O146" s="4"/>
    </row>
    <row collapsed="false" customFormat="false" customHeight="true" hidden="false" ht="15" outlineLevel="0" r="147">
      <c r="A147" s="4" t="s">
        <v>1848</v>
      </c>
      <c r="B147" s="4" t="s">
        <v>1724</v>
      </c>
      <c r="C147" s="4"/>
      <c r="D147" s="4" t="s">
        <v>12</v>
      </c>
      <c r="E147" s="4"/>
      <c r="F147" s="4"/>
      <c r="G147" s="4"/>
      <c r="H147" s="4"/>
      <c r="I147" s="4"/>
      <c r="J147" s="4" t="s">
        <v>1856</v>
      </c>
      <c r="K147" s="4"/>
      <c r="L147" s="5"/>
      <c r="M147" s="4"/>
      <c r="N147" s="4"/>
      <c r="O147" s="4"/>
    </row>
    <row collapsed="false" customFormat="false" customHeight="true" hidden="false" ht="15" outlineLevel="0" r="148">
      <c r="A148" s="4" t="s">
        <v>1848</v>
      </c>
      <c r="B148" s="4" t="s">
        <v>1724</v>
      </c>
      <c r="C148" s="4" t="s">
        <v>1857</v>
      </c>
      <c r="D148" s="4" t="s">
        <v>15</v>
      </c>
      <c r="E148" s="4"/>
      <c r="F148" s="4"/>
      <c r="G148" s="4"/>
      <c r="H148" s="4"/>
      <c r="I148" s="4"/>
      <c r="J148" s="4" t="s">
        <v>1858</v>
      </c>
      <c r="K148" s="4"/>
      <c r="L148" s="5" t="str">
        <f aca="false">HYPERLINK("mailto:jay.fraude@dss.mil","mailto:jay.fraude@dss.mil")</f>
        <v>mailto:jay.fraude@dss.mil</v>
      </c>
      <c r="M148" s="4"/>
      <c r="N148" s="4"/>
      <c r="O148" s="4"/>
    </row>
    <row collapsed="false" customFormat="false" customHeight="true" hidden="false" ht="15" outlineLevel="0" r="149">
      <c r="A149" s="4" t="s">
        <v>1859</v>
      </c>
      <c r="B149" s="4" t="s">
        <v>1724</v>
      </c>
      <c r="C149" s="4" t="s">
        <v>1860</v>
      </c>
      <c r="D149" s="4" t="s">
        <v>1861</v>
      </c>
      <c r="E149" s="4" t="s">
        <v>1862</v>
      </c>
      <c r="F149" s="4" t="s">
        <v>1792</v>
      </c>
      <c r="G149" s="4" t="s">
        <v>1793</v>
      </c>
      <c r="H149" s="4" t="s">
        <v>31</v>
      </c>
      <c r="I149" s="4" t="s">
        <v>1863</v>
      </c>
      <c r="J149" s="4" t="s">
        <v>1864</v>
      </c>
      <c r="K149" s="4" t="s">
        <v>1865</v>
      </c>
      <c r="L149" s="5" t="str">
        <f aca="false">HYPERLINK("mailto:efoia@dtra.mil","mailto:efoia@dtra.mil")</f>
        <v>mailto:efoia@dtra.mil</v>
      </c>
      <c r="M149" s="4" t="s">
        <v>1866</v>
      </c>
      <c r="N149" s="4"/>
      <c r="O149" s="4"/>
    </row>
    <row collapsed="false" customFormat="false" customHeight="true" hidden="false" ht="15" outlineLevel="0" r="150">
      <c r="A150" s="4" t="s">
        <v>1859</v>
      </c>
      <c r="B150" s="4" t="s">
        <v>1724</v>
      </c>
      <c r="C150" s="4"/>
      <c r="D150" s="4" t="s">
        <v>12</v>
      </c>
      <c r="E150" s="4"/>
      <c r="F150" s="4"/>
      <c r="G150" s="4"/>
      <c r="H150" s="4"/>
      <c r="I150" s="4"/>
      <c r="J150" s="4" t="s">
        <v>1867</v>
      </c>
      <c r="K150" s="4"/>
      <c r="L150" s="5"/>
      <c r="M150" s="4"/>
      <c r="N150" s="4"/>
      <c r="O150" s="4"/>
    </row>
    <row collapsed="false" customFormat="false" customHeight="true" hidden="false" ht="15" outlineLevel="0" r="151">
      <c r="A151" s="4" t="s">
        <v>1859</v>
      </c>
      <c r="B151" s="4" t="s">
        <v>1724</v>
      </c>
      <c r="C151" s="4" t="s">
        <v>1868</v>
      </c>
      <c r="D151" s="4" t="s">
        <v>15</v>
      </c>
      <c r="E151" s="4"/>
      <c r="F151" s="4"/>
      <c r="G151" s="4"/>
      <c r="H151" s="4"/>
      <c r="I151" s="4"/>
      <c r="J151" s="4" t="s">
        <v>1869</v>
      </c>
      <c r="K151" s="4"/>
      <c r="L151" s="5" t="str">
        <f aca="false">HYPERLINK("mailto:foia_public_liaison@dtra.mil","mailto:foia_public_liaison@dtra.mil")</f>
        <v>mailto:foia_public_liaison@dtra.mil</v>
      </c>
      <c r="M151" s="4"/>
      <c r="N151" s="4"/>
      <c r="O151" s="4"/>
    </row>
    <row collapsed="false" customFormat="false" customHeight="true" hidden="false" ht="15" outlineLevel="0" r="152">
      <c r="A152" s="4" t="s">
        <v>1870</v>
      </c>
      <c r="B152" s="4" t="s">
        <v>1724</v>
      </c>
      <c r="C152" s="4" t="s">
        <v>1871</v>
      </c>
      <c r="D152" s="4" t="s">
        <v>1872</v>
      </c>
      <c r="E152" s="4" t="s">
        <v>1873</v>
      </c>
      <c r="F152" s="4" t="s">
        <v>1792</v>
      </c>
      <c r="G152" s="4" t="s">
        <v>1793</v>
      </c>
      <c r="H152" s="4" t="s">
        <v>31</v>
      </c>
      <c r="I152" s="4" t="s">
        <v>1874</v>
      </c>
      <c r="J152" s="4" t="s">
        <v>1875</v>
      </c>
      <c r="K152" s="4" t="s">
        <v>1876</v>
      </c>
      <c r="L152" s="5" t="str">
        <f aca="false">HYPERLINK("mailto:foia@dtic.mil","mailto:foia@dtic.mil")</f>
        <v>mailto:foia@dtic.mil</v>
      </c>
      <c r="M152" s="4" t="s">
        <v>1877</v>
      </c>
      <c r="N152" s="4"/>
      <c r="O152" s="4"/>
    </row>
    <row collapsed="false" customFormat="false" customHeight="true" hidden="false" ht="15" outlineLevel="0" r="153">
      <c r="A153" s="4" t="s">
        <v>1870</v>
      </c>
      <c r="B153" s="4" t="s">
        <v>1724</v>
      </c>
      <c r="C153" s="4"/>
      <c r="D153" s="4" t="s">
        <v>12</v>
      </c>
      <c r="E153" s="4"/>
      <c r="F153" s="4"/>
      <c r="G153" s="4"/>
      <c r="H153" s="4"/>
      <c r="I153" s="4"/>
      <c r="J153" s="4" t="s">
        <v>1875</v>
      </c>
      <c r="K153" s="4"/>
      <c r="L153" s="5"/>
      <c r="M153" s="4"/>
      <c r="N153" s="4"/>
      <c r="O153" s="4"/>
    </row>
    <row collapsed="false" customFormat="false" customHeight="true" hidden="false" ht="15" outlineLevel="0" r="154">
      <c r="A154" s="4" t="s">
        <v>1870</v>
      </c>
      <c r="B154" s="4" t="s">
        <v>1724</v>
      </c>
      <c r="C154" s="4" t="s">
        <v>1878</v>
      </c>
      <c r="D154" s="4" t="s">
        <v>15</v>
      </c>
      <c r="E154" s="4"/>
      <c r="F154" s="4"/>
      <c r="G154" s="4"/>
      <c r="H154" s="4"/>
      <c r="I154" s="4"/>
      <c r="J154" s="4" t="s">
        <v>1732</v>
      </c>
      <c r="K154" s="4"/>
      <c r="L154" s="5" t="str">
        <f aca="false">HYPERLINK("mailto:FOIA.LIAISON@WHS.MIL","mailto:FOIA.LIAISON@WHS.MIL")</f>
        <v>mailto:FOIA.LIAISON@WHS.MIL</v>
      </c>
      <c r="M154" s="4"/>
      <c r="N154" s="4"/>
      <c r="O154" s="4"/>
    </row>
    <row collapsed="false" customFormat="false" customHeight="true" hidden="false" ht="15" outlineLevel="0" r="155">
      <c r="A155" s="4" t="s">
        <v>1879</v>
      </c>
      <c r="B155" s="4" t="s">
        <v>1724</v>
      </c>
      <c r="C155" s="4" t="s">
        <v>1880</v>
      </c>
      <c r="D155" s="4" t="s">
        <v>114</v>
      </c>
      <c r="E155" s="4" t="s">
        <v>1881</v>
      </c>
      <c r="F155" s="4" t="s">
        <v>1882</v>
      </c>
      <c r="G155" s="4" t="s">
        <v>807</v>
      </c>
      <c r="H155" s="4" t="s">
        <v>31</v>
      </c>
      <c r="I155" s="4" t="s">
        <v>1883</v>
      </c>
      <c r="J155" s="4" t="s">
        <v>1884</v>
      </c>
      <c r="K155" s="4" t="s">
        <v>1885</v>
      </c>
      <c r="L155" s="5" t="str">
        <f aca="false">HYPERLINK("mailto:foia@hq.dodea.edu","mailto:foia@hq.dodea.edu")</f>
        <v>mailto:foia@hq.dodea.edu</v>
      </c>
      <c r="M155" s="5" t="str">
        <f aca="false">HYPERLINK("http://www.dodea.edu/foia.cfm","http://www.dodea.edu/foia.cfm")</f>
        <v>http://www.dodea.edu/foia.cfm</v>
      </c>
      <c r="N155" s="4"/>
      <c r="O155" s="4"/>
    </row>
    <row collapsed="false" customFormat="false" customHeight="true" hidden="false" ht="15" outlineLevel="0" r="156">
      <c r="A156" s="4" t="s">
        <v>1879</v>
      </c>
      <c r="B156" s="4" t="s">
        <v>1724</v>
      </c>
      <c r="C156" s="4"/>
      <c r="D156" s="4" t="s">
        <v>12</v>
      </c>
      <c r="E156" s="4"/>
      <c r="F156" s="4"/>
      <c r="G156" s="4"/>
      <c r="H156" s="4"/>
      <c r="I156" s="4"/>
      <c r="J156" s="4" t="s">
        <v>1884</v>
      </c>
      <c r="K156" s="4"/>
      <c r="L156" s="5"/>
      <c r="M156" s="4"/>
      <c r="N156" s="4"/>
      <c r="O156" s="4"/>
    </row>
    <row collapsed="false" customFormat="false" customHeight="true" hidden="false" ht="15" outlineLevel="0" r="157">
      <c r="A157" s="4" t="s">
        <v>1879</v>
      </c>
      <c r="B157" s="4" t="s">
        <v>1724</v>
      </c>
      <c r="C157" s="4" t="s">
        <v>1878</v>
      </c>
      <c r="D157" s="4" t="s">
        <v>15</v>
      </c>
      <c r="E157" s="4"/>
      <c r="F157" s="4"/>
      <c r="G157" s="4"/>
      <c r="H157" s="4"/>
      <c r="I157" s="4"/>
      <c r="J157" s="4" t="s">
        <v>1732</v>
      </c>
      <c r="K157" s="4"/>
      <c r="L157" s="5" t="str">
        <f aca="false">HYPERLINK("mailto:FOIA.LIAISON@WHS.MIL","mailto:FOIA.LIAISON@WHS.MIL")</f>
        <v>mailto:FOIA.LIAISON@WHS.MIL</v>
      </c>
      <c r="M157" s="4"/>
      <c r="N157" s="4"/>
      <c r="O157" s="4"/>
    </row>
    <row collapsed="false" customFormat="false" customHeight="true" hidden="false" ht="15" outlineLevel="0" r="158">
      <c r="A158" s="4" t="s">
        <v>1886</v>
      </c>
      <c r="B158" s="4" t="s">
        <v>1724</v>
      </c>
      <c r="C158" s="4"/>
      <c r="D158" s="4" t="s">
        <v>1887</v>
      </c>
      <c r="E158" s="4" t="s">
        <v>1888</v>
      </c>
      <c r="F158" s="4" t="s">
        <v>1889</v>
      </c>
      <c r="G158" s="4" t="s">
        <v>1890</v>
      </c>
      <c r="H158" s="4" t="s">
        <v>31</v>
      </c>
      <c r="I158" s="4" t="n">
        <v>22150</v>
      </c>
      <c r="J158" s="4" t="s">
        <v>1891</v>
      </c>
      <c r="K158" s="4" t="s">
        <v>1892</v>
      </c>
      <c r="L158" s="5" t="str">
        <f aca="false">HYPERLINK("mailto:foianga@nga.mil","mailto:foianga@nga.mil")</f>
        <v>mailto:foianga@nga.mil</v>
      </c>
      <c r="M158" s="5" t="str">
        <f aca="false">HYPERLINK("http://www1.nga.mil/Pages/FOIA.aspx","http://www1.nga.mil/Pages/FOIA.aspx")</f>
        <v>http://www1.nga.mil/Pages/FOIA.aspx</v>
      </c>
      <c r="N158" s="4"/>
      <c r="O158" s="4"/>
    </row>
    <row collapsed="false" customFormat="false" customHeight="true" hidden="false" ht="15" outlineLevel="0" r="159">
      <c r="A159" s="4" t="s">
        <v>1886</v>
      </c>
      <c r="B159" s="4" t="s">
        <v>1724</v>
      </c>
      <c r="C159" s="4"/>
      <c r="D159" s="4" t="s">
        <v>12</v>
      </c>
      <c r="E159" s="4"/>
      <c r="F159" s="4"/>
      <c r="G159" s="4"/>
      <c r="H159" s="4"/>
      <c r="I159" s="4"/>
      <c r="J159" s="4" t="s">
        <v>1891</v>
      </c>
      <c r="K159" s="4"/>
      <c r="L159" s="5" t="str">
        <f aca="false">HYPERLINK("mailto:foianga@nga.mil","mailto:foianga@nga.mil")</f>
        <v>mailto:foianga@nga.mil</v>
      </c>
      <c r="M159" s="4"/>
      <c r="N159" s="4"/>
      <c r="O159" s="4"/>
    </row>
    <row collapsed="false" customFormat="false" customHeight="true" hidden="false" ht="15" outlineLevel="0" r="160">
      <c r="A160" s="4" t="s">
        <v>1886</v>
      </c>
      <c r="B160" s="4" t="s">
        <v>1724</v>
      </c>
      <c r="C160" s="4" t="s">
        <v>1893</v>
      </c>
      <c r="D160" s="4" t="s">
        <v>15</v>
      </c>
      <c r="E160" s="4"/>
      <c r="F160" s="4"/>
      <c r="G160" s="4"/>
      <c r="H160" s="4"/>
      <c r="I160" s="4"/>
      <c r="J160" s="4" t="s">
        <v>1894</v>
      </c>
      <c r="K160" s="4"/>
      <c r="L160" s="5" t="str">
        <f aca="false">HYPERLINK("mailto:foianga@nga.mil","mailto:foianga@nga.mil")</f>
        <v>mailto:foianga@nga.mil</v>
      </c>
      <c r="M160" s="4"/>
      <c r="N160" s="4"/>
      <c r="O160" s="4"/>
    </row>
    <row collapsed="false" customFormat="false" customHeight="true" hidden="false" ht="15" outlineLevel="0" r="161">
      <c r="A161" s="4" t="s">
        <v>1895</v>
      </c>
      <c r="B161" s="4" t="s">
        <v>1724</v>
      </c>
      <c r="C161" s="4" t="s">
        <v>1896</v>
      </c>
      <c r="D161" s="4" t="s">
        <v>124</v>
      </c>
      <c r="E161" s="4" t="s">
        <v>1897</v>
      </c>
      <c r="F161" s="4" t="s">
        <v>1898</v>
      </c>
      <c r="G161" s="4" t="s">
        <v>30</v>
      </c>
      <c r="H161" s="4" t="s">
        <v>31</v>
      </c>
      <c r="I161" s="4" t="n">
        <v>22202</v>
      </c>
      <c r="J161" s="4" t="s">
        <v>1899</v>
      </c>
      <c r="K161" s="4" t="s">
        <v>1900</v>
      </c>
      <c r="L161" s="5" t="str">
        <f aca="false">HYPERLINK("mailto:FOIA@ng.army.mil","mailto:FOIA@ng.army.mil")</f>
        <v>mailto:FOIA@ng.army.mil</v>
      </c>
      <c r="M161" s="4" t="s">
        <v>1901</v>
      </c>
      <c r="N161" s="4"/>
      <c r="O161" s="4"/>
    </row>
    <row collapsed="false" customFormat="false" customHeight="true" hidden="false" ht="15" outlineLevel="0" r="162">
      <c r="A162" s="4" t="s">
        <v>1895</v>
      </c>
      <c r="B162" s="4" t="s">
        <v>1724</v>
      </c>
      <c r="C162" s="4"/>
      <c r="D162" s="4" t="s">
        <v>12</v>
      </c>
      <c r="E162" s="4"/>
      <c r="F162" s="4"/>
      <c r="G162" s="4"/>
      <c r="H162" s="4"/>
      <c r="I162" s="4"/>
      <c r="J162" s="4" t="s">
        <v>1899</v>
      </c>
      <c r="K162" s="4"/>
      <c r="L162" s="5" t="str">
        <f aca="false">HYPERLINK("mailto:FOIA@ng.army.mil","mailto:FOIA@ng.army.mil")</f>
        <v>mailto:FOIA@ng.army.mil</v>
      </c>
      <c r="M162" s="4"/>
      <c r="N162" s="4"/>
      <c r="O162" s="4"/>
    </row>
    <row collapsed="false" customFormat="false" customHeight="true" hidden="false" ht="15" outlineLevel="0" r="163">
      <c r="A163" s="4" t="s">
        <v>1895</v>
      </c>
      <c r="B163" s="4" t="s">
        <v>1724</v>
      </c>
      <c r="C163" s="4" t="s">
        <v>1878</v>
      </c>
      <c r="D163" s="4" t="s">
        <v>15</v>
      </c>
      <c r="E163" s="4"/>
      <c r="F163" s="4"/>
      <c r="G163" s="4"/>
      <c r="H163" s="4"/>
      <c r="I163" s="4"/>
      <c r="J163" s="4" t="s">
        <v>1732</v>
      </c>
      <c r="K163" s="4"/>
      <c r="L163" s="5" t="str">
        <f aca="false">HYPERLINK("mailto:FOIA.LIAISON@WHS.MIL","mailto:FOIA.LIAISON@WHS.MIL")</f>
        <v>mailto:FOIA.LIAISON@WHS.MIL</v>
      </c>
      <c r="M163" s="4"/>
      <c r="N163" s="4"/>
      <c r="O163" s="4"/>
    </row>
    <row collapsed="false" customFormat="false" customHeight="true" hidden="false" ht="15" outlineLevel="0" r="164">
      <c r="A164" s="4" t="s">
        <v>1902</v>
      </c>
      <c r="B164" s="4" t="s">
        <v>1724</v>
      </c>
      <c r="C164" s="4" t="s">
        <v>1903</v>
      </c>
      <c r="D164" s="4" t="s">
        <v>1904</v>
      </c>
      <c r="E164" s="4" t="s">
        <v>1905</v>
      </c>
      <c r="F164" s="4" t="s">
        <v>1906</v>
      </c>
      <c r="G164" s="4" t="s">
        <v>1907</v>
      </c>
      <c r="H164" s="4" t="s">
        <v>31</v>
      </c>
      <c r="I164" s="4" t="s">
        <v>1908</v>
      </c>
      <c r="J164" s="4" t="s">
        <v>1909</v>
      </c>
      <c r="K164" s="4" t="s">
        <v>1910</v>
      </c>
      <c r="L164" s="5"/>
      <c r="M164" s="4" t="s">
        <v>1911</v>
      </c>
      <c r="N164" s="5"/>
      <c r="O164" s="4"/>
    </row>
    <row collapsed="false" customFormat="false" customHeight="true" hidden="false" ht="15" outlineLevel="0" r="165">
      <c r="A165" s="4" t="s">
        <v>1902</v>
      </c>
      <c r="B165" s="4" t="s">
        <v>1724</v>
      </c>
      <c r="C165" s="4"/>
      <c r="D165" s="4" t="s">
        <v>12</v>
      </c>
      <c r="E165" s="4"/>
      <c r="F165" s="4"/>
      <c r="G165" s="4"/>
      <c r="H165" s="4"/>
      <c r="I165" s="4"/>
      <c r="J165" s="4" t="s">
        <v>1909</v>
      </c>
      <c r="K165" s="4"/>
      <c r="L165" s="5" t="str">
        <f aca="false">HYPERLINK("mailto:foia@nro.mil","mailto:foia@nro.mil")</f>
        <v>mailto:foia@nro.mil</v>
      </c>
      <c r="M165" s="4"/>
      <c r="N165" s="4"/>
      <c r="O165" s="4"/>
    </row>
    <row collapsed="false" customFormat="false" customHeight="true" hidden="false" ht="15" outlineLevel="0" r="166">
      <c r="A166" s="4" t="s">
        <v>1902</v>
      </c>
      <c r="B166" s="4" t="s">
        <v>1724</v>
      </c>
      <c r="C166" s="4" t="s">
        <v>1903</v>
      </c>
      <c r="D166" s="4" t="s">
        <v>15</v>
      </c>
      <c r="E166" s="4"/>
      <c r="F166" s="4"/>
      <c r="G166" s="4"/>
      <c r="H166" s="4"/>
      <c r="I166" s="4"/>
      <c r="J166" s="4" t="s">
        <v>1912</v>
      </c>
      <c r="K166" s="4" t="s">
        <v>1910</v>
      </c>
      <c r="L166" s="5" t="str">
        <f aca="false">HYPERLINK("mailto:foia@nro.mil","mailto:foia@nro.mil")</f>
        <v>mailto:foia@nro.mil</v>
      </c>
      <c r="M166" s="4"/>
      <c r="N166" s="4"/>
      <c r="O166" s="4"/>
    </row>
    <row collapsed="false" customFormat="false" customHeight="true" hidden="false" ht="15" outlineLevel="0" r="167">
      <c r="A167" s="4" t="s">
        <v>1913</v>
      </c>
      <c r="B167" s="4" t="s">
        <v>1724</v>
      </c>
      <c r="C167" s="4" t="s">
        <v>1914</v>
      </c>
      <c r="D167" s="4" t="s">
        <v>1915</v>
      </c>
      <c r="E167" s="4" t="s">
        <v>1916</v>
      </c>
      <c r="F167" s="4" t="s">
        <v>1917</v>
      </c>
      <c r="G167" s="4" t="s">
        <v>1918</v>
      </c>
      <c r="H167" s="4" t="s">
        <v>138</v>
      </c>
      <c r="I167" s="4" t="s">
        <v>1919</v>
      </c>
      <c r="J167" s="4" t="s">
        <v>1920</v>
      </c>
      <c r="K167" s="4" t="s">
        <v>1921</v>
      </c>
      <c r="L167" s="5"/>
      <c r="M167" s="4" t="s">
        <v>1922</v>
      </c>
      <c r="N167" s="5"/>
      <c r="O167" s="4"/>
    </row>
    <row collapsed="false" customFormat="false" customHeight="true" hidden="false" ht="15" outlineLevel="0" r="168">
      <c r="A168" s="4" t="s">
        <v>1913</v>
      </c>
      <c r="B168" s="4" t="s">
        <v>1724</v>
      </c>
      <c r="C168" s="4"/>
      <c r="D168" s="4" t="s">
        <v>12</v>
      </c>
      <c r="E168" s="4"/>
      <c r="F168" s="4"/>
      <c r="G168" s="4"/>
      <c r="H168" s="4"/>
      <c r="I168" s="4"/>
      <c r="J168" s="4" t="s">
        <v>1920</v>
      </c>
      <c r="K168" s="4"/>
      <c r="L168" s="5" t="str">
        <f aca="false">HYPERLINK("mailto:foiarsc@nsa.gov","mailto:foiarsc@nsa.gov")</f>
        <v>mailto:foiarsc@nsa.gov</v>
      </c>
      <c r="M168" s="4"/>
      <c r="N168" s="4"/>
      <c r="O168" s="4"/>
    </row>
    <row collapsed="false" customFormat="false" customHeight="true" hidden="false" ht="15" outlineLevel="0" r="169">
      <c r="A169" s="4" t="s">
        <v>1913</v>
      </c>
      <c r="B169" s="4" t="s">
        <v>1724</v>
      </c>
      <c r="C169" s="4" t="s">
        <v>1923</v>
      </c>
      <c r="D169" s="4" t="s">
        <v>15</v>
      </c>
      <c r="E169" s="4"/>
      <c r="F169" s="4"/>
      <c r="G169" s="4"/>
      <c r="H169" s="4"/>
      <c r="I169" s="4"/>
      <c r="J169" s="4" t="s">
        <v>1920</v>
      </c>
      <c r="K169" s="4" t="s">
        <v>1920</v>
      </c>
      <c r="L169" s="5" t="str">
        <f aca="false">HYPERLINK("mailto:foiarsc@nsa.gov","mailto:foiarsc@nsa.gov")</f>
        <v>mailto:foiarsc@nsa.gov</v>
      </c>
      <c r="M169" s="4"/>
      <c r="N169" s="4"/>
      <c r="O169" s="4"/>
    </row>
    <row collapsed="false" customFormat="false" customHeight="true" hidden="false" ht="15" outlineLevel="0" r="170">
      <c r="A170" s="4" t="s">
        <v>1707</v>
      </c>
      <c r="B170" s="4" t="s">
        <v>1724</v>
      </c>
      <c r="C170" s="4" t="s">
        <v>1924</v>
      </c>
      <c r="D170" s="4" t="s">
        <v>1925</v>
      </c>
      <c r="E170" s="4" t="s">
        <v>1926</v>
      </c>
      <c r="F170" s="4" t="s">
        <v>1882</v>
      </c>
      <c r="G170" s="4" t="s">
        <v>807</v>
      </c>
      <c r="H170" s="4" t="s">
        <v>31</v>
      </c>
      <c r="I170" s="4" t="s">
        <v>1927</v>
      </c>
      <c r="J170" s="4" t="s">
        <v>1928</v>
      </c>
      <c r="K170" s="4" t="s">
        <v>1929</v>
      </c>
      <c r="L170" s="5"/>
      <c r="M170" s="4" t="s">
        <v>1930</v>
      </c>
      <c r="N170" s="5"/>
      <c r="O170" s="4"/>
    </row>
    <row collapsed="false" customFormat="false" customHeight="true" hidden="false" ht="15" outlineLevel="0" r="171">
      <c r="A171" s="4" t="s">
        <v>1707</v>
      </c>
      <c r="B171" s="4" t="s">
        <v>1724</v>
      </c>
      <c r="C171" s="4"/>
      <c r="D171" s="4" t="s">
        <v>12</v>
      </c>
      <c r="E171" s="4"/>
      <c r="F171" s="4"/>
      <c r="G171" s="4"/>
      <c r="H171" s="4"/>
      <c r="I171" s="4"/>
      <c r="J171" s="4" t="s">
        <v>1931</v>
      </c>
      <c r="K171" s="4"/>
      <c r="L171" s="5"/>
      <c r="M171" s="4"/>
      <c r="N171" s="4"/>
      <c r="O171" s="4"/>
    </row>
    <row collapsed="false" customFormat="false" customHeight="true" hidden="false" ht="15" outlineLevel="0" r="172">
      <c r="A172" s="4" t="s">
        <v>1707</v>
      </c>
      <c r="B172" s="4" t="s">
        <v>1724</v>
      </c>
      <c r="C172" s="4" t="s">
        <v>1924</v>
      </c>
      <c r="D172" s="4" t="s">
        <v>15</v>
      </c>
      <c r="E172" s="4"/>
      <c r="F172" s="4"/>
      <c r="G172" s="4"/>
      <c r="H172" s="4"/>
      <c r="I172" s="4"/>
      <c r="J172" s="4" t="s">
        <v>1932</v>
      </c>
      <c r="K172" s="4"/>
      <c r="L172" s="5"/>
      <c r="M172" s="4"/>
      <c r="N172" s="4"/>
      <c r="O172" s="4"/>
    </row>
    <row collapsed="false" customFormat="false" customHeight="true" hidden="false" ht="15" outlineLevel="0" r="173">
      <c r="A173" s="4" t="s">
        <v>1933</v>
      </c>
      <c r="B173" s="4" t="s">
        <v>1724</v>
      </c>
      <c r="C173" s="4" t="s">
        <v>1934</v>
      </c>
      <c r="D173" s="4" t="s">
        <v>1935</v>
      </c>
      <c r="E173" s="4"/>
      <c r="F173" s="4" t="s">
        <v>1936</v>
      </c>
      <c r="G173" s="4" t="s">
        <v>1937</v>
      </c>
      <c r="H173" s="4" t="s">
        <v>265</v>
      </c>
      <c r="I173" s="4" t="s">
        <v>1938</v>
      </c>
      <c r="J173" s="4" t="s">
        <v>1939</v>
      </c>
      <c r="K173" s="4" t="s">
        <v>1940</v>
      </c>
      <c r="L173" s="5"/>
      <c r="M173" s="4" t="s">
        <v>1941</v>
      </c>
      <c r="N173" s="5"/>
      <c r="O173" s="4"/>
    </row>
    <row collapsed="false" customFormat="false" customHeight="true" hidden="false" ht="15" outlineLevel="0" r="174">
      <c r="A174" s="4" t="s">
        <v>1933</v>
      </c>
      <c r="B174" s="4" t="s">
        <v>1724</v>
      </c>
      <c r="C174" s="4"/>
      <c r="D174" s="4" t="s">
        <v>12</v>
      </c>
      <c r="E174" s="4"/>
      <c r="F174" s="4"/>
      <c r="G174" s="4"/>
      <c r="H174" s="4"/>
      <c r="I174" s="4"/>
      <c r="J174" s="4" t="s">
        <v>1942</v>
      </c>
      <c r="K174" s="4"/>
      <c r="L174" s="5" t="str">
        <f aca="false">HYPERLINK("mailto:FOIARequests@tma.osd.mil","mailto:FOIARequests@tma.osd.mil")</f>
        <v>mailto:FOIARequests@tma.osd.mil</v>
      </c>
      <c r="M174" s="4"/>
      <c r="N174" s="4"/>
      <c r="O174" s="4"/>
    </row>
    <row collapsed="false" customFormat="false" customHeight="true" hidden="false" ht="15" outlineLevel="0" r="175">
      <c r="A175" s="4" t="s">
        <v>1933</v>
      </c>
      <c r="B175" s="4" t="s">
        <v>1724</v>
      </c>
      <c r="C175" s="4" t="s">
        <v>1878</v>
      </c>
      <c r="D175" s="4" t="s">
        <v>15</v>
      </c>
      <c r="E175" s="4"/>
      <c r="F175" s="4"/>
      <c r="G175" s="4"/>
      <c r="H175" s="4"/>
      <c r="I175" s="4"/>
      <c r="J175" s="4" t="s">
        <v>1732</v>
      </c>
      <c r="K175" s="4"/>
      <c r="L175" s="5" t="str">
        <f aca="false">HYPERLINK("mailto:FOIA.LIAISON@WHS.MIL","mailto:FOIA.LIAISON@WHS.MIL")</f>
        <v>mailto:FOIA.LIAISON@WHS.MIL</v>
      </c>
      <c r="M175" s="4"/>
      <c r="N175" s="4"/>
      <c r="O175" s="4"/>
    </row>
    <row collapsed="false" customFormat="false" customHeight="true" hidden="false" ht="15" outlineLevel="0" r="176">
      <c r="A176" s="4" t="s">
        <v>1943</v>
      </c>
      <c r="B176" s="4" t="s">
        <v>1724</v>
      </c>
      <c r="C176" s="4" t="s">
        <v>114</v>
      </c>
      <c r="D176" s="4" t="s">
        <v>1944</v>
      </c>
      <c r="E176" s="4" t="s">
        <v>12</v>
      </c>
      <c r="F176" s="4" t="s">
        <v>1945</v>
      </c>
      <c r="G176" s="4" t="s">
        <v>1946</v>
      </c>
      <c r="H176" s="4" t="s">
        <v>1947</v>
      </c>
      <c r="I176" s="14" t="n">
        <v>9751</v>
      </c>
      <c r="J176" s="13" t="s">
        <v>1948</v>
      </c>
      <c r="K176" s="13" t="s">
        <v>1949</v>
      </c>
      <c r="L176" s="5" t="str">
        <f aca="false">HYPERLINK("mailto:foia@africom.mil","mailto:foia@africom.mil")</f>
        <v>mailto:foia@africom.mil</v>
      </c>
      <c r="M176" s="4" t="s">
        <v>1950</v>
      </c>
      <c r="N176" s="4"/>
      <c r="O176" s="4"/>
    </row>
    <row collapsed="false" customFormat="false" customHeight="true" hidden="false" ht="15" outlineLevel="0" r="177">
      <c r="A177" s="4" t="s">
        <v>1943</v>
      </c>
      <c r="B177" s="4" t="s">
        <v>1724</v>
      </c>
      <c r="C177" s="4"/>
      <c r="D177" s="4" t="s">
        <v>12</v>
      </c>
      <c r="E177" s="4"/>
      <c r="F177" s="4"/>
      <c r="G177" s="4"/>
      <c r="H177" s="4"/>
      <c r="I177" s="4"/>
      <c r="J177" s="13" t="s">
        <v>1948</v>
      </c>
      <c r="K177" s="4"/>
      <c r="L177" s="5"/>
      <c r="M177" s="4"/>
      <c r="N177" s="4"/>
      <c r="O177" s="4"/>
    </row>
    <row collapsed="false" customFormat="false" customHeight="true" hidden="false" ht="15" outlineLevel="0" r="178">
      <c r="A178" s="4" t="s">
        <v>1943</v>
      </c>
      <c r="B178" s="4" t="s">
        <v>1724</v>
      </c>
      <c r="C178" s="4" t="s">
        <v>1878</v>
      </c>
      <c r="D178" s="4" t="s">
        <v>15</v>
      </c>
      <c r="E178" s="4"/>
      <c r="F178" s="4"/>
      <c r="G178" s="4"/>
      <c r="H178" s="4"/>
      <c r="I178" s="4"/>
      <c r="J178" s="4" t="s">
        <v>1732</v>
      </c>
      <c r="K178" s="4"/>
      <c r="L178" s="5" t="str">
        <f aca="false">HYPERLINK("mailto:FOIA.LIAISON@WHS.MIL","mailto:FOIA.LIAISON@WHS.MIL")</f>
        <v>mailto:FOIA.LIAISON@WHS.MIL</v>
      </c>
      <c r="M178" s="4"/>
      <c r="N178" s="4"/>
      <c r="O178" s="4"/>
    </row>
    <row collapsed="false" customFormat="false" customHeight="true" hidden="false" ht="15" outlineLevel="0" r="179">
      <c r="A179" s="4" t="s">
        <v>1951</v>
      </c>
      <c r="B179" s="4" t="s">
        <v>1724</v>
      </c>
      <c r="C179" s="4"/>
      <c r="D179" s="4" t="s">
        <v>114</v>
      </c>
      <c r="E179" s="4" t="s">
        <v>1952</v>
      </c>
      <c r="F179" s="4" t="s">
        <v>1953</v>
      </c>
      <c r="G179" s="4" t="s">
        <v>1954</v>
      </c>
      <c r="H179" s="4" t="s">
        <v>382</v>
      </c>
      <c r="I179" s="4" t="s">
        <v>1955</v>
      </c>
      <c r="J179" s="4" t="s">
        <v>1956</v>
      </c>
      <c r="K179" s="4" t="s">
        <v>1957</v>
      </c>
      <c r="L179" s="5" t="str">
        <f aca="false">HYPERLINK("mailto:foiaoffice@centcom.mil","mailto:foiaoffice@centcom.mil")</f>
        <v>mailto:foiaoffice@centcom.mil</v>
      </c>
      <c r="M179" s="4" t="s">
        <v>1958</v>
      </c>
      <c r="N179" s="5"/>
      <c r="O179" s="4"/>
    </row>
    <row collapsed="false" customFormat="false" customHeight="true" hidden="false" ht="15" outlineLevel="0" r="180">
      <c r="A180" s="4" t="s">
        <v>1951</v>
      </c>
      <c r="B180" s="4" t="s">
        <v>1724</v>
      </c>
      <c r="C180" s="4"/>
      <c r="D180" s="4" t="s">
        <v>12</v>
      </c>
      <c r="E180" s="4"/>
      <c r="F180" s="4"/>
      <c r="G180" s="4"/>
      <c r="H180" s="4"/>
      <c r="I180" s="4"/>
      <c r="J180" s="4" t="s">
        <v>1956</v>
      </c>
      <c r="K180" s="4"/>
      <c r="L180" s="5"/>
      <c r="M180" s="4"/>
      <c r="N180" s="4"/>
      <c r="O180" s="4"/>
    </row>
    <row collapsed="false" customFormat="false" customHeight="true" hidden="false" ht="15" outlineLevel="0" r="181">
      <c r="A181" s="4" t="s">
        <v>1951</v>
      </c>
      <c r="B181" s="4" t="s">
        <v>1724</v>
      </c>
      <c r="C181" s="4" t="s">
        <v>1878</v>
      </c>
      <c r="D181" s="4" t="s">
        <v>15</v>
      </c>
      <c r="E181" s="4"/>
      <c r="F181" s="4"/>
      <c r="G181" s="4"/>
      <c r="H181" s="4"/>
      <c r="I181" s="4"/>
      <c r="J181" s="4" t="s">
        <v>1732</v>
      </c>
      <c r="K181" s="4"/>
      <c r="L181" s="5" t="str">
        <f aca="false">HYPERLINK("mailto:FOIA.LIAISON@WHS.MIL","mailto:FOIA.LIAISON@WHS.MIL")</f>
        <v>mailto:FOIA.LIAISON@WHS.MIL</v>
      </c>
      <c r="M181" s="4"/>
      <c r="N181" s="4"/>
      <c r="O181" s="4"/>
    </row>
    <row collapsed="false" customFormat="false" customHeight="true" hidden="false" ht="15" outlineLevel="0" r="182">
      <c r="A182" s="4" t="s">
        <v>1959</v>
      </c>
      <c r="B182" s="4" t="s">
        <v>1724</v>
      </c>
      <c r="C182" s="4" t="s">
        <v>114</v>
      </c>
      <c r="D182" s="4" t="s">
        <v>1960</v>
      </c>
      <c r="E182" s="4" t="s">
        <v>12</v>
      </c>
      <c r="F182" s="4" t="s">
        <v>1961</v>
      </c>
      <c r="G182" s="4" t="s">
        <v>1946</v>
      </c>
      <c r="H182" s="4" t="s">
        <v>1947</v>
      </c>
      <c r="I182" s="14" t="n">
        <v>9131</v>
      </c>
      <c r="J182" s="13" t="s">
        <v>1962</v>
      </c>
      <c r="K182" s="13" t="s">
        <v>1963</v>
      </c>
      <c r="L182" s="5" t="str">
        <f aca="false">HYPERLINK("mailto:foiarequest@eucom.mil","mailto:foiarequest@eucom.mil")</f>
        <v>mailto:foiarequest@eucom.mil</v>
      </c>
      <c r="M182" s="4" t="s">
        <v>1964</v>
      </c>
      <c r="N182" s="4"/>
      <c r="O182" s="4"/>
    </row>
    <row collapsed="false" customFormat="false" customHeight="true" hidden="false" ht="15" outlineLevel="0" r="183">
      <c r="A183" s="4" t="s">
        <v>1959</v>
      </c>
      <c r="B183" s="4" t="s">
        <v>1724</v>
      </c>
      <c r="C183" s="4"/>
      <c r="D183" s="4" t="s">
        <v>12</v>
      </c>
      <c r="E183" s="4"/>
      <c r="F183" s="4"/>
      <c r="G183" s="4"/>
      <c r="H183" s="4"/>
      <c r="I183" s="4"/>
      <c r="J183" s="13" t="s">
        <v>1962</v>
      </c>
      <c r="K183" s="4"/>
      <c r="L183" s="5"/>
      <c r="M183" s="4"/>
      <c r="N183" s="4"/>
      <c r="O183" s="4"/>
    </row>
    <row collapsed="false" customFormat="false" customHeight="true" hidden="false" ht="15" outlineLevel="0" r="184">
      <c r="A184" s="4" t="s">
        <v>1959</v>
      </c>
      <c r="B184" s="4" t="s">
        <v>1724</v>
      </c>
      <c r="C184" s="4" t="s">
        <v>1878</v>
      </c>
      <c r="D184" s="4" t="s">
        <v>15</v>
      </c>
      <c r="E184" s="4"/>
      <c r="F184" s="4"/>
      <c r="G184" s="4"/>
      <c r="H184" s="4"/>
      <c r="I184" s="4"/>
      <c r="J184" s="4" t="s">
        <v>1732</v>
      </c>
      <c r="K184" s="4"/>
      <c r="L184" s="5" t="str">
        <f aca="false">HYPERLINK("mailto:FOIA.LIAISON@WHS.MIL","mailto:FOIA.LIAISON@WHS.MIL")</f>
        <v>mailto:FOIA.LIAISON@WHS.MIL</v>
      </c>
      <c r="M184" s="4"/>
      <c r="N184" s="4"/>
      <c r="O184" s="4"/>
    </row>
    <row collapsed="false" customFormat="false" customHeight="true" hidden="false" ht="15" outlineLevel="0" r="185">
      <c r="A185" s="4" t="s">
        <v>1965</v>
      </c>
      <c r="B185" s="4" t="s">
        <v>1724</v>
      </c>
      <c r="C185" s="4"/>
      <c r="D185" s="4" t="s">
        <v>114</v>
      </c>
      <c r="E185" s="4" t="s">
        <v>1725</v>
      </c>
      <c r="F185" s="4" t="s">
        <v>1726</v>
      </c>
      <c r="G185" s="4" t="s">
        <v>5</v>
      </c>
      <c r="H185" s="4" t="s">
        <v>6</v>
      </c>
      <c r="I185" s="4" t="s">
        <v>1727</v>
      </c>
      <c r="J185" s="4" t="s">
        <v>1728</v>
      </c>
      <c r="K185" s="4" t="s">
        <v>1729</v>
      </c>
      <c r="L185" s="5"/>
      <c r="M185" s="4" t="s">
        <v>1730</v>
      </c>
      <c r="N185" s="5"/>
      <c r="O185" s="4"/>
    </row>
    <row collapsed="false" customFormat="false" customHeight="true" hidden="false" ht="15" outlineLevel="0" r="186">
      <c r="A186" s="4" t="s">
        <v>1965</v>
      </c>
      <c r="B186" s="4" t="s">
        <v>1724</v>
      </c>
      <c r="C186" s="4"/>
      <c r="D186" s="4" t="s">
        <v>12</v>
      </c>
      <c r="E186" s="4"/>
      <c r="F186" s="4"/>
      <c r="G186" s="4"/>
      <c r="H186" s="4"/>
      <c r="I186" s="4"/>
      <c r="J186" s="4" t="s">
        <v>1728</v>
      </c>
      <c r="K186" s="4"/>
      <c r="L186" s="5"/>
      <c r="M186" s="4"/>
      <c r="N186" s="4"/>
      <c r="O186" s="4"/>
    </row>
    <row collapsed="false" customFormat="false" customHeight="true" hidden="false" ht="15" outlineLevel="0" r="187">
      <c r="A187" s="4" t="s">
        <v>1965</v>
      </c>
      <c r="B187" s="4" t="s">
        <v>1724</v>
      </c>
      <c r="C187" s="4" t="s">
        <v>1878</v>
      </c>
      <c r="D187" s="4" t="s">
        <v>15</v>
      </c>
      <c r="E187" s="4"/>
      <c r="F187" s="4"/>
      <c r="G187" s="4"/>
      <c r="H187" s="4"/>
      <c r="I187" s="4"/>
      <c r="J187" s="4" t="s">
        <v>1732</v>
      </c>
      <c r="K187" s="4"/>
      <c r="L187" s="5" t="str">
        <f aca="false">HYPERLINK("mailto:FOIA.LIAISON@WHS.MIL","mailto:FOIA.LIAISON@WHS.MIL")</f>
        <v>mailto:FOIA.LIAISON@WHS.MIL</v>
      </c>
      <c r="M187" s="4"/>
      <c r="N187" s="4"/>
      <c r="O187" s="4"/>
    </row>
    <row collapsed="false" customFormat="false" customHeight="true" hidden="false" ht="15" outlineLevel="0" r="188">
      <c r="A188" s="4" t="s">
        <v>1966</v>
      </c>
      <c r="B188" s="4" t="s">
        <v>1724</v>
      </c>
      <c r="C188" s="4" t="s">
        <v>2</v>
      </c>
      <c r="D188" s="4" t="s">
        <v>1967</v>
      </c>
      <c r="E188" s="4" t="s">
        <v>1968</v>
      </c>
      <c r="F188" s="4" t="s">
        <v>1969</v>
      </c>
      <c r="G188" s="4" t="s">
        <v>1970</v>
      </c>
      <c r="H188" s="4" t="s">
        <v>265</v>
      </c>
      <c r="I188" s="4" t="s">
        <v>1971</v>
      </c>
      <c r="J188" s="4" t="s">
        <v>1972</v>
      </c>
      <c r="K188" s="4" t="s">
        <v>1973</v>
      </c>
      <c r="L188" s="5" t="str">
        <f aca="false">HYPERLINK("mailto:NC.FOIA.OMB@NORTHCOM.MIL","mailto:NC.FOIA.OMB@NORTHCOM.MIL")</f>
        <v>mailto:NC.FOIA.OMB@NORTHCOM.MIL</v>
      </c>
      <c r="M188" s="4" t="s">
        <v>1974</v>
      </c>
      <c r="N188" s="4"/>
      <c r="O188" s="4"/>
    </row>
    <row collapsed="false" customFormat="false" customHeight="true" hidden="false" ht="15" outlineLevel="0" r="189">
      <c r="A189" s="4" t="s">
        <v>1966</v>
      </c>
      <c r="B189" s="4" t="s">
        <v>1724</v>
      </c>
      <c r="C189" s="4"/>
      <c r="D189" s="4" t="s">
        <v>12</v>
      </c>
      <c r="E189" s="4"/>
      <c r="F189" s="4"/>
      <c r="G189" s="4"/>
      <c r="H189" s="4"/>
      <c r="I189" s="4"/>
      <c r="J189" s="4" t="s">
        <v>1972</v>
      </c>
      <c r="K189" s="4"/>
      <c r="L189" s="5"/>
      <c r="M189" s="4"/>
      <c r="N189" s="4"/>
      <c r="O189" s="4"/>
    </row>
    <row collapsed="false" customFormat="false" customHeight="true" hidden="false" ht="15" outlineLevel="0" r="190">
      <c r="A190" s="4" t="s">
        <v>1966</v>
      </c>
      <c r="B190" s="4" t="s">
        <v>1724</v>
      </c>
      <c r="C190" s="4" t="s">
        <v>1878</v>
      </c>
      <c r="D190" s="4" t="s">
        <v>15</v>
      </c>
      <c r="E190" s="4"/>
      <c r="F190" s="4"/>
      <c r="G190" s="4"/>
      <c r="H190" s="4"/>
      <c r="I190" s="4"/>
      <c r="J190" s="4" t="s">
        <v>1732</v>
      </c>
      <c r="K190" s="4"/>
      <c r="L190" s="5" t="str">
        <f aca="false">HYPERLINK("mailto:FOIA.LIAISON@WHS.MIL","mailto:FOIA.LIAISON@WHS.MIL")</f>
        <v>mailto:FOIA.LIAISON@WHS.MIL</v>
      </c>
      <c r="M190" s="4"/>
      <c r="N190" s="4"/>
      <c r="O190" s="4"/>
    </row>
    <row collapsed="false" customFormat="false" customHeight="true" hidden="false" ht="15" outlineLevel="0" r="191">
      <c r="A191" s="4" t="s">
        <v>1975</v>
      </c>
      <c r="B191" s="4" t="s">
        <v>1724</v>
      </c>
      <c r="C191" s="4"/>
      <c r="D191" s="4" t="s">
        <v>114</v>
      </c>
      <c r="E191" s="4" t="s">
        <v>1976</v>
      </c>
      <c r="F191" s="4" t="s">
        <v>1977</v>
      </c>
      <c r="G191" s="4" t="s">
        <v>1978</v>
      </c>
      <c r="H191" s="4" t="s">
        <v>1979</v>
      </c>
      <c r="I191" s="4" t="s">
        <v>1980</v>
      </c>
      <c r="J191" s="4" t="s">
        <v>1981</v>
      </c>
      <c r="K191" s="4" t="s">
        <v>1982</v>
      </c>
      <c r="L191" s="5" t="str">
        <f aca="false">HYPERLINK("mailto:pacom.foia.fct@pacom.mil","mailto:pacom.foia.fct@pacom.mil")</f>
        <v>mailto:pacom.foia.fct@pacom.mil</v>
      </c>
      <c r="M191" s="4" t="s">
        <v>1983</v>
      </c>
      <c r="N191" s="4"/>
      <c r="O191" s="4"/>
    </row>
    <row collapsed="false" customFormat="false" customHeight="true" hidden="false" ht="15" outlineLevel="0" r="192">
      <c r="A192" s="4" t="s">
        <v>1975</v>
      </c>
      <c r="B192" s="4" t="s">
        <v>1724</v>
      </c>
      <c r="C192" s="4"/>
      <c r="D192" s="4" t="s">
        <v>12</v>
      </c>
      <c r="E192" s="4"/>
      <c r="F192" s="4"/>
      <c r="G192" s="4"/>
      <c r="H192" s="4"/>
      <c r="I192" s="4"/>
      <c r="J192" s="4" t="s">
        <v>1981</v>
      </c>
      <c r="K192" s="4"/>
      <c r="L192" s="5"/>
      <c r="M192" s="4"/>
      <c r="N192" s="4"/>
      <c r="O192" s="4"/>
    </row>
    <row collapsed="false" customFormat="false" customHeight="true" hidden="false" ht="15" outlineLevel="0" r="193">
      <c r="A193" s="4" t="s">
        <v>1975</v>
      </c>
      <c r="B193" s="4" t="s">
        <v>1724</v>
      </c>
      <c r="C193" s="4" t="s">
        <v>1878</v>
      </c>
      <c r="D193" s="4" t="s">
        <v>15</v>
      </c>
      <c r="E193" s="4"/>
      <c r="F193" s="4"/>
      <c r="G193" s="4"/>
      <c r="H193" s="4"/>
      <c r="I193" s="4"/>
      <c r="J193" s="4" t="s">
        <v>1732</v>
      </c>
      <c r="K193" s="4"/>
      <c r="L193" s="5" t="str">
        <f aca="false">HYPERLINK("mailto:FOIA.LIAISON@WHS.MIL","mailto:FOIA.LIAISON@WHS.MIL")</f>
        <v>mailto:FOIA.LIAISON@WHS.MIL</v>
      </c>
      <c r="M193" s="4"/>
      <c r="N193" s="4"/>
      <c r="O193" s="4"/>
    </row>
    <row collapsed="false" customFormat="false" customHeight="true" hidden="false" ht="15" outlineLevel="0" r="194">
      <c r="A194" s="4" t="s">
        <v>1984</v>
      </c>
      <c r="B194" s="4" t="s">
        <v>1724</v>
      </c>
      <c r="C194" s="4" t="s">
        <v>1985</v>
      </c>
      <c r="D194" s="4" t="s">
        <v>114</v>
      </c>
      <c r="E194" s="4" t="s">
        <v>1986</v>
      </c>
      <c r="F194" s="4" t="s">
        <v>1987</v>
      </c>
      <c r="G194" s="4" t="s">
        <v>1988</v>
      </c>
      <c r="H194" s="4" t="s">
        <v>382</v>
      </c>
      <c r="I194" s="4" t="n">
        <v>33172</v>
      </c>
      <c r="J194" s="4" t="s">
        <v>1989</v>
      </c>
      <c r="K194" s="4"/>
      <c r="L194" s="5" t="str">
        <f aca="false">HYPERLINK("mailto:Marco.Villalobos@hq.southcom.mil","mailto:Marco.Villalobos@hq.southcom.mil")</f>
        <v>mailto:Marco.Villalobos@hq.southcom.mil</v>
      </c>
      <c r="M194" s="4" t="s">
        <v>1990</v>
      </c>
      <c r="N194" s="4"/>
      <c r="O194" s="4"/>
    </row>
    <row collapsed="false" customFormat="false" customHeight="true" hidden="false" ht="15" outlineLevel="0" r="195">
      <c r="A195" s="4" t="s">
        <v>1984</v>
      </c>
      <c r="B195" s="4" t="s">
        <v>1724</v>
      </c>
      <c r="C195" s="4"/>
      <c r="D195" s="4"/>
      <c r="E195" s="4"/>
      <c r="F195" s="4"/>
      <c r="G195" s="4"/>
      <c r="H195" s="4"/>
      <c r="I195" s="4"/>
      <c r="J195" s="4" t="s">
        <v>1989</v>
      </c>
      <c r="K195" s="4"/>
      <c r="L195" s="5"/>
      <c r="M195" s="4"/>
      <c r="N195" s="4"/>
      <c r="O195" s="4"/>
    </row>
    <row collapsed="false" customFormat="false" customHeight="true" hidden="false" ht="15" outlineLevel="0" r="196">
      <c r="A196" s="4" t="s">
        <v>1984</v>
      </c>
      <c r="B196" s="4" t="s">
        <v>1724</v>
      </c>
      <c r="C196" s="4" t="s">
        <v>1878</v>
      </c>
      <c r="D196" s="4" t="s">
        <v>15</v>
      </c>
      <c r="E196" s="4"/>
      <c r="F196" s="4"/>
      <c r="G196" s="4"/>
      <c r="H196" s="4"/>
      <c r="I196" s="4"/>
      <c r="J196" s="4" t="s">
        <v>1732</v>
      </c>
      <c r="K196" s="4"/>
      <c r="L196" s="5" t="str">
        <f aca="false">HYPERLINK("mailto:FOIA.LIAISON@WHS.MIL","mailto:FOIA.LIAISON@WHS.MIL")</f>
        <v>mailto:FOIA.LIAISON@WHS.MIL</v>
      </c>
      <c r="M196" s="4"/>
      <c r="N196" s="4"/>
      <c r="O196" s="4"/>
    </row>
    <row collapsed="false" customFormat="false" customHeight="true" hidden="false" ht="15" outlineLevel="0" r="197">
      <c r="A197" s="4" t="s">
        <v>1991</v>
      </c>
      <c r="B197" s="4" t="s">
        <v>1724</v>
      </c>
      <c r="C197" s="4" t="s">
        <v>114</v>
      </c>
      <c r="D197" s="4" t="s">
        <v>1992</v>
      </c>
      <c r="E197" s="4" t="s">
        <v>1993</v>
      </c>
      <c r="F197" s="4" t="s">
        <v>1994</v>
      </c>
      <c r="G197" s="4" t="s">
        <v>1954</v>
      </c>
      <c r="H197" s="4" t="s">
        <v>382</v>
      </c>
      <c r="I197" s="4" t="s">
        <v>1995</v>
      </c>
      <c r="J197" s="4" t="s">
        <v>1996</v>
      </c>
      <c r="K197" s="4" t="s">
        <v>1997</v>
      </c>
      <c r="L197" s="5" t="str">
        <f aca="false">HYPERLINK("mailto:foia@socom.mil","mailto:foia@socom.mil")</f>
        <v>mailto:foia@socom.mil</v>
      </c>
      <c r="M197" s="4" t="s">
        <v>1998</v>
      </c>
      <c r="N197" s="4"/>
      <c r="O197" s="4"/>
    </row>
    <row collapsed="false" customFormat="false" customHeight="true" hidden="false" ht="15" outlineLevel="0" r="198">
      <c r="A198" s="4" t="s">
        <v>1991</v>
      </c>
      <c r="B198" s="4" t="s">
        <v>1724</v>
      </c>
      <c r="C198" s="4"/>
      <c r="D198" s="4"/>
      <c r="E198" s="4"/>
      <c r="F198" s="4"/>
      <c r="G198" s="4"/>
      <c r="H198" s="4"/>
      <c r="I198" s="4"/>
      <c r="J198" s="4" t="s">
        <v>1996</v>
      </c>
      <c r="K198" s="4"/>
      <c r="L198" s="5"/>
      <c r="M198" s="4"/>
      <c r="N198" s="4"/>
      <c r="O198" s="4"/>
    </row>
    <row collapsed="false" customFormat="false" customHeight="true" hidden="false" ht="15" outlineLevel="0" r="199">
      <c r="A199" s="4" t="s">
        <v>1991</v>
      </c>
      <c r="B199" s="4" t="s">
        <v>1724</v>
      </c>
      <c r="C199" s="4" t="s">
        <v>1878</v>
      </c>
      <c r="D199" s="4" t="s">
        <v>15</v>
      </c>
      <c r="E199" s="4"/>
      <c r="F199" s="4"/>
      <c r="G199" s="4"/>
      <c r="H199" s="4"/>
      <c r="I199" s="4"/>
      <c r="J199" s="4" t="s">
        <v>1732</v>
      </c>
      <c r="K199" s="4"/>
      <c r="L199" s="5" t="str">
        <f aca="false">HYPERLINK("mailto:FOIA.LIAISON@WHS.MIL","mailto:FOIA.LIAISON@WHS.MIL")</f>
        <v>mailto:FOIA.LIAISON@WHS.MIL</v>
      </c>
      <c r="M199" s="4"/>
      <c r="N199" s="4"/>
      <c r="O199" s="4"/>
    </row>
    <row collapsed="false" customFormat="false" customHeight="true" hidden="false" ht="15" outlineLevel="0" r="200">
      <c r="A200" s="4" t="s">
        <v>1999</v>
      </c>
      <c r="B200" s="4" t="s">
        <v>1724</v>
      </c>
      <c r="C200" s="4" t="s">
        <v>114</v>
      </c>
      <c r="D200" s="4" t="s">
        <v>2000</v>
      </c>
      <c r="E200" s="4" t="s">
        <v>2001</v>
      </c>
      <c r="F200" s="4" t="s">
        <v>2002</v>
      </c>
      <c r="G200" s="4" t="s">
        <v>2003</v>
      </c>
      <c r="H200" s="4" t="s">
        <v>2004</v>
      </c>
      <c r="I200" s="4" t="n">
        <v>68113</v>
      </c>
      <c r="J200" s="4" t="s">
        <v>2005</v>
      </c>
      <c r="K200" s="4" t="s">
        <v>2006</v>
      </c>
      <c r="L200" s="5" t="str">
        <f aca="false">HYPERLINK("mailto:foia@stratcom.mil","mailto:foia@stratcom.mil")</f>
        <v>mailto:foia@stratcom.mil</v>
      </c>
      <c r="M200" s="4" t="s">
        <v>2007</v>
      </c>
      <c r="N200" s="4"/>
      <c r="O200" s="4"/>
    </row>
    <row collapsed="false" customFormat="false" customHeight="true" hidden="false" ht="15" outlineLevel="0" r="201">
      <c r="A201" s="4" t="s">
        <v>1999</v>
      </c>
      <c r="B201" s="4" t="s">
        <v>1724</v>
      </c>
      <c r="C201" s="4"/>
      <c r="D201" s="4"/>
      <c r="E201" s="4"/>
      <c r="F201" s="4"/>
      <c r="G201" s="4"/>
      <c r="H201" s="4"/>
      <c r="I201" s="4"/>
      <c r="J201" s="4" t="s">
        <v>2005</v>
      </c>
      <c r="K201" s="4"/>
      <c r="L201" s="5"/>
      <c r="M201" s="4"/>
      <c r="N201" s="4"/>
      <c r="O201" s="4"/>
    </row>
    <row collapsed="false" customFormat="false" customHeight="true" hidden="false" ht="15" outlineLevel="0" r="202">
      <c r="A202" s="4" t="s">
        <v>1999</v>
      </c>
      <c r="B202" s="4" t="s">
        <v>1724</v>
      </c>
      <c r="C202" s="4" t="s">
        <v>1878</v>
      </c>
      <c r="D202" s="4" t="s">
        <v>15</v>
      </c>
      <c r="E202" s="4"/>
      <c r="F202" s="4"/>
      <c r="G202" s="4"/>
      <c r="H202" s="4"/>
      <c r="I202" s="4"/>
      <c r="J202" s="4" t="s">
        <v>1732</v>
      </c>
      <c r="K202" s="4"/>
      <c r="L202" s="5" t="s">
        <v>2008</v>
      </c>
      <c r="M202" s="4"/>
      <c r="N202" s="4"/>
      <c r="O202" s="4"/>
    </row>
    <row collapsed="false" customFormat="false" customHeight="true" hidden="false" ht="15" outlineLevel="0" r="203">
      <c r="A203" s="4" t="s">
        <v>2009</v>
      </c>
      <c r="B203" s="4" t="s">
        <v>1724</v>
      </c>
      <c r="C203" s="4" t="s">
        <v>2010</v>
      </c>
      <c r="D203" s="4" t="s">
        <v>2011</v>
      </c>
      <c r="E203" s="4" t="s">
        <v>2012</v>
      </c>
      <c r="F203" s="4" t="s">
        <v>2013</v>
      </c>
      <c r="G203" s="4" t="s">
        <v>2014</v>
      </c>
      <c r="H203" s="4" t="s">
        <v>237</v>
      </c>
      <c r="I203" s="4" t="s">
        <v>2015</v>
      </c>
      <c r="J203" s="4" t="s">
        <v>2016</v>
      </c>
      <c r="K203" s="4" t="s">
        <v>2017</v>
      </c>
      <c r="L203" s="5" t="str">
        <f aca="false">HYPERLINK("mailto:USTCCS-FO@ustranscom.mil","mailto:USTCCS-FO@ustranscom.mil")</f>
        <v>mailto:USTCCS-FO@ustranscom.mil</v>
      </c>
      <c r="M203" s="4" t="s">
        <v>2018</v>
      </c>
      <c r="N203" s="4"/>
      <c r="O203" s="4"/>
    </row>
    <row collapsed="false" customFormat="false" customHeight="true" hidden="false" ht="15" outlineLevel="0" r="204">
      <c r="A204" s="4" t="s">
        <v>2009</v>
      </c>
      <c r="B204" s="4" t="s">
        <v>1724</v>
      </c>
      <c r="C204" s="4"/>
      <c r="D204" s="4"/>
      <c r="E204" s="4"/>
      <c r="F204" s="4"/>
      <c r="G204" s="4"/>
      <c r="H204" s="4"/>
      <c r="I204" s="4"/>
      <c r="J204" s="4" t="s">
        <v>2019</v>
      </c>
      <c r="K204" s="4"/>
      <c r="L204" s="5"/>
      <c r="M204" s="4"/>
      <c r="N204" s="4"/>
      <c r="O204" s="4"/>
    </row>
    <row collapsed="false" customFormat="false" customHeight="true" hidden="false" ht="15" outlineLevel="0" r="205">
      <c r="A205" s="4" t="s">
        <v>2009</v>
      </c>
      <c r="B205" s="4" t="s">
        <v>1724</v>
      </c>
      <c r="C205" s="4" t="s">
        <v>1878</v>
      </c>
      <c r="D205" s="4" t="s">
        <v>15</v>
      </c>
      <c r="E205" s="4"/>
      <c r="F205" s="4"/>
      <c r="G205" s="4"/>
      <c r="H205" s="4"/>
      <c r="I205" s="4"/>
      <c r="J205" s="4" t="s">
        <v>1732</v>
      </c>
      <c r="K205" s="4"/>
      <c r="L205" s="5" t="str">
        <f aca="false">HYPERLINK("mailto:FOIA.LIAISON@WHS.MIL","mailto:FOIA.LIAISON@WHS.MIL")</f>
        <v>mailto:FOIA.LIAISON@WHS.MIL</v>
      </c>
      <c r="M205" s="4"/>
      <c r="N205" s="4"/>
      <c r="O205" s="4"/>
    </row>
    <row collapsed="false" customFormat="false" customHeight="true" hidden="false" ht="15" outlineLevel="0" r="206">
      <c r="A206" s="4" t="s">
        <v>2020</v>
      </c>
      <c r="B206" s="4" t="s">
        <v>2020</v>
      </c>
      <c r="C206" s="4" t="s">
        <v>2021</v>
      </c>
      <c r="D206" s="4" t="s">
        <v>2022</v>
      </c>
      <c r="E206" s="4" t="s">
        <v>2023</v>
      </c>
      <c r="F206" s="4" t="s">
        <v>2024</v>
      </c>
      <c r="G206" s="4" t="s">
        <v>5</v>
      </c>
      <c r="H206" s="4" t="s">
        <v>6</v>
      </c>
      <c r="I206" s="4" t="s">
        <v>2025</v>
      </c>
      <c r="J206" s="4" t="s">
        <v>2026</v>
      </c>
      <c r="K206" s="4" t="s">
        <v>2027</v>
      </c>
      <c r="L206" s="5" t="str">
        <f aca="false">HYPERLINK("mailto:EDFOIAManager@ed.gov","mailto:EDFOIAManager@ed.gov")</f>
        <v>mailto:EDFOIAManager@ed.gov</v>
      </c>
      <c r="M206" s="4" t="s">
        <v>2028</v>
      </c>
      <c r="N206" s="5"/>
      <c r="O206" s="4"/>
    </row>
    <row collapsed="false" customFormat="false" customHeight="true" hidden="false" ht="15" outlineLevel="0" r="207">
      <c r="A207" s="4" t="s">
        <v>2020</v>
      </c>
      <c r="B207" s="4" t="s">
        <v>2020</v>
      </c>
      <c r="C207" s="4"/>
      <c r="D207" s="4" t="s">
        <v>12</v>
      </c>
      <c r="E207" s="4"/>
      <c r="F207" s="4"/>
      <c r="G207" s="4"/>
      <c r="H207" s="4"/>
      <c r="I207" s="4"/>
      <c r="J207" s="4" t="s">
        <v>2026</v>
      </c>
      <c r="K207" s="4"/>
      <c r="L207" s="5"/>
      <c r="M207" s="4"/>
      <c r="N207" s="4"/>
      <c r="O207" s="4"/>
    </row>
    <row collapsed="false" customFormat="false" customHeight="true" hidden="false" ht="15" outlineLevel="0" r="208">
      <c r="A208" s="4" t="s">
        <v>2020</v>
      </c>
      <c r="B208" s="4" t="s">
        <v>2020</v>
      </c>
      <c r="C208" s="4" t="s">
        <v>2029</v>
      </c>
      <c r="D208" s="4" t="s">
        <v>2030</v>
      </c>
      <c r="E208" s="4"/>
      <c r="F208" s="4"/>
      <c r="G208" s="4"/>
      <c r="H208" s="4"/>
      <c r="I208" s="4"/>
      <c r="J208" s="4" t="s">
        <v>2026</v>
      </c>
      <c r="K208" s="4"/>
      <c r="L208" s="5"/>
      <c r="M208" s="4"/>
      <c r="N208" s="4"/>
      <c r="O208" s="4"/>
    </row>
    <row collapsed="false" customFormat="false" customHeight="true" hidden="false" ht="15" outlineLevel="0" r="209">
      <c r="A209" s="4" t="s">
        <v>289</v>
      </c>
      <c r="B209" s="4" t="s">
        <v>2031</v>
      </c>
      <c r="C209" s="4" t="s">
        <v>2032</v>
      </c>
      <c r="D209" s="4" t="s">
        <v>2</v>
      </c>
      <c r="E209" s="4"/>
      <c r="F209" s="4" t="s">
        <v>2033</v>
      </c>
      <c r="G209" s="4" t="s">
        <v>5</v>
      </c>
      <c r="H209" s="4" t="s">
        <v>6</v>
      </c>
      <c r="I209" s="4" t="n">
        <v>20585</v>
      </c>
      <c r="J209" s="4" t="s">
        <v>2034</v>
      </c>
      <c r="K209" s="4"/>
      <c r="L209" s="5"/>
      <c r="M209" s="4" t="s">
        <v>2035</v>
      </c>
      <c r="N209" s="5"/>
      <c r="O209" s="4"/>
    </row>
    <row collapsed="false" customFormat="false" customHeight="true" hidden="false" ht="15" outlineLevel="0" r="210">
      <c r="A210" s="4" t="s">
        <v>289</v>
      </c>
      <c r="B210" s="4" t="s">
        <v>2031</v>
      </c>
      <c r="C210" s="4"/>
      <c r="D210" s="4" t="s">
        <v>12</v>
      </c>
      <c r="E210" s="4"/>
      <c r="F210" s="4"/>
      <c r="G210" s="4"/>
      <c r="H210" s="4"/>
      <c r="I210" s="4"/>
      <c r="J210" s="4" t="s">
        <v>2036</v>
      </c>
      <c r="K210" s="4"/>
      <c r="L210" s="5"/>
      <c r="M210" s="4"/>
      <c r="N210" s="4"/>
      <c r="O210" s="4"/>
    </row>
    <row collapsed="false" customFormat="false" customHeight="true" hidden="false" ht="15" outlineLevel="0" r="211">
      <c r="A211" s="4" t="s">
        <v>289</v>
      </c>
      <c r="B211" s="4" t="s">
        <v>2031</v>
      </c>
      <c r="C211" s="4" t="s">
        <v>2037</v>
      </c>
      <c r="D211" s="4" t="s">
        <v>15</v>
      </c>
      <c r="E211" s="4"/>
      <c r="F211" s="4"/>
      <c r="G211" s="4"/>
      <c r="H211" s="4"/>
      <c r="I211" s="4"/>
      <c r="J211" s="4" t="s">
        <v>2036</v>
      </c>
      <c r="K211" s="4"/>
      <c r="L211" s="5"/>
      <c r="M211" s="4"/>
      <c r="N211" s="4"/>
      <c r="O211" s="4"/>
    </row>
    <row collapsed="false" customFormat="false" customHeight="true" hidden="false" ht="15" outlineLevel="0" r="212">
      <c r="A212" s="4" t="s">
        <v>2038</v>
      </c>
      <c r="B212" s="4" t="s">
        <v>2031</v>
      </c>
      <c r="C212" s="4" t="s">
        <v>2039</v>
      </c>
      <c r="D212" s="4" t="s">
        <v>2</v>
      </c>
      <c r="E212" s="4"/>
      <c r="F212" s="4" t="s">
        <v>2040</v>
      </c>
      <c r="G212" s="4" t="s">
        <v>2041</v>
      </c>
      <c r="H212" s="4" t="s">
        <v>237</v>
      </c>
      <c r="I212" s="4" t="n">
        <v>60439</v>
      </c>
      <c r="J212" s="4" t="s">
        <v>2042</v>
      </c>
      <c r="K212" s="4" t="s">
        <v>2043</v>
      </c>
      <c r="L212" s="5" t="str">
        <f aca="false">HYPERLINK("mailto:miriam.legan@ch.doe.gov","mailto:miriam.legan@ch.doe.gov")</f>
        <v>mailto:miriam.legan@ch.doe.gov</v>
      </c>
      <c r="M212" s="4" t="s">
        <v>2044</v>
      </c>
      <c r="N212" s="4"/>
      <c r="O212" s="4"/>
    </row>
    <row collapsed="false" customFormat="false" customHeight="true" hidden="false" ht="15" outlineLevel="0" r="213">
      <c r="A213" s="4" t="s">
        <v>2038</v>
      </c>
      <c r="B213" s="4" t="s">
        <v>2031</v>
      </c>
      <c r="C213" s="4"/>
      <c r="D213" s="4" t="s">
        <v>12</v>
      </c>
      <c r="E213" s="4"/>
      <c r="F213" s="4"/>
      <c r="G213" s="4"/>
      <c r="H213" s="4"/>
      <c r="I213" s="4"/>
      <c r="J213" s="4" t="s">
        <v>2042</v>
      </c>
      <c r="K213" s="4"/>
      <c r="L213" s="5"/>
      <c r="M213" s="4"/>
      <c r="N213" s="4"/>
      <c r="O213" s="4"/>
    </row>
    <row collapsed="false" customFormat="false" customHeight="true" hidden="false" ht="15" outlineLevel="0" r="214">
      <c r="A214" s="4" t="s">
        <v>2038</v>
      </c>
      <c r="B214" s="4" t="s">
        <v>2031</v>
      </c>
      <c r="C214" s="4" t="s">
        <v>2045</v>
      </c>
      <c r="D214" s="4" t="s">
        <v>15</v>
      </c>
      <c r="E214" s="4"/>
      <c r="F214" s="4"/>
      <c r="G214" s="4"/>
      <c r="H214" s="4"/>
      <c r="I214" s="4"/>
      <c r="J214" s="4" t="s">
        <v>2046</v>
      </c>
      <c r="K214" s="4"/>
      <c r="L214" s="5"/>
      <c r="M214" s="4"/>
      <c r="N214" s="4"/>
      <c r="O214" s="4"/>
    </row>
    <row collapsed="false" customFormat="false" customHeight="true" hidden="false" ht="15" outlineLevel="0" r="215">
      <c r="A215" s="4" t="s">
        <v>2047</v>
      </c>
      <c r="B215" s="4" t="s">
        <v>2031</v>
      </c>
      <c r="C215" s="4" t="s">
        <v>2048</v>
      </c>
      <c r="D215" s="4" t="s">
        <v>2</v>
      </c>
      <c r="E215" s="4" t="s">
        <v>2049</v>
      </c>
      <c r="F215" s="4" t="s">
        <v>2050</v>
      </c>
      <c r="G215" s="4" t="s">
        <v>2051</v>
      </c>
      <c r="H215" s="4" t="s">
        <v>2052</v>
      </c>
      <c r="I215" s="4" t="n">
        <v>83401</v>
      </c>
      <c r="J215" s="4" t="s">
        <v>2053</v>
      </c>
      <c r="K215" s="4"/>
      <c r="L215" s="5"/>
      <c r="M215" s="4" t="s">
        <v>2054</v>
      </c>
      <c r="N215" s="5"/>
      <c r="O215" s="4"/>
    </row>
    <row collapsed="false" customFormat="false" customHeight="true" hidden="false" ht="15" outlineLevel="0" r="216">
      <c r="A216" s="4" t="s">
        <v>2047</v>
      </c>
      <c r="B216" s="4" t="s">
        <v>2031</v>
      </c>
      <c r="C216" s="4"/>
      <c r="D216" s="4" t="s">
        <v>12</v>
      </c>
      <c r="E216" s="4"/>
      <c r="F216" s="4"/>
      <c r="G216" s="4"/>
      <c r="H216" s="4"/>
      <c r="I216" s="4"/>
      <c r="J216" s="4" t="s">
        <v>2053</v>
      </c>
      <c r="K216" s="4"/>
      <c r="L216" s="5"/>
      <c r="M216" s="4"/>
      <c r="N216" s="4"/>
      <c r="O216" s="4"/>
    </row>
    <row collapsed="false" customFormat="false" customHeight="true" hidden="false" ht="15" outlineLevel="0" r="217">
      <c r="A217" s="4" t="s">
        <v>2047</v>
      </c>
      <c r="B217" s="4" t="s">
        <v>2031</v>
      </c>
      <c r="C217" s="4" t="s">
        <v>2055</v>
      </c>
      <c r="D217" s="4" t="s">
        <v>15</v>
      </c>
      <c r="E217" s="4"/>
      <c r="F217" s="4"/>
      <c r="G217" s="4"/>
      <c r="H217" s="4"/>
      <c r="I217" s="4"/>
      <c r="J217" s="4" t="s">
        <v>2056</v>
      </c>
      <c r="K217" s="4"/>
      <c r="L217" s="5"/>
      <c r="M217" s="4"/>
      <c r="N217" s="4"/>
      <c r="O217" s="4"/>
    </row>
    <row collapsed="false" customFormat="false" customHeight="true" hidden="false" ht="15" outlineLevel="0" r="218">
      <c r="A218" s="4" t="s">
        <v>2057</v>
      </c>
      <c r="B218" s="4" t="s">
        <v>2031</v>
      </c>
      <c r="C218" s="4" t="s">
        <v>2058</v>
      </c>
      <c r="D218" s="4" t="s">
        <v>2</v>
      </c>
      <c r="E218" s="4"/>
      <c r="F218" s="4" t="s">
        <v>2059</v>
      </c>
      <c r="G218" s="4" t="s">
        <v>2060</v>
      </c>
      <c r="H218" s="4" t="s">
        <v>373</v>
      </c>
      <c r="I218" s="4" t="n">
        <v>37831</v>
      </c>
      <c r="J218" s="4" t="s">
        <v>2061</v>
      </c>
      <c r="K218" s="4" t="s">
        <v>2062</v>
      </c>
      <c r="L218" s="5" t="str">
        <f aca="false">HYPERLINK("mailto:FOIA@oro.doe.gov","mailto:FOIA@oro.doe.gov")</f>
        <v>mailto:FOIA@oro.doe.gov</v>
      </c>
      <c r="M218" s="4" t="s">
        <v>2063</v>
      </c>
      <c r="N218" s="4"/>
      <c r="O218" s="4"/>
    </row>
    <row collapsed="false" customFormat="false" customHeight="true" hidden="false" ht="15" outlineLevel="0" r="219">
      <c r="A219" s="4" t="s">
        <v>2057</v>
      </c>
      <c r="B219" s="4" t="s">
        <v>2031</v>
      </c>
      <c r="C219" s="4"/>
      <c r="D219" s="4" t="s">
        <v>12</v>
      </c>
      <c r="E219" s="4"/>
      <c r="F219" s="4"/>
      <c r="G219" s="4"/>
      <c r="H219" s="4"/>
      <c r="I219" s="4"/>
      <c r="J219" s="4" t="s">
        <v>2061</v>
      </c>
      <c r="K219" s="4"/>
      <c r="L219" s="5"/>
      <c r="M219" s="4"/>
      <c r="N219" s="4"/>
      <c r="O219" s="4"/>
    </row>
    <row collapsed="false" customFormat="false" customHeight="true" hidden="false" ht="15" outlineLevel="0" r="220">
      <c r="A220" s="4" t="s">
        <v>2057</v>
      </c>
      <c r="B220" s="4" t="s">
        <v>2031</v>
      </c>
      <c r="C220" s="4" t="s">
        <v>2064</v>
      </c>
      <c r="D220" s="4" t="s">
        <v>15</v>
      </c>
      <c r="E220" s="4"/>
      <c r="F220" s="4"/>
      <c r="G220" s="4"/>
      <c r="H220" s="4"/>
      <c r="I220" s="4"/>
      <c r="J220" s="4" t="s">
        <v>2065</v>
      </c>
      <c r="K220" s="4"/>
      <c r="L220" s="5"/>
      <c r="M220" s="4"/>
      <c r="N220" s="4"/>
      <c r="O220" s="4"/>
    </row>
    <row collapsed="false" customFormat="false" customHeight="true" hidden="false" ht="15" outlineLevel="0" r="221">
      <c r="A221" s="4" t="s">
        <v>2066</v>
      </c>
      <c r="B221" s="4" t="s">
        <v>2031</v>
      </c>
      <c r="C221" s="4" t="s">
        <v>2067</v>
      </c>
      <c r="D221" s="4" t="s">
        <v>2</v>
      </c>
      <c r="E221" s="4" t="s">
        <v>2068</v>
      </c>
      <c r="F221" s="4" t="s">
        <v>2069</v>
      </c>
      <c r="G221" s="4" t="s">
        <v>2060</v>
      </c>
      <c r="H221" s="4" t="s">
        <v>373</v>
      </c>
      <c r="I221" s="4" t="n">
        <v>37830</v>
      </c>
      <c r="J221" s="4" t="s">
        <v>2070</v>
      </c>
      <c r="K221" s="4"/>
      <c r="L221" s="5"/>
      <c r="M221" s="4"/>
      <c r="N221" s="4"/>
      <c r="O221" s="4"/>
    </row>
    <row collapsed="false" customFormat="false" customHeight="true" hidden="false" ht="15" outlineLevel="0" r="222">
      <c r="A222" s="4" t="s">
        <v>2066</v>
      </c>
      <c r="B222" s="4" t="s">
        <v>2031</v>
      </c>
      <c r="C222" s="4"/>
      <c r="D222" s="4" t="s">
        <v>12</v>
      </c>
      <c r="E222" s="4"/>
      <c r="F222" s="4"/>
      <c r="G222" s="4"/>
      <c r="H222" s="4"/>
      <c r="I222" s="4"/>
      <c r="J222" s="4" t="s">
        <v>2070</v>
      </c>
      <c r="K222" s="4"/>
      <c r="L222" s="5"/>
      <c r="M222" s="4"/>
      <c r="N222" s="4"/>
      <c r="O222" s="4"/>
    </row>
    <row collapsed="false" customFormat="false" customHeight="true" hidden="false" ht="15" outlineLevel="0" r="223">
      <c r="A223" s="4" t="s">
        <v>2066</v>
      </c>
      <c r="B223" s="4" t="s">
        <v>2031</v>
      </c>
      <c r="C223" s="4" t="s">
        <v>2071</v>
      </c>
      <c r="D223" s="4" t="s">
        <v>15</v>
      </c>
      <c r="E223" s="4"/>
      <c r="F223" s="4"/>
      <c r="G223" s="4"/>
      <c r="H223" s="4"/>
      <c r="I223" s="4"/>
      <c r="J223" s="4" t="s">
        <v>2072</v>
      </c>
      <c r="K223" s="4"/>
      <c r="L223" s="5"/>
      <c r="M223" s="4"/>
      <c r="N223" s="4"/>
      <c r="O223" s="4"/>
    </row>
    <row collapsed="false" customFormat="false" customHeight="true" hidden="false" ht="15" outlineLevel="0" r="224">
      <c r="A224" s="4" t="s">
        <v>2073</v>
      </c>
      <c r="B224" s="4" t="s">
        <v>2031</v>
      </c>
      <c r="C224" s="4" t="s">
        <v>2074</v>
      </c>
      <c r="D224" s="4" t="s">
        <v>2</v>
      </c>
      <c r="E224" s="4" t="s">
        <v>2075</v>
      </c>
      <c r="F224" s="4" t="s">
        <v>2076</v>
      </c>
      <c r="G224" s="4" t="s">
        <v>2077</v>
      </c>
      <c r="H224" s="4" t="s">
        <v>284</v>
      </c>
      <c r="I224" s="4" t="n">
        <v>99352</v>
      </c>
      <c r="J224" s="4" t="s">
        <v>2078</v>
      </c>
      <c r="K224" s="4" t="s">
        <v>2079</v>
      </c>
      <c r="L224" s="5"/>
      <c r="M224" s="4" t="s">
        <v>2080</v>
      </c>
      <c r="N224" s="4"/>
      <c r="O224" s="4"/>
    </row>
    <row collapsed="false" customFormat="false" customHeight="true" hidden="false" ht="15" outlineLevel="0" r="225">
      <c r="A225" s="4" t="s">
        <v>2073</v>
      </c>
      <c r="B225" s="4" t="s">
        <v>2031</v>
      </c>
      <c r="C225" s="4"/>
      <c r="D225" s="4" t="s">
        <v>12</v>
      </c>
      <c r="E225" s="4"/>
      <c r="F225" s="4"/>
      <c r="G225" s="4"/>
      <c r="H225" s="4"/>
      <c r="I225" s="4"/>
      <c r="J225" s="4" t="s">
        <v>2078</v>
      </c>
      <c r="K225" s="4"/>
      <c r="L225" s="5"/>
      <c r="M225" s="4"/>
      <c r="N225" s="4"/>
      <c r="O225" s="4"/>
    </row>
    <row collapsed="false" customFormat="false" customHeight="true" hidden="false" ht="15" outlineLevel="0" r="226">
      <c r="A226" s="4" t="s">
        <v>2073</v>
      </c>
      <c r="B226" s="4" t="s">
        <v>2031</v>
      </c>
      <c r="C226" s="4" t="s">
        <v>2081</v>
      </c>
      <c r="D226" s="4" t="s">
        <v>15</v>
      </c>
      <c r="E226" s="4"/>
      <c r="F226" s="4"/>
      <c r="G226" s="4"/>
      <c r="H226" s="4"/>
      <c r="I226" s="4"/>
      <c r="J226" s="4" t="s">
        <v>2082</v>
      </c>
      <c r="K226" s="4"/>
      <c r="L226" s="5"/>
      <c r="M226" s="4"/>
      <c r="N226" s="4"/>
      <c r="O226" s="4"/>
    </row>
    <row collapsed="false" customFormat="false" customHeight="true" hidden="false" ht="15" outlineLevel="0" r="227">
      <c r="A227" s="4" t="s">
        <v>2083</v>
      </c>
      <c r="B227" s="4" t="s">
        <v>2031</v>
      </c>
      <c r="C227" s="4" t="s">
        <v>2084</v>
      </c>
      <c r="D227" s="4" t="s">
        <v>2</v>
      </c>
      <c r="E227" s="4"/>
      <c r="F227" s="4" t="s">
        <v>2085</v>
      </c>
      <c r="G227" s="4" t="s">
        <v>2086</v>
      </c>
      <c r="H227" s="4" t="s">
        <v>2087</v>
      </c>
      <c r="I227" s="4" t="n">
        <v>29801</v>
      </c>
      <c r="J227" s="4" t="s">
        <v>2088</v>
      </c>
      <c r="K227" s="4"/>
      <c r="L227" s="5"/>
      <c r="M227" s="4" t="s">
        <v>2089</v>
      </c>
      <c r="N227" s="4"/>
      <c r="O227" s="4"/>
    </row>
    <row collapsed="false" customFormat="false" customHeight="true" hidden="false" ht="15" outlineLevel="0" r="228">
      <c r="A228" s="4" t="s">
        <v>2083</v>
      </c>
      <c r="B228" s="4" t="s">
        <v>2031</v>
      </c>
      <c r="C228" s="4"/>
      <c r="D228" s="4" t="s">
        <v>12</v>
      </c>
      <c r="E228" s="4"/>
      <c r="F228" s="4"/>
      <c r="G228" s="4"/>
      <c r="H228" s="4"/>
      <c r="I228" s="4"/>
      <c r="J228" s="4" t="s">
        <v>2088</v>
      </c>
      <c r="K228" s="4"/>
      <c r="L228" s="5"/>
      <c r="M228" s="4"/>
      <c r="N228" s="4"/>
      <c r="O228" s="4"/>
    </row>
    <row collapsed="false" customFormat="false" customHeight="true" hidden="false" ht="15" outlineLevel="0" r="229">
      <c r="A229" s="4" t="s">
        <v>2083</v>
      </c>
      <c r="B229" s="4" t="s">
        <v>2031</v>
      </c>
      <c r="C229" s="4" t="s">
        <v>2090</v>
      </c>
      <c r="D229" s="4" t="s">
        <v>15</v>
      </c>
      <c r="E229" s="4"/>
      <c r="F229" s="4"/>
      <c r="G229" s="4"/>
      <c r="H229" s="4"/>
      <c r="I229" s="4"/>
      <c r="J229" s="4" t="s">
        <v>2091</v>
      </c>
      <c r="K229" s="4"/>
      <c r="L229" s="5"/>
      <c r="M229" s="4"/>
      <c r="N229" s="4"/>
      <c r="O229" s="4"/>
    </row>
    <row collapsed="false" customFormat="false" customHeight="true" hidden="false" ht="15" outlineLevel="0" r="230">
      <c r="A230" s="4" t="s">
        <v>2092</v>
      </c>
      <c r="B230" s="4" t="s">
        <v>2031</v>
      </c>
      <c r="C230" s="4" t="s">
        <v>2093</v>
      </c>
      <c r="D230" s="4" t="s">
        <v>2</v>
      </c>
      <c r="E230" s="4"/>
      <c r="F230" s="4" t="s">
        <v>2094</v>
      </c>
      <c r="G230" s="4" t="s">
        <v>2095</v>
      </c>
      <c r="H230" s="4" t="s">
        <v>2096</v>
      </c>
      <c r="I230" s="4" t="s">
        <v>2097</v>
      </c>
      <c r="J230" s="4" t="s">
        <v>2098</v>
      </c>
      <c r="K230" s="4" t="s">
        <v>2099</v>
      </c>
      <c r="L230" s="5" t="str">
        <f aca="false">HYPERLINK("mailto:foiofficer@doeal.gov","mailto:foiofficer@doeal.gov")</f>
        <v>mailto:foiofficer@doeal.gov</v>
      </c>
      <c r="M230" s="4" t="s">
        <v>2100</v>
      </c>
      <c r="N230" s="4"/>
      <c r="O230" s="4"/>
    </row>
    <row collapsed="false" customFormat="false" customHeight="true" hidden="false" ht="15" outlineLevel="0" r="231">
      <c r="A231" s="4" t="s">
        <v>2092</v>
      </c>
      <c r="B231" s="4" t="s">
        <v>2031</v>
      </c>
      <c r="C231" s="4"/>
      <c r="D231" s="4" t="s">
        <v>12</v>
      </c>
      <c r="E231" s="4"/>
      <c r="F231" s="4"/>
      <c r="G231" s="4"/>
      <c r="H231" s="4"/>
      <c r="I231" s="4"/>
      <c r="J231" s="4" t="s">
        <v>2101</v>
      </c>
      <c r="K231" s="4"/>
      <c r="L231" s="5"/>
      <c r="M231" s="4"/>
      <c r="N231" s="4"/>
      <c r="O231" s="4"/>
    </row>
    <row collapsed="false" customFormat="false" customHeight="true" hidden="false" ht="15" outlineLevel="0" r="232">
      <c r="A232" s="4" t="s">
        <v>2092</v>
      </c>
      <c r="B232" s="4" t="s">
        <v>2031</v>
      </c>
      <c r="C232" s="4" t="s">
        <v>2093</v>
      </c>
      <c r="D232" s="4" t="s">
        <v>15</v>
      </c>
      <c r="E232" s="4"/>
      <c r="F232" s="4"/>
      <c r="G232" s="4"/>
      <c r="H232" s="4"/>
      <c r="I232" s="4"/>
      <c r="J232" s="4" t="s">
        <v>2098</v>
      </c>
      <c r="K232" s="4"/>
      <c r="L232" s="5"/>
      <c r="M232" s="4"/>
      <c r="N232" s="4"/>
      <c r="O232" s="4"/>
    </row>
    <row collapsed="false" customFormat="false" customHeight="true" hidden="false" ht="15" outlineLevel="0" r="233">
      <c r="A233" s="4" t="s">
        <v>2102</v>
      </c>
      <c r="B233" s="4" t="s">
        <v>2031</v>
      </c>
      <c r="C233" s="4" t="s">
        <v>2103</v>
      </c>
      <c r="D233" s="4" t="s">
        <v>2</v>
      </c>
      <c r="E233" s="4" t="s">
        <v>2104</v>
      </c>
      <c r="F233" s="4" t="s">
        <v>2105</v>
      </c>
      <c r="G233" s="4" t="s">
        <v>5</v>
      </c>
      <c r="H233" s="4" t="s">
        <v>6</v>
      </c>
      <c r="I233" s="4" t="s">
        <v>2106</v>
      </c>
      <c r="J233" s="4" t="s">
        <v>2107</v>
      </c>
      <c r="K233" s="4"/>
      <c r="L233" s="5"/>
      <c r="M233" s="4"/>
      <c r="N233" s="4"/>
      <c r="O233" s="4"/>
    </row>
    <row collapsed="false" customFormat="false" customHeight="true" hidden="false" ht="15" outlineLevel="0" r="234">
      <c r="A234" s="4" t="s">
        <v>2102</v>
      </c>
      <c r="B234" s="4" t="s">
        <v>2031</v>
      </c>
      <c r="C234" s="4"/>
      <c r="D234" s="4" t="s">
        <v>12</v>
      </c>
      <c r="E234" s="4"/>
      <c r="F234" s="4"/>
      <c r="G234" s="4"/>
      <c r="H234" s="4"/>
      <c r="I234" s="4"/>
      <c r="J234" s="4" t="s">
        <v>2107</v>
      </c>
      <c r="K234" s="4"/>
      <c r="L234" s="5"/>
      <c r="M234" s="4"/>
      <c r="N234" s="4"/>
      <c r="O234" s="4"/>
    </row>
    <row collapsed="false" customFormat="false" customHeight="true" hidden="false" ht="15" outlineLevel="0" r="235">
      <c r="A235" s="4" t="s">
        <v>2102</v>
      </c>
      <c r="B235" s="4" t="s">
        <v>2031</v>
      </c>
      <c r="C235" s="4" t="s">
        <v>2108</v>
      </c>
      <c r="D235" s="4" t="s">
        <v>15</v>
      </c>
      <c r="E235" s="4"/>
      <c r="F235" s="4"/>
      <c r="G235" s="4"/>
      <c r="H235" s="4"/>
      <c r="I235" s="4"/>
      <c r="J235" s="4" t="s">
        <v>2109</v>
      </c>
      <c r="K235" s="4"/>
      <c r="L235" s="5"/>
      <c r="M235" s="4"/>
      <c r="N235" s="4"/>
      <c r="O235" s="4"/>
    </row>
    <row collapsed="false" customFormat="false" customHeight="true" hidden="false" ht="15" outlineLevel="0" r="236">
      <c r="A236" s="4" t="s">
        <v>2110</v>
      </c>
      <c r="B236" s="4" t="s">
        <v>2031</v>
      </c>
      <c r="C236" s="4" t="s">
        <v>2111</v>
      </c>
      <c r="D236" s="4" t="s">
        <v>2</v>
      </c>
      <c r="E236" s="4" t="s">
        <v>2112</v>
      </c>
      <c r="F236" s="4" t="s">
        <v>2113</v>
      </c>
      <c r="G236" s="4" t="s">
        <v>2114</v>
      </c>
      <c r="H236" s="4" t="s">
        <v>2096</v>
      </c>
      <c r="I236" s="4" t="n">
        <v>88221</v>
      </c>
      <c r="J236" s="4" t="s">
        <v>2115</v>
      </c>
      <c r="K236" s="4" t="s">
        <v>2116</v>
      </c>
      <c r="L236" s="5" t="str">
        <f aca="false">HYPERLINK("mailto:foialiaison@wipp.ws","mailto:foialiaison@wipp.ws")</f>
        <v>mailto:foialiaison@wipp.ws</v>
      </c>
      <c r="M236" s="4" t="s">
        <v>2117</v>
      </c>
      <c r="N236" s="4"/>
      <c r="O236" s="4"/>
    </row>
    <row collapsed="false" customFormat="false" customHeight="true" hidden="false" ht="15" outlineLevel="0" r="237">
      <c r="A237" s="4" t="s">
        <v>2110</v>
      </c>
      <c r="B237" s="4" t="s">
        <v>2031</v>
      </c>
      <c r="C237" s="4"/>
      <c r="D237" s="4" t="s">
        <v>12</v>
      </c>
      <c r="E237" s="4"/>
      <c r="F237" s="4"/>
      <c r="G237" s="4"/>
      <c r="H237" s="4"/>
      <c r="I237" s="4"/>
      <c r="J237" s="4" t="s">
        <v>2118</v>
      </c>
      <c r="K237" s="4"/>
      <c r="L237" s="5"/>
      <c r="M237" s="4"/>
      <c r="N237" s="4"/>
      <c r="O237" s="4"/>
    </row>
    <row collapsed="false" customFormat="false" customHeight="true" hidden="false" ht="15" outlineLevel="0" r="238">
      <c r="A238" s="4" t="s">
        <v>2110</v>
      </c>
      <c r="B238" s="4" t="s">
        <v>2031</v>
      </c>
      <c r="C238" s="4" t="s">
        <v>2111</v>
      </c>
      <c r="D238" s="4" t="s">
        <v>15</v>
      </c>
      <c r="E238" s="4"/>
      <c r="F238" s="4"/>
      <c r="G238" s="4"/>
      <c r="H238" s="4"/>
      <c r="I238" s="4"/>
      <c r="J238" s="4" t="s">
        <v>2115</v>
      </c>
      <c r="K238" s="4"/>
      <c r="L238" s="5"/>
      <c r="M238" s="4"/>
      <c r="N238" s="4"/>
      <c r="O238" s="4"/>
    </row>
    <row collapsed="false" customFormat="false" customHeight="true" hidden="false" ht="15" outlineLevel="0" r="239">
      <c r="A239" s="4" t="s">
        <v>2119</v>
      </c>
      <c r="B239" s="4" t="s">
        <v>2031</v>
      </c>
      <c r="C239" s="4" t="s">
        <v>2120</v>
      </c>
      <c r="D239" s="4" t="s">
        <v>2</v>
      </c>
      <c r="E239" s="4"/>
      <c r="F239" s="4" t="s">
        <v>2121</v>
      </c>
      <c r="G239" s="4" t="s">
        <v>2122</v>
      </c>
      <c r="H239" s="4" t="s">
        <v>265</v>
      </c>
      <c r="I239" s="4" t="n">
        <v>80401</v>
      </c>
      <c r="J239" s="4" t="s">
        <v>2123</v>
      </c>
      <c r="K239" s="4" t="s">
        <v>2124</v>
      </c>
      <c r="L239" s="5" t="str">
        <f aca="false">HYPERLINK("mailto:michelealtieri@go.doe.gov","mailto:michelealtieri@go.doe.gov")</f>
        <v>mailto:michelealtieri@go.doe.gov</v>
      </c>
      <c r="M239" s="4" t="s">
        <v>2125</v>
      </c>
      <c r="N239" s="5"/>
      <c r="O239" s="4"/>
    </row>
    <row collapsed="false" customFormat="false" customHeight="true" hidden="false" ht="15" outlineLevel="0" r="240">
      <c r="A240" s="4" t="s">
        <v>2119</v>
      </c>
      <c r="B240" s="4" t="s">
        <v>2031</v>
      </c>
      <c r="C240" s="4"/>
      <c r="D240" s="4" t="s">
        <v>12</v>
      </c>
      <c r="E240" s="4"/>
      <c r="F240" s="4"/>
      <c r="G240" s="4"/>
      <c r="H240" s="4"/>
      <c r="I240" s="4"/>
      <c r="J240" s="4" t="s">
        <v>2123</v>
      </c>
      <c r="K240" s="4"/>
      <c r="L240" s="5"/>
      <c r="M240" s="4"/>
      <c r="N240" s="4"/>
      <c r="O240" s="4"/>
    </row>
    <row collapsed="false" customFormat="false" customHeight="true" hidden="false" ht="15" outlineLevel="0" r="241">
      <c r="A241" s="4" t="s">
        <v>2119</v>
      </c>
      <c r="B241" s="4" t="s">
        <v>2031</v>
      </c>
      <c r="C241" s="4" t="s">
        <v>2126</v>
      </c>
      <c r="D241" s="4" t="s">
        <v>15</v>
      </c>
      <c r="E241" s="4"/>
      <c r="F241" s="4"/>
      <c r="G241" s="4"/>
      <c r="H241" s="4"/>
      <c r="I241" s="4"/>
      <c r="J241" s="4" t="s">
        <v>2127</v>
      </c>
      <c r="K241" s="4"/>
      <c r="L241" s="5"/>
      <c r="M241" s="4"/>
      <c r="N241" s="4"/>
      <c r="O241" s="4"/>
    </row>
    <row collapsed="false" customFormat="false" customHeight="true" hidden="false" ht="15" outlineLevel="0" r="242">
      <c r="A242" s="4" t="s">
        <v>2128</v>
      </c>
      <c r="B242" s="4" t="s">
        <v>2031</v>
      </c>
      <c r="C242" s="4" t="s">
        <v>2129</v>
      </c>
      <c r="D242" s="4" t="s">
        <v>2</v>
      </c>
      <c r="E242" s="4" t="s">
        <v>28</v>
      </c>
      <c r="F242" s="4" t="s">
        <v>2130</v>
      </c>
      <c r="G242" s="4" t="s">
        <v>2131</v>
      </c>
      <c r="H242" s="4" t="s">
        <v>888</v>
      </c>
      <c r="I242" s="4" t="n">
        <v>45202</v>
      </c>
      <c r="J242" s="4" t="s">
        <v>2132</v>
      </c>
      <c r="K242" s="4" t="s">
        <v>2133</v>
      </c>
      <c r="L242" s="5" t="str">
        <f aca="false">HYPERLINK("mailto:foiaoffice@emcbc.doe.gov","mailto:foiaoffice@emcbc.doe.gov")</f>
        <v>mailto:foiaoffice@emcbc.doe.gov</v>
      </c>
      <c r="M242" s="4" t="s">
        <v>2134</v>
      </c>
      <c r="N242" s="5"/>
      <c r="O242" s="4"/>
    </row>
    <row collapsed="false" customFormat="false" customHeight="true" hidden="false" ht="15" outlineLevel="0" r="243">
      <c r="A243" s="4" t="s">
        <v>2128</v>
      </c>
      <c r="B243" s="4" t="s">
        <v>2031</v>
      </c>
      <c r="C243" s="4"/>
      <c r="D243" s="4" t="s">
        <v>12</v>
      </c>
      <c r="E243" s="4"/>
      <c r="F243" s="4"/>
      <c r="G243" s="4"/>
      <c r="H243" s="4"/>
      <c r="I243" s="4"/>
      <c r="J243" s="4" t="s">
        <v>2135</v>
      </c>
      <c r="K243" s="4"/>
      <c r="L243" s="5"/>
      <c r="M243" s="4"/>
      <c r="N243" s="4"/>
      <c r="O243" s="4"/>
    </row>
    <row collapsed="false" customFormat="false" customHeight="true" hidden="false" ht="15" outlineLevel="0" r="244">
      <c r="A244" s="4" t="s">
        <v>2128</v>
      </c>
      <c r="B244" s="4" t="s">
        <v>2031</v>
      </c>
      <c r="C244" s="4" t="s">
        <v>2136</v>
      </c>
      <c r="D244" s="4" t="s">
        <v>15</v>
      </c>
      <c r="E244" s="4"/>
      <c r="F244" s="4"/>
      <c r="G244" s="4"/>
      <c r="H244" s="4"/>
      <c r="I244" s="4"/>
      <c r="J244" s="4" t="s">
        <v>2132</v>
      </c>
      <c r="K244" s="4"/>
      <c r="L244" s="5"/>
      <c r="M244" s="4"/>
      <c r="N244" s="4"/>
      <c r="O244" s="4"/>
    </row>
    <row collapsed="false" customFormat="false" customHeight="true" hidden="false" ht="15" outlineLevel="0" r="245">
      <c r="A245" s="4" t="s">
        <v>2137</v>
      </c>
      <c r="B245" s="4" t="s">
        <v>2031</v>
      </c>
      <c r="C245" s="4" t="s">
        <v>2138</v>
      </c>
      <c r="D245" s="4" t="s">
        <v>2</v>
      </c>
      <c r="E245" s="4" t="s">
        <v>2139</v>
      </c>
      <c r="F245" s="4"/>
      <c r="G245" s="4" t="s">
        <v>2140</v>
      </c>
      <c r="H245" s="4" t="s">
        <v>2141</v>
      </c>
      <c r="I245" s="4" t="s">
        <v>2142</v>
      </c>
      <c r="J245" s="4" t="s">
        <v>2143</v>
      </c>
      <c r="K245" s="4"/>
      <c r="L245" s="5"/>
      <c r="M245" s="4" t="s">
        <v>2144</v>
      </c>
      <c r="N245" s="5"/>
      <c r="O245" s="4"/>
    </row>
    <row collapsed="false" customFormat="false" customHeight="true" hidden="false" ht="15" outlineLevel="0" r="246">
      <c r="A246" s="4" t="s">
        <v>2137</v>
      </c>
      <c r="B246" s="4" t="s">
        <v>2031</v>
      </c>
      <c r="C246" s="4"/>
      <c r="D246" s="4" t="s">
        <v>12</v>
      </c>
      <c r="E246" s="4"/>
      <c r="F246" s="4"/>
      <c r="G246" s="4"/>
      <c r="H246" s="4"/>
      <c r="I246" s="4"/>
      <c r="J246" s="4" t="s">
        <v>2145</v>
      </c>
      <c r="K246" s="4"/>
      <c r="L246" s="5"/>
      <c r="M246" s="4"/>
      <c r="N246" s="4"/>
      <c r="O246" s="4"/>
    </row>
    <row collapsed="false" customFormat="false" customHeight="true" hidden="false" ht="15" outlineLevel="0" r="247">
      <c r="A247" s="4" t="s">
        <v>2137</v>
      </c>
      <c r="B247" s="4" t="s">
        <v>2031</v>
      </c>
      <c r="C247" s="4" t="s">
        <v>2138</v>
      </c>
      <c r="D247" s="4" t="s">
        <v>15</v>
      </c>
      <c r="E247" s="4"/>
      <c r="F247" s="4"/>
      <c r="G247" s="4"/>
      <c r="H247" s="4"/>
      <c r="I247" s="4"/>
      <c r="J247" s="4" t="s">
        <v>2143</v>
      </c>
      <c r="K247" s="4"/>
      <c r="L247" s="5"/>
      <c r="M247" s="4"/>
      <c r="N247" s="4"/>
      <c r="O247" s="4"/>
    </row>
    <row collapsed="false" customFormat="false" customHeight="true" hidden="false" ht="15" outlineLevel="0" r="248">
      <c r="A248" s="4" t="s">
        <v>2146</v>
      </c>
      <c r="B248" s="4" t="s">
        <v>2031</v>
      </c>
      <c r="C248" s="4" t="s">
        <v>2147</v>
      </c>
      <c r="D248" s="4" t="s">
        <v>2</v>
      </c>
      <c r="E248" s="4"/>
      <c r="F248" s="4" t="s">
        <v>2148</v>
      </c>
      <c r="G248" s="4" t="s">
        <v>2149</v>
      </c>
      <c r="H248" s="4" t="s">
        <v>227</v>
      </c>
      <c r="I248" s="4" t="s">
        <v>2150</v>
      </c>
      <c r="J248" s="4" t="s">
        <v>2151</v>
      </c>
      <c r="K248" s="4" t="s">
        <v>2152</v>
      </c>
      <c r="L248" s="5"/>
      <c r="M248" s="4" t="s">
        <v>2153</v>
      </c>
      <c r="N248" s="5"/>
      <c r="O248" s="4"/>
    </row>
    <row collapsed="false" customFormat="false" customHeight="true" hidden="false" ht="15" outlineLevel="0" r="249">
      <c r="A249" s="4" t="s">
        <v>2146</v>
      </c>
      <c r="B249" s="4" t="s">
        <v>2031</v>
      </c>
      <c r="C249" s="4"/>
      <c r="D249" s="4" t="s">
        <v>12</v>
      </c>
      <c r="E249" s="4"/>
      <c r="F249" s="4"/>
      <c r="G249" s="4"/>
      <c r="H249" s="4"/>
      <c r="I249" s="4"/>
      <c r="J249" s="4" t="s">
        <v>2151</v>
      </c>
      <c r="K249" s="4"/>
      <c r="L249" s="5"/>
      <c r="M249" s="4"/>
      <c r="N249" s="4"/>
      <c r="O249" s="4"/>
    </row>
    <row collapsed="false" customFormat="false" customHeight="true" hidden="false" ht="15" outlineLevel="0" r="250">
      <c r="A250" s="4" t="s">
        <v>2146</v>
      </c>
      <c r="B250" s="4" t="s">
        <v>2031</v>
      </c>
      <c r="C250" s="4" t="s">
        <v>2147</v>
      </c>
      <c r="D250" s="4" t="s">
        <v>15</v>
      </c>
      <c r="E250" s="4"/>
      <c r="F250" s="4"/>
      <c r="G250" s="4"/>
      <c r="H250" s="4"/>
      <c r="I250" s="4"/>
      <c r="J250" s="4" t="s">
        <v>2151</v>
      </c>
      <c r="K250" s="4"/>
      <c r="L250" s="5"/>
      <c r="M250" s="4"/>
      <c r="N250" s="4"/>
      <c r="O250" s="4"/>
    </row>
    <row collapsed="false" customFormat="false" customHeight="true" hidden="false" ht="15" outlineLevel="0" r="251">
      <c r="A251" s="4" t="s">
        <v>2154</v>
      </c>
      <c r="B251" s="4" t="s">
        <v>2031</v>
      </c>
      <c r="C251" s="4" t="s">
        <v>2155</v>
      </c>
      <c r="D251" s="4" t="s">
        <v>2</v>
      </c>
      <c r="E251" s="4" t="s">
        <v>2156</v>
      </c>
      <c r="F251" s="4" t="s">
        <v>2157</v>
      </c>
      <c r="G251" s="4" t="s">
        <v>2158</v>
      </c>
      <c r="H251" s="4" t="s">
        <v>2159</v>
      </c>
      <c r="I251" s="4" t="n">
        <v>74103</v>
      </c>
      <c r="J251" s="4" t="s">
        <v>2160</v>
      </c>
      <c r="K251" s="4" t="s">
        <v>2161</v>
      </c>
      <c r="L251" s="5" t="str">
        <f aca="false">HYPERLINK("mailto:foia@swpa.gov","mailto:foia@swpa.gov")</f>
        <v>mailto:foia@swpa.gov</v>
      </c>
      <c r="M251" s="4" t="s">
        <v>2162</v>
      </c>
      <c r="N251" s="5"/>
      <c r="O251" s="4"/>
    </row>
    <row collapsed="false" customFormat="false" customHeight="true" hidden="false" ht="15" outlineLevel="0" r="252">
      <c r="A252" s="4" t="s">
        <v>2154</v>
      </c>
      <c r="B252" s="4" t="s">
        <v>2031</v>
      </c>
      <c r="C252" s="4"/>
      <c r="D252" s="4" t="s">
        <v>12</v>
      </c>
      <c r="E252" s="4"/>
      <c r="F252" s="4"/>
      <c r="G252" s="4"/>
      <c r="H252" s="4"/>
      <c r="I252" s="4"/>
      <c r="J252" s="4" t="s">
        <v>2160</v>
      </c>
      <c r="K252" s="4"/>
      <c r="L252" s="5"/>
      <c r="M252" s="4"/>
      <c r="N252" s="4"/>
      <c r="O252" s="4"/>
    </row>
    <row collapsed="false" customFormat="false" customHeight="true" hidden="false" ht="15" outlineLevel="0" r="253">
      <c r="A253" s="4" t="s">
        <v>2154</v>
      </c>
      <c r="B253" s="4" t="s">
        <v>2031</v>
      </c>
      <c r="C253" s="4" t="s">
        <v>2163</v>
      </c>
      <c r="D253" s="4" t="s">
        <v>15</v>
      </c>
      <c r="E253" s="4"/>
      <c r="F253" s="4"/>
      <c r="G253" s="4"/>
      <c r="H253" s="4"/>
      <c r="I253" s="4"/>
      <c r="J253" s="4" t="s">
        <v>2164</v>
      </c>
      <c r="K253" s="4"/>
      <c r="L253" s="5"/>
      <c r="M253" s="4"/>
      <c r="N253" s="4"/>
      <c r="O253" s="4"/>
    </row>
    <row collapsed="false" customFormat="false" customHeight="true" hidden="false" ht="15" outlineLevel="0" r="254">
      <c r="A254" s="4" t="s">
        <v>2165</v>
      </c>
      <c r="B254" s="4" t="s">
        <v>2031</v>
      </c>
      <c r="C254" s="4" t="s">
        <v>2166</v>
      </c>
      <c r="D254" s="4" t="s">
        <v>2</v>
      </c>
      <c r="E254" s="4" t="s">
        <v>2167</v>
      </c>
      <c r="F254" s="4" t="s">
        <v>2168</v>
      </c>
      <c r="G254" s="4" t="s">
        <v>726</v>
      </c>
      <c r="H254" s="4" t="s">
        <v>265</v>
      </c>
      <c r="I254" s="4" t="s">
        <v>2169</v>
      </c>
      <c r="J254" s="4" t="s">
        <v>2170</v>
      </c>
      <c r="K254" s="4" t="s">
        <v>2171</v>
      </c>
      <c r="L254" s="5"/>
      <c r="M254" s="4" t="s">
        <v>2172</v>
      </c>
      <c r="N254" s="5"/>
      <c r="O254" s="4"/>
    </row>
    <row collapsed="false" customFormat="false" customHeight="true" hidden="false" ht="15" outlineLevel="0" r="255">
      <c r="A255" s="4" t="s">
        <v>2165</v>
      </c>
      <c r="B255" s="4" t="s">
        <v>2031</v>
      </c>
      <c r="C255" s="4"/>
      <c r="D255" s="4" t="s">
        <v>12</v>
      </c>
      <c r="E255" s="4"/>
      <c r="F255" s="4"/>
      <c r="G255" s="4"/>
      <c r="H255" s="4"/>
      <c r="I255" s="4"/>
      <c r="J255" s="4" t="s">
        <v>2173</v>
      </c>
      <c r="K255" s="4"/>
      <c r="L255" s="5"/>
      <c r="M255" s="4"/>
      <c r="N255" s="4"/>
      <c r="O255" s="4"/>
    </row>
    <row collapsed="false" customFormat="false" customHeight="true" hidden="false" ht="15" outlineLevel="0" r="256">
      <c r="A256" s="4" t="s">
        <v>2165</v>
      </c>
      <c r="B256" s="4" t="s">
        <v>2031</v>
      </c>
      <c r="C256" s="4" t="s">
        <v>2174</v>
      </c>
      <c r="D256" s="4" t="s">
        <v>15</v>
      </c>
      <c r="E256" s="4"/>
      <c r="F256" s="4"/>
      <c r="G256" s="4"/>
      <c r="H256" s="4"/>
      <c r="I256" s="4"/>
      <c r="J256" s="4" t="s">
        <v>2170</v>
      </c>
      <c r="K256" s="4"/>
      <c r="L256" s="5"/>
      <c r="M256" s="4"/>
      <c r="N256" s="4"/>
      <c r="O256" s="4"/>
    </row>
    <row collapsed="false" customFormat="false" customHeight="true" hidden="false" ht="15" outlineLevel="0" r="257">
      <c r="A257" s="4" t="s">
        <v>2175</v>
      </c>
      <c r="B257" s="4" t="s">
        <v>2031</v>
      </c>
      <c r="C257" s="4" t="s">
        <v>2176</v>
      </c>
      <c r="D257" s="4" t="s">
        <v>2</v>
      </c>
      <c r="E257" s="4" t="s">
        <v>2177</v>
      </c>
      <c r="F257" s="4" t="s">
        <v>2178</v>
      </c>
      <c r="G257" s="4" t="s">
        <v>1526</v>
      </c>
      <c r="H257" s="4" t="s">
        <v>1527</v>
      </c>
      <c r="I257" s="4" t="n">
        <v>70123</v>
      </c>
      <c r="J257" s="4" t="s">
        <v>2179</v>
      </c>
      <c r="K257" s="4"/>
      <c r="L257" s="5"/>
      <c r="M257" s="4" t="s">
        <v>2180</v>
      </c>
      <c r="N257" s="5"/>
      <c r="O257" s="4"/>
    </row>
    <row collapsed="false" customFormat="false" customHeight="true" hidden="false" ht="15" outlineLevel="0" r="258">
      <c r="A258" s="4" t="s">
        <v>2175</v>
      </c>
      <c r="B258" s="4" t="s">
        <v>2031</v>
      </c>
      <c r="C258" s="4"/>
      <c r="D258" s="4" t="s">
        <v>12</v>
      </c>
      <c r="E258" s="4"/>
      <c r="F258" s="4"/>
      <c r="G258" s="4"/>
      <c r="H258" s="4"/>
      <c r="I258" s="4"/>
      <c r="J258" s="4" t="s">
        <v>2179</v>
      </c>
      <c r="K258" s="4"/>
      <c r="L258" s="5"/>
      <c r="M258" s="4"/>
      <c r="N258" s="4"/>
      <c r="O258" s="4"/>
    </row>
    <row collapsed="false" customFormat="false" customHeight="true" hidden="false" ht="15" outlineLevel="0" r="259">
      <c r="A259" s="4" t="s">
        <v>2175</v>
      </c>
      <c r="B259" s="4" t="s">
        <v>2031</v>
      </c>
      <c r="C259" s="4" t="s">
        <v>2181</v>
      </c>
      <c r="D259" s="4" t="s">
        <v>15</v>
      </c>
      <c r="E259" s="4"/>
      <c r="F259" s="4"/>
      <c r="G259" s="4"/>
      <c r="H259" s="4"/>
      <c r="I259" s="4"/>
      <c r="J259" s="4" t="s">
        <v>2182</v>
      </c>
      <c r="K259" s="4"/>
      <c r="L259" s="5"/>
      <c r="M259" s="4"/>
      <c r="N259" s="4"/>
      <c r="O259" s="4"/>
    </row>
    <row collapsed="false" customFormat="false" customHeight="true" hidden="false" ht="15" outlineLevel="0" r="260">
      <c r="A260" s="4" t="s">
        <v>2183</v>
      </c>
      <c r="B260" s="4" t="s">
        <v>2031</v>
      </c>
      <c r="C260" s="4" t="s">
        <v>2184</v>
      </c>
      <c r="D260" s="4" t="s">
        <v>2</v>
      </c>
      <c r="E260" s="4" t="s">
        <v>2185</v>
      </c>
      <c r="F260" s="4" t="s">
        <v>2186</v>
      </c>
      <c r="G260" s="4" t="s">
        <v>2187</v>
      </c>
      <c r="H260" s="4" t="s">
        <v>218</v>
      </c>
      <c r="I260" s="4" t="s">
        <v>2188</v>
      </c>
      <c r="J260" s="4" t="s">
        <v>2189</v>
      </c>
      <c r="K260" s="4"/>
      <c r="L260" s="5" t="str">
        <f aca="false">HYPERLINK("mailto:Ann.Dunlap@NETL.doe.gov","mailto:Ann.Dunlap@NETL.doe.gov")</f>
        <v>mailto:Ann.Dunlap@NETL.doe.gov</v>
      </c>
      <c r="M260" s="4" t="s">
        <v>2190</v>
      </c>
      <c r="N260" s="5"/>
      <c r="O260" s="4"/>
    </row>
    <row collapsed="false" customFormat="false" customHeight="true" hidden="false" ht="15" outlineLevel="0" r="261">
      <c r="A261" s="4" t="s">
        <v>2183</v>
      </c>
      <c r="B261" s="4" t="s">
        <v>2031</v>
      </c>
      <c r="C261" s="4"/>
      <c r="D261" s="4" t="s">
        <v>12</v>
      </c>
      <c r="E261" s="4"/>
      <c r="F261" s="4"/>
      <c r="G261" s="4"/>
      <c r="H261" s="4"/>
      <c r="I261" s="4"/>
      <c r="J261" s="4" t="s">
        <v>2189</v>
      </c>
      <c r="K261" s="4"/>
      <c r="L261" s="5"/>
      <c r="M261" s="4"/>
      <c r="N261" s="4"/>
      <c r="O261" s="4"/>
    </row>
    <row collapsed="false" customFormat="false" customHeight="true" hidden="false" ht="15" outlineLevel="0" r="262">
      <c r="A262" s="4" t="s">
        <v>2183</v>
      </c>
      <c r="B262" s="4" t="s">
        <v>2031</v>
      </c>
      <c r="C262" s="4" t="s">
        <v>2184</v>
      </c>
      <c r="D262" s="4" t="s">
        <v>15</v>
      </c>
      <c r="E262" s="4"/>
      <c r="F262" s="4"/>
      <c r="G262" s="4"/>
      <c r="H262" s="4"/>
      <c r="I262" s="4"/>
      <c r="J262" s="4" t="s">
        <v>2189</v>
      </c>
      <c r="K262" s="4"/>
      <c r="L262" s="5"/>
      <c r="M262" s="4"/>
      <c r="N262" s="4"/>
      <c r="O262" s="4"/>
    </row>
    <row collapsed="false" customFormat="false" customHeight="true" hidden="false" ht="15" outlineLevel="0" r="263">
      <c r="A263" s="4" t="s">
        <v>289</v>
      </c>
      <c r="B263" s="4" t="s">
        <v>2191</v>
      </c>
      <c r="C263" s="4" t="s">
        <v>2192</v>
      </c>
      <c r="D263" s="4" t="s">
        <v>2</v>
      </c>
      <c r="E263" s="4" t="s">
        <v>2193</v>
      </c>
      <c r="F263" s="4" t="s">
        <v>2194</v>
      </c>
      <c r="G263" s="4" t="s">
        <v>5</v>
      </c>
      <c r="H263" s="4" t="s">
        <v>6</v>
      </c>
      <c r="I263" s="4" t="n">
        <v>20201</v>
      </c>
      <c r="J263" s="4" t="s">
        <v>2195</v>
      </c>
      <c r="K263" s="4" t="s">
        <v>2196</v>
      </c>
      <c r="L263" s="5"/>
      <c r="M263" s="4" t="s">
        <v>2197</v>
      </c>
      <c r="N263" s="5"/>
      <c r="O263" s="4"/>
    </row>
    <row collapsed="false" customFormat="false" customHeight="true" hidden="false" ht="15" outlineLevel="0" r="264">
      <c r="A264" s="4" t="s">
        <v>289</v>
      </c>
      <c r="B264" s="4" t="s">
        <v>2191</v>
      </c>
      <c r="C264" s="4"/>
      <c r="D264" s="4" t="s">
        <v>12</v>
      </c>
      <c r="E264" s="4"/>
      <c r="F264" s="4"/>
      <c r="G264" s="4"/>
      <c r="H264" s="4"/>
      <c r="I264" s="4"/>
      <c r="J264" s="4" t="s">
        <v>2195</v>
      </c>
      <c r="K264" s="4"/>
      <c r="L264" s="5"/>
      <c r="M264" s="4"/>
      <c r="N264" s="4"/>
      <c r="O264" s="4"/>
    </row>
    <row collapsed="false" customFormat="false" customHeight="true" hidden="false" ht="15" outlineLevel="0" r="265">
      <c r="A265" s="4" t="s">
        <v>289</v>
      </c>
      <c r="B265" s="4" t="s">
        <v>2191</v>
      </c>
      <c r="C265" s="4" t="s">
        <v>2198</v>
      </c>
      <c r="D265" s="4" t="s">
        <v>15</v>
      </c>
      <c r="E265" s="4"/>
      <c r="F265" s="4"/>
      <c r="G265" s="4"/>
      <c r="H265" s="4"/>
      <c r="I265" s="4"/>
      <c r="J265" s="4" t="s">
        <v>2199</v>
      </c>
      <c r="K265" s="4"/>
      <c r="L265" s="5"/>
      <c r="M265" s="4"/>
      <c r="N265" s="4"/>
      <c r="O265" s="4"/>
    </row>
    <row collapsed="false" customFormat="false" customHeight="true" hidden="false" ht="15" outlineLevel="0" r="266">
      <c r="A266" s="4" t="s">
        <v>2200</v>
      </c>
      <c r="B266" s="4" t="s">
        <v>2191</v>
      </c>
      <c r="C266" s="4" t="s">
        <v>2201</v>
      </c>
      <c r="D266" s="4" t="s">
        <v>2</v>
      </c>
      <c r="E266" s="4" t="s">
        <v>2202</v>
      </c>
      <c r="F266" s="4" t="s">
        <v>2203</v>
      </c>
      <c r="G266" s="4" t="s">
        <v>1176</v>
      </c>
      <c r="H266" s="4" t="s">
        <v>138</v>
      </c>
      <c r="I266" s="4" t="n">
        <v>20857</v>
      </c>
      <c r="J266" s="4" t="s">
        <v>2204</v>
      </c>
      <c r="K266" s="4"/>
      <c r="L266" s="5" t="str">
        <f aca="false">HYPERLINK("mailto:foiarequest@psc.hhs.gov","mailto:foiarequest@psc.hhs.gov")</f>
        <v>mailto:foiarequest@psc.hhs.gov</v>
      </c>
      <c r="M266" s="4" t="s">
        <v>2205</v>
      </c>
      <c r="N266" s="5"/>
      <c r="O266" s="4"/>
    </row>
    <row collapsed="false" customFormat="false" customHeight="true" hidden="false" ht="15" outlineLevel="0" r="267">
      <c r="A267" s="4" t="s">
        <v>2200</v>
      </c>
      <c r="B267" s="4" t="s">
        <v>2191</v>
      </c>
      <c r="C267" s="4"/>
      <c r="D267" s="4" t="s">
        <v>12</v>
      </c>
      <c r="E267" s="4"/>
      <c r="F267" s="4"/>
      <c r="G267" s="4"/>
      <c r="H267" s="4"/>
      <c r="I267" s="4"/>
      <c r="J267" s="4" t="s">
        <v>2204</v>
      </c>
      <c r="K267" s="4"/>
      <c r="L267" s="5"/>
      <c r="M267" s="4"/>
      <c r="N267" s="4"/>
      <c r="O267" s="4"/>
    </row>
    <row collapsed="false" customFormat="false" customHeight="true" hidden="false" ht="15" outlineLevel="0" r="268">
      <c r="A268" s="4" t="s">
        <v>2200</v>
      </c>
      <c r="B268" s="4" t="s">
        <v>2191</v>
      </c>
      <c r="C268" s="4" t="s">
        <v>2201</v>
      </c>
      <c r="D268" s="4" t="s">
        <v>15</v>
      </c>
      <c r="E268" s="4"/>
      <c r="F268" s="4"/>
      <c r="G268" s="4"/>
      <c r="H268" s="4"/>
      <c r="I268" s="4"/>
      <c r="J268" s="4" t="s">
        <v>2204</v>
      </c>
      <c r="K268" s="4"/>
      <c r="L268" s="5"/>
      <c r="M268" s="4"/>
      <c r="N268" s="4"/>
      <c r="O268" s="4"/>
    </row>
    <row collapsed="false" customFormat="false" customHeight="true" hidden="false" ht="15" outlineLevel="0" r="269">
      <c r="A269" s="4" t="s">
        <v>600</v>
      </c>
      <c r="B269" s="4" t="s">
        <v>2191</v>
      </c>
      <c r="C269" s="4" t="s">
        <v>2206</v>
      </c>
      <c r="D269" s="4" t="s">
        <v>2</v>
      </c>
      <c r="E269" s="4" t="s">
        <v>2207</v>
      </c>
      <c r="F269" s="4" t="s">
        <v>63</v>
      </c>
      <c r="G269" s="4" t="s">
        <v>5</v>
      </c>
      <c r="H269" s="4" t="s">
        <v>6</v>
      </c>
      <c r="I269" s="4" t="n">
        <v>20201</v>
      </c>
      <c r="J269" s="4" t="s">
        <v>2208</v>
      </c>
      <c r="K269" s="4" t="s">
        <v>2209</v>
      </c>
      <c r="L269" s="5"/>
      <c r="M269" s="4" t="s">
        <v>2210</v>
      </c>
      <c r="N269" s="5"/>
      <c r="O269" s="4"/>
    </row>
    <row collapsed="false" customFormat="false" customHeight="true" hidden="false" ht="15" outlineLevel="0" r="270">
      <c r="A270" s="4" t="s">
        <v>600</v>
      </c>
      <c r="B270" s="4" t="s">
        <v>2191</v>
      </c>
      <c r="C270" s="4"/>
      <c r="D270" s="4" t="s">
        <v>12</v>
      </c>
      <c r="E270" s="4"/>
      <c r="F270" s="4"/>
      <c r="G270" s="4"/>
      <c r="H270" s="4"/>
      <c r="I270" s="4"/>
      <c r="J270" s="4" t="s">
        <v>2208</v>
      </c>
      <c r="K270" s="4"/>
      <c r="L270" s="5"/>
      <c r="M270" s="4"/>
      <c r="N270" s="4"/>
      <c r="O270" s="4"/>
    </row>
    <row collapsed="false" customFormat="false" customHeight="true" hidden="false" ht="15" outlineLevel="0" r="271">
      <c r="A271" s="4" t="s">
        <v>600</v>
      </c>
      <c r="B271" s="4" t="s">
        <v>2191</v>
      </c>
      <c r="C271" s="4" t="s">
        <v>2206</v>
      </c>
      <c r="D271" s="4" t="s">
        <v>15</v>
      </c>
      <c r="E271" s="4"/>
      <c r="F271" s="4"/>
      <c r="G271" s="4"/>
      <c r="H271" s="4"/>
      <c r="I271" s="4"/>
      <c r="J271" s="4" t="s">
        <v>2208</v>
      </c>
      <c r="K271" s="4"/>
      <c r="L271" s="5"/>
      <c r="M271" s="4"/>
      <c r="N271" s="4"/>
      <c r="O271" s="4"/>
    </row>
    <row collapsed="false" customFormat="false" customHeight="true" hidden="false" ht="15" outlineLevel="0" r="272">
      <c r="A272" s="4" t="s">
        <v>2211</v>
      </c>
      <c r="B272" s="4" t="s">
        <v>2191</v>
      </c>
      <c r="C272" s="4" t="s">
        <v>2212</v>
      </c>
      <c r="D272" s="4" t="s">
        <v>2213</v>
      </c>
      <c r="E272" s="4"/>
      <c r="F272" s="4"/>
      <c r="G272" s="4" t="s">
        <v>5</v>
      </c>
      <c r="H272" s="4" t="s">
        <v>6</v>
      </c>
      <c r="I272" s="4" t="n">
        <v>20201</v>
      </c>
      <c r="J272" s="4" t="s">
        <v>2214</v>
      </c>
      <c r="K272" s="4"/>
      <c r="L272" s="5"/>
      <c r="M272" s="4" t="s">
        <v>2215</v>
      </c>
      <c r="N272" s="4"/>
      <c r="O272" s="4"/>
    </row>
    <row collapsed="false" customFormat="false" customHeight="true" hidden="false" ht="15" outlineLevel="0" r="273">
      <c r="A273" s="4" t="s">
        <v>2211</v>
      </c>
      <c r="B273" s="4" t="s">
        <v>2191</v>
      </c>
      <c r="C273" s="4"/>
      <c r="D273" s="4" t="s">
        <v>12</v>
      </c>
      <c r="E273" s="4"/>
      <c r="F273" s="4"/>
      <c r="G273" s="4"/>
      <c r="H273" s="4"/>
      <c r="I273" s="4"/>
      <c r="J273" s="4" t="s">
        <v>2214</v>
      </c>
      <c r="K273" s="4" t="s">
        <v>2216</v>
      </c>
      <c r="L273" s="5"/>
      <c r="M273" s="4"/>
      <c r="N273" s="4"/>
      <c r="O273" s="4"/>
    </row>
    <row collapsed="false" customFormat="false" customHeight="true" hidden="false" ht="15" outlineLevel="0" r="274">
      <c r="A274" s="4" t="s">
        <v>2211</v>
      </c>
      <c r="B274" s="4" t="s">
        <v>2191</v>
      </c>
      <c r="C274" s="4" t="s">
        <v>2212</v>
      </c>
      <c r="D274" s="4" t="s">
        <v>15</v>
      </c>
      <c r="E274" s="4"/>
      <c r="F274" s="4"/>
      <c r="G274" s="4"/>
      <c r="H274" s="4"/>
      <c r="I274" s="4"/>
      <c r="J274" s="4" t="s">
        <v>2214</v>
      </c>
      <c r="K274" s="4" t="s">
        <v>2217</v>
      </c>
      <c r="L274" s="5"/>
      <c r="M274" s="4"/>
      <c r="N274" s="4"/>
      <c r="O274" s="4"/>
    </row>
    <row collapsed="false" customFormat="false" customHeight="true" hidden="false" ht="15" outlineLevel="0" r="275">
      <c r="A275" s="4" t="s">
        <v>2218</v>
      </c>
      <c r="B275" s="4" t="s">
        <v>2191</v>
      </c>
      <c r="C275" s="4" t="s">
        <v>2219</v>
      </c>
      <c r="D275" s="4" t="s">
        <v>2</v>
      </c>
      <c r="E275" s="4" t="s">
        <v>2220</v>
      </c>
      <c r="F275" s="4" t="s">
        <v>2221</v>
      </c>
      <c r="G275" s="4" t="s">
        <v>5</v>
      </c>
      <c r="H275" s="4" t="s">
        <v>6</v>
      </c>
      <c r="I275" s="4" t="n">
        <v>20447</v>
      </c>
      <c r="J275" s="4" t="s">
        <v>2222</v>
      </c>
      <c r="K275" s="4"/>
      <c r="L275" s="5" t="str">
        <f aca="false">HYPERLINK("mailto:foia@acf.hhs.gov","mailto:foia@acf.hhs.gov")</f>
        <v>mailto:foia@acf.hhs.gov</v>
      </c>
      <c r="M275" s="4" t="s">
        <v>2223</v>
      </c>
      <c r="N275" s="5"/>
      <c r="O275" s="4"/>
    </row>
    <row collapsed="false" customFormat="false" customHeight="true" hidden="false" ht="15" outlineLevel="0" r="276">
      <c r="A276" s="4" t="s">
        <v>2218</v>
      </c>
      <c r="B276" s="4" t="s">
        <v>2191</v>
      </c>
      <c r="C276" s="4"/>
      <c r="D276" s="4" t="s">
        <v>12</v>
      </c>
      <c r="E276" s="4"/>
      <c r="F276" s="4"/>
      <c r="G276" s="4"/>
      <c r="H276" s="4"/>
      <c r="I276" s="4"/>
      <c r="J276" s="4" t="s">
        <v>2222</v>
      </c>
      <c r="K276" s="4"/>
      <c r="L276" s="5"/>
      <c r="M276" s="4"/>
      <c r="N276" s="4"/>
      <c r="O276" s="4"/>
    </row>
    <row collapsed="false" customFormat="false" customHeight="true" hidden="false" ht="15" outlineLevel="0" r="277">
      <c r="A277" s="4" t="s">
        <v>2218</v>
      </c>
      <c r="B277" s="4" t="s">
        <v>2191</v>
      </c>
      <c r="C277" s="4" t="s">
        <v>2224</v>
      </c>
      <c r="D277" s="4" t="s">
        <v>15</v>
      </c>
      <c r="E277" s="4"/>
      <c r="F277" s="4"/>
      <c r="G277" s="4"/>
      <c r="H277" s="4"/>
      <c r="I277" s="4"/>
      <c r="J277" s="4" t="s">
        <v>2225</v>
      </c>
      <c r="K277" s="4"/>
      <c r="L277" s="5"/>
      <c r="M277" s="4"/>
      <c r="N277" s="4"/>
      <c r="O277" s="4"/>
    </row>
    <row collapsed="false" customFormat="false" customHeight="true" hidden="false" ht="15" outlineLevel="0" r="278">
      <c r="A278" s="4" t="s">
        <v>2226</v>
      </c>
      <c r="B278" s="4" t="s">
        <v>2191</v>
      </c>
      <c r="C278" s="4" t="s">
        <v>2227</v>
      </c>
      <c r="D278" s="4" t="s">
        <v>2</v>
      </c>
      <c r="E278" s="4" t="s">
        <v>2228</v>
      </c>
      <c r="F278" s="4" t="s">
        <v>2229</v>
      </c>
      <c r="G278" s="4" t="s">
        <v>1176</v>
      </c>
      <c r="H278" s="4" t="s">
        <v>138</v>
      </c>
      <c r="I278" s="4" t="n">
        <v>20850</v>
      </c>
      <c r="J278" s="4" t="s">
        <v>2230</v>
      </c>
      <c r="K278" s="4" t="s">
        <v>2231</v>
      </c>
      <c r="L278" s="5" t="str">
        <f aca="false">HYPERLINK("mailto:Nancy.Comfort@ahrq.hhs.gov","mailto:Nancy.Comfort@ahrq.hhs.gov")</f>
        <v>mailto:Nancy.Comfort@ahrq.hhs.gov</v>
      </c>
      <c r="M278" s="4" t="s">
        <v>2232</v>
      </c>
      <c r="N278" s="4"/>
      <c r="O278" s="4"/>
    </row>
    <row collapsed="false" customFormat="false" customHeight="true" hidden="false" ht="15" outlineLevel="0" r="279">
      <c r="A279" s="4" t="s">
        <v>2226</v>
      </c>
      <c r="B279" s="4" t="s">
        <v>2191</v>
      </c>
      <c r="C279" s="4"/>
      <c r="D279" s="4" t="s">
        <v>12</v>
      </c>
      <c r="E279" s="4"/>
      <c r="F279" s="4"/>
      <c r="G279" s="4"/>
      <c r="H279" s="4"/>
      <c r="I279" s="4"/>
      <c r="J279" s="4" t="s">
        <v>2230</v>
      </c>
      <c r="K279" s="4"/>
      <c r="L279" s="5"/>
      <c r="M279" s="4"/>
      <c r="N279" s="4"/>
      <c r="O279" s="4"/>
    </row>
    <row collapsed="false" customFormat="false" customHeight="true" hidden="false" ht="15" outlineLevel="0" r="280">
      <c r="A280" s="4" t="s">
        <v>2226</v>
      </c>
      <c r="B280" s="4" t="s">
        <v>2191</v>
      </c>
      <c r="C280" s="4" t="s">
        <v>2227</v>
      </c>
      <c r="D280" s="4" t="s">
        <v>15</v>
      </c>
      <c r="E280" s="4"/>
      <c r="F280" s="4"/>
      <c r="G280" s="4"/>
      <c r="H280" s="4"/>
      <c r="I280" s="4"/>
      <c r="J280" s="4" t="s">
        <v>2230</v>
      </c>
      <c r="K280" s="4"/>
      <c r="L280" s="5"/>
      <c r="M280" s="4"/>
      <c r="N280" s="4"/>
      <c r="O280" s="4"/>
    </row>
    <row collapsed="false" customFormat="false" customHeight="true" hidden="false" ht="15" outlineLevel="0" r="281">
      <c r="A281" s="4" t="s">
        <v>2233</v>
      </c>
      <c r="B281" s="4" t="s">
        <v>2191</v>
      </c>
      <c r="C281" s="4" t="s">
        <v>2234</v>
      </c>
      <c r="D281" s="4" t="s">
        <v>2</v>
      </c>
      <c r="E281" s="4" t="s">
        <v>2235</v>
      </c>
      <c r="F281" s="4" t="s">
        <v>2236</v>
      </c>
      <c r="G281" s="4" t="s">
        <v>226</v>
      </c>
      <c r="H281" s="4" t="s">
        <v>227</v>
      </c>
      <c r="I281" s="4" t="n">
        <v>30333</v>
      </c>
      <c r="J281" s="4" t="s">
        <v>2237</v>
      </c>
      <c r="K281" s="4" t="s">
        <v>2238</v>
      </c>
      <c r="L281" s="5" t="str">
        <f aca="false">HYPERLINK("mailto:FOIARequests@cdc.gov","mailto:FOIARequests@cdc.gov")</f>
        <v>mailto:FOIARequests@cdc.gov</v>
      </c>
      <c r="M281" s="4" t="s">
        <v>2239</v>
      </c>
      <c r="N281" s="4"/>
      <c r="O281" s="4"/>
    </row>
    <row collapsed="false" customFormat="false" customHeight="true" hidden="false" ht="15" outlineLevel="0" r="282">
      <c r="A282" s="4" t="s">
        <v>2233</v>
      </c>
      <c r="B282" s="4" t="s">
        <v>2191</v>
      </c>
      <c r="C282" s="4"/>
      <c r="D282" s="4" t="s">
        <v>12</v>
      </c>
      <c r="E282" s="4"/>
      <c r="F282" s="4"/>
      <c r="G282" s="4"/>
      <c r="H282" s="4"/>
      <c r="I282" s="4"/>
      <c r="J282" s="4" t="s">
        <v>2237</v>
      </c>
      <c r="K282" s="4"/>
      <c r="L282" s="5"/>
      <c r="M282" s="4"/>
      <c r="N282" s="4"/>
      <c r="O282" s="4"/>
    </row>
    <row collapsed="false" customFormat="false" customHeight="true" hidden="false" ht="15" outlineLevel="0" r="283">
      <c r="A283" s="4" t="s">
        <v>2233</v>
      </c>
      <c r="B283" s="4" t="s">
        <v>2191</v>
      </c>
      <c r="C283" s="4" t="s">
        <v>2240</v>
      </c>
      <c r="D283" s="4" t="s">
        <v>15</v>
      </c>
      <c r="E283" s="4"/>
      <c r="F283" s="4"/>
      <c r="G283" s="4"/>
      <c r="H283" s="4"/>
      <c r="I283" s="4"/>
      <c r="J283" s="4" t="s">
        <v>2237</v>
      </c>
      <c r="K283" s="4"/>
      <c r="L283" s="5"/>
      <c r="M283" s="4"/>
      <c r="N283" s="4"/>
      <c r="O283" s="4"/>
    </row>
    <row collapsed="false" customFormat="false" customHeight="true" hidden="false" ht="15" outlineLevel="0" r="284">
      <c r="A284" s="4" t="s">
        <v>2241</v>
      </c>
      <c r="B284" s="4" t="s">
        <v>2191</v>
      </c>
      <c r="C284" s="4" t="s">
        <v>2234</v>
      </c>
      <c r="D284" s="4" t="s">
        <v>2</v>
      </c>
      <c r="E284" s="4" t="s">
        <v>2235</v>
      </c>
      <c r="F284" s="4" t="s">
        <v>2236</v>
      </c>
      <c r="G284" s="4" t="s">
        <v>226</v>
      </c>
      <c r="H284" s="4" t="s">
        <v>227</v>
      </c>
      <c r="I284" s="4" t="n">
        <v>30333</v>
      </c>
      <c r="J284" s="4" t="s">
        <v>2237</v>
      </c>
      <c r="K284" s="4" t="s">
        <v>2238</v>
      </c>
      <c r="L284" s="5" t="str">
        <f aca="false">HYPERLINK("mailto:FOIARequests@cdc.gov","mailto:FOIARequests@cdc.gov")</f>
        <v>mailto:FOIARequests@cdc.gov</v>
      </c>
      <c r="M284" s="4" t="s">
        <v>2239</v>
      </c>
      <c r="N284" s="4"/>
      <c r="O284" s="4"/>
    </row>
    <row collapsed="false" customFormat="false" customHeight="true" hidden="false" ht="15" outlineLevel="0" r="285">
      <c r="A285" s="4" t="s">
        <v>2241</v>
      </c>
      <c r="B285" s="4" t="s">
        <v>2191</v>
      </c>
      <c r="C285" s="4"/>
      <c r="D285" s="4" t="s">
        <v>12</v>
      </c>
      <c r="E285" s="4"/>
      <c r="F285" s="4"/>
      <c r="G285" s="4"/>
      <c r="H285" s="4"/>
      <c r="I285" s="4"/>
      <c r="J285" s="4" t="s">
        <v>2237</v>
      </c>
      <c r="K285" s="4"/>
      <c r="L285" s="5"/>
      <c r="M285" s="4"/>
      <c r="N285" s="4"/>
      <c r="O285" s="4"/>
    </row>
    <row collapsed="false" customFormat="false" customHeight="true" hidden="false" ht="15" outlineLevel="0" r="286">
      <c r="A286" s="4" t="s">
        <v>2241</v>
      </c>
      <c r="B286" s="4" t="s">
        <v>2191</v>
      </c>
      <c r="C286" s="4" t="s">
        <v>2240</v>
      </c>
      <c r="D286" s="4" t="s">
        <v>15</v>
      </c>
      <c r="E286" s="4"/>
      <c r="F286" s="4"/>
      <c r="G286" s="4"/>
      <c r="H286" s="4"/>
      <c r="I286" s="4"/>
      <c r="J286" s="4" t="s">
        <v>2237</v>
      </c>
      <c r="K286" s="4"/>
      <c r="L286" s="5"/>
      <c r="M286" s="4"/>
      <c r="N286" s="4"/>
      <c r="O286" s="4"/>
    </row>
    <row collapsed="false" customFormat="false" customHeight="true" hidden="false" ht="15" outlineLevel="0" r="287">
      <c r="A287" s="4" t="s">
        <v>2242</v>
      </c>
      <c r="B287" s="4" t="s">
        <v>2191</v>
      </c>
      <c r="C287" s="4" t="s">
        <v>2243</v>
      </c>
      <c r="D287" s="4" t="s">
        <v>2</v>
      </c>
      <c r="E287" s="4" t="s">
        <v>2244</v>
      </c>
      <c r="F287" s="4" t="s">
        <v>2245</v>
      </c>
      <c r="G287" s="4" t="s">
        <v>1315</v>
      </c>
      <c r="H287" s="4" t="s">
        <v>138</v>
      </c>
      <c r="I287" s="4" t="n">
        <v>21244</v>
      </c>
      <c r="J287" s="4" t="s">
        <v>2246</v>
      </c>
      <c r="K287" s="4" t="s">
        <v>2247</v>
      </c>
      <c r="L287" s="5"/>
      <c r="M287" s="4" t="s">
        <v>2248</v>
      </c>
      <c r="N287" s="4"/>
      <c r="O287" s="4"/>
    </row>
    <row collapsed="false" customFormat="false" customHeight="true" hidden="false" ht="15" outlineLevel="0" r="288">
      <c r="A288" s="4" t="s">
        <v>2242</v>
      </c>
      <c r="B288" s="4" t="s">
        <v>2191</v>
      </c>
      <c r="C288" s="4"/>
      <c r="D288" s="4" t="s">
        <v>12</v>
      </c>
      <c r="E288" s="4"/>
      <c r="F288" s="4"/>
      <c r="G288" s="4"/>
      <c r="H288" s="4"/>
      <c r="I288" s="4"/>
      <c r="J288" s="4" t="s">
        <v>2246</v>
      </c>
      <c r="K288" s="4"/>
      <c r="L288" s="5"/>
      <c r="M288" s="4"/>
      <c r="N288" s="4"/>
      <c r="O288" s="4"/>
    </row>
    <row collapsed="false" customFormat="false" customHeight="true" hidden="false" ht="15" outlineLevel="0" r="289">
      <c r="A289" s="4" t="s">
        <v>2242</v>
      </c>
      <c r="B289" s="4" t="s">
        <v>2191</v>
      </c>
      <c r="C289" s="4" t="s">
        <v>2249</v>
      </c>
      <c r="D289" s="4" t="s">
        <v>15</v>
      </c>
      <c r="E289" s="4"/>
      <c r="F289" s="4"/>
      <c r="G289" s="4"/>
      <c r="H289" s="4"/>
      <c r="I289" s="4"/>
      <c r="J289" s="4" t="s">
        <v>2246</v>
      </c>
      <c r="K289" s="4"/>
      <c r="L289" s="5"/>
      <c r="M289" s="4"/>
      <c r="N289" s="4"/>
      <c r="O289" s="4"/>
    </row>
    <row collapsed="false" customFormat="false" customHeight="true" hidden="false" ht="15" outlineLevel="0" r="290">
      <c r="A290" s="4" t="s">
        <v>2250</v>
      </c>
      <c r="B290" s="4" t="s">
        <v>2191</v>
      </c>
      <c r="C290" s="4" t="s">
        <v>2251</v>
      </c>
      <c r="D290" s="4" t="s">
        <v>2252</v>
      </c>
      <c r="E290" s="4" t="s">
        <v>2253</v>
      </c>
      <c r="F290" s="4" t="s">
        <v>2254</v>
      </c>
      <c r="G290" s="4" t="s">
        <v>1176</v>
      </c>
      <c r="H290" s="4" t="s">
        <v>138</v>
      </c>
      <c r="I290" s="4" t="n">
        <v>20857</v>
      </c>
      <c r="J290" s="4" t="s">
        <v>2255</v>
      </c>
      <c r="K290" s="4" t="s">
        <v>2256</v>
      </c>
      <c r="L290" s="5"/>
      <c r="M290" s="4" t="s">
        <v>2257</v>
      </c>
      <c r="N290" s="4"/>
      <c r="O290" s="4"/>
    </row>
    <row collapsed="false" customFormat="false" customHeight="true" hidden="false" ht="15" outlineLevel="0" r="291">
      <c r="A291" s="4" t="s">
        <v>2250</v>
      </c>
      <c r="B291" s="4" t="s">
        <v>2191</v>
      </c>
      <c r="C291" s="4"/>
      <c r="D291" s="4" t="s">
        <v>12</v>
      </c>
      <c r="E291" s="4"/>
      <c r="F291" s="4"/>
      <c r="G291" s="4"/>
      <c r="H291" s="4"/>
      <c r="I291" s="4"/>
      <c r="J291" s="4" t="s">
        <v>2255</v>
      </c>
      <c r="K291" s="4"/>
      <c r="L291" s="5"/>
      <c r="M291" s="4"/>
      <c r="N291" s="4"/>
      <c r="O291" s="4"/>
    </row>
    <row collapsed="false" customFormat="false" customHeight="true" hidden="false" ht="15" outlineLevel="0" r="292">
      <c r="A292" s="4" t="s">
        <v>2250</v>
      </c>
      <c r="B292" s="4" t="s">
        <v>2191</v>
      </c>
      <c r="C292" s="4" t="s">
        <v>2258</v>
      </c>
      <c r="D292" s="4" t="s">
        <v>15</v>
      </c>
      <c r="E292" s="4"/>
      <c r="F292" s="4"/>
      <c r="G292" s="4"/>
      <c r="H292" s="4"/>
      <c r="I292" s="4"/>
      <c r="J292" s="4" t="s">
        <v>2255</v>
      </c>
      <c r="K292" s="4"/>
      <c r="L292" s="5"/>
      <c r="M292" s="4"/>
      <c r="N292" s="4"/>
      <c r="O292" s="4"/>
    </row>
    <row collapsed="false" customFormat="false" customHeight="true" hidden="false" ht="15" outlineLevel="0" r="293">
      <c r="A293" s="4" t="s">
        <v>2259</v>
      </c>
      <c r="B293" s="4" t="s">
        <v>2191</v>
      </c>
      <c r="C293" s="4" t="s">
        <v>2260</v>
      </c>
      <c r="D293" s="4" t="s">
        <v>2</v>
      </c>
      <c r="E293" s="4" t="s">
        <v>2261</v>
      </c>
      <c r="F293" s="4" t="s">
        <v>2203</v>
      </c>
      <c r="G293" s="4" t="s">
        <v>1176</v>
      </c>
      <c r="H293" s="4" t="s">
        <v>138</v>
      </c>
      <c r="I293" s="4" t="n">
        <v>20857</v>
      </c>
      <c r="J293" s="4" t="s">
        <v>2262</v>
      </c>
      <c r="K293" s="4" t="s">
        <v>2263</v>
      </c>
      <c r="L293" s="5" t="str">
        <f aca="false">HYPERLINK("mailto:foia@hrsa.gov","mailto:foia@hrsa.gov")</f>
        <v>mailto:foia@hrsa.gov</v>
      </c>
      <c r="M293" s="4" t="s">
        <v>2264</v>
      </c>
      <c r="N293" s="4"/>
      <c r="O293" s="4"/>
    </row>
    <row collapsed="false" customFormat="false" customHeight="true" hidden="false" ht="15" outlineLevel="0" r="294">
      <c r="A294" s="4" t="s">
        <v>2259</v>
      </c>
      <c r="B294" s="4" t="s">
        <v>2191</v>
      </c>
      <c r="C294" s="4"/>
      <c r="D294" s="4" t="s">
        <v>12</v>
      </c>
      <c r="E294" s="4"/>
      <c r="F294" s="4"/>
      <c r="G294" s="4"/>
      <c r="H294" s="4"/>
      <c r="I294" s="4"/>
      <c r="J294" s="4" t="s">
        <v>2262</v>
      </c>
      <c r="K294" s="4"/>
      <c r="L294" s="5"/>
      <c r="M294" s="4"/>
      <c r="N294" s="4"/>
      <c r="O294" s="4"/>
    </row>
    <row collapsed="false" customFormat="false" customHeight="true" hidden="false" ht="15" outlineLevel="0" r="295">
      <c r="A295" s="4" t="s">
        <v>2259</v>
      </c>
      <c r="B295" s="4" t="s">
        <v>2191</v>
      </c>
      <c r="C295" s="4" t="s">
        <v>2260</v>
      </c>
      <c r="D295" s="4" t="s">
        <v>15</v>
      </c>
      <c r="E295" s="4"/>
      <c r="F295" s="4"/>
      <c r="G295" s="4"/>
      <c r="H295" s="4"/>
      <c r="I295" s="4"/>
      <c r="J295" s="4" t="s">
        <v>2262</v>
      </c>
      <c r="K295" s="4"/>
      <c r="L295" s="5"/>
      <c r="M295" s="4"/>
      <c r="N295" s="4"/>
      <c r="O295" s="4"/>
    </row>
    <row collapsed="false" customFormat="false" customHeight="true" hidden="false" ht="15" outlineLevel="0" r="296">
      <c r="A296" s="4" t="s">
        <v>2265</v>
      </c>
      <c r="B296" s="4" t="s">
        <v>2191</v>
      </c>
      <c r="C296" s="4" t="s">
        <v>2266</v>
      </c>
      <c r="D296" s="4" t="s">
        <v>2</v>
      </c>
      <c r="E296" s="4" t="s">
        <v>2267</v>
      </c>
      <c r="F296" s="4" t="s">
        <v>2268</v>
      </c>
      <c r="G296" s="4" t="s">
        <v>1176</v>
      </c>
      <c r="H296" s="4" t="s">
        <v>138</v>
      </c>
      <c r="I296" s="4" t="n">
        <v>20852</v>
      </c>
      <c r="J296" s="4" t="s">
        <v>2269</v>
      </c>
      <c r="K296" s="4" t="s">
        <v>2270</v>
      </c>
      <c r="L296" s="5"/>
      <c r="M296" s="4" t="s">
        <v>2271</v>
      </c>
      <c r="N296" s="5"/>
      <c r="O296" s="4"/>
    </row>
    <row collapsed="false" customFormat="false" customHeight="true" hidden="false" ht="15" outlineLevel="0" r="297">
      <c r="A297" s="4" t="s">
        <v>2265</v>
      </c>
      <c r="B297" s="4" t="s">
        <v>2191</v>
      </c>
      <c r="C297" s="4"/>
      <c r="D297" s="4" t="s">
        <v>12</v>
      </c>
      <c r="E297" s="4"/>
      <c r="F297" s="4"/>
      <c r="G297" s="4"/>
      <c r="H297" s="4"/>
      <c r="I297" s="4"/>
      <c r="J297" s="4" t="s">
        <v>2269</v>
      </c>
      <c r="K297" s="4"/>
      <c r="L297" s="5"/>
      <c r="M297" s="4"/>
      <c r="N297" s="4"/>
      <c r="O297" s="4"/>
    </row>
    <row collapsed="false" customFormat="false" customHeight="true" hidden="false" ht="15" outlineLevel="0" r="298">
      <c r="A298" s="4" t="s">
        <v>2265</v>
      </c>
      <c r="B298" s="4" t="s">
        <v>2191</v>
      </c>
      <c r="C298" s="4" t="s">
        <v>2272</v>
      </c>
      <c r="D298" s="4" t="s">
        <v>15</v>
      </c>
      <c r="E298" s="4"/>
      <c r="F298" s="4"/>
      <c r="G298" s="4"/>
      <c r="H298" s="4"/>
      <c r="I298" s="4"/>
      <c r="J298" s="4" t="s">
        <v>2273</v>
      </c>
      <c r="K298" s="4"/>
      <c r="L298" s="5"/>
      <c r="M298" s="4"/>
      <c r="N298" s="4"/>
      <c r="O298" s="4"/>
    </row>
    <row collapsed="false" customFormat="false" customHeight="true" hidden="false" ht="15" outlineLevel="0" r="299">
      <c r="A299" s="4" t="s">
        <v>2274</v>
      </c>
      <c r="B299" s="4" t="s">
        <v>2191</v>
      </c>
      <c r="C299" s="4" t="s">
        <v>2275</v>
      </c>
      <c r="D299" s="4" t="s">
        <v>2</v>
      </c>
      <c r="E299" s="4" t="s">
        <v>2276</v>
      </c>
      <c r="F299" s="4" t="s">
        <v>2277</v>
      </c>
      <c r="G299" s="4" t="s">
        <v>137</v>
      </c>
      <c r="H299" s="4" t="s">
        <v>138</v>
      </c>
      <c r="I299" s="4" t="n">
        <v>20892</v>
      </c>
      <c r="J299" s="4" t="s">
        <v>2278</v>
      </c>
      <c r="K299" s="4" t="s">
        <v>2279</v>
      </c>
      <c r="L299" s="5"/>
      <c r="M299" s="4" t="s">
        <v>2280</v>
      </c>
      <c r="N299" s="4"/>
      <c r="O299" s="4"/>
    </row>
    <row collapsed="false" customFormat="false" customHeight="true" hidden="false" ht="15" outlineLevel="0" r="300">
      <c r="A300" s="4" t="s">
        <v>2274</v>
      </c>
      <c r="B300" s="4" t="s">
        <v>2191</v>
      </c>
      <c r="C300" s="4"/>
      <c r="D300" s="4" t="s">
        <v>12</v>
      </c>
      <c r="E300" s="4"/>
      <c r="F300" s="4"/>
      <c r="G300" s="4"/>
      <c r="H300" s="4"/>
      <c r="I300" s="4"/>
      <c r="J300" s="4" t="s">
        <v>2278</v>
      </c>
      <c r="K300" s="4"/>
      <c r="L300" s="5"/>
      <c r="M300" s="4"/>
      <c r="N300" s="4"/>
      <c r="O300" s="4"/>
    </row>
    <row collapsed="false" customFormat="false" customHeight="true" hidden="false" ht="15" outlineLevel="0" r="301">
      <c r="A301" s="4" t="s">
        <v>2274</v>
      </c>
      <c r="B301" s="4" t="s">
        <v>2191</v>
      </c>
      <c r="C301" s="4" t="s">
        <v>2275</v>
      </c>
      <c r="D301" s="4" t="s">
        <v>15</v>
      </c>
      <c r="E301" s="4"/>
      <c r="F301" s="4"/>
      <c r="G301" s="4"/>
      <c r="H301" s="4"/>
      <c r="I301" s="4"/>
      <c r="J301" s="4" t="s">
        <v>2278</v>
      </c>
      <c r="K301" s="4"/>
      <c r="L301" s="5"/>
      <c r="M301" s="4"/>
      <c r="N301" s="4"/>
      <c r="O301" s="4"/>
    </row>
    <row collapsed="false" customFormat="false" customHeight="true" hidden="false" ht="15" outlineLevel="0" r="302">
      <c r="A302" s="4" t="s">
        <v>2281</v>
      </c>
      <c r="B302" s="4" t="s">
        <v>2191</v>
      </c>
      <c r="C302" s="4" t="s">
        <v>2201</v>
      </c>
      <c r="D302" s="4" t="s">
        <v>2</v>
      </c>
      <c r="E302" s="4" t="s">
        <v>2282</v>
      </c>
      <c r="F302" s="4" t="s">
        <v>2283</v>
      </c>
      <c r="G302" s="4" t="s">
        <v>137</v>
      </c>
      <c r="H302" s="4" t="s">
        <v>138</v>
      </c>
      <c r="I302" s="4" t="s">
        <v>2284</v>
      </c>
      <c r="J302" s="4" t="s">
        <v>2285</v>
      </c>
      <c r="K302" s="4"/>
      <c r="L302" s="5" t="str">
        <f aca="false">HYPERLINK("mailto:FOIArequest@psc.hhs.gov","mailto:FOIArequest@psc.hhs.gov")</f>
        <v>mailto:FOIArequest@psc.hhs.gov</v>
      </c>
      <c r="M302" s="5" t="str">
        <f aca="false">HYPERLINK("https://www.psc.gov/psc_foia/psc-freedom-of-information-act-foia-home","https://www.psc.gov/psc_foia/psc-freedom-of-information-act-foia-home")</f>
        <v>https://www.psc.gov/psc_foia/psc-freedom-of-information-act-foia-home</v>
      </c>
      <c r="N302" s="5"/>
      <c r="O302" s="4"/>
    </row>
    <row collapsed="false" customFormat="false" customHeight="true" hidden="false" ht="15" outlineLevel="0" r="303">
      <c r="A303" s="4" t="s">
        <v>2281</v>
      </c>
      <c r="B303" s="4" t="s">
        <v>2191</v>
      </c>
      <c r="C303" s="4"/>
      <c r="D303" s="4" t="s">
        <v>12</v>
      </c>
      <c r="E303" s="4"/>
      <c r="F303" s="4"/>
      <c r="G303" s="4"/>
      <c r="H303" s="4"/>
      <c r="I303" s="4"/>
      <c r="J303" s="4" t="s">
        <v>2285</v>
      </c>
      <c r="K303" s="4"/>
      <c r="L303" s="5"/>
      <c r="M303" s="4"/>
      <c r="N303" s="4"/>
      <c r="O303" s="4"/>
    </row>
    <row collapsed="false" customFormat="false" customHeight="true" hidden="false" ht="15" outlineLevel="0" r="304">
      <c r="A304" s="4" t="s">
        <v>2281</v>
      </c>
      <c r="B304" s="4" t="s">
        <v>2191</v>
      </c>
      <c r="C304" s="4" t="s">
        <v>2201</v>
      </c>
      <c r="D304" s="4" t="s">
        <v>15</v>
      </c>
      <c r="E304" s="4"/>
      <c r="F304" s="4"/>
      <c r="G304" s="4"/>
      <c r="H304" s="4"/>
      <c r="I304" s="4"/>
      <c r="J304" s="4" t="s">
        <v>2285</v>
      </c>
      <c r="K304" s="4"/>
      <c r="L304" s="5"/>
      <c r="M304" s="4"/>
      <c r="N304" s="4"/>
      <c r="O304" s="4"/>
    </row>
    <row collapsed="false" customFormat="false" customHeight="true" hidden="false" ht="15" outlineLevel="0" r="305">
      <c r="A305" s="4" t="s">
        <v>2286</v>
      </c>
      <c r="B305" s="4" t="s">
        <v>2191</v>
      </c>
      <c r="C305" s="4" t="s">
        <v>2287</v>
      </c>
      <c r="D305" s="4" t="s">
        <v>2</v>
      </c>
      <c r="E305" s="4" t="s">
        <v>2288</v>
      </c>
      <c r="F305" s="4" t="s">
        <v>2289</v>
      </c>
      <c r="G305" s="4" t="s">
        <v>1176</v>
      </c>
      <c r="H305" s="4" t="s">
        <v>138</v>
      </c>
      <c r="I305" s="4" t="n">
        <v>20857</v>
      </c>
      <c r="J305" s="4" t="s">
        <v>2290</v>
      </c>
      <c r="K305" s="4" t="s">
        <v>2291</v>
      </c>
      <c r="L305" s="5" t="str">
        <f aca="false">HYPERLINK("mailto:foia@samhsa.hhs.gov","mailto:foia@samhsa.hhs.gov")</f>
        <v>mailto:foia@samhsa.hhs.gov</v>
      </c>
      <c r="M305" s="4" t="s">
        <v>2292</v>
      </c>
      <c r="N305" s="4"/>
      <c r="O305" s="4"/>
    </row>
    <row collapsed="false" customFormat="false" customHeight="true" hidden="false" ht="15" outlineLevel="0" r="306">
      <c r="A306" s="4" t="s">
        <v>2286</v>
      </c>
      <c r="B306" s="4" t="s">
        <v>2191</v>
      </c>
      <c r="C306" s="4"/>
      <c r="D306" s="4" t="s">
        <v>12</v>
      </c>
      <c r="E306" s="4"/>
      <c r="F306" s="4"/>
      <c r="G306" s="4"/>
      <c r="H306" s="4"/>
      <c r="I306" s="4"/>
      <c r="J306" s="4" t="s">
        <v>2290</v>
      </c>
      <c r="K306" s="4"/>
      <c r="L306" s="5"/>
      <c r="M306" s="4"/>
      <c r="N306" s="4"/>
      <c r="O306" s="4"/>
    </row>
    <row collapsed="false" customFormat="false" customHeight="true" hidden="false" ht="15" outlineLevel="0" r="307">
      <c r="A307" s="4" t="s">
        <v>2286</v>
      </c>
      <c r="B307" s="4" t="s">
        <v>2191</v>
      </c>
      <c r="C307" s="4" t="s">
        <v>2287</v>
      </c>
      <c r="D307" s="4" t="s">
        <v>15</v>
      </c>
      <c r="E307" s="4"/>
      <c r="F307" s="4"/>
      <c r="G307" s="4"/>
      <c r="H307" s="4"/>
      <c r="I307" s="4"/>
      <c r="J307" s="4" t="s">
        <v>2290</v>
      </c>
      <c r="K307" s="4"/>
      <c r="L307" s="5"/>
      <c r="M307" s="4"/>
      <c r="N307" s="4"/>
      <c r="O307" s="4"/>
    </row>
    <row collapsed="false" customFormat="false" customHeight="true" hidden="false" ht="15" outlineLevel="0" r="308">
      <c r="A308" s="4" t="s">
        <v>288</v>
      </c>
      <c r="B308" s="4" t="s">
        <v>2191</v>
      </c>
      <c r="C308" s="4" t="s">
        <v>2192</v>
      </c>
      <c r="D308" s="4" t="s">
        <v>2293</v>
      </c>
      <c r="E308" s="4" t="s">
        <v>2193</v>
      </c>
      <c r="F308" s="4" t="s">
        <v>2194</v>
      </c>
      <c r="G308" s="4" t="s">
        <v>5</v>
      </c>
      <c r="H308" s="4" t="s">
        <v>6</v>
      </c>
      <c r="I308" s="4" t="n">
        <v>20201</v>
      </c>
      <c r="J308" s="4" t="s">
        <v>2195</v>
      </c>
      <c r="K308" s="4" t="s">
        <v>2196</v>
      </c>
      <c r="L308" s="5"/>
      <c r="M308" s="4" t="s">
        <v>2197</v>
      </c>
      <c r="N308" s="4"/>
      <c r="O308" s="4"/>
    </row>
    <row collapsed="false" customFormat="false" customHeight="true" hidden="false" ht="15" outlineLevel="0" r="309">
      <c r="A309" s="4" t="s">
        <v>288</v>
      </c>
      <c r="B309" s="4" t="s">
        <v>2191</v>
      </c>
      <c r="C309" s="4"/>
      <c r="D309" s="4" t="s">
        <v>12</v>
      </c>
      <c r="E309" s="4"/>
      <c r="F309" s="4"/>
      <c r="G309" s="4"/>
      <c r="H309" s="4"/>
      <c r="I309" s="4"/>
      <c r="J309" s="4" t="s">
        <v>2195</v>
      </c>
      <c r="K309" s="4"/>
      <c r="L309" s="5"/>
      <c r="M309" s="4"/>
      <c r="N309" s="4"/>
      <c r="O309" s="4"/>
    </row>
    <row collapsed="false" customFormat="false" customHeight="true" hidden="false" ht="15" outlineLevel="0" r="310">
      <c r="A310" s="4" t="s">
        <v>288</v>
      </c>
      <c r="B310" s="4" t="s">
        <v>2191</v>
      </c>
      <c r="C310" s="4" t="s">
        <v>2198</v>
      </c>
      <c r="D310" s="4" t="s">
        <v>15</v>
      </c>
      <c r="E310" s="4"/>
      <c r="F310" s="4"/>
      <c r="G310" s="4"/>
      <c r="H310" s="4"/>
      <c r="I310" s="4"/>
      <c r="J310" s="4" t="s">
        <v>2199</v>
      </c>
      <c r="K310" s="4"/>
      <c r="L310" s="5"/>
      <c r="M310" s="4"/>
      <c r="N310" s="4"/>
      <c r="O310" s="4"/>
    </row>
    <row collapsed="false" customFormat="false" customHeight="true" hidden="false" ht="15" outlineLevel="0" r="311">
      <c r="A311" s="4" t="s">
        <v>2294</v>
      </c>
      <c r="B311" s="4" t="s">
        <v>2295</v>
      </c>
      <c r="C311" s="4" t="s">
        <v>2296</v>
      </c>
      <c r="D311" s="4" t="s">
        <v>2297</v>
      </c>
      <c r="E311" s="4" t="s">
        <v>2298</v>
      </c>
      <c r="F311" s="4" t="s">
        <v>2299</v>
      </c>
      <c r="G311" s="4" t="s">
        <v>5</v>
      </c>
      <c r="H311" s="4" t="s">
        <v>6</v>
      </c>
      <c r="I311" s="4" t="s">
        <v>2300</v>
      </c>
      <c r="J311" s="4" t="s">
        <v>2301</v>
      </c>
      <c r="K311" s="4" t="s">
        <v>2302</v>
      </c>
      <c r="L311" s="5" t="str">
        <f aca="false">HYPERLINK("mailto:foia@hq.dhs.gov","mailto:foia@hq.dhs.gov")</f>
        <v>mailto:foia@hq.dhs.gov</v>
      </c>
      <c r="M311" s="4" t="s">
        <v>2303</v>
      </c>
      <c r="N311" s="4"/>
      <c r="O311" s="4"/>
    </row>
    <row collapsed="false" customFormat="false" customHeight="true" hidden="false" ht="15" outlineLevel="0" r="312">
      <c r="A312" s="4" t="s">
        <v>2294</v>
      </c>
      <c r="B312" s="4" t="s">
        <v>2295</v>
      </c>
      <c r="C312" s="4" t="s">
        <v>2304</v>
      </c>
      <c r="D312" s="4" t="s">
        <v>12</v>
      </c>
      <c r="E312" s="4"/>
      <c r="F312" s="4"/>
      <c r="G312" s="4"/>
      <c r="H312" s="4"/>
      <c r="I312" s="4"/>
      <c r="J312" s="4" t="s">
        <v>2301</v>
      </c>
      <c r="K312" s="4"/>
      <c r="L312" s="5"/>
      <c r="M312" s="4"/>
      <c r="N312" s="4"/>
      <c r="O312" s="4"/>
    </row>
    <row collapsed="false" customFormat="false" customHeight="true" hidden="false" ht="15" outlineLevel="0" r="313">
      <c r="A313" s="4" t="s">
        <v>2294</v>
      </c>
      <c r="B313" s="4" t="s">
        <v>2295</v>
      </c>
      <c r="C313" s="4" t="s">
        <v>2304</v>
      </c>
      <c r="D313" s="4" t="s">
        <v>15</v>
      </c>
      <c r="E313" s="4"/>
      <c r="F313" s="4"/>
      <c r="G313" s="4"/>
      <c r="H313" s="4"/>
      <c r="I313" s="4"/>
      <c r="J313" s="4" t="s">
        <v>2301</v>
      </c>
      <c r="K313" s="4" t="s">
        <v>2302</v>
      </c>
      <c r="L313" s="5" t="str">
        <f aca="false">HYPERLINK("mailto:foia@hq.dhs.gov","mailto:foia@hq.dhs.gov")</f>
        <v>mailto:foia@hq.dhs.gov</v>
      </c>
      <c r="M313" s="4"/>
      <c r="N313" s="4"/>
      <c r="O313" s="4"/>
    </row>
    <row collapsed="false" customFormat="false" customHeight="true" hidden="false" ht="15" outlineLevel="0" r="314">
      <c r="A314" s="4" t="s">
        <v>2305</v>
      </c>
      <c r="B314" s="4" t="s">
        <v>2295</v>
      </c>
      <c r="C314" s="4" t="s">
        <v>2306</v>
      </c>
      <c r="D314" s="4" t="s">
        <v>2</v>
      </c>
      <c r="E314" s="4" t="s">
        <v>2307</v>
      </c>
      <c r="F314" s="4" t="s">
        <v>2308</v>
      </c>
      <c r="G314" s="4" t="s">
        <v>2309</v>
      </c>
      <c r="H314" s="4" t="s">
        <v>424</v>
      </c>
      <c r="I314" s="4" t="s">
        <v>2310</v>
      </c>
      <c r="J314" s="4" t="s">
        <v>2311</v>
      </c>
      <c r="K314" s="4" t="s">
        <v>2312</v>
      </c>
      <c r="L314" s="5" t="str">
        <f aca="false">HYPERLINK("mailto:uscis.foia@dhs.gov","mailto:uscis.foia@dhs.gov")</f>
        <v>mailto:uscis.foia@dhs.gov</v>
      </c>
      <c r="M314" s="4" t="s">
        <v>2313</v>
      </c>
      <c r="N314" s="4"/>
      <c r="O314" s="4"/>
    </row>
    <row collapsed="false" customFormat="false" customHeight="true" hidden="false" ht="15" outlineLevel="0" r="315">
      <c r="A315" s="4" t="s">
        <v>2305</v>
      </c>
      <c r="B315" s="4" t="s">
        <v>2295</v>
      </c>
      <c r="C315" s="4" t="s">
        <v>2306</v>
      </c>
      <c r="D315" s="4" t="s">
        <v>12</v>
      </c>
      <c r="E315" s="4"/>
      <c r="F315" s="4"/>
      <c r="G315" s="4"/>
      <c r="H315" s="4"/>
      <c r="I315" s="4"/>
      <c r="J315" s="4" t="s">
        <v>2311</v>
      </c>
      <c r="K315" s="4"/>
      <c r="L315" s="5"/>
      <c r="M315" s="4"/>
      <c r="N315" s="4"/>
      <c r="O315" s="4"/>
    </row>
    <row collapsed="false" customFormat="false" customHeight="true" hidden="false" ht="15" outlineLevel="0" r="316">
      <c r="A316" s="4" t="s">
        <v>2305</v>
      </c>
      <c r="B316" s="4" t="s">
        <v>2295</v>
      </c>
      <c r="C316" s="4" t="s">
        <v>2306</v>
      </c>
      <c r="D316" s="4" t="s">
        <v>15</v>
      </c>
      <c r="E316" s="4"/>
      <c r="F316" s="4"/>
      <c r="G316" s="4"/>
      <c r="H316" s="4"/>
      <c r="I316" s="4"/>
      <c r="J316" s="4" t="s">
        <v>2314</v>
      </c>
      <c r="K316" s="4"/>
      <c r="L316" s="5" t="str">
        <f aca="false">HYPERLINK("mailto:foia@hq.dhs.gov","mailto:foia@hq.dhs.gov")</f>
        <v>mailto:foia@hq.dhs.gov</v>
      </c>
      <c r="M316" s="5"/>
      <c r="N316" s="5"/>
      <c r="O316" s="5"/>
    </row>
    <row collapsed="false" customFormat="false" customHeight="true" hidden="false" ht="15" outlineLevel="0" r="317">
      <c r="A317" s="4" t="s">
        <v>2315</v>
      </c>
      <c r="B317" s="4" t="s">
        <v>2295</v>
      </c>
      <c r="C317" s="4" t="s">
        <v>2316</v>
      </c>
      <c r="D317" s="4" t="s">
        <v>2</v>
      </c>
      <c r="E317" s="4" t="s">
        <v>2317</v>
      </c>
      <c r="F317" s="4" t="s">
        <v>2318</v>
      </c>
      <c r="G317" s="4" t="s">
        <v>5</v>
      </c>
      <c r="H317" s="4" t="s">
        <v>6</v>
      </c>
      <c r="I317" s="4" t="n">
        <v>20528</v>
      </c>
      <c r="J317" s="4" t="s">
        <v>2319</v>
      </c>
      <c r="K317" s="4" t="s">
        <v>2320</v>
      </c>
      <c r="L317" s="5" t="str">
        <f aca="false">HYPERLINK("mailto:CRCL@dhs.gov","mailto:CRCL@dhs.gov")</f>
        <v>mailto:CRCL@dhs.gov</v>
      </c>
      <c r="M317" s="4" t="s">
        <v>2321</v>
      </c>
      <c r="N317" s="4"/>
      <c r="O317" s="4"/>
    </row>
    <row collapsed="false" customFormat="false" customHeight="true" hidden="false" ht="15" outlineLevel="0" r="318">
      <c r="A318" s="4" t="s">
        <v>2315</v>
      </c>
      <c r="B318" s="4" t="s">
        <v>2295</v>
      </c>
      <c r="C318" s="4" t="s">
        <v>2316</v>
      </c>
      <c r="D318" s="4" t="s">
        <v>12</v>
      </c>
      <c r="E318" s="4"/>
      <c r="F318" s="4"/>
      <c r="G318" s="4"/>
      <c r="H318" s="4"/>
      <c r="I318" s="4"/>
      <c r="J318" s="4" t="s">
        <v>2319</v>
      </c>
      <c r="K318" s="4"/>
      <c r="L318" s="5"/>
      <c r="M318" s="4"/>
      <c r="N318" s="4"/>
      <c r="O318" s="4"/>
    </row>
    <row collapsed="false" customFormat="false" customHeight="true" hidden="false" ht="15" outlineLevel="0" r="319">
      <c r="A319" s="4" t="s">
        <v>2315</v>
      </c>
      <c r="B319" s="4" t="s">
        <v>2295</v>
      </c>
      <c r="C319" s="4" t="s">
        <v>2316</v>
      </c>
      <c r="D319" s="4" t="s">
        <v>15</v>
      </c>
      <c r="E319" s="4"/>
      <c r="F319" s="4"/>
      <c r="G319" s="4"/>
      <c r="H319" s="4"/>
      <c r="I319" s="4"/>
      <c r="J319" s="4" t="s">
        <v>2319</v>
      </c>
      <c r="K319" s="4"/>
      <c r="L319" s="5" t="str">
        <f aca="false">HYPERLINK("mailto:foia@hq.dhs.gov","mailto:foia@hq.dhs.gov")</f>
        <v>mailto:foia@hq.dhs.gov</v>
      </c>
      <c r="M319" s="4"/>
      <c r="N319" s="4"/>
      <c r="O319" s="4"/>
    </row>
    <row collapsed="false" customFormat="false" customHeight="true" hidden="false" ht="15" outlineLevel="0" r="320">
      <c r="A320" s="4" t="s">
        <v>2322</v>
      </c>
      <c r="B320" s="4" t="s">
        <v>2295</v>
      </c>
      <c r="C320" s="4" t="s">
        <v>2323</v>
      </c>
      <c r="D320" s="4" t="s">
        <v>2213</v>
      </c>
      <c r="E320" s="4" t="s">
        <v>2324</v>
      </c>
      <c r="F320" s="4" t="s">
        <v>2325</v>
      </c>
      <c r="G320" s="4" t="s">
        <v>5</v>
      </c>
      <c r="H320" s="4" t="s">
        <v>6</v>
      </c>
      <c r="I320" s="4" t="s">
        <v>2326</v>
      </c>
      <c r="J320" s="4" t="s">
        <v>2327</v>
      </c>
      <c r="K320" s="4" t="s">
        <v>2328</v>
      </c>
      <c r="L320" s="5" t="s">
        <v>2329</v>
      </c>
      <c r="M320" s="4" t="s">
        <v>2330</v>
      </c>
      <c r="N320" s="4"/>
      <c r="O320" s="4"/>
    </row>
    <row collapsed="false" customFormat="false" customHeight="true" hidden="false" ht="15" outlineLevel="0" r="321">
      <c r="A321" s="4" t="s">
        <v>2322</v>
      </c>
      <c r="B321" s="4" t="s">
        <v>2295</v>
      </c>
      <c r="C321" s="4" t="s">
        <v>2331</v>
      </c>
      <c r="D321" s="4" t="s">
        <v>12</v>
      </c>
      <c r="E321" s="4"/>
      <c r="F321" s="4"/>
      <c r="G321" s="4"/>
      <c r="H321" s="4"/>
      <c r="I321" s="4"/>
      <c r="J321" s="4" t="s">
        <v>2332</v>
      </c>
      <c r="K321" s="4"/>
      <c r="L321" s="5"/>
      <c r="M321" s="4"/>
      <c r="N321" s="4"/>
      <c r="O321" s="4"/>
    </row>
    <row collapsed="false" customFormat="false" customHeight="true" hidden="false" ht="15" outlineLevel="0" r="322">
      <c r="A322" s="4" t="s">
        <v>2322</v>
      </c>
      <c r="B322" s="4" t="s">
        <v>2295</v>
      </c>
      <c r="C322" s="4" t="s">
        <v>2323</v>
      </c>
      <c r="D322" s="4" t="s">
        <v>15</v>
      </c>
      <c r="E322" s="4"/>
      <c r="F322" s="4"/>
      <c r="G322" s="4"/>
      <c r="H322" s="4"/>
      <c r="I322" s="4"/>
      <c r="J322" s="4" t="s">
        <v>2327</v>
      </c>
      <c r="K322" s="4"/>
      <c r="L322" s="5" t="str">
        <f aca="false">HYPERLINK("mailto:foia@hq.dhs.gov","mailto:foia@hq.dhs.gov")</f>
        <v>mailto:foia@hq.dhs.gov</v>
      </c>
      <c r="M322" s="4"/>
      <c r="N322" s="4"/>
      <c r="O322" s="4"/>
    </row>
    <row collapsed="false" customFormat="false" customHeight="true" hidden="false" ht="15" outlineLevel="0" r="323">
      <c r="A323" s="4" t="s">
        <v>2333</v>
      </c>
      <c r="B323" s="4" t="s">
        <v>2295</v>
      </c>
      <c r="C323" s="4" t="s">
        <v>2334</v>
      </c>
      <c r="D323" s="4" t="s">
        <v>2</v>
      </c>
      <c r="E323" s="4"/>
      <c r="F323" s="4" t="s">
        <v>2335</v>
      </c>
      <c r="G323" s="4" t="s">
        <v>5</v>
      </c>
      <c r="H323" s="4" t="s">
        <v>6</v>
      </c>
      <c r="I323" s="4" t="s">
        <v>2336</v>
      </c>
      <c r="J323" s="4" t="s">
        <v>2337</v>
      </c>
      <c r="K323" s="4" t="s">
        <v>2338</v>
      </c>
      <c r="L323" s="5" t="str">
        <f aca="false">HYPERLINK("mailto:CBPFOIA@dhs.gov","mailto:CBPFOIA@dhs.gov")</f>
        <v>mailto:CBPFOIA@dhs.gov</v>
      </c>
      <c r="M323" s="4" t="s">
        <v>2339</v>
      </c>
      <c r="N323" s="4"/>
      <c r="O323" s="4"/>
    </row>
    <row collapsed="false" customFormat="false" customHeight="true" hidden="false" ht="15" outlineLevel="0" r="324">
      <c r="A324" s="4" t="s">
        <v>2333</v>
      </c>
      <c r="B324" s="4" t="s">
        <v>2295</v>
      </c>
      <c r="C324" s="4" t="s">
        <v>2334</v>
      </c>
      <c r="D324" s="4" t="s">
        <v>12</v>
      </c>
      <c r="E324" s="4"/>
      <c r="F324" s="4"/>
      <c r="G324" s="4"/>
      <c r="H324" s="4"/>
      <c r="I324" s="4"/>
      <c r="J324" s="4" t="s">
        <v>2337</v>
      </c>
      <c r="K324" s="4"/>
      <c r="L324" s="5"/>
      <c r="M324" s="4"/>
      <c r="N324" s="4"/>
      <c r="O324" s="4"/>
    </row>
    <row collapsed="false" customFormat="false" customHeight="true" hidden="false" ht="15" outlineLevel="0" r="325">
      <c r="A325" s="4" t="s">
        <v>2333</v>
      </c>
      <c r="B325" s="4" t="s">
        <v>2295</v>
      </c>
      <c r="C325" s="4" t="s">
        <v>2334</v>
      </c>
      <c r="D325" s="4" t="s">
        <v>15</v>
      </c>
      <c r="E325" s="4"/>
      <c r="F325" s="4"/>
      <c r="G325" s="4"/>
      <c r="H325" s="4"/>
      <c r="I325" s="4"/>
      <c r="J325" s="4" t="s">
        <v>2337</v>
      </c>
      <c r="K325" s="4"/>
      <c r="L325" s="5" t="str">
        <f aca="false">HYPERLINK("mailto:foia@hq.dhs.gov","mailto:foia@hq.dhs.gov")</f>
        <v>mailto:foia@hq.dhs.gov</v>
      </c>
      <c r="M325" s="4"/>
      <c r="N325" s="4"/>
      <c r="O325" s="4"/>
    </row>
    <row collapsed="false" customFormat="false" customHeight="true" hidden="false" ht="15" outlineLevel="0" r="326">
      <c r="A326" s="4" t="s">
        <v>2340</v>
      </c>
      <c r="B326" s="4" t="s">
        <v>2295</v>
      </c>
      <c r="C326" s="4" t="s">
        <v>2341</v>
      </c>
      <c r="D326" s="4" t="s">
        <v>2</v>
      </c>
      <c r="E326" s="4" t="s">
        <v>2342</v>
      </c>
      <c r="F326" s="4" t="s">
        <v>2343</v>
      </c>
      <c r="G326" s="4" t="s">
        <v>5</v>
      </c>
      <c r="H326" s="4" t="s">
        <v>6</v>
      </c>
      <c r="I326" s="4" t="n">
        <v>20472</v>
      </c>
      <c r="J326" s="4" t="s">
        <v>2344</v>
      </c>
      <c r="K326" s="4" t="s">
        <v>2345</v>
      </c>
      <c r="L326" s="5" t="str">
        <f aca="false">HYPERLINK("mailto:fema-foia@dhs.gov","mailto:fema-foia@dhs.gov")</f>
        <v>mailto:fema-foia@dhs.gov</v>
      </c>
      <c r="M326" s="4" t="s">
        <v>2346</v>
      </c>
      <c r="N326" s="5"/>
      <c r="O326" s="4"/>
    </row>
    <row collapsed="false" customFormat="false" customHeight="true" hidden="false" ht="15" outlineLevel="0" r="327">
      <c r="A327" s="4" t="s">
        <v>2340</v>
      </c>
      <c r="B327" s="4" t="s">
        <v>2295</v>
      </c>
      <c r="C327" s="4" t="s">
        <v>2341</v>
      </c>
      <c r="D327" s="4" t="s">
        <v>12</v>
      </c>
      <c r="E327" s="4"/>
      <c r="F327" s="4"/>
      <c r="G327" s="4"/>
      <c r="H327" s="4"/>
      <c r="I327" s="4"/>
      <c r="J327" s="4" t="s">
        <v>2344</v>
      </c>
      <c r="K327" s="4"/>
      <c r="L327" s="5"/>
      <c r="M327" s="4"/>
      <c r="N327" s="4"/>
      <c r="O327" s="4"/>
    </row>
    <row collapsed="false" customFormat="false" customHeight="true" hidden="false" ht="15" outlineLevel="0" r="328">
      <c r="A328" s="4" t="s">
        <v>2340</v>
      </c>
      <c r="B328" s="4" t="s">
        <v>2295</v>
      </c>
      <c r="C328" s="4" t="s">
        <v>2341</v>
      </c>
      <c r="D328" s="4" t="s">
        <v>15</v>
      </c>
      <c r="E328" s="4"/>
      <c r="F328" s="4"/>
      <c r="G328" s="4"/>
      <c r="H328" s="4"/>
      <c r="I328" s="4"/>
      <c r="J328" s="4" t="s">
        <v>2344</v>
      </c>
      <c r="K328" s="4"/>
      <c r="L328" s="5" t="str">
        <f aca="false">HYPERLINK("mailto:foia@hq.dhs.gov","mailto:foia@hq.dhs.gov")</f>
        <v>mailto:foia@hq.dhs.gov</v>
      </c>
      <c r="M328" s="4"/>
      <c r="N328" s="4"/>
      <c r="O328" s="4"/>
    </row>
    <row collapsed="false" customFormat="false" customHeight="true" hidden="false" ht="15" outlineLevel="0" r="329">
      <c r="A329" s="4" t="s">
        <v>2347</v>
      </c>
      <c r="B329" s="4" t="s">
        <v>2295</v>
      </c>
      <c r="C329" s="4" t="s">
        <v>2348</v>
      </c>
      <c r="D329" s="4" t="s">
        <v>2</v>
      </c>
      <c r="E329" s="4" t="s">
        <v>2349</v>
      </c>
      <c r="F329" s="4"/>
      <c r="G329" s="4" t="s">
        <v>2350</v>
      </c>
      <c r="H329" s="4" t="s">
        <v>227</v>
      </c>
      <c r="I329" s="4" t="n">
        <v>31524</v>
      </c>
      <c r="J329" s="4" t="s">
        <v>2351</v>
      </c>
      <c r="K329" s="4" t="s">
        <v>2352</v>
      </c>
      <c r="L329" s="5" t="str">
        <f aca="false">HYPERLINK("mailto:fletc-foia@dhs.gov","mailto:fletc-foia@dhs.gov")</f>
        <v>mailto:fletc-foia@dhs.gov</v>
      </c>
      <c r="M329" s="4" t="s">
        <v>2353</v>
      </c>
      <c r="N329" s="5"/>
      <c r="O329" s="4"/>
    </row>
    <row collapsed="false" customFormat="false" customHeight="true" hidden="false" ht="15" outlineLevel="0" r="330">
      <c r="A330" s="4" t="s">
        <v>2347</v>
      </c>
      <c r="B330" s="4" t="s">
        <v>2295</v>
      </c>
      <c r="C330" s="4" t="s">
        <v>2348</v>
      </c>
      <c r="D330" s="4" t="s">
        <v>12</v>
      </c>
      <c r="E330" s="4"/>
      <c r="F330" s="4"/>
      <c r="G330" s="4"/>
      <c r="H330" s="4"/>
      <c r="I330" s="4"/>
      <c r="J330" s="4" t="s">
        <v>2351</v>
      </c>
      <c r="K330" s="4"/>
      <c r="L330" s="5"/>
      <c r="M330" s="4"/>
      <c r="N330" s="4"/>
      <c r="O330" s="4"/>
    </row>
    <row collapsed="false" customFormat="false" customHeight="true" hidden="false" ht="15" outlineLevel="0" r="331">
      <c r="A331" s="4" t="s">
        <v>2347</v>
      </c>
      <c r="B331" s="4" t="s">
        <v>2295</v>
      </c>
      <c r="C331" s="4" t="s">
        <v>2348</v>
      </c>
      <c r="D331" s="4" t="s">
        <v>15</v>
      </c>
      <c r="E331" s="4"/>
      <c r="F331" s="4"/>
      <c r="G331" s="4"/>
      <c r="H331" s="4"/>
      <c r="I331" s="4"/>
      <c r="J331" s="4" t="s">
        <v>2351</v>
      </c>
      <c r="K331" s="4"/>
      <c r="L331" s="5" t="str">
        <f aca="false">HYPERLINK("mailto:foia@hq.dhs.gov","mailto:foia@hq.dhs.gov")</f>
        <v>mailto:foia@hq.dhs.gov</v>
      </c>
      <c r="M331" s="4"/>
      <c r="N331" s="4"/>
      <c r="O331" s="4"/>
    </row>
    <row collapsed="false" customFormat="false" customHeight="true" hidden="false" ht="15" outlineLevel="0" r="332">
      <c r="A332" s="4" t="s">
        <v>555</v>
      </c>
      <c r="B332" s="4" t="s">
        <v>2295</v>
      </c>
      <c r="C332" s="4"/>
      <c r="D332" s="4" t="s">
        <v>2</v>
      </c>
      <c r="E332" s="4" t="s">
        <v>2354</v>
      </c>
      <c r="F332" s="4"/>
      <c r="G332" s="4" t="s">
        <v>5</v>
      </c>
      <c r="H332" s="4" t="s">
        <v>6</v>
      </c>
      <c r="I332" s="4" t="s">
        <v>2355</v>
      </c>
      <c r="J332" s="4" t="s">
        <v>2356</v>
      </c>
      <c r="K332" s="4" t="s">
        <v>2357</v>
      </c>
      <c r="L332" s="5" t="str">
        <f aca="false">HYPERLINK("mailto:ogc@dhs.gov","mailto:ogc@dhs.gov")</f>
        <v>mailto:ogc@dhs.gov</v>
      </c>
      <c r="M332" s="4" t="s">
        <v>2358</v>
      </c>
      <c r="N332" s="4"/>
      <c r="O332" s="4"/>
    </row>
    <row collapsed="false" customFormat="false" customHeight="true" hidden="false" ht="15" outlineLevel="0" r="333">
      <c r="A333" s="4" t="s">
        <v>555</v>
      </c>
      <c r="B333" s="4" t="s">
        <v>2295</v>
      </c>
      <c r="C333" s="4"/>
      <c r="D333" s="4" t="s">
        <v>12</v>
      </c>
      <c r="E333" s="4"/>
      <c r="F333" s="4"/>
      <c r="G333" s="4"/>
      <c r="H333" s="4"/>
      <c r="I333" s="4"/>
      <c r="J333" s="4" t="s">
        <v>2356</v>
      </c>
      <c r="K333" s="4"/>
      <c r="L333" s="5"/>
      <c r="M333" s="4"/>
      <c r="N333" s="4"/>
      <c r="O333" s="4"/>
    </row>
    <row collapsed="false" customFormat="false" customHeight="true" hidden="false" ht="15" outlineLevel="0" r="334">
      <c r="A334" s="4" t="s">
        <v>555</v>
      </c>
      <c r="B334" s="4" t="s">
        <v>2295</v>
      </c>
      <c r="C334" s="4"/>
      <c r="D334" s="4" t="s">
        <v>15</v>
      </c>
      <c r="E334" s="4"/>
      <c r="F334" s="4"/>
      <c r="G334" s="4"/>
      <c r="H334" s="4"/>
      <c r="I334" s="4"/>
      <c r="J334" s="4" t="s">
        <v>2356</v>
      </c>
      <c r="K334" s="4"/>
      <c r="L334" s="5" t="str">
        <f aca="false">HYPERLINK("mailto:foia@hq.dhs.gov","mailto:foia@hq.dhs.gov")</f>
        <v>mailto:foia@hq.dhs.gov</v>
      </c>
      <c r="M334" s="4"/>
      <c r="N334" s="4"/>
      <c r="O334" s="4"/>
    </row>
    <row collapsed="false" customFormat="false" customHeight="true" hidden="false" ht="15" outlineLevel="0" r="335">
      <c r="A335" s="4" t="s">
        <v>2359</v>
      </c>
      <c r="B335" s="4" t="s">
        <v>2295</v>
      </c>
      <c r="C335" s="4" t="s">
        <v>2360</v>
      </c>
      <c r="D335" s="4" t="s">
        <v>2</v>
      </c>
      <c r="E335" s="4" t="s">
        <v>2361</v>
      </c>
      <c r="F335" s="4" t="s">
        <v>2362</v>
      </c>
      <c r="G335" s="4" t="s">
        <v>5</v>
      </c>
      <c r="H335" s="4" t="s">
        <v>6</v>
      </c>
      <c r="I335" s="4" t="s">
        <v>2363</v>
      </c>
      <c r="J335" s="4" t="s">
        <v>2364</v>
      </c>
      <c r="K335" s="4" t="s">
        <v>2365</v>
      </c>
      <c r="L335" s="5" t="str">
        <f aca="false">HYPERLINK("mailto:ice-foia@dhs.gov","mailto:ice-foia@dhs.gov")</f>
        <v>mailto:ice-foia@dhs.gov</v>
      </c>
      <c r="M335" s="4" t="s">
        <v>2366</v>
      </c>
      <c r="N335" s="5"/>
      <c r="O335" s="4"/>
    </row>
    <row collapsed="false" customFormat="false" customHeight="true" hidden="false" ht="15" outlineLevel="0" r="336">
      <c r="A336" s="4" t="s">
        <v>2359</v>
      </c>
      <c r="B336" s="4" t="s">
        <v>2295</v>
      </c>
      <c r="C336" s="4" t="s">
        <v>2367</v>
      </c>
      <c r="D336" s="4" t="s">
        <v>12</v>
      </c>
      <c r="E336" s="4"/>
      <c r="F336" s="4"/>
      <c r="G336" s="4"/>
      <c r="H336" s="4"/>
      <c r="I336" s="4"/>
      <c r="J336" s="4" t="s">
        <v>2368</v>
      </c>
      <c r="K336" s="4"/>
      <c r="L336" s="5"/>
      <c r="M336" s="4"/>
      <c r="N336" s="4"/>
      <c r="O336" s="4"/>
    </row>
    <row collapsed="false" customFormat="false" customHeight="true" hidden="false" ht="15" outlineLevel="0" r="337">
      <c r="A337" s="4" t="s">
        <v>2359</v>
      </c>
      <c r="B337" s="4" t="s">
        <v>2295</v>
      </c>
      <c r="C337" s="4" t="s">
        <v>2360</v>
      </c>
      <c r="D337" s="4" t="s">
        <v>15</v>
      </c>
      <c r="E337" s="4"/>
      <c r="F337" s="4"/>
      <c r="G337" s="4"/>
      <c r="H337" s="4"/>
      <c r="I337" s="4"/>
      <c r="J337" s="4" t="s">
        <v>2368</v>
      </c>
      <c r="K337" s="4"/>
      <c r="L337" s="5" t="str">
        <f aca="false">HYPERLINK("mailto:foia@hq.dhs.gov","mailto:foia@hq.dhs.gov")</f>
        <v>mailto:foia@hq.dhs.gov</v>
      </c>
      <c r="M337" s="4"/>
      <c r="N337" s="4"/>
      <c r="O337" s="4"/>
    </row>
    <row collapsed="false" customFormat="false" customHeight="true" hidden="false" ht="15" outlineLevel="0" r="338">
      <c r="A338" s="4" t="s">
        <v>600</v>
      </c>
      <c r="B338" s="4" t="s">
        <v>2295</v>
      </c>
      <c r="C338" s="4" t="s">
        <v>2369</v>
      </c>
      <c r="D338" s="4" t="s">
        <v>2</v>
      </c>
      <c r="E338" s="4" t="s">
        <v>2370</v>
      </c>
      <c r="F338" s="4" t="s">
        <v>2371</v>
      </c>
      <c r="G338" s="4" t="s">
        <v>5</v>
      </c>
      <c r="H338" s="4" t="s">
        <v>6</v>
      </c>
      <c r="I338" s="4" t="s">
        <v>2355</v>
      </c>
      <c r="J338" s="4" t="s">
        <v>2372</v>
      </c>
      <c r="K338" s="4" t="s">
        <v>2373</v>
      </c>
      <c r="L338" s="5" t="str">
        <f aca="false">HYPERLINK("mailto:FOIA.OIG@OIG.DHS.GOV","mailto:FOIA.OIG@OIG.DHS.GOV")</f>
        <v>mailto:FOIA.OIG@OIG.DHS.GOV</v>
      </c>
      <c r="M338" s="4" t="s">
        <v>2374</v>
      </c>
      <c r="N338" s="4"/>
      <c r="O338" s="4"/>
    </row>
    <row collapsed="false" customFormat="false" customHeight="true" hidden="false" ht="15" outlineLevel="0" r="339">
      <c r="A339" s="4" t="s">
        <v>600</v>
      </c>
      <c r="B339" s="4" t="s">
        <v>2295</v>
      </c>
      <c r="C339" s="4" t="s">
        <v>2375</v>
      </c>
      <c r="D339" s="4" t="s">
        <v>12</v>
      </c>
      <c r="E339" s="4"/>
      <c r="F339" s="4"/>
      <c r="G339" s="4"/>
      <c r="H339" s="4"/>
      <c r="I339" s="4"/>
      <c r="J339" s="4" t="s">
        <v>2372</v>
      </c>
      <c r="K339" s="4"/>
      <c r="L339" s="5"/>
      <c r="M339" s="4"/>
      <c r="N339" s="4"/>
      <c r="O339" s="4"/>
    </row>
    <row collapsed="false" customFormat="false" customHeight="true" hidden="false" ht="15" outlineLevel="0" r="340">
      <c r="A340" s="4" t="s">
        <v>600</v>
      </c>
      <c r="B340" s="4" t="s">
        <v>2295</v>
      </c>
      <c r="C340" s="4" t="s">
        <v>2369</v>
      </c>
      <c r="D340" s="4" t="s">
        <v>15</v>
      </c>
      <c r="E340" s="4"/>
      <c r="F340" s="4"/>
      <c r="G340" s="4"/>
      <c r="H340" s="4"/>
      <c r="I340" s="4"/>
      <c r="J340" s="4" t="s">
        <v>2372</v>
      </c>
      <c r="K340" s="4"/>
      <c r="L340" s="5"/>
      <c r="M340" s="4"/>
      <c r="N340" s="4"/>
      <c r="O340" s="4"/>
    </row>
    <row collapsed="false" customFormat="false" customHeight="true" hidden="false" ht="15" outlineLevel="0" r="341">
      <c r="A341" s="4" t="s">
        <v>2376</v>
      </c>
      <c r="B341" s="4" t="s">
        <v>2295</v>
      </c>
      <c r="C341" s="4" t="s">
        <v>2377</v>
      </c>
      <c r="D341" s="4" t="s">
        <v>2</v>
      </c>
      <c r="E341" s="4"/>
      <c r="F341" s="4"/>
      <c r="G341" s="4" t="s">
        <v>5</v>
      </c>
      <c r="H341" s="4" t="s">
        <v>6</v>
      </c>
      <c r="I341" s="4" t="s">
        <v>2355</v>
      </c>
      <c r="J341" s="4" t="s">
        <v>2378</v>
      </c>
      <c r="K341" s="4" t="s">
        <v>2379</v>
      </c>
      <c r="L341" s="5" t="str">
        <f aca="false">HYPERLINK("mailto:quinton.mason@dhs.gov","mailto:quinton.mason@dhs.gov")</f>
        <v>mailto:quinton.mason@dhs.gov</v>
      </c>
      <c r="M341" s="4" t="s">
        <v>2380</v>
      </c>
      <c r="N341" s="4"/>
      <c r="O341" s="4"/>
    </row>
    <row collapsed="false" customFormat="false" customHeight="true" hidden="false" ht="15" outlineLevel="0" r="342">
      <c r="A342" s="4" t="s">
        <v>2376</v>
      </c>
      <c r="B342" s="4" t="s">
        <v>2295</v>
      </c>
      <c r="C342" s="4" t="s">
        <v>2381</v>
      </c>
      <c r="D342" s="4" t="s">
        <v>12</v>
      </c>
      <c r="E342" s="4"/>
      <c r="F342" s="4"/>
      <c r="G342" s="4"/>
      <c r="H342" s="4"/>
      <c r="I342" s="4"/>
      <c r="J342" s="4" t="s">
        <v>2379</v>
      </c>
      <c r="K342" s="4"/>
      <c r="L342" s="5"/>
      <c r="M342" s="4"/>
      <c r="N342" s="4"/>
      <c r="O342" s="4"/>
    </row>
    <row collapsed="false" customFormat="false" customHeight="true" hidden="false" ht="15" outlineLevel="0" r="343">
      <c r="A343" s="4" t="s">
        <v>2376</v>
      </c>
      <c r="B343" s="4" t="s">
        <v>2295</v>
      </c>
      <c r="C343" s="4" t="s">
        <v>2377</v>
      </c>
      <c r="D343" s="4" t="s">
        <v>15</v>
      </c>
      <c r="E343" s="4"/>
      <c r="F343" s="4"/>
      <c r="G343" s="4"/>
      <c r="H343" s="4"/>
      <c r="I343" s="4"/>
      <c r="J343" s="4" t="s">
        <v>2378</v>
      </c>
      <c r="K343" s="4"/>
      <c r="L343" s="5" t="str">
        <f aca="false">HYPERLINK("mailto:foia@hq.dhs.gov","mailto:foia@hq.dhs.gov")</f>
        <v>mailto:foia@hq.dhs.gov</v>
      </c>
      <c r="M343" s="4"/>
      <c r="N343" s="4"/>
      <c r="O343" s="4"/>
    </row>
    <row collapsed="false" customFormat="false" customHeight="true" hidden="false" ht="15" outlineLevel="0" r="344">
      <c r="A344" s="4" t="s">
        <v>2382</v>
      </c>
      <c r="B344" s="4" t="s">
        <v>2295</v>
      </c>
      <c r="C344" s="4" t="s">
        <v>2383</v>
      </c>
      <c r="D344" s="4" t="s">
        <v>2</v>
      </c>
      <c r="E344" s="4"/>
      <c r="F344" s="4"/>
      <c r="G344" s="4" t="s">
        <v>5</v>
      </c>
      <c r="H344" s="4" t="s">
        <v>6</v>
      </c>
      <c r="I344" s="4" t="s">
        <v>2355</v>
      </c>
      <c r="J344" s="4" t="s">
        <v>2384</v>
      </c>
      <c r="K344" s="4" t="s">
        <v>2302</v>
      </c>
      <c r="L344" s="5" t="str">
        <f aca="false">HYPERLINK("mailto:foia.mgmt@dhs.gov","mailto:foia.mgmt@dhs.gov")</f>
        <v>mailto:foia.mgmt@dhs.gov</v>
      </c>
      <c r="M344" s="4" t="s">
        <v>2385</v>
      </c>
      <c r="N344" s="4"/>
      <c r="O344" s="4"/>
    </row>
    <row collapsed="false" customFormat="false" customHeight="true" hidden="false" ht="15" outlineLevel="0" r="345">
      <c r="A345" s="4" t="s">
        <v>2382</v>
      </c>
      <c r="B345" s="4" t="s">
        <v>2295</v>
      </c>
      <c r="C345" s="4" t="s">
        <v>2383</v>
      </c>
      <c r="D345" s="4" t="s">
        <v>12</v>
      </c>
      <c r="E345" s="4"/>
      <c r="F345" s="4"/>
      <c r="G345" s="4"/>
      <c r="H345" s="4"/>
      <c r="I345" s="4"/>
      <c r="J345" s="4" t="s">
        <v>2384</v>
      </c>
      <c r="K345" s="4"/>
      <c r="L345" s="5"/>
      <c r="M345" s="4"/>
      <c r="N345" s="4"/>
      <c r="O345" s="4"/>
    </row>
    <row collapsed="false" customFormat="false" customHeight="true" hidden="false" ht="15" outlineLevel="0" r="346">
      <c r="A346" s="4" t="s">
        <v>2382</v>
      </c>
      <c r="B346" s="4" t="s">
        <v>2295</v>
      </c>
      <c r="C346" s="4" t="s">
        <v>2383</v>
      </c>
      <c r="D346" s="4" t="s">
        <v>15</v>
      </c>
      <c r="E346" s="4"/>
      <c r="F346" s="4"/>
      <c r="G346" s="4"/>
      <c r="H346" s="4"/>
      <c r="I346" s="4"/>
      <c r="J346" s="4" t="s">
        <v>2384</v>
      </c>
      <c r="K346" s="4"/>
      <c r="L346" s="5" t="str">
        <f aca="false">HYPERLINK("mailto:foia@hq.dhs.gov","mailto:foia@hq.dhs.gov")</f>
        <v>mailto:foia@hq.dhs.gov</v>
      </c>
      <c r="M346" s="4"/>
      <c r="N346" s="4"/>
      <c r="O346" s="4"/>
    </row>
    <row collapsed="false" customFormat="false" customHeight="true" hidden="false" ht="15" outlineLevel="0" r="347">
      <c r="A347" s="4" t="s">
        <v>2386</v>
      </c>
      <c r="B347" s="4" t="s">
        <v>2295</v>
      </c>
      <c r="C347" s="4" t="s">
        <v>2387</v>
      </c>
      <c r="D347" s="4" t="s">
        <v>2</v>
      </c>
      <c r="E347" s="4"/>
      <c r="F347" s="4"/>
      <c r="G347" s="4" t="s">
        <v>5</v>
      </c>
      <c r="H347" s="4" t="s">
        <v>6</v>
      </c>
      <c r="I347" s="4" t="s">
        <v>2355</v>
      </c>
      <c r="J347" s="4" t="s">
        <v>2388</v>
      </c>
      <c r="K347" s="4" t="s">
        <v>2389</v>
      </c>
      <c r="L347" s="5" t="str">
        <f aca="false">HYPERLINK("mailto:NPPD.FOIA@dhs.gov","mailto:NPPD.FOIA@dhs.gov")</f>
        <v>mailto:NPPD.FOIA@dhs.gov</v>
      </c>
      <c r="M347" s="4" t="s">
        <v>2390</v>
      </c>
      <c r="N347" s="4"/>
      <c r="O347" s="4"/>
    </row>
    <row collapsed="false" customFormat="false" customHeight="true" hidden="false" ht="15" outlineLevel="0" r="348">
      <c r="A348" s="4" t="s">
        <v>2386</v>
      </c>
      <c r="B348" s="4" t="s">
        <v>2295</v>
      </c>
      <c r="C348" s="4" t="s">
        <v>2387</v>
      </c>
      <c r="D348" s="4" t="s">
        <v>12</v>
      </c>
      <c r="E348" s="4"/>
      <c r="F348" s="4"/>
      <c r="G348" s="4"/>
      <c r="H348" s="4"/>
      <c r="I348" s="4"/>
      <c r="J348" s="4" t="s">
        <v>2388</v>
      </c>
      <c r="K348" s="4"/>
      <c r="L348" s="5"/>
      <c r="M348" s="4"/>
      <c r="N348" s="4"/>
      <c r="O348" s="4"/>
    </row>
    <row collapsed="false" customFormat="false" customHeight="true" hidden="false" ht="15" outlineLevel="0" r="349">
      <c r="A349" s="4" t="s">
        <v>2386</v>
      </c>
      <c r="B349" s="4" t="s">
        <v>2295</v>
      </c>
      <c r="C349" s="4" t="s">
        <v>2387</v>
      </c>
      <c r="D349" s="4" t="s">
        <v>15</v>
      </c>
      <c r="E349" s="4"/>
      <c r="F349" s="4"/>
      <c r="G349" s="4"/>
      <c r="H349" s="4"/>
      <c r="I349" s="4"/>
      <c r="J349" s="4" t="s">
        <v>2388</v>
      </c>
      <c r="K349" s="4"/>
      <c r="L349" s="5" t="str">
        <f aca="false">HYPERLINK("mailto:foia@hq.dhs.gov","mailto:foia@hq.dhs.gov")</f>
        <v>mailto:foia@hq.dhs.gov</v>
      </c>
      <c r="M349" s="4"/>
      <c r="N349" s="4"/>
      <c r="O349" s="4"/>
    </row>
    <row collapsed="false" customFormat="false" customHeight="true" hidden="false" ht="15" outlineLevel="0" r="350">
      <c r="A350" s="4" t="s">
        <v>2391</v>
      </c>
      <c r="B350" s="4" t="s">
        <v>2295</v>
      </c>
      <c r="C350" s="4" t="s">
        <v>2392</v>
      </c>
      <c r="D350" s="4" t="s">
        <v>2</v>
      </c>
      <c r="E350" s="4"/>
      <c r="F350" s="4"/>
      <c r="G350" s="4" t="s">
        <v>5</v>
      </c>
      <c r="H350" s="4" t="s">
        <v>6</v>
      </c>
      <c r="I350" s="4" t="s">
        <v>2355</v>
      </c>
      <c r="J350" s="4" t="s">
        <v>2393</v>
      </c>
      <c r="K350" s="4" t="s">
        <v>2394</v>
      </c>
      <c r="L350" s="5" t="str">
        <f aca="false">HYPERLINK("mailto:FOIAOPS@DHS.GOV","mailto:FOIAOPS@DHS.GOV")</f>
        <v>mailto:FOIAOPS@DHS.GOV</v>
      </c>
      <c r="M350" s="4" t="s">
        <v>2395</v>
      </c>
      <c r="N350" s="4"/>
      <c r="O350" s="4"/>
    </row>
    <row collapsed="false" customFormat="false" customHeight="true" hidden="false" ht="15" outlineLevel="0" r="351">
      <c r="A351" s="4" t="s">
        <v>2391</v>
      </c>
      <c r="B351" s="4" t="s">
        <v>2295</v>
      </c>
      <c r="C351" s="4" t="s">
        <v>2392</v>
      </c>
      <c r="D351" s="4" t="s">
        <v>12</v>
      </c>
      <c r="E351" s="4"/>
      <c r="F351" s="4"/>
      <c r="G351" s="4"/>
      <c r="H351" s="4"/>
      <c r="I351" s="4"/>
      <c r="J351" s="4" t="s">
        <v>2393</v>
      </c>
      <c r="K351" s="4"/>
      <c r="L351" s="5"/>
      <c r="M351" s="4"/>
      <c r="N351" s="4"/>
      <c r="O351" s="4"/>
    </row>
    <row collapsed="false" customFormat="false" customHeight="true" hidden="false" ht="15" outlineLevel="0" r="352">
      <c r="A352" s="4" t="s">
        <v>2391</v>
      </c>
      <c r="B352" s="4" t="s">
        <v>2295</v>
      </c>
      <c r="C352" s="4" t="s">
        <v>2392</v>
      </c>
      <c r="D352" s="4" t="s">
        <v>15</v>
      </c>
      <c r="E352" s="4"/>
      <c r="F352" s="4"/>
      <c r="G352" s="4"/>
      <c r="H352" s="4"/>
      <c r="I352" s="4"/>
      <c r="J352" s="4" t="s">
        <v>2393</v>
      </c>
      <c r="K352" s="4"/>
      <c r="L352" s="5" t="s">
        <v>2396</v>
      </c>
      <c r="M352" s="4"/>
      <c r="N352" s="4"/>
      <c r="O352" s="4"/>
    </row>
    <row collapsed="false" customFormat="false" customHeight="true" hidden="false" ht="15" outlineLevel="0" r="353">
      <c r="A353" s="4" t="s">
        <v>2397</v>
      </c>
      <c r="B353" s="4" t="s">
        <v>2295</v>
      </c>
      <c r="C353" s="4" t="s">
        <v>2398</v>
      </c>
      <c r="D353" s="4" t="s">
        <v>2</v>
      </c>
      <c r="E353" s="4"/>
      <c r="F353" s="4"/>
      <c r="G353" s="4" t="s">
        <v>5</v>
      </c>
      <c r="H353" s="4" t="s">
        <v>6</v>
      </c>
      <c r="I353" s="4" t="s">
        <v>2355</v>
      </c>
      <c r="J353" s="4" t="s">
        <v>2399</v>
      </c>
      <c r="K353" s="4" t="s">
        <v>2400</v>
      </c>
      <c r="L353" s="5" t="str">
        <f aca="false">HYPERLINK("mailto:foia@hq.dhs.gov","mailto:foia@hq.dhs.gov")</f>
        <v>mailto:foia@hq.dhs.gov</v>
      </c>
      <c r="M353" s="4" t="s">
        <v>2401</v>
      </c>
      <c r="N353" s="4"/>
      <c r="O353" s="4"/>
    </row>
    <row collapsed="false" customFormat="false" customHeight="true" hidden="false" ht="15" outlineLevel="0" r="354">
      <c r="A354" s="4" t="s">
        <v>2397</v>
      </c>
      <c r="B354" s="4" t="s">
        <v>2295</v>
      </c>
      <c r="C354" s="4" t="s">
        <v>2398</v>
      </c>
      <c r="D354" s="4" t="s">
        <v>12</v>
      </c>
      <c r="E354" s="4"/>
      <c r="F354" s="4"/>
      <c r="G354" s="4"/>
      <c r="H354" s="4"/>
      <c r="I354" s="4"/>
      <c r="J354" s="4" t="s">
        <v>2399</v>
      </c>
      <c r="K354" s="4"/>
      <c r="L354" s="5"/>
      <c r="M354" s="4"/>
      <c r="N354" s="4"/>
      <c r="O354" s="4"/>
    </row>
    <row collapsed="false" customFormat="false" customHeight="true" hidden="false" ht="15" outlineLevel="0" r="355">
      <c r="A355" s="4" t="s">
        <v>2397</v>
      </c>
      <c r="B355" s="4" t="s">
        <v>2295</v>
      </c>
      <c r="C355" s="4" t="s">
        <v>2398</v>
      </c>
      <c r="D355" s="4" t="s">
        <v>15</v>
      </c>
      <c r="E355" s="4"/>
      <c r="F355" s="4"/>
      <c r="G355" s="4"/>
      <c r="H355" s="4"/>
      <c r="I355" s="4"/>
      <c r="J355" s="4" t="s">
        <v>2399</v>
      </c>
      <c r="K355" s="4"/>
      <c r="L355" s="5" t="str">
        <f aca="false">HYPERLINK("mailto:foia@hq.dhs.gov","mailto:foia@hq.dhs.gov")</f>
        <v>mailto:foia@hq.dhs.gov</v>
      </c>
      <c r="M355" s="4"/>
      <c r="N355" s="4"/>
      <c r="O355" s="4"/>
    </row>
    <row collapsed="false" customFormat="false" customHeight="true" hidden="false" ht="15" outlineLevel="0" r="356">
      <c r="A356" s="4" t="s">
        <v>2402</v>
      </c>
      <c r="B356" s="4" t="s">
        <v>2295</v>
      </c>
      <c r="C356" s="4" t="s">
        <v>2403</v>
      </c>
      <c r="D356" s="4" t="s">
        <v>2</v>
      </c>
      <c r="E356" s="4"/>
      <c r="F356" s="4"/>
      <c r="G356" s="4" t="s">
        <v>5</v>
      </c>
      <c r="H356" s="4" t="s">
        <v>6</v>
      </c>
      <c r="I356" s="4" t="s">
        <v>2355</v>
      </c>
      <c r="J356" s="4" t="s">
        <v>2404</v>
      </c>
      <c r="K356" s="4" t="s">
        <v>2405</v>
      </c>
      <c r="L356" s="5" t="str">
        <f aca="false">HYPERLINK("mailto:stfoia@dhs.gov","mailto:stfoia@dhs.gov")</f>
        <v>mailto:stfoia@dhs.gov</v>
      </c>
      <c r="M356" s="4" t="s">
        <v>2406</v>
      </c>
      <c r="N356" s="4"/>
      <c r="O356" s="4"/>
    </row>
    <row collapsed="false" customFormat="false" customHeight="true" hidden="false" ht="15" outlineLevel="0" r="357">
      <c r="A357" s="4" t="s">
        <v>2402</v>
      </c>
      <c r="B357" s="4" t="s">
        <v>2295</v>
      </c>
      <c r="C357" s="4" t="s">
        <v>2403</v>
      </c>
      <c r="D357" s="4" t="s">
        <v>12</v>
      </c>
      <c r="E357" s="4"/>
      <c r="F357" s="4"/>
      <c r="G357" s="4"/>
      <c r="H357" s="4"/>
      <c r="I357" s="4"/>
      <c r="J357" s="4" t="s">
        <v>2404</v>
      </c>
      <c r="K357" s="4"/>
      <c r="L357" s="5"/>
      <c r="M357" s="4"/>
      <c r="N357" s="4"/>
      <c r="O357" s="4"/>
    </row>
    <row collapsed="false" customFormat="false" customHeight="true" hidden="false" ht="15" outlineLevel="0" r="358">
      <c r="A358" s="4" t="s">
        <v>2402</v>
      </c>
      <c r="B358" s="4" t="s">
        <v>2295</v>
      </c>
      <c r="C358" s="4" t="s">
        <v>2403</v>
      </c>
      <c r="D358" s="4" t="s">
        <v>15</v>
      </c>
      <c r="E358" s="4"/>
      <c r="F358" s="4"/>
      <c r="G358" s="4"/>
      <c r="H358" s="4"/>
      <c r="I358" s="4"/>
      <c r="J358" s="4" t="s">
        <v>2404</v>
      </c>
      <c r="K358" s="4"/>
      <c r="L358" s="5" t="str">
        <f aca="false">HYPERLINK("mailto:foia@hq.dhs.gov","mailto:foia@hq.dhs.gov")</f>
        <v>mailto:foia@hq.dhs.gov</v>
      </c>
      <c r="M358" s="4"/>
      <c r="N358" s="4"/>
      <c r="O358" s="4"/>
    </row>
    <row collapsed="false" customFormat="false" customHeight="true" hidden="false" ht="15" outlineLevel="0" r="359">
      <c r="A359" s="4" t="s">
        <v>2407</v>
      </c>
      <c r="B359" s="4" t="s">
        <v>2295</v>
      </c>
      <c r="C359" s="4" t="s">
        <v>2408</v>
      </c>
      <c r="D359" s="4" t="s">
        <v>2409</v>
      </c>
      <c r="E359" s="4" t="s">
        <v>2410</v>
      </c>
      <c r="F359" s="4" t="s">
        <v>2371</v>
      </c>
      <c r="G359" s="4" t="s">
        <v>5</v>
      </c>
      <c r="H359" s="4" t="s">
        <v>6</v>
      </c>
      <c r="I359" s="4" t="n">
        <v>20223</v>
      </c>
      <c r="J359" s="4" t="s">
        <v>2411</v>
      </c>
      <c r="K359" s="4" t="s">
        <v>2412</v>
      </c>
      <c r="L359" s="5" t="str">
        <f aca="false">HYPERLINK("mailto:FOIA@usss.dhs.gov","mailto:FOIA@usss.dhs.gov")</f>
        <v>mailto:FOIA@usss.dhs.gov</v>
      </c>
      <c r="M359" s="4" t="s">
        <v>2413</v>
      </c>
      <c r="N359" s="4"/>
      <c r="O359" s="4"/>
    </row>
    <row collapsed="false" customFormat="false" customHeight="true" hidden="false" ht="15" outlineLevel="0" r="360">
      <c r="A360" s="4" t="s">
        <v>2407</v>
      </c>
      <c r="B360" s="4" t="s">
        <v>2295</v>
      </c>
      <c r="C360" s="4" t="s">
        <v>2408</v>
      </c>
      <c r="D360" s="4" t="s">
        <v>12</v>
      </c>
      <c r="E360" s="4"/>
      <c r="F360" s="4"/>
      <c r="G360" s="4"/>
      <c r="H360" s="4"/>
      <c r="I360" s="4"/>
      <c r="J360" s="4" t="s">
        <v>2411</v>
      </c>
      <c r="K360" s="4"/>
      <c r="L360" s="5" t="str">
        <f aca="false">HYPERLINK("mailto:FOIA@usss.dhs.gov","mailto:FOIA@usss.dhs.gov")</f>
        <v>mailto:FOIA@usss.dhs.gov</v>
      </c>
      <c r="M360" s="4"/>
      <c r="N360" s="4"/>
      <c r="O360" s="4"/>
    </row>
    <row collapsed="false" customFormat="false" customHeight="true" hidden="false" ht="15" outlineLevel="0" r="361">
      <c r="A361" s="4" t="s">
        <v>2407</v>
      </c>
      <c r="B361" s="4" t="s">
        <v>2295</v>
      </c>
      <c r="C361" s="4" t="s">
        <v>2408</v>
      </c>
      <c r="D361" s="4" t="s">
        <v>15</v>
      </c>
      <c r="E361" s="4"/>
      <c r="F361" s="4"/>
      <c r="G361" s="4"/>
      <c r="H361" s="4"/>
      <c r="I361" s="4"/>
      <c r="J361" s="4" t="s">
        <v>2411</v>
      </c>
      <c r="K361" s="4" t="s">
        <v>2414</v>
      </c>
      <c r="L361" s="5" t="str">
        <f aca="false">HYPERLINK("mailto:FOIA@usss.dhs.gov","mailto:FOIA@usss.dhs.gov")</f>
        <v>mailto:FOIA@usss.dhs.gov</v>
      </c>
      <c r="M361" s="4"/>
      <c r="N361" s="4"/>
      <c r="O361" s="4"/>
    </row>
    <row collapsed="false" customFormat="false" customHeight="true" hidden="false" ht="15" outlineLevel="0" r="362">
      <c r="A362" s="4" t="s">
        <v>2415</v>
      </c>
      <c r="B362" s="4" t="s">
        <v>2295</v>
      </c>
      <c r="C362" s="4" t="s">
        <v>2416</v>
      </c>
      <c r="D362" s="4" t="s">
        <v>2</v>
      </c>
      <c r="E362" s="4" t="s">
        <v>2417</v>
      </c>
      <c r="F362" s="4" t="s">
        <v>2418</v>
      </c>
      <c r="G362" s="4" t="s">
        <v>30</v>
      </c>
      <c r="H362" s="4" t="s">
        <v>31</v>
      </c>
      <c r="I362" s="4" t="s">
        <v>2419</v>
      </c>
      <c r="J362" s="4" t="s">
        <v>2420</v>
      </c>
      <c r="K362" s="4" t="s">
        <v>2421</v>
      </c>
      <c r="L362" s="5" t="str">
        <f aca="false">HYPERLINK("mailto:foia.tsa@dhs.gov","mailto:foia.tsa@dhs.gov")</f>
        <v>mailto:foia.tsa@dhs.gov</v>
      </c>
      <c r="M362" s="4" t="s">
        <v>2422</v>
      </c>
      <c r="N362" s="4"/>
      <c r="O362" s="4"/>
    </row>
    <row collapsed="false" customFormat="false" customHeight="true" hidden="false" ht="15" outlineLevel="0" r="363">
      <c r="A363" s="4" t="s">
        <v>2415</v>
      </c>
      <c r="B363" s="4" t="s">
        <v>2295</v>
      </c>
      <c r="C363" s="4" t="s">
        <v>2416</v>
      </c>
      <c r="D363" s="4" t="s">
        <v>12</v>
      </c>
      <c r="E363" s="4"/>
      <c r="F363" s="4"/>
      <c r="G363" s="4"/>
      <c r="H363" s="4"/>
      <c r="I363" s="4"/>
      <c r="J363" s="4" t="s">
        <v>2420</v>
      </c>
      <c r="K363" s="4"/>
      <c r="L363" s="5"/>
      <c r="M363" s="4"/>
      <c r="N363" s="4"/>
      <c r="O363" s="4"/>
    </row>
    <row collapsed="false" customFormat="false" customHeight="true" hidden="false" ht="15" outlineLevel="0" r="364">
      <c r="A364" s="4" t="s">
        <v>2415</v>
      </c>
      <c r="B364" s="4" t="s">
        <v>2295</v>
      </c>
      <c r="C364" s="4" t="s">
        <v>2416</v>
      </c>
      <c r="D364" s="4" t="s">
        <v>15</v>
      </c>
      <c r="E364" s="4"/>
      <c r="F364" s="4"/>
      <c r="G364" s="4"/>
      <c r="H364" s="4"/>
      <c r="I364" s="4"/>
      <c r="J364" s="4" t="s">
        <v>2423</v>
      </c>
      <c r="K364" s="4"/>
      <c r="L364" s="5" t="str">
        <f aca="false">HYPERLINK("mailto:foia@hq.dhs.gov","mailto:foia@hq.dhs.gov")</f>
        <v>mailto:foia@hq.dhs.gov</v>
      </c>
      <c r="M364" s="4"/>
      <c r="N364" s="4"/>
      <c r="O364" s="4"/>
    </row>
    <row collapsed="false" customFormat="false" customHeight="true" hidden="false" ht="15" outlineLevel="0" r="365">
      <c r="A365" s="4" t="s">
        <v>2424</v>
      </c>
      <c r="B365" s="4" t="s">
        <v>2295</v>
      </c>
      <c r="C365" s="4" t="s">
        <v>2425</v>
      </c>
      <c r="D365" s="4" t="s">
        <v>2</v>
      </c>
      <c r="E365" s="4"/>
      <c r="F365" s="4"/>
      <c r="G365" s="4" t="s">
        <v>5</v>
      </c>
      <c r="H365" s="4" t="s">
        <v>6</v>
      </c>
      <c r="I365" s="4" t="s">
        <v>2426</v>
      </c>
      <c r="J365" s="4" t="s">
        <v>2427</v>
      </c>
      <c r="K365" s="4" t="s">
        <v>2428</v>
      </c>
      <c r="L365" s="5" t="str">
        <f aca="false">HYPERLINK("mailto:US-VISIT-FOIA@dhs.gov","mailto:US-VISIT-FOIA@dhs.gov")</f>
        <v>mailto:US-VISIT-FOIA@dhs.gov</v>
      </c>
      <c r="M365" s="4" t="s">
        <v>2429</v>
      </c>
      <c r="N365" s="4"/>
      <c r="O365" s="4"/>
    </row>
    <row collapsed="false" customFormat="false" customHeight="true" hidden="false" ht="15" outlineLevel="0" r="366">
      <c r="A366" s="4" t="s">
        <v>2424</v>
      </c>
      <c r="B366" s="4" t="s">
        <v>2295</v>
      </c>
      <c r="C366" s="4" t="s">
        <v>2425</v>
      </c>
      <c r="D366" s="4" t="s">
        <v>12</v>
      </c>
      <c r="E366" s="4"/>
      <c r="F366" s="4"/>
      <c r="G366" s="4"/>
      <c r="H366" s="4"/>
      <c r="I366" s="4"/>
      <c r="J366" s="4" t="s">
        <v>2427</v>
      </c>
      <c r="K366" s="4"/>
      <c r="L366" s="5"/>
      <c r="M366" s="4"/>
      <c r="N366" s="4"/>
      <c r="O366" s="4"/>
    </row>
    <row collapsed="false" customFormat="false" customHeight="true" hidden="false" ht="15" outlineLevel="0" r="367">
      <c r="A367" s="4" t="s">
        <v>2424</v>
      </c>
      <c r="B367" s="4" t="s">
        <v>2295</v>
      </c>
      <c r="C367" s="4" t="s">
        <v>2425</v>
      </c>
      <c r="D367" s="4" t="s">
        <v>15</v>
      </c>
      <c r="E367" s="4"/>
      <c r="F367" s="4"/>
      <c r="G367" s="4"/>
      <c r="H367" s="4"/>
      <c r="I367" s="4"/>
      <c r="J367" s="4" t="s">
        <v>2427</v>
      </c>
      <c r="K367" s="4"/>
      <c r="L367" s="5" t="str">
        <f aca="false">HYPERLINK("mailto:foia@hq.dhs.gov","mailto:foia@hq.dhs.gov")</f>
        <v>mailto:foia@hq.dhs.gov</v>
      </c>
      <c r="M367" s="4"/>
      <c r="N367" s="4"/>
      <c r="O367" s="4"/>
    </row>
    <row collapsed="false" customFormat="false" customHeight="true" hidden="false" ht="15" outlineLevel="0" r="368">
      <c r="A368" s="4" t="s">
        <v>288</v>
      </c>
      <c r="B368" s="4" t="s">
        <v>2295</v>
      </c>
      <c r="C368" s="4" t="s">
        <v>2296</v>
      </c>
      <c r="D368" s="4" t="s">
        <v>2297</v>
      </c>
      <c r="E368" s="4" t="s">
        <v>2298</v>
      </c>
      <c r="F368" s="4" t="s">
        <v>2299</v>
      </c>
      <c r="G368" s="4" t="s">
        <v>5</v>
      </c>
      <c r="H368" s="4" t="s">
        <v>6</v>
      </c>
      <c r="I368" s="4" t="s">
        <v>2300</v>
      </c>
      <c r="J368" s="4" t="s">
        <v>2301</v>
      </c>
      <c r="K368" s="4" t="s">
        <v>2302</v>
      </c>
      <c r="L368" s="5" t="str">
        <f aca="false">HYPERLINK("mailto:foia@hq.dhs.gov","mailto:foia@hq.dhs.gov")</f>
        <v>mailto:foia@hq.dhs.gov</v>
      </c>
      <c r="M368" s="4" t="s">
        <v>2303</v>
      </c>
      <c r="N368" s="4"/>
      <c r="O368" s="4"/>
    </row>
    <row collapsed="false" customFormat="false" customHeight="true" hidden="false" ht="15" outlineLevel="0" r="369">
      <c r="A369" s="4" t="s">
        <v>288</v>
      </c>
      <c r="B369" s="4" t="s">
        <v>2295</v>
      </c>
      <c r="C369" s="4" t="s">
        <v>2304</v>
      </c>
      <c r="D369" s="4" t="s">
        <v>12</v>
      </c>
      <c r="E369" s="4"/>
      <c r="F369" s="4"/>
      <c r="G369" s="4"/>
      <c r="H369" s="4"/>
      <c r="I369" s="4"/>
      <c r="J369" s="4" t="s">
        <v>2301</v>
      </c>
      <c r="K369" s="4"/>
      <c r="L369" s="5"/>
      <c r="M369" s="4"/>
      <c r="N369" s="4"/>
      <c r="O369" s="4"/>
    </row>
    <row collapsed="false" customFormat="false" customHeight="true" hidden="false" ht="15" outlineLevel="0" r="370">
      <c r="A370" s="4" t="s">
        <v>288</v>
      </c>
      <c r="B370" s="4" t="s">
        <v>2295</v>
      </c>
      <c r="C370" s="4" t="s">
        <v>2304</v>
      </c>
      <c r="D370" s="4" t="s">
        <v>15</v>
      </c>
      <c r="E370" s="4"/>
      <c r="F370" s="4"/>
      <c r="G370" s="4"/>
      <c r="H370" s="4"/>
      <c r="I370" s="4"/>
      <c r="J370" s="4" t="s">
        <v>2301</v>
      </c>
      <c r="K370" s="4"/>
      <c r="L370" s="5" t="str">
        <f aca="false">HYPERLINK("mailto:foia@hq.dhs.gov","mailto:foia@hq.dhs.gov")</f>
        <v>mailto:foia@hq.dhs.gov</v>
      </c>
      <c r="M370" s="4"/>
      <c r="N370" s="4"/>
      <c r="O370" s="4"/>
    </row>
    <row collapsed="false" customFormat="false" customHeight="true" hidden="false" ht="15" outlineLevel="0" r="371">
      <c r="A371" s="4" t="s">
        <v>289</v>
      </c>
      <c r="B371" s="4" t="s">
        <v>2430</v>
      </c>
      <c r="C371" s="4" t="s">
        <v>2431</v>
      </c>
      <c r="D371" s="4" t="s">
        <v>2432</v>
      </c>
      <c r="E371" s="4" t="s">
        <v>2433</v>
      </c>
      <c r="F371" s="4" t="s">
        <v>2434</v>
      </c>
      <c r="G371" s="4" t="s">
        <v>5</v>
      </c>
      <c r="H371" s="4" t="s">
        <v>6</v>
      </c>
      <c r="I371" s="4" t="s">
        <v>2435</v>
      </c>
      <c r="J371" s="4" t="s">
        <v>2436</v>
      </c>
      <c r="K371" s="4" t="s">
        <v>2437</v>
      </c>
      <c r="L371" s="5"/>
      <c r="M371" s="4" t="s">
        <v>2438</v>
      </c>
      <c r="N371" s="5"/>
      <c r="O371" s="4"/>
    </row>
    <row collapsed="false" customFormat="false" customHeight="true" hidden="false" ht="15" outlineLevel="0" r="372">
      <c r="A372" s="4" t="s">
        <v>289</v>
      </c>
      <c r="B372" s="4" t="s">
        <v>2430</v>
      </c>
      <c r="C372" s="4" t="s">
        <v>2439</v>
      </c>
      <c r="D372" s="4" t="s">
        <v>12</v>
      </c>
      <c r="E372" s="4"/>
      <c r="F372" s="4"/>
      <c r="G372" s="4"/>
      <c r="H372" s="4"/>
      <c r="I372" s="4"/>
      <c r="J372" s="4" t="s">
        <v>2436</v>
      </c>
      <c r="K372" s="4"/>
      <c r="L372" s="5"/>
      <c r="M372" s="4"/>
      <c r="N372" s="4"/>
      <c r="O372" s="4"/>
    </row>
    <row collapsed="false" customFormat="false" customHeight="true" hidden="false" ht="15" outlineLevel="0" r="373">
      <c r="A373" s="4" t="s">
        <v>289</v>
      </c>
      <c r="B373" s="4" t="s">
        <v>2430</v>
      </c>
      <c r="C373" s="4" t="s">
        <v>2440</v>
      </c>
      <c r="D373" s="4" t="s">
        <v>15</v>
      </c>
      <c r="E373" s="4"/>
      <c r="F373" s="4"/>
      <c r="G373" s="4"/>
      <c r="H373" s="4"/>
      <c r="I373" s="4"/>
      <c r="J373" s="4" t="s">
        <v>2441</v>
      </c>
      <c r="K373" s="4"/>
      <c r="L373" s="5"/>
      <c r="M373" s="4"/>
      <c r="N373" s="4"/>
      <c r="O373" s="4"/>
    </row>
    <row collapsed="false" customFormat="false" customHeight="true" hidden="false" ht="15" outlineLevel="0" r="374">
      <c r="A374" s="4" t="s">
        <v>2442</v>
      </c>
      <c r="B374" s="4" t="s">
        <v>2430</v>
      </c>
      <c r="C374" s="4" t="s">
        <v>2443</v>
      </c>
      <c r="D374" s="4" t="s">
        <v>2444</v>
      </c>
      <c r="E374" s="4" t="s">
        <v>2445</v>
      </c>
      <c r="F374" s="4" t="s">
        <v>566</v>
      </c>
      <c r="G374" s="4" t="s">
        <v>195</v>
      </c>
      <c r="H374" s="4" t="s">
        <v>196</v>
      </c>
      <c r="I374" s="4" t="s">
        <v>2446</v>
      </c>
      <c r="J374" s="4" t="s">
        <v>2447</v>
      </c>
      <c r="K374" s="4"/>
      <c r="L374" s="5"/>
      <c r="M374" s="4" t="s">
        <v>2448</v>
      </c>
      <c r="N374" s="5"/>
      <c r="O374" s="4"/>
    </row>
    <row collapsed="false" customFormat="false" customHeight="true" hidden="false" ht="15" outlineLevel="0" r="375">
      <c r="A375" s="4" t="s">
        <v>2442</v>
      </c>
      <c r="B375" s="4" t="s">
        <v>2430</v>
      </c>
      <c r="C375" s="4"/>
      <c r="D375" s="4" t="s">
        <v>12</v>
      </c>
      <c r="E375" s="4"/>
      <c r="F375" s="4"/>
      <c r="G375" s="4"/>
      <c r="H375" s="4"/>
      <c r="I375" s="4"/>
      <c r="J375" s="4" t="s">
        <v>2447</v>
      </c>
      <c r="K375" s="4"/>
      <c r="L375" s="5"/>
      <c r="M375" s="4"/>
      <c r="N375" s="4"/>
      <c r="O375" s="4"/>
    </row>
    <row collapsed="false" customFormat="false" customHeight="true" hidden="false" ht="15" outlineLevel="0" r="376">
      <c r="A376" s="4" t="s">
        <v>2442</v>
      </c>
      <c r="B376" s="4" t="s">
        <v>2430</v>
      </c>
      <c r="C376" s="4" t="s">
        <v>2443</v>
      </c>
      <c r="D376" s="4" t="s">
        <v>15</v>
      </c>
      <c r="E376" s="4"/>
      <c r="F376" s="4"/>
      <c r="G376" s="4"/>
      <c r="H376" s="4"/>
      <c r="I376" s="4"/>
      <c r="J376" s="4" t="s">
        <v>2447</v>
      </c>
      <c r="K376" s="4"/>
      <c r="L376" s="5"/>
      <c r="M376" s="4"/>
      <c r="N376" s="4"/>
      <c r="O376" s="4"/>
    </row>
    <row collapsed="false" customFormat="false" customHeight="true" hidden="false" ht="15" outlineLevel="0" r="377">
      <c r="A377" s="4" t="s">
        <v>2449</v>
      </c>
      <c r="B377" s="4" t="s">
        <v>2430</v>
      </c>
      <c r="C377" s="4" t="s">
        <v>2450</v>
      </c>
      <c r="D377" s="4" t="s">
        <v>2444</v>
      </c>
      <c r="E377" s="4" t="s">
        <v>2451</v>
      </c>
      <c r="F377" s="4" t="s">
        <v>688</v>
      </c>
      <c r="G377" s="4" t="s">
        <v>207</v>
      </c>
      <c r="H377" s="4" t="s">
        <v>208</v>
      </c>
      <c r="I377" s="4" t="s">
        <v>2452</v>
      </c>
      <c r="J377" s="4" t="s">
        <v>2453</v>
      </c>
      <c r="K377" s="4"/>
      <c r="L377" s="5"/>
      <c r="M377" s="4" t="s">
        <v>2448</v>
      </c>
      <c r="N377" s="5"/>
      <c r="O377" s="4"/>
    </row>
    <row collapsed="false" customFormat="false" customHeight="true" hidden="false" ht="15" outlineLevel="0" r="378">
      <c r="A378" s="4" t="s">
        <v>2449</v>
      </c>
      <c r="B378" s="4" t="s">
        <v>2430</v>
      </c>
      <c r="C378" s="4"/>
      <c r="D378" s="4" t="s">
        <v>12</v>
      </c>
      <c r="E378" s="4"/>
      <c r="F378" s="4"/>
      <c r="G378" s="4"/>
      <c r="H378" s="4"/>
      <c r="I378" s="4"/>
      <c r="J378" s="4" t="s">
        <v>2453</v>
      </c>
      <c r="K378" s="4"/>
      <c r="L378" s="5"/>
      <c r="M378" s="4"/>
      <c r="N378" s="4"/>
      <c r="O378" s="4"/>
    </row>
    <row collapsed="false" customFormat="false" customHeight="true" hidden="false" ht="15" outlineLevel="0" r="379">
      <c r="A379" s="4" t="s">
        <v>2449</v>
      </c>
      <c r="B379" s="4" t="s">
        <v>2430</v>
      </c>
      <c r="C379" s="4" t="s">
        <v>2450</v>
      </c>
      <c r="D379" s="4" t="s">
        <v>15</v>
      </c>
      <c r="E379" s="4"/>
      <c r="F379" s="4"/>
      <c r="G379" s="4"/>
      <c r="H379" s="4"/>
      <c r="I379" s="4"/>
      <c r="J379" s="4" t="s">
        <v>2453</v>
      </c>
      <c r="K379" s="4"/>
      <c r="L379" s="5"/>
      <c r="M379" s="4"/>
      <c r="N379" s="4"/>
      <c r="O379" s="4"/>
    </row>
    <row collapsed="false" customFormat="false" customHeight="true" hidden="false" ht="15" outlineLevel="0" r="380">
      <c r="A380" s="4" t="s">
        <v>2454</v>
      </c>
      <c r="B380" s="4" t="s">
        <v>2430</v>
      </c>
      <c r="C380" s="4" t="s">
        <v>2455</v>
      </c>
      <c r="D380" s="4" t="s">
        <v>2444</v>
      </c>
      <c r="E380" s="4"/>
      <c r="F380" s="4" t="s">
        <v>2456</v>
      </c>
      <c r="G380" s="4" t="s">
        <v>217</v>
      </c>
      <c r="H380" s="4" t="s">
        <v>218</v>
      </c>
      <c r="I380" s="4" t="n">
        <v>10107</v>
      </c>
      <c r="J380" s="4" t="s">
        <v>2457</v>
      </c>
      <c r="K380" s="4"/>
      <c r="L380" s="5"/>
      <c r="M380" s="4" t="s">
        <v>2448</v>
      </c>
      <c r="N380" s="5"/>
      <c r="O380" s="4"/>
    </row>
    <row collapsed="false" customFormat="false" customHeight="true" hidden="false" ht="15" outlineLevel="0" r="381">
      <c r="A381" s="4" t="s">
        <v>2454</v>
      </c>
      <c r="B381" s="4" t="s">
        <v>2430</v>
      </c>
      <c r="C381" s="4"/>
      <c r="D381" s="4" t="s">
        <v>12</v>
      </c>
      <c r="E381" s="4"/>
      <c r="F381" s="4"/>
      <c r="G381" s="4"/>
      <c r="H381" s="4"/>
      <c r="I381" s="4"/>
      <c r="J381" s="4" t="s">
        <v>2457</v>
      </c>
      <c r="K381" s="4"/>
      <c r="L381" s="5"/>
      <c r="M381" s="4"/>
      <c r="N381" s="4"/>
      <c r="O381" s="4"/>
    </row>
    <row collapsed="false" customFormat="false" customHeight="true" hidden="false" ht="15" outlineLevel="0" r="382">
      <c r="A382" s="4" t="s">
        <v>2454</v>
      </c>
      <c r="B382" s="4" t="s">
        <v>2430</v>
      </c>
      <c r="C382" s="4" t="s">
        <v>2455</v>
      </c>
      <c r="D382" s="4" t="s">
        <v>15</v>
      </c>
      <c r="E382" s="4"/>
      <c r="F382" s="4"/>
      <c r="G382" s="4"/>
      <c r="H382" s="4"/>
      <c r="I382" s="4"/>
      <c r="J382" s="4" t="s">
        <v>2457</v>
      </c>
      <c r="K382" s="4"/>
      <c r="L382" s="5"/>
      <c r="M382" s="4"/>
      <c r="N382" s="4"/>
      <c r="O382" s="4"/>
    </row>
    <row collapsed="false" customFormat="false" customHeight="true" hidden="false" ht="15" outlineLevel="0" r="383">
      <c r="A383" s="4" t="s">
        <v>2458</v>
      </c>
      <c r="B383" s="4" t="s">
        <v>2430</v>
      </c>
      <c r="C383" s="4" t="s">
        <v>2459</v>
      </c>
      <c r="D383" s="4" t="s">
        <v>2460</v>
      </c>
      <c r="E383" s="4"/>
      <c r="F383" s="4" t="s">
        <v>2461</v>
      </c>
      <c r="G383" s="4" t="s">
        <v>226</v>
      </c>
      <c r="H383" s="4" t="s">
        <v>227</v>
      </c>
      <c r="I383" s="4" t="n">
        <v>30303</v>
      </c>
      <c r="J383" s="4" t="s">
        <v>2462</v>
      </c>
      <c r="K383" s="4"/>
      <c r="L383" s="5"/>
      <c r="M383" s="4" t="s">
        <v>2448</v>
      </c>
      <c r="N383" s="5"/>
      <c r="O383" s="4"/>
    </row>
    <row collapsed="false" customFormat="false" customHeight="true" hidden="false" ht="15" outlineLevel="0" r="384">
      <c r="A384" s="4" t="s">
        <v>2458</v>
      </c>
      <c r="B384" s="4" t="s">
        <v>2430</v>
      </c>
      <c r="C384" s="4"/>
      <c r="D384" s="4" t="s">
        <v>12</v>
      </c>
      <c r="E384" s="4"/>
      <c r="F384" s="4"/>
      <c r="G384" s="4"/>
      <c r="H384" s="4"/>
      <c r="I384" s="4"/>
      <c r="J384" s="4" t="s">
        <v>2462</v>
      </c>
      <c r="K384" s="4"/>
      <c r="L384" s="5"/>
      <c r="M384" s="4"/>
      <c r="N384" s="4"/>
      <c r="O384" s="4"/>
    </row>
    <row collapsed="false" customFormat="false" customHeight="true" hidden="false" ht="15" outlineLevel="0" r="385">
      <c r="A385" s="4" t="s">
        <v>2458</v>
      </c>
      <c r="B385" s="4" t="s">
        <v>2430</v>
      </c>
      <c r="C385" s="4" t="s">
        <v>2459</v>
      </c>
      <c r="D385" s="4" t="s">
        <v>15</v>
      </c>
      <c r="E385" s="4"/>
      <c r="F385" s="4"/>
      <c r="G385" s="4"/>
      <c r="H385" s="4"/>
      <c r="I385" s="4"/>
      <c r="J385" s="4" t="s">
        <v>2462</v>
      </c>
      <c r="K385" s="4"/>
      <c r="L385" s="5"/>
      <c r="M385" s="4"/>
      <c r="N385" s="4"/>
      <c r="O385" s="4"/>
    </row>
    <row collapsed="false" customFormat="false" customHeight="true" hidden="false" ht="15" outlineLevel="0" r="386">
      <c r="A386" s="4" t="s">
        <v>2463</v>
      </c>
      <c r="B386" s="4" t="s">
        <v>2430</v>
      </c>
      <c r="C386" s="4" t="s">
        <v>2464</v>
      </c>
      <c r="D386" s="4" t="s">
        <v>2465</v>
      </c>
      <c r="E386" s="4" t="s">
        <v>2466</v>
      </c>
      <c r="F386" s="4" t="s">
        <v>2467</v>
      </c>
      <c r="G386" s="4" t="s">
        <v>236</v>
      </c>
      <c r="H386" s="4" t="s">
        <v>237</v>
      </c>
      <c r="I386" s="4" t="n">
        <v>60604</v>
      </c>
      <c r="J386" s="4" t="s">
        <v>2468</v>
      </c>
      <c r="K386" s="4"/>
      <c r="L386" s="5"/>
      <c r="M386" s="4" t="s">
        <v>2448</v>
      </c>
      <c r="N386" s="5"/>
      <c r="O386" s="4"/>
    </row>
    <row collapsed="false" customFormat="false" customHeight="true" hidden="false" ht="15" outlineLevel="0" r="387">
      <c r="A387" s="4" t="s">
        <v>2463</v>
      </c>
      <c r="B387" s="4" t="s">
        <v>2430</v>
      </c>
      <c r="C387" s="4"/>
      <c r="D387" s="4" t="s">
        <v>12</v>
      </c>
      <c r="E387" s="4"/>
      <c r="F387" s="4"/>
      <c r="G387" s="4"/>
      <c r="H387" s="4"/>
      <c r="I387" s="4"/>
      <c r="J387" s="4" t="s">
        <v>2468</v>
      </c>
      <c r="K387" s="4"/>
      <c r="L387" s="5"/>
      <c r="M387" s="4"/>
      <c r="N387" s="4"/>
      <c r="O387" s="4"/>
    </row>
    <row collapsed="false" customFormat="false" customHeight="true" hidden="false" ht="15" outlineLevel="0" r="388">
      <c r="A388" s="4" t="s">
        <v>2463</v>
      </c>
      <c r="B388" s="4" t="s">
        <v>2430</v>
      </c>
      <c r="C388" s="4" t="s">
        <v>2464</v>
      </c>
      <c r="D388" s="4" t="s">
        <v>15</v>
      </c>
      <c r="E388" s="4"/>
      <c r="F388" s="4"/>
      <c r="G388" s="4"/>
      <c r="H388" s="4"/>
      <c r="I388" s="4"/>
      <c r="J388" s="4" t="s">
        <v>2468</v>
      </c>
      <c r="K388" s="4"/>
      <c r="L388" s="5"/>
      <c r="M388" s="4"/>
      <c r="N388" s="4"/>
      <c r="O388" s="4"/>
    </row>
    <row collapsed="false" customFormat="false" customHeight="true" hidden="false" ht="15" outlineLevel="0" r="389">
      <c r="A389" s="4" t="s">
        <v>2469</v>
      </c>
      <c r="B389" s="4" t="s">
        <v>2430</v>
      </c>
      <c r="C389" s="4" t="s">
        <v>2470</v>
      </c>
      <c r="D389" s="4" t="s">
        <v>788</v>
      </c>
      <c r="E389" s="4" t="s">
        <v>2471</v>
      </c>
      <c r="F389" s="4" t="s">
        <v>2472</v>
      </c>
      <c r="G389" s="4" t="s">
        <v>2473</v>
      </c>
      <c r="H389" s="4" t="s">
        <v>247</v>
      </c>
      <c r="I389" s="4" t="n">
        <v>76102</v>
      </c>
      <c r="J389" s="4" t="s">
        <v>2474</v>
      </c>
      <c r="K389" s="4"/>
      <c r="L389" s="5"/>
      <c r="M389" s="4" t="s">
        <v>2448</v>
      </c>
      <c r="N389" s="5"/>
      <c r="O389" s="4"/>
    </row>
    <row collapsed="false" customFormat="false" customHeight="true" hidden="false" ht="15" outlineLevel="0" r="390">
      <c r="A390" s="4" t="s">
        <v>2469</v>
      </c>
      <c r="B390" s="4" t="s">
        <v>2430</v>
      </c>
      <c r="C390" s="4"/>
      <c r="D390" s="4" t="s">
        <v>12</v>
      </c>
      <c r="E390" s="4"/>
      <c r="F390" s="4"/>
      <c r="G390" s="4"/>
      <c r="H390" s="4"/>
      <c r="I390" s="4"/>
      <c r="J390" s="4" t="s">
        <v>2474</v>
      </c>
      <c r="K390" s="4"/>
      <c r="L390" s="5"/>
      <c r="M390" s="4"/>
      <c r="N390" s="4"/>
      <c r="O390" s="4"/>
    </row>
    <row collapsed="false" customFormat="false" customHeight="true" hidden="false" ht="15" outlineLevel="0" r="391">
      <c r="A391" s="4" t="s">
        <v>2469</v>
      </c>
      <c r="B391" s="4" t="s">
        <v>2430</v>
      </c>
      <c r="C391" s="4" t="s">
        <v>2470</v>
      </c>
      <c r="D391" s="4" t="s">
        <v>15</v>
      </c>
      <c r="E391" s="4"/>
      <c r="F391" s="4"/>
      <c r="G391" s="4"/>
      <c r="H391" s="4"/>
      <c r="I391" s="4"/>
      <c r="J391" s="4" t="s">
        <v>2474</v>
      </c>
      <c r="K391" s="4"/>
      <c r="L391" s="5"/>
      <c r="M391" s="4"/>
      <c r="N391" s="4"/>
      <c r="O391" s="4"/>
    </row>
    <row collapsed="false" customFormat="false" customHeight="true" hidden="false" ht="15" outlineLevel="0" r="392">
      <c r="A392" s="4" t="s">
        <v>2475</v>
      </c>
      <c r="B392" s="4" t="s">
        <v>2430</v>
      </c>
      <c r="C392" s="4" t="s">
        <v>2476</v>
      </c>
      <c r="D392" s="4" t="s">
        <v>2444</v>
      </c>
      <c r="E392" s="4"/>
      <c r="F392" s="4" t="s">
        <v>2477</v>
      </c>
      <c r="G392" s="4" t="s">
        <v>255</v>
      </c>
      <c r="H392" s="4" t="s">
        <v>256</v>
      </c>
      <c r="I392" s="4" t="n">
        <v>66101</v>
      </c>
      <c r="J392" s="4" t="s">
        <v>2478</v>
      </c>
      <c r="K392" s="4"/>
      <c r="L392" s="5"/>
      <c r="M392" s="4" t="s">
        <v>2448</v>
      </c>
      <c r="N392" s="5"/>
      <c r="O392" s="4"/>
    </row>
    <row collapsed="false" customFormat="false" customHeight="true" hidden="false" ht="15" outlineLevel="0" r="393">
      <c r="A393" s="4" t="s">
        <v>2475</v>
      </c>
      <c r="B393" s="4" t="s">
        <v>2430</v>
      </c>
      <c r="C393" s="4"/>
      <c r="D393" s="4" t="s">
        <v>12</v>
      </c>
      <c r="E393" s="4"/>
      <c r="F393" s="4"/>
      <c r="G393" s="4"/>
      <c r="H393" s="4"/>
      <c r="I393" s="4"/>
      <c r="J393" s="4" t="s">
        <v>2478</v>
      </c>
      <c r="K393" s="4"/>
      <c r="L393" s="5"/>
      <c r="M393" s="4"/>
      <c r="N393" s="4"/>
      <c r="O393" s="4"/>
    </row>
    <row collapsed="false" customFormat="false" customHeight="true" hidden="false" ht="15" outlineLevel="0" r="394">
      <c r="A394" s="4" t="s">
        <v>2475</v>
      </c>
      <c r="B394" s="4" t="s">
        <v>2430</v>
      </c>
      <c r="C394" s="4" t="s">
        <v>2476</v>
      </c>
      <c r="D394" s="4" t="s">
        <v>15</v>
      </c>
      <c r="E394" s="4"/>
      <c r="F394" s="4"/>
      <c r="G394" s="4"/>
      <c r="H394" s="4"/>
      <c r="I394" s="4"/>
      <c r="J394" s="4" t="s">
        <v>2478</v>
      </c>
      <c r="K394" s="4"/>
      <c r="L394" s="5"/>
      <c r="M394" s="4"/>
      <c r="N394" s="4"/>
      <c r="O394" s="4"/>
    </row>
    <row collapsed="false" customFormat="false" customHeight="true" hidden="false" ht="15" outlineLevel="0" r="395">
      <c r="A395" s="4" t="s">
        <v>2479</v>
      </c>
      <c r="B395" s="4" t="s">
        <v>2430</v>
      </c>
      <c r="C395" s="4" t="s">
        <v>2480</v>
      </c>
      <c r="D395" s="4" t="s">
        <v>2465</v>
      </c>
      <c r="E395" s="4"/>
      <c r="F395" s="4" t="s">
        <v>2481</v>
      </c>
      <c r="G395" s="4" t="s">
        <v>264</v>
      </c>
      <c r="H395" s="4" t="s">
        <v>265</v>
      </c>
      <c r="I395" s="4" t="s">
        <v>2482</v>
      </c>
      <c r="J395" s="4" t="s">
        <v>2483</v>
      </c>
      <c r="K395" s="4"/>
      <c r="L395" s="5"/>
      <c r="M395" s="4" t="s">
        <v>2448</v>
      </c>
      <c r="N395" s="5"/>
      <c r="O395" s="4"/>
    </row>
    <row collapsed="false" customFormat="false" customHeight="true" hidden="false" ht="15" outlineLevel="0" r="396">
      <c r="A396" s="4" t="s">
        <v>2479</v>
      </c>
      <c r="B396" s="4" t="s">
        <v>2430</v>
      </c>
      <c r="C396" s="4"/>
      <c r="D396" s="4" t="s">
        <v>12</v>
      </c>
      <c r="E396" s="4"/>
      <c r="F396" s="4"/>
      <c r="G396" s="4"/>
      <c r="H396" s="4"/>
      <c r="I396" s="4"/>
      <c r="J396" s="4" t="s">
        <v>2483</v>
      </c>
      <c r="K396" s="4"/>
      <c r="L396" s="5"/>
      <c r="M396" s="4"/>
      <c r="N396" s="4"/>
      <c r="O396" s="4"/>
    </row>
    <row collapsed="false" customFormat="false" customHeight="true" hidden="false" ht="15" outlineLevel="0" r="397">
      <c r="A397" s="4" t="s">
        <v>2479</v>
      </c>
      <c r="B397" s="4" t="s">
        <v>2430</v>
      </c>
      <c r="C397" s="4" t="s">
        <v>2480</v>
      </c>
      <c r="D397" s="4" t="s">
        <v>15</v>
      </c>
      <c r="E397" s="4"/>
      <c r="F397" s="4"/>
      <c r="G397" s="4"/>
      <c r="H397" s="4"/>
      <c r="I397" s="4"/>
      <c r="J397" s="4" t="s">
        <v>2483</v>
      </c>
      <c r="K397" s="4"/>
      <c r="L397" s="5"/>
      <c r="M397" s="4"/>
      <c r="N397" s="4"/>
      <c r="O397" s="4"/>
    </row>
    <row collapsed="false" customFormat="false" customHeight="true" hidden="false" ht="15" outlineLevel="0" r="398">
      <c r="A398" s="4" t="s">
        <v>2484</v>
      </c>
      <c r="B398" s="4" t="s">
        <v>2430</v>
      </c>
      <c r="C398" s="4" t="s">
        <v>2485</v>
      </c>
      <c r="D398" s="4" t="s">
        <v>788</v>
      </c>
      <c r="E398" s="4" t="s">
        <v>2486</v>
      </c>
      <c r="F398" s="4" t="s">
        <v>2487</v>
      </c>
      <c r="G398" s="4" t="s">
        <v>2488</v>
      </c>
      <c r="H398" s="4" t="s">
        <v>275</v>
      </c>
      <c r="I398" s="4" t="s">
        <v>2489</v>
      </c>
      <c r="J398" s="4" t="s">
        <v>2490</v>
      </c>
      <c r="K398" s="4"/>
      <c r="L398" s="5"/>
      <c r="M398" s="4" t="s">
        <v>2448</v>
      </c>
      <c r="N398" s="5"/>
      <c r="O398" s="4"/>
    </row>
    <row collapsed="false" customFormat="false" customHeight="true" hidden="false" ht="15" outlineLevel="0" r="399">
      <c r="A399" s="4" t="s">
        <v>2484</v>
      </c>
      <c r="B399" s="4" t="s">
        <v>2430</v>
      </c>
      <c r="C399" s="4"/>
      <c r="D399" s="4" t="s">
        <v>12</v>
      </c>
      <c r="E399" s="4"/>
      <c r="F399" s="4"/>
      <c r="G399" s="4"/>
      <c r="H399" s="4"/>
      <c r="I399" s="4"/>
      <c r="J399" s="4" t="s">
        <v>2490</v>
      </c>
      <c r="K399" s="4"/>
      <c r="L399" s="5"/>
      <c r="M399" s="4"/>
      <c r="N399" s="4"/>
      <c r="O399" s="4"/>
    </row>
    <row collapsed="false" customFormat="false" customHeight="true" hidden="false" ht="15" outlineLevel="0" r="400">
      <c r="A400" s="4" t="s">
        <v>2484</v>
      </c>
      <c r="B400" s="4" t="s">
        <v>2430</v>
      </c>
      <c r="C400" s="4" t="s">
        <v>2485</v>
      </c>
      <c r="D400" s="4" t="s">
        <v>15</v>
      </c>
      <c r="E400" s="4"/>
      <c r="F400" s="4"/>
      <c r="G400" s="4"/>
      <c r="H400" s="4"/>
      <c r="I400" s="4"/>
      <c r="J400" s="4" t="s">
        <v>2490</v>
      </c>
      <c r="K400" s="4"/>
      <c r="L400" s="5"/>
      <c r="M400" s="4"/>
      <c r="N400" s="4"/>
      <c r="O400" s="4"/>
    </row>
    <row collapsed="false" customFormat="false" customHeight="true" hidden="false" ht="15" outlineLevel="0" r="401">
      <c r="A401" s="4" t="s">
        <v>2491</v>
      </c>
      <c r="B401" s="4" t="s">
        <v>2430</v>
      </c>
      <c r="C401" s="4" t="s">
        <v>2492</v>
      </c>
      <c r="D401" s="4" t="s">
        <v>2493</v>
      </c>
      <c r="E401" s="4" t="s">
        <v>2494</v>
      </c>
      <c r="F401" s="4" t="s">
        <v>2495</v>
      </c>
      <c r="G401" s="4" t="s">
        <v>283</v>
      </c>
      <c r="H401" s="4" t="s">
        <v>284</v>
      </c>
      <c r="I401" s="4" t="s">
        <v>2496</v>
      </c>
      <c r="J401" s="4" t="s">
        <v>2497</v>
      </c>
      <c r="K401" s="4"/>
      <c r="L401" s="5"/>
      <c r="M401" s="4" t="s">
        <v>2448</v>
      </c>
      <c r="N401" s="5"/>
      <c r="O401" s="4"/>
    </row>
    <row collapsed="false" customFormat="false" customHeight="true" hidden="false" ht="15" outlineLevel="0" r="402">
      <c r="A402" s="4" t="s">
        <v>2491</v>
      </c>
      <c r="B402" s="4" t="s">
        <v>2430</v>
      </c>
      <c r="C402" s="4"/>
      <c r="D402" s="4" t="s">
        <v>12</v>
      </c>
      <c r="E402" s="4"/>
      <c r="F402" s="4"/>
      <c r="G402" s="4"/>
      <c r="H402" s="4"/>
      <c r="I402" s="4"/>
      <c r="J402" s="4" t="s">
        <v>2497</v>
      </c>
      <c r="K402" s="4"/>
      <c r="L402" s="5"/>
      <c r="M402" s="4"/>
      <c r="N402" s="4"/>
      <c r="O402" s="4"/>
    </row>
    <row collapsed="false" customFormat="false" customHeight="true" hidden="false" ht="15" outlineLevel="0" r="403">
      <c r="A403" s="4" t="s">
        <v>2491</v>
      </c>
      <c r="B403" s="4" t="s">
        <v>2430</v>
      </c>
      <c r="C403" s="4" t="s">
        <v>2492</v>
      </c>
      <c r="D403" s="4" t="s">
        <v>15</v>
      </c>
      <c r="E403" s="4"/>
      <c r="F403" s="4"/>
      <c r="G403" s="4"/>
      <c r="H403" s="4"/>
      <c r="I403" s="4"/>
      <c r="J403" s="4" t="s">
        <v>2497</v>
      </c>
      <c r="K403" s="4"/>
      <c r="L403" s="5"/>
      <c r="M403" s="4"/>
      <c r="N403" s="4"/>
      <c r="O403" s="4"/>
    </row>
    <row collapsed="false" customFormat="false" customHeight="true" hidden="false" ht="15" outlineLevel="0" r="404">
      <c r="A404" s="4" t="s">
        <v>288</v>
      </c>
      <c r="B404" s="4" t="s">
        <v>2430</v>
      </c>
      <c r="C404" s="4" t="s">
        <v>2498</v>
      </c>
      <c r="D404" s="4" t="s">
        <v>2499</v>
      </c>
      <c r="E404" s="4" t="s">
        <v>2433</v>
      </c>
      <c r="F404" s="4" t="s">
        <v>2434</v>
      </c>
      <c r="G404" s="4" t="s">
        <v>5</v>
      </c>
      <c r="H404" s="4" t="s">
        <v>6</v>
      </c>
      <c r="I404" s="4" t="s">
        <v>2435</v>
      </c>
      <c r="J404" s="4" t="s">
        <v>2436</v>
      </c>
      <c r="K404" s="4" t="s">
        <v>2437</v>
      </c>
      <c r="L404" s="5" t="str">
        <f aca="false">HYPERLINK("mailto:foia_hud.gov","mailto:foia_hud.gov")</f>
        <v>mailto:foia_hud.gov</v>
      </c>
      <c r="M404" s="4" t="s">
        <v>2438</v>
      </c>
      <c r="N404" s="5"/>
      <c r="O404" s="4"/>
    </row>
    <row collapsed="false" customFormat="false" customHeight="true" hidden="false" ht="15" outlineLevel="0" r="405">
      <c r="A405" s="4" t="s">
        <v>288</v>
      </c>
      <c r="B405" s="4" t="s">
        <v>2430</v>
      </c>
      <c r="C405" s="4" t="s">
        <v>2439</v>
      </c>
      <c r="D405" s="4" t="s">
        <v>12</v>
      </c>
      <c r="E405" s="4"/>
      <c r="F405" s="4"/>
      <c r="G405" s="4"/>
      <c r="H405" s="4"/>
      <c r="I405" s="4"/>
      <c r="J405" s="4" t="s">
        <v>2436</v>
      </c>
      <c r="K405" s="4"/>
      <c r="L405" s="5"/>
      <c r="M405" s="4"/>
      <c r="N405" s="4"/>
      <c r="O405" s="4"/>
    </row>
    <row collapsed="false" customFormat="false" customHeight="true" hidden="false" ht="15" outlineLevel="0" r="406">
      <c r="A406" s="4" t="s">
        <v>288</v>
      </c>
      <c r="B406" s="4" t="s">
        <v>2430</v>
      </c>
      <c r="C406" s="4" t="s">
        <v>2440</v>
      </c>
      <c r="D406" s="4" t="s">
        <v>15</v>
      </c>
      <c r="E406" s="4"/>
      <c r="F406" s="4"/>
      <c r="G406" s="4"/>
      <c r="H406" s="4"/>
      <c r="I406" s="4"/>
      <c r="J406" s="4" t="s">
        <v>2441</v>
      </c>
      <c r="K406" s="4"/>
      <c r="L406" s="5"/>
      <c r="M406" s="4"/>
      <c r="N406" s="4"/>
      <c r="O406" s="4"/>
    </row>
    <row collapsed="false" customFormat="false" customHeight="true" hidden="false" ht="15" outlineLevel="0" r="407">
      <c r="A407" s="4" t="s">
        <v>2500</v>
      </c>
      <c r="B407" s="4" t="s">
        <v>2501</v>
      </c>
      <c r="C407" s="4" t="s">
        <v>2502</v>
      </c>
      <c r="D407" s="4" t="s">
        <v>2503</v>
      </c>
      <c r="E407" s="4" t="s">
        <v>2504</v>
      </c>
      <c r="F407" s="4" t="s">
        <v>2505</v>
      </c>
      <c r="G407" s="4" t="s">
        <v>5</v>
      </c>
      <c r="H407" s="4" t="s">
        <v>6</v>
      </c>
      <c r="I407" s="4" t="n">
        <v>20240</v>
      </c>
      <c r="J407" s="4" t="s">
        <v>2506</v>
      </c>
      <c r="K407" s="4" t="s">
        <v>2507</v>
      </c>
      <c r="L407" s="5" t="str">
        <f aca="false">HYPERLINK("mailto:foia@bia.gov","mailto:foia@bia.gov")</f>
        <v>mailto:foia@bia.gov</v>
      </c>
      <c r="M407" s="4" t="s">
        <v>2508</v>
      </c>
      <c r="N407" s="5"/>
      <c r="O407" s="4"/>
    </row>
    <row collapsed="false" customFormat="false" customHeight="true" hidden="false" ht="15" outlineLevel="0" r="408">
      <c r="A408" s="4" t="s">
        <v>2500</v>
      </c>
      <c r="B408" s="4" t="s">
        <v>2501</v>
      </c>
      <c r="C408" s="4"/>
      <c r="D408" s="4" t="s">
        <v>12</v>
      </c>
      <c r="E408" s="4"/>
      <c r="F408" s="4"/>
      <c r="G408" s="4"/>
      <c r="H408" s="4"/>
      <c r="I408" s="4"/>
      <c r="J408" s="4" t="s">
        <v>2509</v>
      </c>
      <c r="K408" s="4"/>
      <c r="L408" s="5"/>
      <c r="M408" s="4"/>
      <c r="N408" s="4"/>
      <c r="O408" s="4"/>
    </row>
    <row collapsed="false" customFormat="false" customHeight="true" hidden="false" ht="15" outlineLevel="0" r="409">
      <c r="A409" s="4" t="s">
        <v>2500</v>
      </c>
      <c r="B409" s="4" t="s">
        <v>2501</v>
      </c>
      <c r="C409" s="4" t="s">
        <v>2502</v>
      </c>
      <c r="D409" s="4" t="s">
        <v>15</v>
      </c>
      <c r="E409" s="4"/>
      <c r="F409" s="4"/>
      <c r="G409" s="4"/>
      <c r="H409" s="4"/>
      <c r="I409" s="4"/>
      <c r="J409" s="4" t="s">
        <v>2506</v>
      </c>
      <c r="K409" s="4"/>
      <c r="L409" s="5"/>
      <c r="M409" s="4"/>
      <c r="N409" s="4"/>
      <c r="O409" s="4"/>
    </row>
    <row collapsed="false" customFormat="false" customHeight="true" hidden="false" ht="15" outlineLevel="0" r="410">
      <c r="A410" s="4" t="s">
        <v>2510</v>
      </c>
      <c r="B410" s="4" t="s">
        <v>2501</v>
      </c>
      <c r="C410" s="4" t="s">
        <v>2511</v>
      </c>
      <c r="D410" s="4" t="s">
        <v>114</v>
      </c>
      <c r="E410" s="4" t="s">
        <v>2512</v>
      </c>
      <c r="F410" s="4" t="s">
        <v>2505</v>
      </c>
      <c r="G410" s="4" t="s">
        <v>5</v>
      </c>
      <c r="H410" s="4" t="s">
        <v>6</v>
      </c>
      <c r="I410" s="4" t="n">
        <v>20240</v>
      </c>
      <c r="J410" s="4" t="s">
        <v>2513</v>
      </c>
      <c r="K410" s="4" t="s">
        <v>2514</v>
      </c>
      <c r="L410" s="5" t="str">
        <f aca="false">HYPERLINK("mailto:wo_foia@blm.gov","mailto:wo_foia@blm.gov")</f>
        <v>mailto:wo_foia@blm.gov</v>
      </c>
      <c r="M410" s="4" t="s">
        <v>2515</v>
      </c>
      <c r="N410" s="5"/>
      <c r="O410" s="4"/>
    </row>
    <row collapsed="false" customFormat="false" customHeight="true" hidden="false" ht="15" outlineLevel="0" r="411">
      <c r="A411" s="4" t="s">
        <v>2510</v>
      </c>
      <c r="B411" s="4" t="s">
        <v>2501</v>
      </c>
      <c r="C411" s="4"/>
      <c r="D411" s="4" t="s">
        <v>12</v>
      </c>
      <c r="E411" s="4"/>
      <c r="F411" s="4"/>
      <c r="G411" s="4"/>
      <c r="H411" s="4"/>
      <c r="I411" s="4"/>
      <c r="J411" s="4" t="s">
        <v>2516</v>
      </c>
      <c r="K411" s="4"/>
      <c r="L411" s="5"/>
      <c r="M411" s="4"/>
      <c r="N411" s="4"/>
      <c r="O411" s="4"/>
    </row>
    <row collapsed="false" customFormat="false" customHeight="true" hidden="false" ht="15" outlineLevel="0" r="412">
      <c r="A412" s="4" t="s">
        <v>2510</v>
      </c>
      <c r="B412" s="4" t="s">
        <v>2501</v>
      </c>
      <c r="C412" s="4" t="s">
        <v>2511</v>
      </c>
      <c r="D412" s="4" t="s">
        <v>15</v>
      </c>
      <c r="E412" s="4"/>
      <c r="F412" s="4"/>
      <c r="G412" s="4"/>
      <c r="H412" s="4"/>
      <c r="I412" s="4"/>
      <c r="J412" s="4" t="s">
        <v>2513</v>
      </c>
      <c r="K412" s="4"/>
      <c r="L412" s="5"/>
      <c r="M412" s="4"/>
      <c r="N412" s="4"/>
      <c r="O412" s="4"/>
    </row>
    <row collapsed="false" customFormat="false" customHeight="true" hidden="false" ht="15" outlineLevel="0" r="413">
      <c r="A413" s="4" t="s">
        <v>2517</v>
      </c>
      <c r="B413" s="4" t="s">
        <v>2501</v>
      </c>
      <c r="C413" s="4" t="s">
        <v>2518</v>
      </c>
      <c r="D413" s="4" t="s">
        <v>114</v>
      </c>
      <c r="E413" s="4" t="s">
        <v>2519</v>
      </c>
      <c r="F413" s="4" t="s">
        <v>2520</v>
      </c>
      <c r="G413" s="4" t="s">
        <v>2521</v>
      </c>
      <c r="H413" s="4" t="s">
        <v>31</v>
      </c>
      <c r="I413" s="4" t="s">
        <v>2522</v>
      </c>
      <c r="J413" s="4" t="s">
        <v>2523</v>
      </c>
      <c r="K413" s="4" t="s">
        <v>2524</v>
      </c>
      <c r="L413" s="5" t="str">
        <f aca="false">HYPERLINK("mailto:BOEMFOIA@boem.gov","mailto:BOEMFOIA@boem.gov")</f>
        <v>mailto:BOEMFOIA@boem.gov</v>
      </c>
      <c r="M413" s="5" t="str">
        <f aca="false">HYPERLINK("http://www.boem.gov/About-BOEM/FOIA/FOIA.aspx","http://www.boem.gov/About-BOEM/FOIA/FOIA.aspx")</f>
        <v>http://www.boem.gov/About-BOEM/FOIA/FOIA.aspx</v>
      </c>
      <c r="N413" s="5"/>
      <c r="O413" s="4"/>
    </row>
    <row collapsed="false" customFormat="false" customHeight="true" hidden="false" ht="15" outlineLevel="0" r="414">
      <c r="A414" s="4" t="s">
        <v>2517</v>
      </c>
      <c r="B414" s="4" t="s">
        <v>2501</v>
      </c>
      <c r="C414" s="4"/>
      <c r="D414" s="4" t="s">
        <v>12</v>
      </c>
      <c r="E414" s="4"/>
      <c r="F414" s="4"/>
      <c r="G414" s="4"/>
      <c r="H414" s="4"/>
      <c r="I414" s="4"/>
      <c r="J414" s="4" t="s">
        <v>2525</v>
      </c>
      <c r="K414" s="4"/>
      <c r="L414" s="5"/>
      <c r="M414" s="4"/>
      <c r="N414" s="4"/>
      <c r="O414" s="4"/>
    </row>
    <row collapsed="false" customFormat="false" customHeight="true" hidden="false" ht="15" outlineLevel="0" r="415">
      <c r="A415" s="4" t="s">
        <v>2517</v>
      </c>
      <c r="B415" s="4" t="s">
        <v>2501</v>
      </c>
      <c r="C415" s="4" t="s">
        <v>2518</v>
      </c>
      <c r="D415" s="4" t="s">
        <v>15</v>
      </c>
      <c r="E415" s="4"/>
      <c r="F415" s="4"/>
      <c r="G415" s="4"/>
      <c r="H415" s="4"/>
      <c r="I415" s="4"/>
      <c r="J415" s="4" t="s">
        <v>2523</v>
      </c>
      <c r="K415" s="4"/>
      <c r="L415" s="5"/>
      <c r="M415" s="4"/>
      <c r="N415" s="4"/>
      <c r="O415" s="4"/>
    </row>
    <row collapsed="false" customFormat="false" customHeight="true" hidden="false" ht="15" outlineLevel="0" r="416">
      <c r="A416" s="4" t="s">
        <v>2526</v>
      </c>
      <c r="B416" s="4" t="s">
        <v>2501</v>
      </c>
      <c r="C416" s="4" t="s">
        <v>2527</v>
      </c>
      <c r="D416" s="4" t="s">
        <v>2</v>
      </c>
      <c r="E416" s="4"/>
      <c r="F416" s="4" t="s">
        <v>2528</v>
      </c>
      <c r="G416" s="4" t="s">
        <v>264</v>
      </c>
      <c r="H416" s="4" t="s">
        <v>265</v>
      </c>
      <c r="I416" s="4" t="s">
        <v>2529</v>
      </c>
      <c r="J416" s="4" t="s">
        <v>2530</v>
      </c>
      <c r="K416" s="4" t="s">
        <v>2531</v>
      </c>
      <c r="L416" s="5" t="str">
        <f aca="false">HYPERLINK("mailto:bor_foia@usbr.gov","mailto:bor_foia@usbr.gov")</f>
        <v>mailto:bor_foia@usbr.gov</v>
      </c>
      <c r="M416" s="4" t="s">
        <v>2532</v>
      </c>
      <c r="N416" s="5"/>
      <c r="O416" s="4"/>
    </row>
    <row collapsed="false" customFormat="false" customHeight="true" hidden="false" ht="15" outlineLevel="0" r="417">
      <c r="A417" s="4" t="s">
        <v>2526</v>
      </c>
      <c r="B417" s="4" t="s">
        <v>2501</v>
      </c>
      <c r="C417" s="4"/>
      <c r="D417" s="4" t="s">
        <v>12</v>
      </c>
      <c r="E417" s="4"/>
      <c r="F417" s="4"/>
      <c r="G417" s="4"/>
      <c r="H417" s="4"/>
      <c r="I417" s="4"/>
      <c r="J417" s="4" t="s">
        <v>2533</v>
      </c>
      <c r="K417" s="4"/>
      <c r="L417" s="5"/>
      <c r="M417" s="4"/>
      <c r="N417" s="4"/>
      <c r="O417" s="4"/>
    </row>
    <row collapsed="false" customFormat="false" customHeight="true" hidden="false" ht="15" outlineLevel="0" r="418">
      <c r="A418" s="4" t="s">
        <v>2526</v>
      </c>
      <c r="B418" s="4" t="s">
        <v>2501</v>
      </c>
      <c r="C418" s="4" t="s">
        <v>2527</v>
      </c>
      <c r="D418" s="4" t="s">
        <v>15</v>
      </c>
      <c r="E418" s="4"/>
      <c r="F418" s="4"/>
      <c r="G418" s="4"/>
      <c r="H418" s="4"/>
      <c r="I418" s="4"/>
      <c r="J418" s="4" t="s">
        <v>2533</v>
      </c>
      <c r="K418" s="4"/>
      <c r="L418" s="5"/>
      <c r="M418" s="4"/>
      <c r="N418" s="4"/>
      <c r="O418" s="4"/>
    </row>
    <row collapsed="false" customFormat="false" customHeight="true" hidden="false" ht="15" outlineLevel="0" r="419">
      <c r="A419" s="4" t="s">
        <v>2534</v>
      </c>
      <c r="B419" s="4" t="s">
        <v>2501</v>
      </c>
      <c r="C419" s="4" t="s">
        <v>2535</v>
      </c>
      <c r="D419" s="4" t="s">
        <v>114</v>
      </c>
      <c r="E419" s="4" t="s">
        <v>2536</v>
      </c>
      <c r="F419" s="4" t="s">
        <v>2520</v>
      </c>
      <c r="G419" s="4" t="s">
        <v>2521</v>
      </c>
      <c r="H419" s="4" t="s">
        <v>31</v>
      </c>
      <c r="I419" s="4" t="s">
        <v>2522</v>
      </c>
      <c r="J419" s="4" t="s">
        <v>2537</v>
      </c>
      <c r="K419" s="4" t="s">
        <v>2538</v>
      </c>
      <c r="L419" s="5" t="str">
        <f aca="false">HYPERLINK("mailto:BSEEFOIA@bsee.gov","mailto:BSEEFOIA@bsee.gov")</f>
        <v>mailto:BSEEFOIA@bsee.gov</v>
      </c>
      <c r="M419" s="5" t="str">
        <f aca="false">HYPERLINK("http://www.bsee.gov/About-BSEE/FOIA/FOIA.aspx","http://www.bsee.gov/About-BSEE/FOIA/FOIA.aspx")</f>
        <v>http://www.bsee.gov/About-BSEE/FOIA/FOIA.aspx</v>
      </c>
      <c r="N419" s="5"/>
      <c r="O419" s="4"/>
    </row>
    <row collapsed="false" customFormat="false" customHeight="true" hidden="false" ht="15" outlineLevel="0" r="420">
      <c r="A420" s="4" t="s">
        <v>2534</v>
      </c>
      <c r="B420" s="4" t="s">
        <v>2501</v>
      </c>
      <c r="C420" s="4"/>
      <c r="D420" s="4" t="s">
        <v>12</v>
      </c>
      <c r="E420" s="4"/>
      <c r="F420" s="4"/>
      <c r="G420" s="4"/>
      <c r="H420" s="4"/>
      <c r="I420" s="4"/>
      <c r="J420" s="4" t="s">
        <v>2537</v>
      </c>
      <c r="K420" s="4"/>
      <c r="L420" s="5"/>
      <c r="M420" s="4"/>
      <c r="N420" s="4"/>
      <c r="O420" s="4"/>
    </row>
    <row collapsed="false" customFormat="false" customHeight="true" hidden="false" ht="15" outlineLevel="0" r="421">
      <c r="A421" s="4" t="s">
        <v>2534</v>
      </c>
      <c r="B421" s="4" t="s">
        <v>2501</v>
      </c>
      <c r="C421" s="4" t="s">
        <v>2535</v>
      </c>
      <c r="D421" s="4" t="s">
        <v>15</v>
      </c>
      <c r="E421" s="4"/>
      <c r="F421" s="4"/>
      <c r="G421" s="4"/>
      <c r="H421" s="4"/>
      <c r="I421" s="4"/>
      <c r="J421" s="4" t="s">
        <v>2537</v>
      </c>
      <c r="K421" s="4"/>
      <c r="L421" s="5"/>
      <c r="M421" s="4"/>
      <c r="N421" s="4"/>
      <c r="O421" s="4"/>
    </row>
    <row collapsed="false" customFormat="false" customHeight="true" hidden="false" ht="15" outlineLevel="0" r="422">
      <c r="A422" s="4" t="s">
        <v>2539</v>
      </c>
      <c r="B422" s="4" t="s">
        <v>2501</v>
      </c>
      <c r="C422" s="4" t="s">
        <v>2540</v>
      </c>
      <c r="D422" s="4" t="s">
        <v>2541</v>
      </c>
      <c r="E422" s="4" t="s">
        <v>2542</v>
      </c>
      <c r="F422" s="4" t="s">
        <v>2543</v>
      </c>
      <c r="G422" s="4" t="s">
        <v>30</v>
      </c>
      <c r="H422" s="4" t="s">
        <v>31</v>
      </c>
      <c r="I422" s="4" t="n">
        <v>22203</v>
      </c>
      <c r="J422" s="4" t="s">
        <v>2544</v>
      </c>
      <c r="K422" s="4" t="s">
        <v>2545</v>
      </c>
      <c r="L422" s="5" t="str">
        <f aca="false">HYPERLINK("mailto:r9foia@fws.gov","mailto:r9foia@fws.gov")</f>
        <v>mailto:r9foia@fws.gov</v>
      </c>
      <c r="M422" s="4" t="s">
        <v>2546</v>
      </c>
      <c r="N422" s="5"/>
      <c r="O422" s="4"/>
    </row>
    <row collapsed="false" customFormat="false" customHeight="true" hidden="false" ht="15" outlineLevel="0" r="423">
      <c r="A423" s="4" t="s">
        <v>2539</v>
      </c>
      <c r="B423" s="4" t="s">
        <v>2501</v>
      </c>
      <c r="C423" s="4"/>
      <c r="D423" s="4" t="s">
        <v>12</v>
      </c>
      <c r="E423" s="4"/>
      <c r="F423" s="4"/>
      <c r="G423" s="4"/>
      <c r="H423" s="4"/>
      <c r="I423" s="4"/>
      <c r="J423" s="4" t="s">
        <v>2544</v>
      </c>
      <c r="K423" s="4"/>
      <c r="L423" s="5"/>
      <c r="M423" s="4"/>
      <c r="N423" s="4"/>
      <c r="O423" s="4"/>
    </row>
    <row collapsed="false" customFormat="false" customHeight="true" hidden="false" ht="15" outlineLevel="0" r="424">
      <c r="A424" s="4" t="s">
        <v>2539</v>
      </c>
      <c r="B424" s="4" t="s">
        <v>2501</v>
      </c>
      <c r="C424" s="4" t="s">
        <v>2540</v>
      </c>
      <c r="D424" s="4" t="s">
        <v>15</v>
      </c>
      <c r="E424" s="4"/>
      <c r="F424" s="4"/>
      <c r="G424" s="4"/>
      <c r="H424" s="4"/>
      <c r="I424" s="4"/>
      <c r="J424" s="4" t="s">
        <v>2544</v>
      </c>
      <c r="K424" s="4"/>
      <c r="L424" s="5"/>
      <c r="M424" s="4"/>
      <c r="N424" s="4"/>
      <c r="O424" s="4"/>
    </row>
    <row collapsed="false" customFormat="false" customHeight="true" hidden="false" ht="15" outlineLevel="0" r="425">
      <c r="A425" s="4" t="s">
        <v>2547</v>
      </c>
      <c r="B425" s="4" t="s">
        <v>2501</v>
      </c>
      <c r="C425" s="4" t="s">
        <v>2548</v>
      </c>
      <c r="D425" s="4" t="s">
        <v>114</v>
      </c>
      <c r="E425" s="4" t="s">
        <v>2549</v>
      </c>
      <c r="F425" s="4" t="s">
        <v>2550</v>
      </c>
      <c r="G425" s="4" t="s">
        <v>2551</v>
      </c>
      <c r="H425" s="4" t="s">
        <v>31</v>
      </c>
      <c r="I425" s="4" t="n">
        <v>20192</v>
      </c>
      <c r="J425" s="4" t="s">
        <v>2552</v>
      </c>
      <c r="K425" s="4" t="s">
        <v>2553</v>
      </c>
      <c r="L425" s="5" t="str">
        <f aca="false">HYPERLINK("mailto:foia@usgs.gov","mailto:foia@usgs.gov")</f>
        <v>mailto:foia@usgs.gov</v>
      </c>
      <c r="M425" s="4" t="s">
        <v>2554</v>
      </c>
      <c r="N425" s="5"/>
      <c r="O425" s="4"/>
    </row>
    <row collapsed="false" customFormat="false" customHeight="true" hidden="false" ht="15" outlineLevel="0" r="426">
      <c r="A426" s="4" t="s">
        <v>2547</v>
      </c>
      <c r="B426" s="4" t="s">
        <v>2501</v>
      </c>
      <c r="C426" s="4"/>
      <c r="D426" s="4" t="s">
        <v>12</v>
      </c>
      <c r="E426" s="4"/>
      <c r="F426" s="4"/>
      <c r="G426" s="4"/>
      <c r="H426" s="4"/>
      <c r="I426" s="4"/>
      <c r="J426" s="4" t="s">
        <v>2552</v>
      </c>
      <c r="K426" s="4"/>
      <c r="L426" s="5"/>
      <c r="M426" s="4"/>
      <c r="N426" s="4"/>
      <c r="O426" s="4"/>
    </row>
    <row collapsed="false" customFormat="false" customHeight="true" hidden="false" ht="15" outlineLevel="0" r="427">
      <c r="A427" s="4" t="s">
        <v>2547</v>
      </c>
      <c r="B427" s="4" t="s">
        <v>2501</v>
      </c>
      <c r="C427" s="4" t="s">
        <v>2548</v>
      </c>
      <c r="D427" s="4" t="s">
        <v>15</v>
      </c>
      <c r="E427" s="4"/>
      <c r="F427" s="4"/>
      <c r="G427" s="4"/>
      <c r="H427" s="4"/>
      <c r="I427" s="4"/>
      <c r="J427" s="4" t="s">
        <v>2552</v>
      </c>
      <c r="K427" s="4"/>
      <c r="L427" s="5"/>
      <c r="M427" s="4"/>
      <c r="N427" s="4"/>
      <c r="O427" s="4"/>
    </row>
    <row collapsed="false" customFormat="false" customHeight="true" hidden="false" ht="15" outlineLevel="0" r="428">
      <c r="A428" s="4" t="s">
        <v>2555</v>
      </c>
      <c r="B428" s="4" t="s">
        <v>2501</v>
      </c>
      <c r="C428" s="4" t="s">
        <v>2556</v>
      </c>
      <c r="D428" s="4" t="s">
        <v>2557</v>
      </c>
      <c r="E428" s="4" t="s">
        <v>2558</v>
      </c>
      <c r="F428" s="4" t="s">
        <v>2559</v>
      </c>
      <c r="G428" s="4" t="s">
        <v>264</v>
      </c>
      <c r="H428" s="4" t="s">
        <v>265</v>
      </c>
      <c r="I428" s="4" t="n">
        <v>80225</v>
      </c>
      <c r="J428" s="4" t="s">
        <v>2560</v>
      </c>
      <c r="K428" s="4" t="s">
        <v>2561</v>
      </c>
      <c r="L428" s="5" t="str">
        <f aca="false">HYPERLINK("mailto:npsfoia@nps.gov","mailto:npsfoia@nps.gov")</f>
        <v>mailto:npsfoia@nps.gov</v>
      </c>
      <c r="M428" s="4" t="s">
        <v>2562</v>
      </c>
      <c r="N428" s="5"/>
      <c r="O428" s="4"/>
    </row>
    <row collapsed="false" customFormat="false" customHeight="true" hidden="false" ht="15" outlineLevel="0" r="429">
      <c r="A429" s="4" t="s">
        <v>2555</v>
      </c>
      <c r="B429" s="4" t="s">
        <v>2501</v>
      </c>
      <c r="C429" s="4"/>
      <c r="D429" s="4" t="s">
        <v>12</v>
      </c>
      <c r="E429" s="4"/>
      <c r="F429" s="4"/>
      <c r="G429" s="4"/>
      <c r="H429" s="4"/>
      <c r="I429" s="4"/>
      <c r="J429" s="4" t="s">
        <v>2563</v>
      </c>
      <c r="K429" s="4"/>
      <c r="L429" s="5"/>
      <c r="M429" s="4"/>
      <c r="N429" s="4"/>
      <c r="O429" s="4"/>
    </row>
    <row collapsed="false" customFormat="false" customHeight="true" hidden="false" ht="15" outlineLevel="0" r="430">
      <c r="A430" s="4" t="s">
        <v>2555</v>
      </c>
      <c r="B430" s="4" t="s">
        <v>2501</v>
      </c>
      <c r="C430" s="4" t="s">
        <v>2556</v>
      </c>
      <c r="D430" s="4" t="s">
        <v>15</v>
      </c>
      <c r="E430" s="4"/>
      <c r="F430" s="4"/>
      <c r="G430" s="4"/>
      <c r="H430" s="4"/>
      <c r="I430" s="4"/>
      <c r="J430" s="4" t="s">
        <v>2564</v>
      </c>
      <c r="K430" s="4"/>
      <c r="L430" s="5"/>
      <c r="M430" s="4"/>
      <c r="N430" s="4"/>
      <c r="O430" s="4"/>
    </row>
    <row collapsed="false" customFormat="false" customHeight="true" hidden="false" ht="15" outlineLevel="0" r="431">
      <c r="A431" s="4" t="s">
        <v>600</v>
      </c>
      <c r="B431" s="4" t="s">
        <v>2501</v>
      </c>
      <c r="C431" s="4" t="s">
        <v>2565</v>
      </c>
      <c r="D431" s="4" t="s">
        <v>114</v>
      </c>
      <c r="E431" s="4" t="s">
        <v>2566</v>
      </c>
      <c r="F431" s="4" t="s">
        <v>2505</v>
      </c>
      <c r="G431" s="4" t="s">
        <v>5</v>
      </c>
      <c r="H431" s="4" t="s">
        <v>6</v>
      </c>
      <c r="I431" s="4" t="n">
        <v>20240</v>
      </c>
      <c r="J431" s="4" t="s">
        <v>2567</v>
      </c>
      <c r="K431" s="4" t="s">
        <v>2568</v>
      </c>
      <c r="L431" s="5" t="str">
        <f aca="false">HYPERLINK("mailto:foia@doioig.gov","mailto:foia@doioig.gov")</f>
        <v>mailto:foia@doioig.gov</v>
      </c>
      <c r="M431" s="4" t="s">
        <v>2569</v>
      </c>
      <c r="N431" s="5"/>
      <c r="O431" s="4"/>
    </row>
    <row collapsed="false" customFormat="false" customHeight="true" hidden="false" ht="15" outlineLevel="0" r="432">
      <c r="A432" s="4" t="s">
        <v>600</v>
      </c>
      <c r="B432" s="4" t="s">
        <v>2501</v>
      </c>
      <c r="C432" s="4"/>
      <c r="D432" s="4" t="s">
        <v>12</v>
      </c>
      <c r="E432" s="4"/>
      <c r="F432" s="4"/>
      <c r="G432" s="4"/>
      <c r="H432" s="4"/>
      <c r="I432" s="4"/>
      <c r="J432" s="4" t="s">
        <v>2570</v>
      </c>
      <c r="K432" s="4"/>
      <c r="L432" s="5"/>
      <c r="M432" s="4"/>
      <c r="N432" s="4"/>
      <c r="O432" s="4"/>
    </row>
    <row collapsed="false" customFormat="false" customHeight="true" hidden="false" ht="15" outlineLevel="0" r="433">
      <c r="A433" s="4" t="s">
        <v>600</v>
      </c>
      <c r="B433" s="4" t="s">
        <v>2501</v>
      </c>
      <c r="C433" s="4" t="s">
        <v>2565</v>
      </c>
      <c r="D433" s="4" t="s">
        <v>15</v>
      </c>
      <c r="E433" s="4"/>
      <c r="F433" s="4"/>
      <c r="G433" s="4"/>
      <c r="H433" s="4"/>
      <c r="I433" s="4"/>
      <c r="J433" s="4" t="s">
        <v>2567</v>
      </c>
      <c r="K433" s="4"/>
      <c r="L433" s="5"/>
      <c r="M433" s="4"/>
      <c r="N433" s="4"/>
      <c r="O433" s="4"/>
    </row>
    <row collapsed="false" customFormat="false" customHeight="true" hidden="false" ht="15" outlineLevel="0" r="434">
      <c r="A434" s="4" t="s">
        <v>2571</v>
      </c>
      <c r="B434" s="4" t="s">
        <v>2501</v>
      </c>
      <c r="C434" s="4" t="s">
        <v>2572</v>
      </c>
      <c r="D434" s="4" t="s">
        <v>114</v>
      </c>
      <c r="E434" s="4" t="s">
        <v>2573</v>
      </c>
      <c r="F434" s="4" t="s">
        <v>2574</v>
      </c>
      <c r="G434" s="4" t="s">
        <v>264</v>
      </c>
      <c r="H434" s="4" t="s">
        <v>265</v>
      </c>
      <c r="I434" s="4" t="s">
        <v>2575</v>
      </c>
      <c r="J434" s="4" t="s">
        <v>2576</v>
      </c>
      <c r="K434" s="4" t="s">
        <v>2577</v>
      </c>
      <c r="L434" s="5" t="str">
        <f aca="false">HYPERLINK("mailto:mrmfoia@onrr.gov","mailto:mrmfoia@onrr.gov")</f>
        <v>mailto:mrmfoia@onrr.gov</v>
      </c>
      <c r="M434" s="5" t="str">
        <f aca="false">HYPERLINK("http://www.onrr.gov/FOIA/","http://www.onrr.gov/FOIA/")</f>
        <v>http://www.onrr.gov/FOIA/</v>
      </c>
      <c r="N434" s="5"/>
      <c r="O434" s="4"/>
    </row>
    <row collapsed="false" customFormat="false" customHeight="true" hidden="false" ht="15" outlineLevel="0" r="435">
      <c r="A435" s="4" t="s">
        <v>2571</v>
      </c>
      <c r="B435" s="4" t="s">
        <v>2501</v>
      </c>
      <c r="C435" s="4"/>
      <c r="D435" s="4" t="s">
        <v>12</v>
      </c>
      <c r="E435" s="4"/>
      <c r="F435" s="4"/>
      <c r="G435" s="4"/>
      <c r="H435" s="4"/>
      <c r="I435" s="4"/>
      <c r="J435" s="4" t="s">
        <v>2576</v>
      </c>
      <c r="K435" s="4"/>
      <c r="L435" s="5"/>
      <c r="M435" s="4"/>
      <c r="N435" s="4"/>
      <c r="O435" s="4"/>
    </row>
    <row collapsed="false" customFormat="false" customHeight="true" hidden="false" ht="15" outlineLevel="0" r="436">
      <c r="A436" s="4" t="s">
        <v>2571</v>
      </c>
      <c r="B436" s="4" t="s">
        <v>2501</v>
      </c>
      <c r="C436" s="4" t="s">
        <v>2572</v>
      </c>
      <c r="D436" s="4" t="s">
        <v>15</v>
      </c>
      <c r="E436" s="4"/>
      <c r="F436" s="4"/>
      <c r="G436" s="4"/>
      <c r="H436" s="4"/>
      <c r="I436" s="4"/>
      <c r="J436" s="4" t="s">
        <v>2576</v>
      </c>
      <c r="K436" s="4"/>
      <c r="L436" s="5"/>
      <c r="M436" s="4"/>
      <c r="N436" s="4"/>
      <c r="O436" s="4"/>
    </row>
    <row collapsed="false" customFormat="false" customHeight="true" hidden="false" ht="15" outlineLevel="0" r="437">
      <c r="A437" s="4" t="s">
        <v>1578</v>
      </c>
      <c r="B437" s="4" t="s">
        <v>2501</v>
      </c>
      <c r="C437" s="4" t="s">
        <v>2578</v>
      </c>
      <c r="D437" s="4" t="s">
        <v>114</v>
      </c>
      <c r="E437" s="4" t="s">
        <v>2579</v>
      </c>
      <c r="F437" s="4" t="s">
        <v>2580</v>
      </c>
      <c r="G437" s="4" t="s">
        <v>5</v>
      </c>
      <c r="H437" s="4" t="s">
        <v>6</v>
      </c>
      <c r="I437" s="4" t="n">
        <v>20240</v>
      </c>
      <c r="J437" s="4" t="s">
        <v>2581</v>
      </c>
      <c r="K437" s="4" t="s">
        <v>2582</v>
      </c>
      <c r="L437" s="5" t="str">
        <f aca="false">HYPERLINK("mailto:osfoia@ios.doi.gov","mailto:osfoia@ios.doi.gov")</f>
        <v>mailto:osfoia@ios.doi.gov</v>
      </c>
      <c r="M437" s="5" t="str">
        <f aca="false">HYPERLINK("http://www.doi.gov/foia/OS-FOIA-Office.cfm","http://www.doi.gov/foia/OS-FOIA-Office.cfm")</f>
        <v>http://www.doi.gov/foia/OS-FOIA-Office.cfm</v>
      </c>
      <c r="N437" s="5"/>
      <c r="O437" s="4"/>
    </row>
    <row collapsed="false" customFormat="false" customHeight="true" hidden="false" ht="15" outlineLevel="0" r="438">
      <c r="A438" s="4" t="s">
        <v>1578</v>
      </c>
      <c r="B438" s="4" t="s">
        <v>2501</v>
      </c>
      <c r="C438" s="4"/>
      <c r="D438" s="4" t="s">
        <v>12</v>
      </c>
      <c r="E438" s="4"/>
      <c r="F438" s="4"/>
      <c r="G438" s="4"/>
      <c r="H438" s="4"/>
      <c r="I438" s="4"/>
      <c r="J438" s="4" t="s">
        <v>2583</v>
      </c>
      <c r="K438" s="4"/>
      <c r="L438" s="5"/>
      <c r="M438" s="4"/>
      <c r="N438" s="4"/>
      <c r="O438" s="4"/>
    </row>
    <row collapsed="false" customFormat="false" customHeight="true" hidden="false" ht="15" outlineLevel="0" r="439">
      <c r="A439" s="4" t="s">
        <v>1578</v>
      </c>
      <c r="B439" s="4" t="s">
        <v>2501</v>
      </c>
      <c r="C439" s="4" t="s">
        <v>2578</v>
      </c>
      <c r="D439" s="4" t="s">
        <v>15</v>
      </c>
      <c r="E439" s="4"/>
      <c r="F439" s="4"/>
      <c r="G439" s="4"/>
      <c r="H439" s="4"/>
      <c r="I439" s="4"/>
      <c r="J439" s="4" t="s">
        <v>2584</v>
      </c>
      <c r="K439" s="4"/>
      <c r="L439" s="5"/>
      <c r="M439" s="4"/>
      <c r="N439" s="4"/>
      <c r="O439" s="4"/>
    </row>
    <row collapsed="false" customFormat="false" customHeight="true" hidden="false" ht="15" outlineLevel="0" r="440">
      <c r="A440" s="4" t="s">
        <v>2585</v>
      </c>
      <c r="B440" s="4" t="s">
        <v>2501</v>
      </c>
      <c r="C440" s="4" t="s">
        <v>2586</v>
      </c>
      <c r="D440" s="4" t="s">
        <v>2587</v>
      </c>
      <c r="E440" s="4" t="s">
        <v>2588</v>
      </c>
      <c r="F440" s="4" t="s">
        <v>2505</v>
      </c>
      <c r="G440" s="4" t="s">
        <v>5</v>
      </c>
      <c r="H440" s="4" t="s">
        <v>6</v>
      </c>
      <c r="I440" s="4" t="n">
        <v>20240</v>
      </c>
      <c r="J440" s="4" t="s">
        <v>2589</v>
      </c>
      <c r="K440" s="4" t="s">
        <v>2590</v>
      </c>
      <c r="L440" s="5" t="str">
        <f aca="false">HYPERLINK("mailto:sol.foia@sol.doi.gov","mailto:sol.foia@sol.doi.gov")</f>
        <v>mailto:sol.foia@sol.doi.gov</v>
      </c>
      <c r="M440" s="4" t="s">
        <v>2591</v>
      </c>
      <c r="N440" s="5"/>
      <c r="O440" s="4"/>
    </row>
    <row collapsed="false" customFormat="false" customHeight="true" hidden="false" ht="15" outlineLevel="0" r="441">
      <c r="A441" s="4" t="s">
        <v>2585</v>
      </c>
      <c r="B441" s="4" t="s">
        <v>2501</v>
      </c>
      <c r="C441" s="4"/>
      <c r="D441" s="4" t="s">
        <v>12</v>
      </c>
      <c r="E441" s="4"/>
      <c r="F441" s="4"/>
      <c r="G441" s="4"/>
      <c r="H441" s="4"/>
      <c r="I441" s="4"/>
      <c r="J441" s="4" t="s">
        <v>2592</v>
      </c>
      <c r="K441" s="4"/>
      <c r="L441" s="5"/>
      <c r="M441" s="4"/>
      <c r="N441" s="4"/>
      <c r="O441" s="4"/>
    </row>
    <row collapsed="false" customFormat="false" customHeight="true" hidden="false" ht="15" outlineLevel="0" r="442">
      <c r="A442" s="4" t="s">
        <v>2585</v>
      </c>
      <c r="B442" s="4" t="s">
        <v>2501</v>
      </c>
      <c r="C442" s="4" t="s">
        <v>2586</v>
      </c>
      <c r="D442" s="4" t="s">
        <v>15</v>
      </c>
      <c r="E442" s="4"/>
      <c r="F442" s="4"/>
      <c r="G442" s="4"/>
      <c r="H442" s="4"/>
      <c r="I442" s="4"/>
      <c r="J442" s="4" t="s">
        <v>2589</v>
      </c>
      <c r="K442" s="4"/>
      <c r="L442" s="5"/>
      <c r="M442" s="4"/>
      <c r="N442" s="4"/>
      <c r="O442" s="4"/>
    </row>
    <row collapsed="false" customFormat="false" customHeight="true" hidden="false" ht="15" outlineLevel="0" r="443">
      <c r="A443" s="4" t="s">
        <v>2593</v>
      </c>
      <c r="B443" s="4" t="s">
        <v>2501</v>
      </c>
      <c r="C443" s="4" t="s">
        <v>2594</v>
      </c>
      <c r="D443" s="4" t="s">
        <v>114</v>
      </c>
      <c r="E443" s="4" t="s">
        <v>2595</v>
      </c>
      <c r="F443" s="4" t="s">
        <v>2580</v>
      </c>
      <c r="G443" s="4" t="s">
        <v>5</v>
      </c>
      <c r="H443" s="4" t="s">
        <v>6</v>
      </c>
      <c r="I443" s="4" t="n">
        <v>20240</v>
      </c>
      <c r="J443" s="4" t="s">
        <v>2596</v>
      </c>
      <c r="K443" s="4" t="s">
        <v>2597</v>
      </c>
      <c r="L443" s="5" t="str">
        <f aca="false">HYPERLINK("mailto:foia@osmre.gov","mailto:foia@osmre.gov")</f>
        <v>mailto:foia@osmre.gov</v>
      </c>
      <c r="M443" s="4" t="s">
        <v>2598</v>
      </c>
      <c r="N443" s="5"/>
      <c r="O443" s="4"/>
    </row>
    <row collapsed="false" customFormat="false" customHeight="true" hidden="false" ht="15" outlineLevel="0" r="444">
      <c r="A444" s="4" t="s">
        <v>2593</v>
      </c>
      <c r="B444" s="4" t="s">
        <v>2501</v>
      </c>
      <c r="C444" s="4"/>
      <c r="D444" s="4" t="s">
        <v>12</v>
      </c>
      <c r="E444" s="4"/>
      <c r="F444" s="4"/>
      <c r="G444" s="4"/>
      <c r="H444" s="4"/>
      <c r="I444" s="4"/>
      <c r="J444" s="4" t="s">
        <v>2599</v>
      </c>
      <c r="K444" s="4"/>
      <c r="L444" s="5"/>
      <c r="M444" s="4"/>
      <c r="N444" s="4"/>
      <c r="O444" s="4"/>
    </row>
    <row collapsed="false" customFormat="false" customHeight="true" hidden="false" ht="15" outlineLevel="0" r="445">
      <c r="A445" s="4" t="s">
        <v>2593</v>
      </c>
      <c r="B445" s="4" t="s">
        <v>2501</v>
      </c>
      <c r="C445" s="4" t="s">
        <v>2594</v>
      </c>
      <c r="D445" s="4" t="s">
        <v>15</v>
      </c>
      <c r="E445" s="4"/>
      <c r="F445" s="4"/>
      <c r="G445" s="4"/>
      <c r="H445" s="4"/>
      <c r="I445" s="4"/>
      <c r="J445" s="4" t="s">
        <v>2599</v>
      </c>
      <c r="K445" s="4"/>
      <c r="L445" s="5"/>
      <c r="M445" s="4"/>
      <c r="N445" s="4"/>
      <c r="O445" s="4"/>
    </row>
    <row collapsed="false" customFormat="false" customHeight="true" hidden="false" ht="15" outlineLevel="0" r="446">
      <c r="A446" s="4" t="s">
        <v>2600</v>
      </c>
      <c r="B446" s="4" t="s">
        <v>2501</v>
      </c>
      <c r="C446" s="4" t="s">
        <v>2601</v>
      </c>
      <c r="D446" s="4" t="s">
        <v>114</v>
      </c>
      <c r="E446" s="4" t="s">
        <v>2602</v>
      </c>
      <c r="F446" s="4" t="s">
        <v>2505</v>
      </c>
      <c r="G446" s="4" t="s">
        <v>5</v>
      </c>
      <c r="H446" s="4" t="s">
        <v>6</v>
      </c>
      <c r="I446" s="4" t="n">
        <v>20240</v>
      </c>
      <c r="J446" s="4" t="s">
        <v>2603</v>
      </c>
      <c r="K446" s="4"/>
      <c r="L446" s="5" t="str">
        <f aca="false">HYPERLINK("mailto:Veronica_Herkshan@ost.doi.gov","mailto:Veronica_Herkshan@ost.doi.gov")</f>
        <v>mailto:Veronica_Herkshan@ost.doi.gov</v>
      </c>
      <c r="M446" s="5" t="str">
        <f aca="false">HYPERLINK("http://www.ost.doi.gov/","http://www.ost.doi.gov/")</f>
        <v>http://www.ost.doi.gov/</v>
      </c>
      <c r="N446" s="5"/>
      <c r="O446" s="4"/>
    </row>
    <row collapsed="false" customFormat="false" customHeight="true" hidden="false" ht="15" outlineLevel="0" r="447">
      <c r="A447" s="4" t="s">
        <v>2600</v>
      </c>
      <c r="B447" s="4" t="s">
        <v>2501</v>
      </c>
      <c r="C447" s="4"/>
      <c r="D447" s="4" t="s">
        <v>12</v>
      </c>
      <c r="E447" s="4"/>
      <c r="F447" s="4"/>
      <c r="G447" s="4"/>
      <c r="H447" s="4"/>
      <c r="I447" s="4"/>
      <c r="J447" s="4" t="s">
        <v>2603</v>
      </c>
      <c r="K447" s="4"/>
      <c r="L447" s="5"/>
      <c r="M447" s="4"/>
      <c r="N447" s="4"/>
      <c r="O447" s="4"/>
    </row>
    <row collapsed="false" customFormat="false" customHeight="true" hidden="false" ht="15" outlineLevel="0" r="448">
      <c r="A448" s="4" t="s">
        <v>2600</v>
      </c>
      <c r="B448" s="4" t="s">
        <v>2501</v>
      </c>
      <c r="C448" s="4" t="s">
        <v>2601</v>
      </c>
      <c r="D448" s="4" t="s">
        <v>15</v>
      </c>
      <c r="E448" s="4"/>
      <c r="F448" s="4"/>
      <c r="G448" s="4"/>
      <c r="H448" s="4"/>
      <c r="I448" s="4"/>
      <c r="J448" s="4"/>
      <c r="K448" s="4"/>
      <c r="L448" s="5"/>
      <c r="M448" s="4"/>
      <c r="N448" s="4"/>
      <c r="O448" s="4"/>
    </row>
    <row collapsed="false" customFormat="false" customHeight="true" hidden="false" ht="15" outlineLevel="0" r="449">
      <c r="A449" s="4" t="s">
        <v>2604</v>
      </c>
      <c r="B449" s="4" t="s">
        <v>2605</v>
      </c>
      <c r="C449" s="4" t="s">
        <v>2606</v>
      </c>
      <c r="D449" s="4" t="s">
        <v>2607</v>
      </c>
      <c r="E449" s="4" t="s">
        <v>2608</v>
      </c>
      <c r="F449" s="4" t="s">
        <v>2609</v>
      </c>
      <c r="G449" s="4" t="s">
        <v>5</v>
      </c>
      <c r="H449" s="4" t="s">
        <v>6</v>
      </c>
      <c r="I449" s="4" t="s">
        <v>2610</v>
      </c>
      <c r="J449" s="4" t="s">
        <v>2611</v>
      </c>
      <c r="K449" s="4" t="s">
        <v>2612</v>
      </c>
      <c r="L449" s="5" t="str">
        <f aca="false">HYPERLINK("mailto:DOJ.OIP.Initial.Requests@usdoj.gov","mailto:DOJ.OIP.Initial.Requests@usdoj.gov")</f>
        <v>mailto:DOJ.OIP.Initial.Requests@usdoj.gov</v>
      </c>
      <c r="M449" s="4" t="s">
        <v>2613</v>
      </c>
      <c r="N449" s="5"/>
      <c r="O449" s="4"/>
    </row>
    <row collapsed="false" customFormat="false" customHeight="true" hidden="false" ht="15" outlineLevel="0" r="450">
      <c r="A450" s="4" t="s">
        <v>2604</v>
      </c>
      <c r="B450" s="4" t="s">
        <v>2605</v>
      </c>
      <c r="C450" s="4"/>
      <c r="D450" s="4" t="s">
        <v>12</v>
      </c>
      <c r="E450" s="4"/>
      <c r="F450" s="4"/>
      <c r="G450" s="4"/>
      <c r="H450" s="4"/>
      <c r="I450" s="4"/>
      <c r="J450" s="4" t="s">
        <v>2614</v>
      </c>
      <c r="K450" s="4"/>
      <c r="L450" s="5"/>
      <c r="M450" s="4"/>
      <c r="N450" s="4"/>
      <c r="O450" s="4"/>
    </row>
    <row collapsed="false" customFormat="false" customHeight="true" hidden="false" ht="15" outlineLevel="0" r="451">
      <c r="A451" s="4" t="s">
        <v>2604</v>
      </c>
      <c r="B451" s="4" t="s">
        <v>2605</v>
      </c>
      <c r="C451" s="4" t="s">
        <v>2615</v>
      </c>
      <c r="D451" s="4" t="s">
        <v>15</v>
      </c>
      <c r="E451" s="4"/>
      <c r="F451" s="4"/>
      <c r="G451" s="4"/>
      <c r="H451" s="4"/>
      <c r="I451" s="4"/>
      <c r="J451" s="4" t="s">
        <v>2611</v>
      </c>
      <c r="K451" s="4"/>
      <c r="L451" s="5"/>
      <c r="M451" s="4"/>
      <c r="N451" s="4"/>
      <c r="O451" s="4"/>
    </row>
    <row collapsed="false" customFormat="false" customHeight="true" hidden="false" ht="15" outlineLevel="0" r="452">
      <c r="A452" s="4" t="s">
        <v>2616</v>
      </c>
      <c r="B452" s="4" t="s">
        <v>2605</v>
      </c>
      <c r="C452" s="4" t="s">
        <v>2606</v>
      </c>
      <c r="D452" s="4" t="s">
        <v>2607</v>
      </c>
      <c r="E452" s="4" t="s">
        <v>2608</v>
      </c>
      <c r="F452" s="4" t="s">
        <v>2609</v>
      </c>
      <c r="G452" s="4" t="s">
        <v>5</v>
      </c>
      <c r="H452" s="4" t="s">
        <v>6</v>
      </c>
      <c r="I452" s="4" t="s">
        <v>2610</v>
      </c>
      <c r="J452" s="4" t="s">
        <v>2611</v>
      </c>
      <c r="K452" s="4" t="s">
        <v>2612</v>
      </c>
      <c r="L452" s="5" t="str">
        <f aca="false">HYPERLINK("mailto:DOJ.OIP.Initial.Requests@usdoj.gov","mailto:DOJ.OIP.Initial.Requests@usdoj.gov")</f>
        <v>mailto:DOJ.OIP.Initial.Requests@usdoj.gov</v>
      </c>
      <c r="M452" s="4" t="s">
        <v>2617</v>
      </c>
      <c r="N452" s="5"/>
      <c r="O452" s="4"/>
    </row>
    <row collapsed="false" customFormat="false" customHeight="true" hidden="false" ht="15" outlineLevel="0" r="453">
      <c r="A453" s="4" t="s">
        <v>2616</v>
      </c>
      <c r="B453" s="4" t="s">
        <v>2605</v>
      </c>
      <c r="C453" s="4"/>
      <c r="D453" s="4" t="s">
        <v>12</v>
      </c>
      <c r="E453" s="4"/>
      <c r="F453" s="4"/>
      <c r="G453" s="4"/>
      <c r="H453" s="4"/>
      <c r="I453" s="4"/>
      <c r="J453" s="4" t="s">
        <v>2614</v>
      </c>
      <c r="K453" s="4"/>
      <c r="L453" s="5"/>
      <c r="M453" s="4"/>
      <c r="N453" s="4"/>
      <c r="O453" s="4"/>
    </row>
    <row collapsed="false" customFormat="false" customHeight="true" hidden="false" ht="15" outlineLevel="0" r="454">
      <c r="A454" s="4" t="s">
        <v>2616</v>
      </c>
      <c r="B454" s="4" t="s">
        <v>2605</v>
      </c>
      <c r="C454" s="4" t="s">
        <v>2615</v>
      </c>
      <c r="D454" s="4" t="s">
        <v>15</v>
      </c>
      <c r="E454" s="4"/>
      <c r="F454" s="4"/>
      <c r="G454" s="4"/>
      <c r="H454" s="4"/>
      <c r="I454" s="4"/>
      <c r="J454" s="4" t="s">
        <v>2611</v>
      </c>
      <c r="K454" s="4"/>
      <c r="L454" s="5"/>
      <c r="M454" s="4"/>
      <c r="N454" s="4"/>
      <c r="O454" s="4"/>
    </row>
    <row collapsed="false" customFormat="false" customHeight="true" hidden="false" ht="15" outlineLevel="0" r="455">
      <c r="A455" s="4" t="s">
        <v>2618</v>
      </c>
      <c r="B455" s="4" t="s">
        <v>2605</v>
      </c>
      <c r="C455" s="4" t="s">
        <v>2606</v>
      </c>
      <c r="D455" s="4" t="s">
        <v>2607</v>
      </c>
      <c r="E455" s="4" t="s">
        <v>2608</v>
      </c>
      <c r="F455" s="4" t="s">
        <v>2609</v>
      </c>
      <c r="G455" s="4" t="s">
        <v>5</v>
      </c>
      <c r="H455" s="4" t="s">
        <v>6</v>
      </c>
      <c r="I455" s="4" t="s">
        <v>2610</v>
      </c>
      <c r="J455" s="4" t="s">
        <v>2611</v>
      </c>
      <c r="K455" s="4" t="s">
        <v>2612</v>
      </c>
      <c r="L455" s="5" t="str">
        <f aca="false">HYPERLINK("mailto:DOJ.OIP.Initial.Requests@usdoj.gov","mailto:DOJ.OIP.Initial.Requests@usdoj.gov")</f>
        <v>mailto:DOJ.OIP.Initial.Requests@usdoj.gov</v>
      </c>
      <c r="M455" s="4" t="s">
        <v>2619</v>
      </c>
      <c r="N455" s="5"/>
      <c r="O455" s="4"/>
    </row>
    <row collapsed="false" customFormat="false" customHeight="true" hidden="false" ht="15" outlineLevel="0" r="456">
      <c r="A456" s="4" t="s">
        <v>2618</v>
      </c>
      <c r="B456" s="4" t="s">
        <v>2605</v>
      </c>
      <c r="C456" s="4"/>
      <c r="D456" s="4" t="s">
        <v>12</v>
      </c>
      <c r="E456" s="4"/>
      <c r="F456" s="4"/>
      <c r="G456" s="4"/>
      <c r="H456" s="4"/>
      <c r="I456" s="4"/>
      <c r="J456" s="4" t="s">
        <v>2614</v>
      </c>
      <c r="K456" s="4"/>
      <c r="L456" s="5"/>
      <c r="M456" s="4"/>
      <c r="N456" s="4"/>
      <c r="O456" s="4"/>
    </row>
    <row collapsed="false" customFormat="false" customHeight="true" hidden="false" ht="15" outlineLevel="0" r="457">
      <c r="A457" s="4" t="s">
        <v>2618</v>
      </c>
      <c r="B457" s="4" t="s">
        <v>2605</v>
      </c>
      <c r="C457" s="4" t="s">
        <v>2615</v>
      </c>
      <c r="D457" s="4" t="s">
        <v>15</v>
      </c>
      <c r="E457" s="4"/>
      <c r="F457" s="4"/>
      <c r="G457" s="4"/>
      <c r="H457" s="4"/>
      <c r="I457" s="4"/>
      <c r="J457" s="4" t="s">
        <v>2611</v>
      </c>
      <c r="K457" s="4"/>
      <c r="L457" s="5"/>
      <c r="M457" s="4"/>
      <c r="N457" s="4"/>
      <c r="O457" s="4"/>
    </row>
    <row collapsed="false" customFormat="false" customHeight="true" hidden="false" ht="15" outlineLevel="0" r="458">
      <c r="A458" s="4" t="s">
        <v>2620</v>
      </c>
      <c r="B458" s="4" t="s">
        <v>2605</v>
      </c>
      <c r="C458" s="4" t="s">
        <v>2621</v>
      </c>
      <c r="D458" s="4" t="s">
        <v>2622</v>
      </c>
      <c r="E458" s="4" t="s">
        <v>2623</v>
      </c>
      <c r="F458" s="4" t="s">
        <v>2624</v>
      </c>
      <c r="G458" s="4" t="s">
        <v>5</v>
      </c>
      <c r="H458" s="4" t="s">
        <v>6</v>
      </c>
      <c r="I458" s="4" t="s">
        <v>2610</v>
      </c>
      <c r="J458" s="4" t="s">
        <v>2625</v>
      </c>
      <c r="K458" s="4" t="s">
        <v>2626</v>
      </c>
      <c r="L458" s="15" t="str">
        <f aca="false">HYPERLINK("mailto:antitrust.foia@usdoj.gov","mailto:antitrust.foia@usdoj.gov")</f>
        <v>mailto:antitrust.foia@usdoj.gov</v>
      </c>
      <c r="M458" s="4" t="s">
        <v>2627</v>
      </c>
      <c r="N458" s="4"/>
      <c r="O458" s="4"/>
    </row>
    <row collapsed="false" customFormat="false" customHeight="true" hidden="false" ht="15" outlineLevel="0" r="459">
      <c r="A459" s="4" t="s">
        <v>2620</v>
      </c>
      <c r="B459" s="4" t="s">
        <v>2605</v>
      </c>
      <c r="C459" s="4"/>
      <c r="D459" s="4" t="s">
        <v>12</v>
      </c>
      <c r="E459" s="4"/>
      <c r="F459" s="4"/>
      <c r="G459" s="4"/>
      <c r="H459" s="4"/>
      <c r="I459" s="4"/>
      <c r="J459" s="4" t="s">
        <v>2625</v>
      </c>
      <c r="K459" s="4"/>
      <c r="L459" s="5"/>
      <c r="M459" s="4"/>
      <c r="N459" s="4"/>
      <c r="O459" s="4"/>
    </row>
    <row collapsed="false" customFormat="false" customHeight="true" hidden="false" ht="15" outlineLevel="0" r="460">
      <c r="A460" s="4" t="s">
        <v>2620</v>
      </c>
      <c r="B460" s="4" t="s">
        <v>2605</v>
      </c>
      <c r="C460" s="4" t="s">
        <v>2628</v>
      </c>
      <c r="D460" s="4" t="s">
        <v>15</v>
      </c>
      <c r="E460" s="4"/>
      <c r="F460" s="4"/>
      <c r="G460" s="4"/>
      <c r="H460" s="4"/>
      <c r="I460" s="4"/>
      <c r="J460" s="4" t="s">
        <v>2625</v>
      </c>
      <c r="K460" s="4"/>
      <c r="L460" s="5"/>
      <c r="M460" s="4"/>
      <c r="N460" s="4"/>
      <c r="O460" s="4"/>
    </row>
    <row collapsed="false" customFormat="false" customHeight="true" hidden="false" ht="15" outlineLevel="0" r="461">
      <c r="A461" s="4" t="s">
        <v>2629</v>
      </c>
      <c r="B461" s="4" t="s">
        <v>2605</v>
      </c>
      <c r="C461" s="4" t="s">
        <v>2630</v>
      </c>
      <c r="D461" s="4" t="s">
        <v>2631</v>
      </c>
      <c r="E461" s="4" t="s">
        <v>2632</v>
      </c>
      <c r="F461" s="4" t="s">
        <v>2633</v>
      </c>
      <c r="G461" s="4" t="s">
        <v>5</v>
      </c>
      <c r="H461" s="4" t="s">
        <v>6</v>
      </c>
      <c r="I461" s="4" t="n">
        <v>20226</v>
      </c>
      <c r="J461" s="4" t="s">
        <v>2634</v>
      </c>
      <c r="K461" s="4" t="s">
        <v>2635</v>
      </c>
      <c r="L461" s="15" t="str">
        <f aca="false">HYPERLINK("mailto:foiamail@atf.gov","mailto:foiamail@atf.gov")</f>
        <v>mailto:foiamail@atf.gov</v>
      </c>
      <c r="M461" s="4" t="s">
        <v>2636</v>
      </c>
      <c r="N461" s="4"/>
      <c r="O461" s="4"/>
    </row>
    <row collapsed="false" customFormat="false" customHeight="true" hidden="false" ht="15" outlineLevel="0" r="462">
      <c r="A462" s="4" t="s">
        <v>2629</v>
      </c>
      <c r="B462" s="4" t="s">
        <v>2605</v>
      </c>
      <c r="C462" s="4"/>
      <c r="D462" s="4" t="s">
        <v>12</v>
      </c>
      <c r="E462" s="4"/>
      <c r="F462" s="4"/>
      <c r="G462" s="4"/>
      <c r="H462" s="4"/>
      <c r="I462" s="4"/>
      <c r="J462" s="4" t="s">
        <v>2634</v>
      </c>
      <c r="K462" s="4"/>
      <c r="L462" s="5"/>
      <c r="M462" s="4"/>
      <c r="N462" s="4"/>
      <c r="O462" s="4"/>
    </row>
    <row collapsed="false" customFormat="false" customHeight="true" hidden="false" ht="15" outlineLevel="0" r="463">
      <c r="A463" s="4" t="s">
        <v>2629</v>
      </c>
      <c r="B463" s="4" t="s">
        <v>2605</v>
      </c>
      <c r="C463" s="4" t="s">
        <v>2630</v>
      </c>
      <c r="D463" s="4" t="s">
        <v>15</v>
      </c>
      <c r="E463" s="4"/>
      <c r="F463" s="4"/>
      <c r="G463" s="4"/>
      <c r="H463" s="4"/>
      <c r="I463" s="4"/>
      <c r="J463" s="4" t="s">
        <v>2634</v>
      </c>
      <c r="K463" s="4"/>
      <c r="L463" s="16"/>
      <c r="M463" s="4"/>
      <c r="N463" s="4"/>
      <c r="O463" s="4"/>
    </row>
    <row collapsed="false" customFormat="false" customHeight="true" hidden="false" ht="15" outlineLevel="0" r="464">
      <c r="A464" s="4" t="s">
        <v>2637</v>
      </c>
      <c r="B464" s="4" t="s">
        <v>2605</v>
      </c>
      <c r="C464" s="4" t="s">
        <v>2638</v>
      </c>
      <c r="D464" s="4" t="s">
        <v>2639</v>
      </c>
      <c r="E464" s="4" t="s">
        <v>2640</v>
      </c>
      <c r="F464" s="4" t="s">
        <v>2641</v>
      </c>
      <c r="G464" s="4" t="s">
        <v>5</v>
      </c>
      <c r="H464" s="4" t="s">
        <v>6</v>
      </c>
      <c r="I464" s="4" t="n">
        <v>20035</v>
      </c>
      <c r="J464" s="4" t="s">
        <v>2642</v>
      </c>
      <c r="K464" s="17" t="s">
        <v>2643</v>
      </c>
      <c r="L464" s="18" t="str">
        <f aca="false">HYPERLINK("mailto:Civil.routing.FOIA@usdoj.gov","mailto:Civil.routing.FOIA@usdoj.gov")</f>
        <v>mailto:Civil.routing.FOIA@usdoj.gov</v>
      </c>
      <c r="M464" s="19" t="s">
        <v>2644</v>
      </c>
      <c r="N464" s="4"/>
      <c r="O464" s="4"/>
    </row>
    <row collapsed="false" customFormat="false" customHeight="true" hidden="false" ht="15" outlineLevel="0" r="465">
      <c r="A465" s="4" t="s">
        <v>2637</v>
      </c>
      <c r="B465" s="4" t="s">
        <v>2605</v>
      </c>
      <c r="C465" s="4"/>
      <c r="D465" s="4" t="s">
        <v>12</v>
      </c>
      <c r="E465" s="4"/>
      <c r="F465" s="4"/>
      <c r="G465" s="4"/>
      <c r="H465" s="4"/>
      <c r="I465" s="4"/>
      <c r="J465" s="4" t="s">
        <v>2645</v>
      </c>
      <c r="K465" s="4"/>
      <c r="L465" s="20"/>
      <c r="M465" s="4"/>
      <c r="N465" s="4"/>
      <c r="O465" s="4"/>
    </row>
    <row collapsed="false" customFormat="false" customHeight="true" hidden="false" ht="15" outlineLevel="0" r="466">
      <c r="A466" s="4" t="s">
        <v>2637</v>
      </c>
      <c r="B466" s="4" t="s">
        <v>2605</v>
      </c>
      <c r="C466" s="4" t="s">
        <v>2638</v>
      </c>
      <c r="D466" s="4" t="s">
        <v>15</v>
      </c>
      <c r="E466" s="4"/>
      <c r="F466" s="4"/>
      <c r="G466" s="4"/>
      <c r="H466" s="4"/>
      <c r="I466" s="4"/>
      <c r="J466" s="4" t="s">
        <v>2645</v>
      </c>
      <c r="K466" s="4"/>
      <c r="L466" s="5"/>
      <c r="M466" s="4"/>
      <c r="N466" s="4"/>
      <c r="O466" s="4"/>
    </row>
    <row collapsed="false" customFormat="false" customHeight="true" hidden="false" ht="15" outlineLevel="0" r="467">
      <c r="A467" s="4" t="s">
        <v>2646</v>
      </c>
      <c r="B467" s="4" t="s">
        <v>2605</v>
      </c>
      <c r="C467" s="4" t="s">
        <v>2647</v>
      </c>
      <c r="D467" s="4" t="s">
        <v>2648</v>
      </c>
      <c r="E467" s="4" t="s">
        <v>2649</v>
      </c>
      <c r="F467" s="4" t="s">
        <v>2650</v>
      </c>
      <c r="G467" s="4" t="s">
        <v>5</v>
      </c>
      <c r="H467" s="4" t="s">
        <v>6</v>
      </c>
      <c r="I467" s="4" t="n">
        <v>20530</v>
      </c>
      <c r="J467" s="4" t="s">
        <v>2651</v>
      </c>
      <c r="K467" s="4"/>
      <c r="L467" s="5" t="str">
        <f aca="false">HYPERLINK("mailto:Nelson.Hermilla@usdoj.gov","mailto:CRT.FOIArequests@usdoj.gov")</f>
        <v>mailto:CRT.FOIArequests@usdoj.gov</v>
      </c>
      <c r="M467" s="4" t="s">
        <v>2652</v>
      </c>
      <c r="N467" s="4"/>
      <c r="O467" s="4"/>
    </row>
    <row collapsed="false" customFormat="false" customHeight="true" hidden="false" ht="15" outlineLevel="0" r="468">
      <c r="A468" s="4" t="s">
        <v>2646</v>
      </c>
      <c r="B468" s="4" t="s">
        <v>2605</v>
      </c>
      <c r="C468" s="4"/>
      <c r="D468" s="4" t="s">
        <v>12</v>
      </c>
      <c r="E468" s="4"/>
      <c r="F468" s="4"/>
      <c r="G468" s="4"/>
      <c r="H468" s="4"/>
      <c r="I468" s="4"/>
      <c r="J468" s="4" t="s">
        <v>2653</v>
      </c>
      <c r="K468" s="4"/>
      <c r="L468" s="5"/>
      <c r="M468" s="4"/>
      <c r="N468" s="4"/>
      <c r="O468" s="4"/>
    </row>
    <row collapsed="false" customFormat="false" customHeight="true" hidden="false" ht="15" outlineLevel="0" r="469">
      <c r="A469" s="4" t="s">
        <v>2646</v>
      </c>
      <c r="B469" s="4" t="s">
        <v>2605</v>
      </c>
      <c r="C469" s="4" t="s">
        <v>2654</v>
      </c>
      <c r="D469" s="4" t="s">
        <v>15</v>
      </c>
      <c r="E469" s="4"/>
      <c r="F469" s="4"/>
      <c r="G469" s="4"/>
      <c r="H469" s="4"/>
      <c r="I469" s="4"/>
      <c r="J469" s="4" t="s">
        <v>2653</v>
      </c>
      <c r="K469" s="4" t="s">
        <v>2655</v>
      </c>
      <c r="L469" s="5"/>
      <c r="M469" s="4"/>
      <c r="N469" s="4"/>
      <c r="O469" s="4"/>
    </row>
    <row collapsed="false" customFormat="false" customHeight="true" hidden="false" ht="15" outlineLevel="0" r="470">
      <c r="A470" s="4" t="s">
        <v>2656</v>
      </c>
      <c r="B470" s="4" t="s">
        <v>2605</v>
      </c>
      <c r="C470" s="4" t="s">
        <v>2657</v>
      </c>
      <c r="D470" s="4" t="s">
        <v>1771</v>
      </c>
      <c r="E470" s="4" t="s">
        <v>2658</v>
      </c>
      <c r="F470" s="4" t="s">
        <v>2659</v>
      </c>
      <c r="G470" s="4" t="s">
        <v>5</v>
      </c>
      <c r="H470" s="4" t="s">
        <v>6</v>
      </c>
      <c r="I470" s="4" t="s">
        <v>2610</v>
      </c>
      <c r="J470" s="4" t="s">
        <v>2660</v>
      </c>
      <c r="K470" s="4"/>
      <c r="L470" s="5" t="str">
        <f aca="false">HYPERLINK("mailto:CRS.FOIA@usdoj.gov","mailto:CRS.FOIA@usdoj.gov")</f>
        <v>mailto:CRS.FOIA@usdoj.gov</v>
      </c>
      <c r="M470" s="4" t="s">
        <v>2661</v>
      </c>
      <c r="N470" s="4"/>
      <c r="O470" s="4"/>
    </row>
    <row collapsed="false" customFormat="false" customHeight="true" hidden="false" ht="15" outlineLevel="0" r="471">
      <c r="A471" s="4" t="s">
        <v>2656</v>
      </c>
      <c r="B471" s="4" t="s">
        <v>2605</v>
      </c>
      <c r="C471" s="4"/>
      <c r="D471" s="4" t="s">
        <v>12</v>
      </c>
      <c r="E471" s="4"/>
      <c r="F471" s="4"/>
      <c r="G471" s="4"/>
      <c r="H471" s="4"/>
      <c r="I471" s="4"/>
      <c r="J471" s="4" t="s">
        <v>2660</v>
      </c>
      <c r="K471" s="4"/>
      <c r="L471" s="5"/>
      <c r="M471" s="4"/>
      <c r="N471" s="4"/>
      <c r="O471" s="4"/>
    </row>
    <row collapsed="false" customFormat="false" customHeight="true" hidden="false" ht="15" outlineLevel="0" r="472">
      <c r="A472" s="4" t="s">
        <v>2656</v>
      </c>
      <c r="B472" s="4" t="s">
        <v>2605</v>
      </c>
      <c r="C472" s="4" t="s">
        <v>2657</v>
      </c>
      <c r="D472" s="4" t="s">
        <v>15</v>
      </c>
      <c r="E472" s="4"/>
      <c r="F472" s="4"/>
      <c r="G472" s="4"/>
      <c r="H472" s="4"/>
      <c r="I472" s="4"/>
      <c r="J472" s="4" t="s">
        <v>2662</v>
      </c>
      <c r="K472" s="4"/>
      <c r="L472" s="5"/>
      <c r="M472" s="4"/>
      <c r="N472" s="4"/>
      <c r="O472" s="4"/>
    </row>
    <row collapsed="false" customFormat="false" customHeight="true" hidden="false" ht="15" outlineLevel="0" r="473">
      <c r="A473" s="4" t="s">
        <v>2663</v>
      </c>
      <c r="B473" s="4" t="s">
        <v>2605</v>
      </c>
      <c r="C473" s="4" t="s">
        <v>2664</v>
      </c>
      <c r="D473" s="4" t="s">
        <v>2622</v>
      </c>
      <c r="E473" s="4" t="s">
        <v>2665</v>
      </c>
      <c r="F473" s="4" t="s">
        <v>2666</v>
      </c>
      <c r="G473" s="4" t="s">
        <v>5</v>
      </c>
      <c r="H473" s="4" t="s">
        <v>6</v>
      </c>
      <c r="I473" s="4" t="s">
        <v>2610</v>
      </c>
      <c r="J473" s="4" t="s">
        <v>2667</v>
      </c>
      <c r="K473" s="4" t="s">
        <v>2668</v>
      </c>
      <c r="L473" s="5" t="str">
        <f aca="false">HYPERLINK("mailto:crm.foia@usdoj.gov","mailto:crm.foia@usdoj.gov")</f>
        <v>mailto:crm.foia@usdoj.gov</v>
      </c>
      <c r="M473" s="4" t="s">
        <v>2669</v>
      </c>
      <c r="N473" s="4"/>
      <c r="O473" s="4"/>
    </row>
    <row collapsed="false" customFormat="false" customHeight="true" hidden="false" ht="15" outlineLevel="0" r="474">
      <c r="A474" s="4" t="s">
        <v>2663</v>
      </c>
      <c r="B474" s="4" t="s">
        <v>2605</v>
      </c>
      <c r="C474" s="4"/>
      <c r="D474" s="4" t="s">
        <v>12</v>
      </c>
      <c r="E474" s="4"/>
      <c r="F474" s="4"/>
      <c r="G474" s="4"/>
      <c r="H474" s="4"/>
      <c r="I474" s="4"/>
      <c r="J474" s="4" t="s">
        <v>2667</v>
      </c>
      <c r="K474" s="4"/>
      <c r="L474" s="5"/>
      <c r="M474" s="4"/>
      <c r="N474" s="4"/>
      <c r="O474" s="4"/>
    </row>
    <row collapsed="false" customFormat="false" customHeight="true" hidden="false" ht="15" outlineLevel="0" r="475">
      <c r="A475" s="4" t="s">
        <v>2663</v>
      </c>
      <c r="B475" s="4" t="s">
        <v>2605</v>
      </c>
      <c r="C475" s="4" t="s">
        <v>2670</v>
      </c>
      <c r="D475" s="4" t="s">
        <v>15</v>
      </c>
      <c r="E475" s="4"/>
      <c r="F475" s="4"/>
      <c r="G475" s="4"/>
      <c r="H475" s="4"/>
      <c r="I475" s="4"/>
      <c r="J475" s="4" t="s">
        <v>2667</v>
      </c>
      <c r="K475" s="21"/>
      <c r="L475" s="16"/>
      <c r="M475" s="4"/>
      <c r="N475" s="4"/>
      <c r="O475" s="4"/>
    </row>
    <row collapsed="false" customFormat="false" customHeight="true" hidden="false" ht="15" outlineLevel="0" r="476">
      <c r="A476" s="4" t="s">
        <v>2671</v>
      </c>
      <c r="B476" s="4" t="s">
        <v>2605</v>
      </c>
      <c r="C476" s="4" t="s">
        <v>2672</v>
      </c>
      <c r="D476" s="4" t="s">
        <v>2673</v>
      </c>
      <c r="E476" s="4" t="s">
        <v>2674</v>
      </c>
      <c r="F476" s="4" t="s">
        <v>2675</v>
      </c>
      <c r="G476" s="4" t="s">
        <v>30</v>
      </c>
      <c r="H476" s="4" t="s">
        <v>31</v>
      </c>
      <c r="I476" s="4" t="n">
        <v>22202</v>
      </c>
      <c r="J476" s="17" t="s">
        <v>2676</v>
      </c>
      <c r="K476" s="22" t="s">
        <v>2677</v>
      </c>
      <c r="L476" s="23" t="str">
        <f aca="false">HYPERLINK("mailto:dea.foia@usdoj.gov","mailto:dea.foia@usdoj.gov")</f>
        <v>mailto:dea.foia@usdoj.gov</v>
      </c>
      <c r="M476" s="19" t="s">
        <v>2678</v>
      </c>
      <c r="N476" s="4"/>
      <c r="O476" s="4"/>
    </row>
    <row collapsed="false" customFormat="false" customHeight="true" hidden="false" ht="15" outlineLevel="0" r="477">
      <c r="A477" s="4" t="s">
        <v>2671</v>
      </c>
      <c r="B477" s="4" t="s">
        <v>2605</v>
      </c>
      <c r="C477" s="4"/>
      <c r="D477" s="4" t="s">
        <v>12</v>
      </c>
      <c r="E477" s="4"/>
      <c r="F477" s="4"/>
      <c r="G477" s="4"/>
      <c r="H477" s="4"/>
      <c r="I477" s="4"/>
      <c r="J477" s="4" t="s">
        <v>2679</v>
      </c>
      <c r="K477" s="24"/>
      <c r="L477" s="20"/>
      <c r="M477" s="4"/>
      <c r="N477" s="4"/>
      <c r="O477" s="4"/>
    </row>
    <row collapsed="false" customFormat="false" customHeight="true" hidden="false" ht="15" outlineLevel="0" r="478">
      <c r="A478" s="4" t="s">
        <v>2671</v>
      </c>
      <c r="B478" s="4" t="s">
        <v>2605</v>
      </c>
      <c r="C478" s="4" t="s">
        <v>2680</v>
      </c>
      <c r="D478" s="4" t="s">
        <v>15</v>
      </c>
      <c r="E478" s="4"/>
      <c r="F478" s="4"/>
      <c r="G478" s="4"/>
      <c r="H478" s="4"/>
      <c r="I478" s="4"/>
      <c r="J478" s="4" t="s">
        <v>2681</v>
      </c>
      <c r="K478" s="4"/>
      <c r="L478" s="5"/>
      <c r="M478" s="4"/>
      <c r="N478" s="4"/>
      <c r="O478" s="4"/>
    </row>
    <row collapsed="false" customFormat="false" customHeight="true" hidden="false" ht="15" outlineLevel="0" r="479">
      <c r="A479" s="4" t="s">
        <v>2682</v>
      </c>
      <c r="B479" s="4" t="s">
        <v>2605</v>
      </c>
      <c r="C479" s="4" t="s">
        <v>2683</v>
      </c>
      <c r="D479" s="4" t="s">
        <v>2684</v>
      </c>
      <c r="E479" s="4" t="s">
        <v>2685</v>
      </c>
      <c r="F479" s="4" t="s">
        <v>2686</v>
      </c>
      <c r="G479" s="4" t="s">
        <v>5</v>
      </c>
      <c r="H479" s="4" t="s">
        <v>6</v>
      </c>
      <c r="I479" s="4" t="s">
        <v>2687</v>
      </c>
      <c r="J479" s="4" t="s">
        <v>2688</v>
      </c>
      <c r="K479" s="4" t="s">
        <v>2689</v>
      </c>
      <c r="L479" s="15" t="str">
        <f aca="false">HYPERLINK("mailto:ENRD_FOIA_Information@usdoj.gov","mailto:FOIARouting.enrd@usdoj.gov")</f>
        <v>mailto:FOIARouting.enrd@usdoj.gov</v>
      </c>
      <c r="M479" s="4" t="s">
        <v>2690</v>
      </c>
      <c r="N479" s="4"/>
      <c r="O479" s="4"/>
    </row>
    <row collapsed="false" customFormat="false" customHeight="true" hidden="false" ht="15" outlineLevel="0" r="480">
      <c r="A480" s="4" t="s">
        <v>2682</v>
      </c>
      <c r="B480" s="4" t="s">
        <v>2605</v>
      </c>
      <c r="C480" s="4"/>
      <c r="D480" s="4" t="s">
        <v>12</v>
      </c>
      <c r="E480" s="4"/>
      <c r="F480" s="4"/>
      <c r="G480" s="4"/>
      <c r="H480" s="4"/>
      <c r="I480" s="4"/>
      <c r="J480" s="4" t="s">
        <v>2688</v>
      </c>
      <c r="K480" s="4"/>
      <c r="L480" s="5"/>
      <c r="M480" s="4"/>
      <c r="N480" s="4"/>
      <c r="O480" s="4"/>
    </row>
    <row collapsed="false" customFormat="false" customHeight="true" hidden="false" ht="15" outlineLevel="0" r="481">
      <c r="A481" s="4" t="s">
        <v>2682</v>
      </c>
      <c r="B481" s="4" t="s">
        <v>2605</v>
      </c>
      <c r="C481" s="4" t="s">
        <v>2691</v>
      </c>
      <c r="D481" s="4" t="s">
        <v>15</v>
      </c>
      <c r="E481" s="4"/>
      <c r="F481" s="4"/>
      <c r="G481" s="4"/>
      <c r="H481" s="4"/>
      <c r="I481" s="4"/>
      <c r="J481" s="4" t="s">
        <v>2692</v>
      </c>
      <c r="K481" s="4"/>
      <c r="L481" s="5"/>
      <c r="M481" s="4"/>
      <c r="N481" s="4"/>
      <c r="O481" s="4"/>
    </row>
    <row collapsed="false" customFormat="false" customHeight="true" hidden="false" ht="15" outlineLevel="0" r="482">
      <c r="A482" s="4" t="s">
        <v>2693</v>
      </c>
      <c r="B482" s="4" t="s">
        <v>2605</v>
      </c>
      <c r="C482" s="4" t="s">
        <v>2694</v>
      </c>
      <c r="D482" s="4" t="s">
        <v>2695</v>
      </c>
      <c r="E482" s="4" t="s">
        <v>2696</v>
      </c>
      <c r="F482" s="4" t="s">
        <v>2697</v>
      </c>
      <c r="G482" s="4" t="s">
        <v>2698</v>
      </c>
      <c r="H482" s="4" t="s">
        <v>31</v>
      </c>
      <c r="I482" s="4" t="n">
        <v>22041</v>
      </c>
      <c r="J482" s="4" t="s">
        <v>2699</v>
      </c>
      <c r="K482" s="4" t="s">
        <v>2700</v>
      </c>
      <c r="L482" s="5" t="str">
        <f aca="false">HYPERLINK("mailto:EOIR.FOIARequests@usdoj.gov","mailto:EOIR.FOIARequests@usdoj.gov")</f>
        <v>mailto:EOIR.FOIARequests@usdoj.gov</v>
      </c>
      <c r="M482" s="4" t="s">
        <v>2701</v>
      </c>
      <c r="N482" s="4"/>
      <c r="O482" s="4"/>
    </row>
    <row collapsed="false" customFormat="false" customHeight="true" hidden="false" ht="15" outlineLevel="0" r="483">
      <c r="A483" s="4" t="s">
        <v>2693</v>
      </c>
      <c r="B483" s="4" t="s">
        <v>2605</v>
      </c>
      <c r="C483" s="4"/>
      <c r="D483" s="4" t="s">
        <v>12</v>
      </c>
      <c r="E483" s="4"/>
      <c r="F483" s="4"/>
      <c r="G483" s="4"/>
      <c r="H483" s="4"/>
      <c r="I483" s="4"/>
      <c r="J483" s="4" t="s">
        <v>2699</v>
      </c>
      <c r="K483" s="4"/>
      <c r="L483" s="5"/>
      <c r="M483" s="4"/>
      <c r="N483" s="4"/>
      <c r="O483" s="4"/>
    </row>
    <row collapsed="false" customFormat="false" customHeight="true" hidden="false" ht="15" outlineLevel="0" r="484">
      <c r="A484" s="4" t="s">
        <v>2693</v>
      </c>
      <c r="B484" s="4" t="s">
        <v>2605</v>
      </c>
      <c r="C484" s="4" t="s">
        <v>2702</v>
      </c>
      <c r="D484" s="4" t="s">
        <v>15</v>
      </c>
      <c r="E484" s="4"/>
      <c r="F484" s="4"/>
      <c r="G484" s="4"/>
      <c r="H484" s="4"/>
      <c r="I484" s="4"/>
      <c r="J484" s="4" t="s">
        <v>2699</v>
      </c>
      <c r="K484" s="4"/>
      <c r="L484" s="5"/>
      <c r="M484" s="4"/>
      <c r="N484" s="4"/>
      <c r="O484" s="4"/>
    </row>
    <row collapsed="false" customFormat="false" customHeight="true" hidden="false" ht="15" outlineLevel="0" r="485">
      <c r="A485" s="4" t="s">
        <v>2703</v>
      </c>
      <c r="B485" s="4" t="s">
        <v>2605</v>
      </c>
      <c r="C485" s="4" t="s">
        <v>2704</v>
      </c>
      <c r="D485" s="4" t="s">
        <v>2</v>
      </c>
      <c r="E485" s="4" t="s">
        <v>2705</v>
      </c>
      <c r="F485" s="4" t="s">
        <v>2706</v>
      </c>
      <c r="G485" s="4" t="s">
        <v>5</v>
      </c>
      <c r="H485" s="4" t="s">
        <v>6</v>
      </c>
      <c r="I485" s="4" t="n">
        <v>20530</v>
      </c>
      <c r="J485" s="4" t="s">
        <v>2707</v>
      </c>
      <c r="K485" s="4"/>
      <c r="L485" s="5" t="str">
        <f aca="false">HYPERLINK("mailto:ocdetf.foia@usdoj.gov","mailto:ocdetf.foia@usdoj.gov")</f>
        <v>mailto:ocdetf.foia@usdoj.gov</v>
      </c>
      <c r="M485" s="4"/>
      <c r="N485" s="4"/>
      <c r="O485" s="4"/>
    </row>
    <row collapsed="false" customFormat="false" customHeight="true" hidden="false" ht="15" outlineLevel="0" r="486">
      <c r="A486" s="4" t="s">
        <v>2703</v>
      </c>
      <c r="B486" s="4" t="s">
        <v>2605</v>
      </c>
      <c r="C486" s="4"/>
      <c r="D486" s="4" t="s">
        <v>12</v>
      </c>
      <c r="E486" s="4"/>
      <c r="F486" s="4"/>
      <c r="G486" s="4"/>
      <c r="H486" s="4"/>
      <c r="I486" s="4"/>
      <c r="J486" s="4" t="s">
        <v>2707</v>
      </c>
      <c r="K486" s="4"/>
      <c r="L486" s="5"/>
      <c r="M486" s="4"/>
      <c r="N486" s="4"/>
      <c r="O486" s="4"/>
    </row>
    <row collapsed="false" customFormat="false" customHeight="true" hidden="false" ht="15" outlineLevel="0" r="487">
      <c r="A487" s="4" t="s">
        <v>2703</v>
      </c>
      <c r="B487" s="4" t="s">
        <v>2605</v>
      </c>
      <c r="C487" s="4" t="s">
        <v>2708</v>
      </c>
      <c r="D487" s="4" t="s">
        <v>15</v>
      </c>
      <c r="E487" s="4"/>
      <c r="F487" s="4"/>
      <c r="G487" s="4"/>
      <c r="H487" s="4"/>
      <c r="I487" s="4"/>
      <c r="J487" s="4" t="s">
        <v>2707</v>
      </c>
      <c r="K487" s="4"/>
      <c r="L487" s="16"/>
      <c r="M487" s="4"/>
      <c r="N487" s="4"/>
      <c r="O487" s="4"/>
    </row>
    <row collapsed="false" customFormat="false" customHeight="true" hidden="false" ht="15" outlineLevel="0" r="488">
      <c r="A488" s="4" t="s">
        <v>2709</v>
      </c>
      <c r="B488" s="4" t="s">
        <v>2605</v>
      </c>
      <c r="C488" s="4" t="s">
        <v>2710</v>
      </c>
      <c r="D488" s="4" t="s">
        <v>2711</v>
      </c>
      <c r="E488" s="4" t="s">
        <v>2712</v>
      </c>
      <c r="F488" s="4" t="s">
        <v>2659</v>
      </c>
      <c r="G488" s="4" t="s">
        <v>5</v>
      </c>
      <c r="H488" s="4" t="s">
        <v>6</v>
      </c>
      <c r="I488" s="4" t="s">
        <v>2610</v>
      </c>
      <c r="J488" s="4" t="s">
        <v>2713</v>
      </c>
      <c r="K488" s="17" t="s">
        <v>2714</v>
      </c>
      <c r="L488" s="18" t="str">
        <f aca="false">HYPERLINK("mailto:USAEO.FOIA.Requests@usdoj.gov","mailto:USAEO.FOIA.Requests@usdoj.gov")</f>
        <v>mailto:USAEO.FOIA.Requests@usdoj.gov</v>
      </c>
      <c r="M488" s="19" t="s">
        <v>2715</v>
      </c>
      <c r="N488" s="4"/>
      <c r="O488" s="4"/>
    </row>
    <row collapsed="false" customFormat="false" customHeight="true" hidden="false" ht="15" outlineLevel="0" r="489">
      <c r="A489" s="4" t="s">
        <v>2709</v>
      </c>
      <c r="B489" s="4" t="s">
        <v>2605</v>
      </c>
      <c r="C489" s="4"/>
      <c r="D489" s="4" t="s">
        <v>12</v>
      </c>
      <c r="E489" s="4"/>
      <c r="F489" s="4"/>
      <c r="G489" s="4"/>
      <c r="H489" s="4"/>
      <c r="I489" s="4"/>
      <c r="J489" s="4" t="s">
        <v>2713</v>
      </c>
      <c r="K489" s="4"/>
      <c r="L489" s="20"/>
      <c r="M489" s="4"/>
      <c r="N489" s="4"/>
      <c r="O489" s="4"/>
    </row>
    <row collapsed="false" customFormat="false" customHeight="true" hidden="false" ht="15" outlineLevel="0" r="490">
      <c r="A490" s="4" t="s">
        <v>2709</v>
      </c>
      <c r="B490" s="4" t="s">
        <v>2605</v>
      </c>
      <c r="C490" s="4" t="s">
        <v>2716</v>
      </c>
      <c r="D490" s="4" t="s">
        <v>15</v>
      </c>
      <c r="E490" s="4"/>
      <c r="F490" s="4"/>
      <c r="G490" s="4"/>
      <c r="H490" s="4"/>
      <c r="I490" s="4"/>
      <c r="J490" s="4" t="s">
        <v>2713</v>
      </c>
      <c r="K490" s="4"/>
      <c r="L490" s="5"/>
      <c r="M490" s="4"/>
      <c r="N490" s="4"/>
      <c r="O490" s="4"/>
    </row>
    <row collapsed="false" customFormat="false" customHeight="true" hidden="false" ht="15" outlineLevel="0" r="491">
      <c r="A491" s="4" t="s">
        <v>2717</v>
      </c>
      <c r="B491" s="4" t="s">
        <v>2605</v>
      </c>
      <c r="C491" s="4" t="s">
        <v>2718</v>
      </c>
      <c r="D491" s="4" t="s">
        <v>2719</v>
      </c>
      <c r="E491" s="4" t="s">
        <v>2720</v>
      </c>
      <c r="F491" s="4" t="s">
        <v>2641</v>
      </c>
      <c r="G491" s="4" t="s">
        <v>5</v>
      </c>
      <c r="H491" s="4" t="s">
        <v>6</v>
      </c>
      <c r="I491" s="4" t="n">
        <v>20530</v>
      </c>
      <c r="J491" s="4" t="s">
        <v>2721</v>
      </c>
      <c r="K491" s="4" t="s">
        <v>2722</v>
      </c>
      <c r="L491" s="15" t="str">
        <f aca="false">HYPERLINK("mailto:USTPFOIA.Requests@usdoj.gov","mailto:USTPFOIA.Requests@usdoj.gov")</f>
        <v>mailto:USTPFOIA.Requests@usdoj.gov</v>
      </c>
      <c r="M491" s="4" t="s">
        <v>2723</v>
      </c>
      <c r="N491" s="4"/>
      <c r="O491" s="4"/>
    </row>
    <row collapsed="false" customFormat="false" customHeight="true" hidden="false" ht="15" outlineLevel="0" r="492">
      <c r="A492" s="4" t="s">
        <v>2717</v>
      </c>
      <c r="B492" s="4" t="s">
        <v>2605</v>
      </c>
      <c r="C492" s="4"/>
      <c r="D492" s="4" t="s">
        <v>12</v>
      </c>
      <c r="E492" s="4"/>
      <c r="F492" s="4"/>
      <c r="G492" s="4"/>
      <c r="H492" s="4"/>
      <c r="I492" s="4"/>
      <c r="J492" s="4" t="s">
        <v>2721</v>
      </c>
      <c r="K492" s="4"/>
      <c r="L492" s="5"/>
      <c r="M492" s="4"/>
      <c r="N492" s="4"/>
      <c r="O492" s="4"/>
    </row>
    <row collapsed="false" customFormat="false" customHeight="true" hidden="false" ht="15" outlineLevel="0" r="493">
      <c r="A493" s="4" t="s">
        <v>2717</v>
      </c>
      <c r="B493" s="4" t="s">
        <v>2605</v>
      </c>
      <c r="C493" s="4" t="s">
        <v>2718</v>
      </c>
      <c r="D493" s="4" t="s">
        <v>15</v>
      </c>
      <c r="E493" s="4"/>
      <c r="F493" s="4"/>
      <c r="G493" s="4"/>
      <c r="H493" s="4"/>
      <c r="I493" s="4"/>
      <c r="J493" s="4" t="s">
        <v>2721</v>
      </c>
      <c r="K493" s="4"/>
      <c r="L493" s="5"/>
      <c r="M493" s="4"/>
      <c r="N493" s="4"/>
      <c r="O493" s="4"/>
    </row>
    <row collapsed="false" customFormat="false" customHeight="true" hidden="false" ht="15" outlineLevel="0" r="494">
      <c r="A494" s="4" t="s">
        <v>2724</v>
      </c>
      <c r="B494" s="4" t="s">
        <v>2605</v>
      </c>
      <c r="C494" s="4" t="s">
        <v>2725</v>
      </c>
      <c r="D494" s="4" t="s">
        <v>2726</v>
      </c>
      <c r="E494" s="4"/>
      <c r="F494" s="4" t="s">
        <v>2727</v>
      </c>
      <c r="G494" s="4" t="s">
        <v>2728</v>
      </c>
      <c r="H494" s="4" t="s">
        <v>31</v>
      </c>
      <c r="I494" s="4" t="s">
        <v>2729</v>
      </c>
      <c r="J494" s="4" t="s">
        <v>2730</v>
      </c>
      <c r="K494" s="4" t="s">
        <v>2731</v>
      </c>
      <c r="L494" s="5" t="s">
        <v>2732</v>
      </c>
      <c r="M494" s="4" t="s">
        <v>2733</v>
      </c>
      <c r="N494" s="4"/>
      <c r="O494" s="4"/>
    </row>
    <row collapsed="false" customFormat="false" customHeight="true" hidden="false" ht="15" outlineLevel="0" r="495">
      <c r="A495" s="4" t="s">
        <v>2724</v>
      </c>
      <c r="B495" s="4" t="s">
        <v>2605</v>
      </c>
      <c r="C495" s="4"/>
      <c r="D495" s="4" t="s">
        <v>12</v>
      </c>
      <c r="E495" s="4"/>
      <c r="F495" s="4"/>
      <c r="G495" s="4"/>
      <c r="H495" s="4"/>
      <c r="I495" s="4"/>
      <c r="J495" s="4" t="s">
        <v>2734</v>
      </c>
      <c r="K495" s="4"/>
      <c r="L495" s="5"/>
      <c r="M495" s="4"/>
      <c r="N495" s="4"/>
      <c r="O495" s="4"/>
    </row>
    <row collapsed="false" customFormat="false" customHeight="true" hidden="false" ht="15" outlineLevel="0" r="496">
      <c r="A496" s="4" t="s">
        <v>2724</v>
      </c>
      <c r="B496" s="4" t="s">
        <v>2605</v>
      </c>
      <c r="C496" s="4" t="s">
        <v>2735</v>
      </c>
      <c r="D496" s="4" t="s">
        <v>15</v>
      </c>
      <c r="E496" s="4"/>
      <c r="F496" s="4"/>
      <c r="G496" s="4"/>
      <c r="H496" s="4"/>
      <c r="I496" s="4"/>
      <c r="J496" s="4" t="s">
        <v>2736</v>
      </c>
      <c r="K496" s="4"/>
      <c r="L496" s="5"/>
      <c r="M496" s="4"/>
      <c r="N496" s="4"/>
      <c r="O496" s="4"/>
    </row>
    <row collapsed="false" customFormat="false" customHeight="true" hidden="false" ht="15" outlineLevel="0" r="497">
      <c r="A497" s="4" t="s">
        <v>2737</v>
      </c>
      <c r="B497" s="4" t="s">
        <v>2605</v>
      </c>
      <c r="C497" s="4" t="s">
        <v>2738</v>
      </c>
      <c r="D497" s="4" t="s">
        <v>2739</v>
      </c>
      <c r="E497" s="4" t="s">
        <v>2740</v>
      </c>
      <c r="F497" s="4" t="s">
        <v>2741</v>
      </c>
      <c r="G497" s="4" t="s">
        <v>5</v>
      </c>
      <c r="H497" s="4" t="s">
        <v>6</v>
      </c>
      <c r="I497" s="4" t="n">
        <v>20534</v>
      </c>
      <c r="J497" s="4" t="s">
        <v>2742</v>
      </c>
      <c r="K497" s="4"/>
      <c r="L497" s="5" t="s">
        <v>2743</v>
      </c>
      <c r="M497" s="4" t="s">
        <v>2744</v>
      </c>
      <c r="N497" s="5"/>
      <c r="O497" s="4"/>
    </row>
    <row collapsed="false" customFormat="false" customHeight="true" hidden="false" ht="15" outlineLevel="0" r="498">
      <c r="A498" s="4" t="s">
        <v>2737</v>
      </c>
      <c r="B498" s="4" t="s">
        <v>2605</v>
      </c>
      <c r="C498" s="4"/>
      <c r="D498" s="4" t="s">
        <v>12</v>
      </c>
      <c r="E498" s="4"/>
      <c r="F498" s="4"/>
      <c r="G498" s="4"/>
      <c r="H498" s="4"/>
      <c r="I498" s="4"/>
      <c r="J498" s="4" t="s">
        <v>2745</v>
      </c>
      <c r="K498" s="4"/>
      <c r="L498" s="5"/>
      <c r="M498" s="4"/>
      <c r="N498" s="4"/>
      <c r="O498" s="4"/>
    </row>
    <row collapsed="false" customFormat="false" customHeight="true" hidden="false" ht="15" outlineLevel="0" r="499">
      <c r="A499" s="4" t="s">
        <v>2737</v>
      </c>
      <c r="B499" s="4" t="s">
        <v>2605</v>
      </c>
      <c r="C499" s="4" t="s">
        <v>2746</v>
      </c>
      <c r="D499" s="4" t="s">
        <v>15</v>
      </c>
      <c r="E499" s="4"/>
      <c r="F499" s="4"/>
      <c r="G499" s="4"/>
      <c r="H499" s="4"/>
      <c r="I499" s="4"/>
      <c r="J499" s="4" t="s">
        <v>2745</v>
      </c>
      <c r="K499" s="4"/>
      <c r="L499" s="5"/>
      <c r="M499" s="4"/>
      <c r="N499" s="4"/>
      <c r="O499" s="4"/>
    </row>
    <row collapsed="false" customFormat="false" customHeight="true" hidden="false" ht="15" outlineLevel="0" r="500">
      <c r="A500" s="4" t="s">
        <v>2747</v>
      </c>
      <c r="B500" s="4" t="s">
        <v>2605</v>
      </c>
      <c r="C500" s="4" t="s">
        <v>2748</v>
      </c>
      <c r="D500" s="4" t="s">
        <v>2749</v>
      </c>
      <c r="E500" s="4" t="s">
        <v>2750</v>
      </c>
      <c r="F500" s="4" t="s">
        <v>2659</v>
      </c>
      <c r="G500" s="4" t="s">
        <v>5</v>
      </c>
      <c r="H500" s="4" t="s">
        <v>6</v>
      </c>
      <c r="I500" s="4" t="s">
        <v>2751</v>
      </c>
      <c r="J500" s="4" t="s">
        <v>2752</v>
      </c>
      <c r="K500" s="4" t="s">
        <v>2753</v>
      </c>
      <c r="L500" s="5" t="s">
        <v>2754</v>
      </c>
      <c r="M500" s="4" t="s">
        <v>2755</v>
      </c>
      <c r="N500" s="4"/>
      <c r="O500" s="4"/>
    </row>
    <row collapsed="false" customFormat="false" customHeight="true" hidden="false" ht="15" outlineLevel="0" r="501">
      <c r="A501" s="4" t="s">
        <v>2747</v>
      </c>
      <c r="B501" s="4" t="s">
        <v>2605</v>
      </c>
      <c r="C501" s="4"/>
      <c r="D501" s="4" t="s">
        <v>12</v>
      </c>
      <c r="E501" s="4"/>
      <c r="F501" s="4"/>
      <c r="G501" s="4"/>
      <c r="H501" s="4"/>
      <c r="I501" s="4"/>
      <c r="J501" s="4" t="s">
        <v>2752</v>
      </c>
      <c r="K501" s="4"/>
      <c r="L501" s="5"/>
      <c r="M501" s="4"/>
      <c r="N501" s="4"/>
      <c r="O501" s="4"/>
    </row>
    <row collapsed="false" customFormat="false" customHeight="true" hidden="false" ht="15" outlineLevel="0" r="502">
      <c r="A502" s="4" t="s">
        <v>2747</v>
      </c>
      <c r="B502" s="4" t="s">
        <v>2605</v>
      </c>
      <c r="C502" s="4" t="s">
        <v>2756</v>
      </c>
      <c r="D502" s="4" t="s">
        <v>15</v>
      </c>
      <c r="E502" s="4"/>
      <c r="F502" s="4"/>
      <c r="G502" s="4"/>
      <c r="H502" s="4"/>
      <c r="I502" s="4"/>
      <c r="J502" s="4" t="s">
        <v>2752</v>
      </c>
      <c r="K502" s="4"/>
      <c r="L502" s="5"/>
      <c r="M502" s="4"/>
      <c r="N502" s="4"/>
      <c r="O502" s="4"/>
    </row>
    <row collapsed="false" customFormat="false" customHeight="true" hidden="false" ht="15" outlineLevel="0" r="503">
      <c r="A503" s="4" t="s">
        <v>2757</v>
      </c>
      <c r="B503" s="4" t="s">
        <v>2605</v>
      </c>
      <c r="C503" s="4" t="s">
        <v>2758</v>
      </c>
      <c r="D503" s="4" t="s">
        <v>2759</v>
      </c>
      <c r="E503" s="4" t="s">
        <v>2760</v>
      </c>
      <c r="F503" s="4" t="s">
        <v>2761</v>
      </c>
      <c r="G503" s="4" t="s">
        <v>5</v>
      </c>
      <c r="H503" s="4" t="s">
        <v>6</v>
      </c>
      <c r="I503" s="4" t="n">
        <v>20002</v>
      </c>
      <c r="J503" s="4" t="s">
        <v>2762</v>
      </c>
      <c r="K503" s="4" t="s">
        <v>2763</v>
      </c>
      <c r="L503" s="5" t="s">
        <v>2764</v>
      </c>
      <c r="M503" s="4" t="s">
        <v>2765</v>
      </c>
      <c r="N503" s="4"/>
      <c r="O503" s="4"/>
    </row>
    <row collapsed="false" customFormat="false" customHeight="true" hidden="false" ht="15" outlineLevel="0" r="504">
      <c r="A504" s="4" t="s">
        <v>2757</v>
      </c>
      <c r="B504" s="4" t="s">
        <v>2605</v>
      </c>
      <c r="C504" s="4"/>
      <c r="D504" s="4" t="s">
        <v>12</v>
      </c>
      <c r="E504" s="4"/>
      <c r="F504" s="4"/>
      <c r="G504" s="4"/>
      <c r="H504" s="4"/>
      <c r="I504" s="4"/>
      <c r="J504" s="4" t="s">
        <v>2766</v>
      </c>
      <c r="K504" s="4"/>
      <c r="L504" s="5"/>
      <c r="M504" s="4"/>
      <c r="N504" s="4"/>
      <c r="O504" s="4"/>
    </row>
    <row collapsed="false" customFormat="false" customHeight="true" hidden="false" ht="15" outlineLevel="0" r="505">
      <c r="A505" s="4" t="s">
        <v>2757</v>
      </c>
      <c r="B505" s="4" t="s">
        <v>2605</v>
      </c>
      <c r="C505" s="4" t="s">
        <v>2758</v>
      </c>
      <c r="D505" s="4" t="s">
        <v>15</v>
      </c>
      <c r="E505" s="4"/>
      <c r="F505" s="4"/>
      <c r="G505" s="4"/>
      <c r="H505" s="4"/>
      <c r="I505" s="4"/>
      <c r="J505" s="4" t="s">
        <v>2766</v>
      </c>
      <c r="K505" s="4"/>
      <c r="L505" s="5"/>
      <c r="M505" s="4"/>
      <c r="N505" s="4"/>
      <c r="O505" s="4"/>
    </row>
    <row collapsed="false" customFormat="false" customHeight="true" hidden="false" ht="15" outlineLevel="0" r="506">
      <c r="A506" s="4" t="s">
        <v>2767</v>
      </c>
      <c r="B506" s="4" t="s">
        <v>2605</v>
      </c>
      <c r="C506" s="4" t="s">
        <v>2768</v>
      </c>
      <c r="D506" s="4" t="s">
        <v>114</v>
      </c>
      <c r="E506" s="4" t="s">
        <v>2769</v>
      </c>
      <c r="F506" s="4" t="s">
        <v>2650</v>
      </c>
      <c r="G506" s="4" t="s">
        <v>5</v>
      </c>
      <c r="H506" s="4" t="s">
        <v>6</v>
      </c>
      <c r="I506" s="4" t="s">
        <v>2610</v>
      </c>
      <c r="J506" s="4" t="s">
        <v>2770</v>
      </c>
      <c r="K506" s="4" t="s">
        <v>2771</v>
      </c>
      <c r="L506" s="5" t="s">
        <v>2772</v>
      </c>
      <c r="M506" s="4" t="s">
        <v>2773</v>
      </c>
      <c r="N506" s="4"/>
      <c r="O506" s="4"/>
    </row>
    <row collapsed="false" customFormat="false" customHeight="true" hidden="false" ht="15" outlineLevel="0" r="507">
      <c r="A507" s="4" t="s">
        <v>2767</v>
      </c>
      <c r="B507" s="4" t="s">
        <v>2605</v>
      </c>
      <c r="C507" s="4"/>
      <c r="D507" s="4" t="s">
        <v>12</v>
      </c>
      <c r="E507" s="4"/>
      <c r="F507" s="4"/>
      <c r="G507" s="4"/>
      <c r="H507" s="4"/>
      <c r="I507" s="4"/>
      <c r="J507" s="4" t="s">
        <v>2770</v>
      </c>
      <c r="K507" s="4"/>
      <c r="L507" s="5"/>
      <c r="M507" s="4"/>
      <c r="N507" s="4"/>
      <c r="O507" s="4"/>
    </row>
    <row collapsed="false" customFormat="false" customHeight="true" hidden="false" ht="15" outlineLevel="0" r="508">
      <c r="A508" s="4" t="s">
        <v>2767</v>
      </c>
      <c r="B508" s="4" t="s">
        <v>2605</v>
      </c>
      <c r="C508" s="4" t="s">
        <v>2774</v>
      </c>
      <c r="D508" s="4" t="s">
        <v>15</v>
      </c>
      <c r="E508" s="4"/>
      <c r="F508" s="4"/>
      <c r="G508" s="4"/>
      <c r="H508" s="4"/>
      <c r="I508" s="4"/>
      <c r="J508" s="4" t="s">
        <v>2770</v>
      </c>
      <c r="K508" s="4"/>
      <c r="L508" s="5"/>
      <c r="M508" s="4"/>
      <c r="N508" s="4"/>
      <c r="O508" s="4"/>
    </row>
    <row collapsed="false" customFormat="false" customHeight="true" hidden="false" ht="15" outlineLevel="0" r="509">
      <c r="A509" s="4" t="s">
        <v>2775</v>
      </c>
      <c r="B509" s="4" t="s">
        <v>2605</v>
      </c>
      <c r="C509" s="4" t="s">
        <v>2776</v>
      </c>
      <c r="D509" s="4" t="s">
        <v>2777</v>
      </c>
      <c r="E509" s="4" t="s">
        <v>2778</v>
      </c>
      <c r="F509" s="4" t="s">
        <v>2650</v>
      </c>
      <c r="G509" s="4" t="s">
        <v>5</v>
      </c>
      <c r="H509" s="4" t="s">
        <v>6</v>
      </c>
      <c r="I509" s="4" t="s">
        <v>2610</v>
      </c>
      <c r="J509" s="4" t="s">
        <v>2779</v>
      </c>
      <c r="K509" s="4"/>
      <c r="L509" s="5" t="s">
        <v>2780</v>
      </c>
      <c r="M509" s="4" t="s">
        <v>2781</v>
      </c>
      <c r="N509" s="4"/>
      <c r="O509" s="4"/>
    </row>
    <row collapsed="false" customFormat="false" customHeight="true" hidden="false" ht="15" outlineLevel="0" r="510">
      <c r="A510" s="4" t="s">
        <v>2775</v>
      </c>
      <c r="B510" s="4" t="s">
        <v>2605</v>
      </c>
      <c r="C510" s="4"/>
      <c r="D510" s="4" t="s">
        <v>12</v>
      </c>
      <c r="E510" s="4"/>
      <c r="F510" s="4"/>
      <c r="G510" s="4"/>
      <c r="H510" s="4"/>
      <c r="I510" s="4"/>
      <c r="J510" s="4" t="s">
        <v>2779</v>
      </c>
      <c r="K510" s="4"/>
      <c r="L510" s="5"/>
      <c r="M510" s="4"/>
      <c r="N510" s="4"/>
      <c r="O510" s="4"/>
    </row>
    <row collapsed="false" customFormat="false" customHeight="true" hidden="false" ht="15" outlineLevel="0" r="511">
      <c r="A511" s="4" t="s">
        <v>2775</v>
      </c>
      <c r="B511" s="4" t="s">
        <v>2605</v>
      </c>
      <c r="C511" s="4" t="s">
        <v>2782</v>
      </c>
      <c r="D511" s="4" t="s">
        <v>15</v>
      </c>
      <c r="E511" s="4"/>
      <c r="F511" s="4"/>
      <c r="G511" s="4"/>
      <c r="H511" s="4"/>
      <c r="I511" s="4"/>
      <c r="J511" s="4" t="s">
        <v>2783</v>
      </c>
      <c r="K511" s="4"/>
      <c r="L511" s="5"/>
      <c r="M511" s="4"/>
      <c r="N511" s="4"/>
      <c r="O511" s="4"/>
    </row>
    <row collapsed="false" customFormat="false" customHeight="true" hidden="false" ht="15" outlineLevel="0" r="512">
      <c r="A512" s="4" t="s">
        <v>2784</v>
      </c>
      <c r="B512" s="4" t="s">
        <v>2605</v>
      </c>
      <c r="C512" s="4" t="s">
        <v>2785</v>
      </c>
      <c r="D512" s="4" t="s">
        <v>2786</v>
      </c>
      <c r="E512" s="4" t="s">
        <v>2787</v>
      </c>
      <c r="F512" s="4" t="s">
        <v>2788</v>
      </c>
      <c r="G512" s="4" t="s">
        <v>5</v>
      </c>
      <c r="H512" s="4" t="s">
        <v>6</v>
      </c>
      <c r="I512" s="4" t="s">
        <v>2610</v>
      </c>
      <c r="J512" s="4" t="s">
        <v>2789</v>
      </c>
      <c r="K512" s="4" t="s">
        <v>2790</v>
      </c>
      <c r="L512" s="5" t="str">
        <f aca="false">HYPERLINK("mailto:COPS.FOIA@usdoj.gov","mailto:COPS.FOIA@usdoj.gov")</f>
        <v>mailto:COPS.FOIA@usdoj.gov</v>
      </c>
      <c r="M512" s="4" t="s">
        <v>2791</v>
      </c>
      <c r="N512" s="4"/>
      <c r="O512" s="4"/>
    </row>
    <row collapsed="false" customFormat="false" customHeight="true" hidden="false" ht="15" outlineLevel="0" r="513">
      <c r="A513" s="4" t="s">
        <v>2784</v>
      </c>
      <c r="B513" s="4" t="s">
        <v>2605</v>
      </c>
      <c r="C513" s="4"/>
      <c r="D513" s="4" t="s">
        <v>12</v>
      </c>
      <c r="E513" s="4"/>
      <c r="F513" s="4"/>
      <c r="G513" s="4"/>
      <c r="H513" s="4"/>
      <c r="I513" s="4"/>
      <c r="J513" s="4" t="s">
        <v>2789</v>
      </c>
      <c r="K513" s="4"/>
      <c r="L513" s="5"/>
      <c r="M513" s="4"/>
      <c r="N513" s="4"/>
      <c r="O513" s="4"/>
    </row>
    <row collapsed="false" customFormat="false" customHeight="true" hidden="false" ht="15" outlineLevel="0" r="514">
      <c r="A514" s="4" t="s">
        <v>2784</v>
      </c>
      <c r="B514" s="4" t="s">
        <v>2605</v>
      </c>
      <c r="C514" s="4" t="s">
        <v>2785</v>
      </c>
      <c r="D514" s="4" t="s">
        <v>15</v>
      </c>
      <c r="E514" s="4"/>
      <c r="F514" s="4"/>
      <c r="G514" s="4"/>
      <c r="H514" s="4"/>
      <c r="I514" s="4"/>
      <c r="J514" s="4" t="s">
        <v>2789</v>
      </c>
      <c r="K514" s="4"/>
      <c r="L514" s="5"/>
      <c r="M514" s="4"/>
      <c r="N514" s="4"/>
      <c r="O514" s="4"/>
    </row>
    <row collapsed="false" customFormat="false" customHeight="true" hidden="false" ht="15" outlineLevel="0" r="515">
      <c r="A515" s="4" t="s">
        <v>2792</v>
      </c>
      <c r="B515" s="4" t="s">
        <v>2605</v>
      </c>
      <c r="C515" s="4" t="s">
        <v>2793</v>
      </c>
      <c r="D515" s="4" t="s">
        <v>456</v>
      </c>
      <c r="E515" s="4" t="s">
        <v>754</v>
      </c>
      <c r="F515" s="4" t="s">
        <v>2794</v>
      </c>
      <c r="G515" s="4" t="s">
        <v>30</v>
      </c>
      <c r="H515" s="4" t="s">
        <v>31</v>
      </c>
      <c r="I515" s="4" t="n">
        <v>22203</v>
      </c>
      <c r="J515" s="4" t="s">
        <v>2795</v>
      </c>
      <c r="K515" s="4"/>
      <c r="L515" s="5" t="str">
        <f aca="false">HYPERLINK("mailto:ofdt.foia@usdoj.gov","mailto:ofdt.foia@usdoj.gov")</f>
        <v>mailto:ofdt.foia@usdoj.gov</v>
      </c>
      <c r="M515" s="4" t="s">
        <v>2796</v>
      </c>
      <c r="N515" s="5"/>
      <c r="O515" s="4"/>
    </row>
    <row collapsed="false" customFormat="false" customHeight="true" hidden="false" ht="15" outlineLevel="0" r="516">
      <c r="A516" s="4" t="s">
        <v>2792</v>
      </c>
      <c r="B516" s="4" t="s">
        <v>2605</v>
      </c>
      <c r="C516" s="4"/>
      <c r="D516" s="4" t="s">
        <v>12</v>
      </c>
      <c r="E516" s="4"/>
      <c r="F516" s="4"/>
      <c r="G516" s="4"/>
      <c r="H516" s="4"/>
      <c r="I516" s="4"/>
      <c r="J516" s="4" t="s">
        <v>2795</v>
      </c>
      <c r="K516" s="4"/>
      <c r="L516" s="5"/>
      <c r="M516" s="4"/>
      <c r="N516" s="4"/>
      <c r="O516" s="4"/>
    </row>
    <row collapsed="false" customFormat="false" customHeight="true" hidden="false" ht="15" outlineLevel="0" r="517">
      <c r="A517" s="4" t="s">
        <v>2792</v>
      </c>
      <c r="B517" s="4" t="s">
        <v>2605</v>
      </c>
      <c r="C517" s="4" t="s">
        <v>2793</v>
      </c>
      <c r="D517" s="4" t="s">
        <v>15</v>
      </c>
      <c r="E517" s="4"/>
      <c r="F517" s="4"/>
      <c r="G517" s="4"/>
      <c r="H517" s="4"/>
      <c r="I517" s="4"/>
      <c r="J517" s="4" t="s">
        <v>2795</v>
      </c>
      <c r="K517" s="4"/>
      <c r="L517" s="5"/>
      <c r="M517" s="4"/>
      <c r="N517" s="4"/>
      <c r="O517" s="4"/>
    </row>
    <row collapsed="false" customFormat="false" customHeight="true" hidden="false" ht="15" outlineLevel="0" r="518">
      <c r="A518" s="4" t="s">
        <v>2797</v>
      </c>
      <c r="B518" s="4" t="s">
        <v>2605</v>
      </c>
      <c r="C518" s="4" t="s">
        <v>2606</v>
      </c>
      <c r="D518" s="4" t="s">
        <v>2798</v>
      </c>
      <c r="E518" s="4" t="s">
        <v>2608</v>
      </c>
      <c r="F518" s="4" t="s">
        <v>2609</v>
      </c>
      <c r="G518" s="4" t="s">
        <v>5</v>
      </c>
      <c r="H518" s="4" t="s">
        <v>6</v>
      </c>
      <c r="I518" s="4" t="s">
        <v>2610</v>
      </c>
      <c r="J518" s="4" t="s">
        <v>2611</v>
      </c>
      <c r="K518" s="4" t="s">
        <v>2612</v>
      </c>
      <c r="L518" s="5" t="str">
        <f aca="false">HYPERLINK("mailto:DOJ.OIP.Initial.Requests@usdoj.gov","mailto:DOJ.OIP.Initial.Requests@usdoj.gov")</f>
        <v>mailto:DOJ.OIP.Initial.Requests@usdoj.gov</v>
      </c>
      <c r="M518" s="5" t="str">
        <f aca="false">HYPERLINK("http://www.justice.gov/oip/","http://www.justice.gov/oip/")</f>
        <v>http://www.justice.gov/oip/</v>
      </c>
      <c r="N518" s="5"/>
      <c r="O518" s="4"/>
    </row>
    <row collapsed="false" customFormat="false" customHeight="true" hidden="false" ht="15" outlineLevel="0" r="519">
      <c r="A519" s="4" t="s">
        <v>2797</v>
      </c>
      <c r="B519" s="4" t="s">
        <v>2605</v>
      </c>
      <c r="C519" s="4"/>
      <c r="D519" s="4" t="s">
        <v>12</v>
      </c>
      <c r="E519" s="4"/>
      <c r="F519" s="4"/>
      <c r="G519" s="4"/>
      <c r="H519" s="4"/>
      <c r="I519" s="4"/>
      <c r="J519" s="4" t="s">
        <v>2614</v>
      </c>
      <c r="K519" s="4"/>
      <c r="L519" s="5"/>
      <c r="M519" s="4"/>
      <c r="N519" s="4"/>
      <c r="O519" s="4"/>
    </row>
    <row collapsed="false" customFormat="false" customHeight="true" hidden="false" ht="15" outlineLevel="0" r="520">
      <c r="A520" s="4" t="s">
        <v>2797</v>
      </c>
      <c r="B520" s="4" t="s">
        <v>2605</v>
      </c>
      <c r="C520" s="4" t="s">
        <v>2615</v>
      </c>
      <c r="D520" s="4" t="s">
        <v>15</v>
      </c>
      <c r="E520" s="4"/>
      <c r="F520" s="4"/>
      <c r="G520" s="4"/>
      <c r="H520" s="4"/>
      <c r="I520" s="4"/>
      <c r="J520" s="4" t="s">
        <v>2611</v>
      </c>
      <c r="K520" s="4"/>
      <c r="L520" s="5"/>
      <c r="M520" s="4"/>
      <c r="N520" s="4"/>
      <c r="O520" s="4"/>
    </row>
    <row collapsed="false" customFormat="false" customHeight="true" hidden="false" ht="15" outlineLevel="0" r="521">
      <c r="A521" s="4" t="s">
        <v>600</v>
      </c>
      <c r="B521" s="4" t="s">
        <v>2605</v>
      </c>
      <c r="C521" s="4" t="s">
        <v>2799</v>
      </c>
      <c r="D521" s="4" t="s">
        <v>2800</v>
      </c>
      <c r="E521" s="4" t="s">
        <v>2801</v>
      </c>
      <c r="F521" s="4" t="s">
        <v>2650</v>
      </c>
      <c r="G521" s="4" t="s">
        <v>5</v>
      </c>
      <c r="H521" s="4" t="s">
        <v>6</v>
      </c>
      <c r="I521" s="4" t="n">
        <v>20530</v>
      </c>
      <c r="J521" s="4" t="s">
        <v>2802</v>
      </c>
      <c r="K521" s="4" t="s">
        <v>2803</v>
      </c>
      <c r="L521" s="5" t="str">
        <f aca="false">HYPERLINK("mailto:oigfoia@usdoj.gov","mailto:oigfoia@usdoj.gov")</f>
        <v>mailto:oigfoia@usdoj.gov</v>
      </c>
      <c r="M521" s="5" t="str">
        <f aca="false">HYPERLINK("http://www.justice.gov/oig/FOIA/index.htm","http://www.justice.gov/oig/FOIA/index.htm")</f>
        <v>http://www.justice.gov/oig/FOIA/index.htm</v>
      </c>
      <c r="N521" s="4"/>
      <c r="O521" s="4"/>
    </row>
    <row collapsed="false" customFormat="false" customHeight="true" hidden="false" ht="15" outlineLevel="0" r="522">
      <c r="A522" s="4" t="s">
        <v>600</v>
      </c>
      <c r="B522" s="4" t="s">
        <v>2605</v>
      </c>
      <c r="C522" s="4"/>
      <c r="D522" s="4" t="s">
        <v>12</v>
      </c>
      <c r="E522" s="4"/>
      <c r="F522" s="4"/>
      <c r="G522" s="4"/>
      <c r="H522" s="4"/>
      <c r="I522" s="4"/>
      <c r="J522" s="4" t="s">
        <v>2802</v>
      </c>
      <c r="K522" s="4"/>
      <c r="L522" s="5"/>
      <c r="M522" s="4"/>
      <c r="N522" s="4"/>
      <c r="O522" s="4"/>
    </row>
    <row collapsed="false" customFormat="false" customHeight="true" hidden="false" ht="15" outlineLevel="0" r="523">
      <c r="A523" s="4" t="s">
        <v>600</v>
      </c>
      <c r="B523" s="4" t="s">
        <v>2605</v>
      </c>
      <c r="C523" s="4" t="s">
        <v>2799</v>
      </c>
      <c r="D523" s="4" t="s">
        <v>15</v>
      </c>
      <c r="E523" s="4"/>
      <c r="F523" s="4"/>
      <c r="G523" s="4"/>
      <c r="H523" s="4"/>
      <c r="I523" s="4"/>
      <c r="J523" s="4" t="s">
        <v>2802</v>
      </c>
      <c r="K523" s="4"/>
      <c r="L523" s="5"/>
      <c r="M523" s="4"/>
      <c r="N523" s="4"/>
      <c r="O523" s="4"/>
    </row>
    <row collapsed="false" customFormat="false" customHeight="true" hidden="false" ht="15" outlineLevel="0" r="524">
      <c r="A524" s="4" t="s">
        <v>2804</v>
      </c>
      <c r="B524" s="4" t="s">
        <v>2605</v>
      </c>
      <c r="C524" s="4" t="s">
        <v>2805</v>
      </c>
      <c r="D524" s="4" t="s">
        <v>2806</v>
      </c>
      <c r="E524" s="4" t="s">
        <v>2807</v>
      </c>
      <c r="F524" s="4" t="s">
        <v>2808</v>
      </c>
      <c r="G524" s="4" t="s">
        <v>5</v>
      </c>
      <c r="H524" s="4" t="s">
        <v>6</v>
      </c>
      <c r="I524" s="4" t="n">
        <v>20531</v>
      </c>
      <c r="J524" s="4" t="s">
        <v>2809</v>
      </c>
      <c r="K524" s="17" t="s">
        <v>2810</v>
      </c>
      <c r="L524" s="25" t="s">
        <v>2811</v>
      </c>
      <c r="M524" s="19" t="s">
        <v>2812</v>
      </c>
      <c r="N524" s="4"/>
      <c r="O524" s="4"/>
    </row>
    <row collapsed="false" customFormat="false" customHeight="true" hidden="false" ht="15" outlineLevel="0" r="525">
      <c r="A525" s="4" t="s">
        <v>2804</v>
      </c>
      <c r="B525" s="4" t="s">
        <v>2605</v>
      </c>
      <c r="C525" s="4"/>
      <c r="D525" s="4" t="s">
        <v>12</v>
      </c>
      <c r="E525" s="4"/>
      <c r="F525" s="4"/>
      <c r="G525" s="4"/>
      <c r="H525" s="4"/>
      <c r="I525" s="4"/>
      <c r="J525" s="4" t="s">
        <v>2809</v>
      </c>
      <c r="K525" s="4"/>
      <c r="L525" s="20"/>
      <c r="M525" s="4"/>
      <c r="N525" s="4"/>
      <c r="O525" s="4"/>
    </row>
    <row collapsed="false" customFormat="false" customHeight="true" hidden="false" ht="15" outlineLevel="0" r="526">
      <c r="A526" s="4" t="s">
        <v>2804</v>
      </c>
      <c r="B526" s="4" t="s">
        <v>2605</v>
      </c>
      <c r="C526" s="4" t="s">
        <v>2813</v>
      </c>
      <c r="D526" s="4" t="s">
        <v>15</v>
      </c>
      <c r="E526" s="4"/>
      <c r="F526" s="4"/>
      <c r="G526" s="4"/>
      <c r="H526" s="4"/>
      <c r="I526" s="4"/>
      <c r="J526" s="4" t="s">
        <v>2814</v>
      </c>
      <c r="K526" s="4"/>
      <c r="L526" s="5"/>
      <c r="M526" s="4"/>
      <c r="N526" s="4"/>
      <c r="O526" s="4"/>
    </row>
    <row collapsed="false" customFormat="false" customHeight="true" hidden="false" ht="15" outlineLevel="0" r="527">
      <c r="A527" s="4" t="s">
        <v>457</v>
      </c>
      <c r="B527" s="4" t="s">
        <v>2605</v>
      </c>
      <c r="C527" s="4" t="s">
        <v>2815</v>
      </c>
      <c r="D527" s="4" t="s">
        <v>2816</v>
      </c>
      <c r="E527" s="4" t="s">
        <v>2817</v>
      </c>
      <c r="F527" s="4" t="s">
        <v>2650</v>
      </c>
      <c r="G527" s="4" t="s">
        <v>5</v>
      </c>
      <c r="H527" s="4" t="s">
        <v>6</v>
      </c>
      <c r="I527" s="4" t="s">
        <v>2610</v>
      </c>
      <c r="J527" s="4" t="s">
        <v>2818</v>
      </c>
      <c r="K527" s="4"/>
      <c r="L527" s="5" t="s">
        <v>2819</v>
      </c>
      <c r="M527" s="4" t="s">
        <v>2820</v>
      </c>
      <c r="N527" s="4"/>
      <c r="O527" s="4"/>
    </row>
    <row collapsed="false" customFormat="false" customHeight="true" hidden="false" ht="15" outlineLevel="0" r="528">
      <c r="A528" s="4" t="s">
        <v>457</v>
      </c>
      <c r="B528" s="4" t="s">
        <v>2605</v>
      </c>
      <c r="C528" s="4"/>
      <c r="D528" s="4" t="s">
        <v>12</v>
      </c>
      <c r="E528" s="4"/>
      <c r="F528" s="4"/>
      <c r="G528" s="4"/>
      <c r="H528" s="4"/>
      <c r="I528" s="4"/>
      <c r="J528" s="4" t="s">
        <v>2818</v>
      </c>
      <c r="K528" s="4"/>
      <c r="L528" s="5"/>
      <c r="M528" s="4"/>
      <c r="N528" s="4"/>
      <c r="O528" s="4"/>
    </row>
    <row collapsed="false" customFormat="false" customHeight="true" hidden="false" ht="15" outlineLevel="0" r="529">
      <c r="A529" s="4" t="s">
        <v>457</v>
      </c>
      <c r="B529" s="4" t="s">
        <v>2605</v>
      </c>
      <c r="C529" s="4" t="s">
        <v>2821</v>
      </c>
      <c r="D529" s="4" t="s">
        <v>15</v>
      </c>
      <c r="E529" s="4"/>
      <c r="F529" s="4"/>
      <c r="G529" s="4"/>
      <c r="H529" s="4"/>
      <c r="I529" s="4"/>
      <c r="J529" s="4" t="s">
        <v>2822</v>
      </c>
      <c r="K529" s="4"/>
      <c r="L529" s="5"/>
      <c r="M529" s="4"/>
      <c r="N529" s="4"/>
      <c r="O529" s="4"/>
    </row>
    <row collapsed="false" customFormat="false" customHeight="true" hidden="false" ht="15" outlineLevel="0" r="530">
      <c r="A530" s="4" t="s">
        <v>2823</v>
      </c>
      <c r="B530" s="4" t="s">
        <v>2605</v>
      </c>
      <c r="C530" s="4" t="s">
        <v>2606</v>
      </c>
      <c r="D530" s="4" t="s">
        <v>2607</v>
      </c>
      <c r="E530" s="4" t="s">
        <v>2608</v>
      </c>
      <c r="F530" s="4" t="s">
        <v>2609</v>
      </c>
      <c r="G530" s="4" t="s">
        <v>5</v>
      </c>
      <c r="H530" s="4" t="s">
        <v>6</v>
      </c>
      <c r="I530" s="4" t="s">
        <v>2610</v>
      </c>
      <c r="J530" s="4" t="s">
        <v>2611</v>
      </c>
      <c r="K530" s="4" t="s">
        <v>2612</v>
      </c>
      <c r="L530" s="5" t="s">
        <v>2824</v>
      </c>
      <c r="M530" s="4" t="s">
        <v>2825</v>
      </c>
      <c r="N530" s="5"/>
      <c r="O530" s="4"/>
    </row>
    <row collapsed="false" customFormat="false" customHeight="true" hidden="false" ht="15" outlineLevel="0" r="531">
      <c r="A531" s="4" t="s">
        <v>2823</v>
      </c>
      <c r="B531" s="4" t="s">
        <v>2605</v>
      </c>
      <c r="C531" s="4"/>
      <c r="D531" s="4" t="s">
        <v>12</v>
      </c>
      <c r="E531" s="4"/>
      <c r="F531" s="4"/>
      <c r="G531" s="4"/>
      <c r="H531" s="4"/>
      <c r="I531" s="4"/>
      <c r="J531" s="4" t="s">
        <v>2614</v>
      </c>
      <c r="K531" s="4"/>
      <c r="L531" s="5"/>
      <c r="M531" s="4"/>
      <c r="N531" s="4"/>
      <c r="O531" s="4"/>
    </row>
    <row collapsed="false" customFormat="false" customHeight="true" hidden="false" ht="15" outlineLevel="0" r="532">
      <c r="A532" s="4" t="s">
        <v>2823</v>
      </c>
      <c r="B532" s="4" t="s">
        <v>2605</v>
      </c>
      <c r="C532" s="4" t="s">
        <v>2615</v>
      </c>
      <c r="D532" s="4" t="s">
        <v>15</v>
      </c>
      <c r="E532" s="4"/>
      <c r="F532" s="4"/>
      <c r="G532" s="4"/>
      <c r="H532" s="4"/>
      <c r="I532" s="4"/>
      <c r="J532" s="4" t="s">
        <v>2611</v>
      </c>
      <c r="K532" s="4"/>
      <c r="L532" s="5"/>
      <c r="M532" s="4"/>
      <c r="N532" s="4"/>
      <c r="O532" s="4"/>
    </row>
    <row collapsed="false" customFormat="false" customHeight="true" hidden="false" ht="15" outlineLevel="0" r="533">
      <c r="A533" s="4" t="s">
        <v>2826</v>
      </c>
      <c r="B533" s="4" t="s">
        <v>2605</v>
      </c>
      <c r="C533" s="4" t="s">
        <v>2606</v>
      </c>
      <c r="D533" s="4" t="s">
        <v>2607</v>
      </c>
      <c r="E533" s="4" t="s">
        <v>2608</v>
      </c>
      <c r="F533" s="4" t="s">
        <v>2609</v>
      </c>
      <c r="G533" s="4" t="s">
        <v>5</v>
      </c>
      <c r="H533" s="4" t="s">
        <v>6</v>
      </c>
      <c r="I533" s="4" t="s">
        <v>2610</v>
      </c>
      <c r="J533" s="4" t="s">
        <v>2611</v>
      </c>
      <c r="K533" s="4" t="s">
        <v>2612</v>
      </c>
      <c r="L533" s="5" t="s">
        <v>2824</v>
      </c>
      <c r="M533" s="4" t="s">
        <v>2827</v>
      </c>
      <c r="N533" s="5"/>
      <c r="O533" s="4"/>
    </row>
    <row collapsed="false" customFormat="false" customHeight="true" hidden="false" ht="15" outlineLevel="0" r="534">
      <c r="A534" s="4" t="s">
        <v>2826</v>
      </c>
      <c r="B534" s="4" t="s">
        <v>2605</v>
      </c>
      <c r="C534" s="4"/>
      <c r="D534" s="4" t="s">
        <v>12</v>
      </c>
      <c r="E534" s="4"/>
      <c r="F534" s="4"/>
      <c r="G534" s="4"/>
      <c r="H534" s="4"/>
      <c r="I534" s="4"/>
      <c r="J534" s="4" t="s">
        <v>2614</v>
      </c>
      <c r="K534" s="4"/>
      <c r="L534" s="5"/>
      <c r="M534" s="4"/>
      <c r="N534" s="4"/>
      <c r="O534" s="4"/>
    </row>
    <row collapsed="false" customFormat="false" customHeight="true" hidden="false" ht="15" outlineLevel="0" r="535">
      <c r="A535" s="4" t="s">
        <v>2826</v>
      </c>
      <c r="B535" s="4" t="s">
        <v>2605</v>
      </c>
      <c r="C535" s="4" t="s">
        <v>2615</v>
      </c>
      <c r="D535" s="4" t="s">
        <v>15</v>
      </c>
      <c r="E535" s="4"/>
      <c r="F535" s="4"/>
      <c r="G535" s="4"/>
      <c r="H535" s="4"/>
      <c r="I535" s="4"/>
      <c r="J535" s="4" t="s">
        <v>2611</v>
      </c>
      <c r="K535" s="4"/>
      <c r="L535" s="5"/>
      <c r="M535" s="4"/>
      <c r="N535" s="4"/>
      <c r="O535" s="4"/>
    </row>
    <row collapsed="false" customFormat="false" customHeight="true" hidden="false" ht="15" outlineLevel="0" r="536">
      <c r="A536" s="4" t="s">
        <v>2828</v>
      </c>
      <c r="B536" s="4" t="s">
        <v>2605</v>
      </c>
      <c r="C536" s="4" t="s">
        <v>2829</v>
      </c>
      <c r="D536" s="4" t="s">
        <v>2</v>
      </c>
      <c r="E536" s="4" t="s">
        <v>2830</v>
      </c>
      <c r="F536" s="4" t="s">
        <v>2609</v>
      </c>
      <c r="G536" s="4" t="s">
        <v>5</v>
      </c>
      <c r="H536" s="4" t="s">
        <v>6</v>
      </c>
      <c r="I536" s="4" t="s">
        <v>2610</v>
      </c>
      <c r="J536" s="4" t="s">
        <v>2831</v>
      </c>
      <c r="K536" s="4" t="s">
        <v>2832</v>
      </c>
      <c r="L536" s="5" t="s">
        <v>2833</v>
      </c>
      <c r="M536" s="4" t="s">
        <v>2834</v>
      </c>
      <c r="N536" s="4"/>
      <c r="O536" s="4"/>
    </row>
    <row collapsed="false" customFormat="false" customHeight="true" hidden="false" ht="15" outlineLevel="0" r="537">
      <c r="A537" s="4" t="s">
        <v>2828</v>
      </c>
      <c r="B537" s="4" t="s">
        <v>2605</v>
      </c>
      <c r="C537" s="4"/>
      <c r="D537" s="4" t="s">
        <v>12</v>
      </c>
      <c r="E537" s="4"/>
      <c r="F537" s="4"/>
      <c r="G537" s="4"/>
      <c r="H537" s="4"/>
      <c r="I537" s="4"/>
      <c r="J537" s="4" t="s">
        <v>2831</v>
      </c>
      <c r="K537" s="4"/>
      <c r="L537" s="5"/>
      <c r="M537" s="4"/>
      <c r="N537" s="4"/>
      <c r="O537" s="4"/>
    </row>
    <row collapsed="false" customFormat="false" customHeight="true" hidden="false" ht="15" outlineLevel="0" r="538">
      <c r="A538" s="4" t="s">
        <v>2828</v>
      </c>
      <c r="B538" s="4" t="s">
        <v>2605</v>
      </c>
      <c r="C538" s="4" t="s">
        <v>2835</v>
      </c>
      <c r="D538" s="4" t="s">
        <v>15</v>
      </c>
      <c r="E538" s="4"/>
      <c r="F538" s="4"/>
      <c r="G538" s="4"/>
      <c r="H538" s="4"/>
      <c r="I538" s="4"/>
      <c r="J538" s="4" t="s">
        <v>2831</v>
      </c>
      <c r="K538" s="4"/>
      <c r="L538" s="5"/>
      <c r="M538" s="4"/>
      <c r="N538" s="4"/>
      <c r="O538" s="4"/>
    </row>
    <row collapsed="false" customFormat="false" customHeight="true" hidden="false" ht="15" outlineLevel="0" r="539">
      <c r="A539" s="4" t="s">
        <v>2836</v>
      </c>
      <c r="B539" s="4" t="s">
        <v>2605</v>
      </c>
      <c r="C539" s="4" t="s">
        <v>2837</v>
      </c>
      <c r="D539" s="4" t="s">
        <v>2838</v>
      </c>
      <c r="E539" s="4" t="s">
        <v>2839</v>
      </c>
      <c r="F539" s="4" t="s">
        <v>2650</v>
      </c>
      <c r="G539" s="4" t="s">
        <v>5</v>
      </c>
      <c r="H539" s="4" t="s">
        <v>6</v>
      </c>
      <c r="I539" s="4" t="n">
        <v>20530</v>
      </c>
      <c r="J539" s="4" t="s">
        <v>2840</v>
      </c>
      <c r="K539" s="4" t="s">
        <v>2841</v>
      </c>
      <c r="L539" s="5" t="s">
        <v>2842</v>
      </c>
      <c r="M539" s="4" t="s">
        <v>2843</v>
      </c>
      <c r="N539" s="4"/>
      <c r="O539" s="4"/>
    </row>
    <row collapsed="false" customFormat="false" customHeight="true" hidden="false" ht="15" outlineLevel="0" r="540">
      <c r="A540" s="4" t="s">
        <v>2836</v>
      </c>
      <c r="B540" s="4" t="s">
        <v>2605</v>
      </c>
      <c r="C540" s="4"/>
      <c r="D540" s="4" t="s">
        <v>12</v>
      </c>
      <c r="E540" s="4"/>
      <c r="F540" s="4"/>
      <c r="G540" s="4"/>
      <c r="H540" s="4"/>
      <c r="I540" s="4"/>
      <c r="J540" s="4" t="s">
        <v>2840</v>
      </c>
      <c r="K540" s="4"/>
      <c r="L540" s="5"/>
      <c r="M540" s="4"/>
      <c r="N540" s="4"/>
      <c r="O540" s="4"/>
    </row>
    <row collapsed="false" customFormat="false" customHeight="true" hidden="false" ht="15" outlineLevel="0" r="541">
      <c r="A541" s="4" t="s">
        <v>2836</v>
      </c>
      <c r="B541" s="4" t="s">
        <v>2605</v>
      </c>
      <c r="C541" s="4" t="s">
        <v>2844</v>
      </c>
      <c r="D541" s="4" t="s">
        <v>15</v>
      </c>
      <c r="E541" s="4"/>
      <c r="F541" s="4"/>
      <c r="G541" s="4"/>
      <c r="H541" s="4"/>
      <c r="I541" s="4"/>
      <c r="J541" s="4" t="s">
        <v>2840</v>
      </c>
      <c r="K541" s="4"/>
      <c r="L541" s="5"/>
      <c r="M541" s="4"/>
      <c r="N541" s="4"/>
      <c r="O541" s="4"/>
    </row>
    <row collapsed="false" customFormat="false" customHeight="true" hidden="false" ht="15" outlineLevel="0" r="542">
      <c r="A542" s="4" t="s">
        <v>2845</v>
      </c>
      <c r="B542" s="4" t="s">
        <v>2605</v>
      </c>
      <c r="C542" s="4" t="s">
        <v>2606</v>
      </c>
      <c r="D542" s="4" t="s">
        <v>2607</v>
      </c>
      <c r="E542" s="4" t="s">
        <v>2608</v>
      </c>
      <c r="F542" s="4" t="s">
        <v>2609</v>
      </c>
      <c r="G542" s="4" t="s">
        <v>5</v>
      </c>
      <c r="H542" s="4" t="s">
        <v>6</v>
      </c>
      <c r="I542" s="4" t="s">
        <v>2610</v>
      </c>
      <c r="J542" s="4" t="s">
        <v>2611</v>
      </c>
      <c r="K542" s="4" t="s">
        <v>2612</v>
      </c>
      <c r="L542" s="5" t="s">
        <v>2824</v>
      </c>
      <c r="M542" s="4" t="s">
        <v>2846</v>
      </c>
      <c r="N542" s="5"/>
      <c r="O542" s="4"/>
    </row>
    <row collapsed="false" customFormat="false" customHeight="true" hidden="false" ht="15" outlineLevel="0" r="543">
      <c r="A543" s="4" t="s">
        <v>2845</v>
      </c>
      <c r="B543" s="4" t="s">
        <v>2605</v>
      </c>
      <c r="C543" s="4"/>
      <c r="D543" s="4" t="s">
        <v>12</v>
      </c>
      <c r="E543" s="4"/>
      <c r="F543" s="4"/>
      <c r="G543" s="4"/>
      <c r="H543" s="4"/>
      <c r="I543" s="4"/>
      <c r="J543" s="4" t="s">
        <v>2614</v>
      </c>
      <c r="K543" s="4"/>
      <c r="L543" s="5"/>
      <c r="M543" s="4"/>
      <c r="N543" s="4"/>
      <c r="O543" s="4"/>
    </row>
    <row collapsed="false" customFormat="false" customHeight="true" hidden="false" ht="15" outlineLevel="0" r="544">
      <c r="A544" s="4" t="s">
        <v>2845</v>
      </c>
      <c r="B544" s="4" t="s">
        <v>2605</v>
      </c>
      <c r="C544" s="4" t="s">
        <v>2615</v>
      </c>
      <c r="D544" s="4" t="s">
        <v>15</v>
      </c>
      <c r="E544" s="4"/>
      <c r="F544" s="4"/>
      <c r="G544" s="4"/>
      <c r="H544" s="4"/>
      <c r="I544" s="4"/>
      <c r="J544" s="4" t="s">
        <v>2611</v>
      </c>
      <c r="K544" s="4"/>
      <c r="L544" s="5"/>
      <c r="M544" s="4"/>
      <c r="N544" s="4"/>
      <c r="O544" s="4"/>
    </row>
    <row collapsed="false" customFormat="false" customHeight="true" hidden="false" ht="15" outlineLevel="0" r="545">
      <c r="A545" s="4" t="s">
        <v>2847</v>
      </c>
      <c r="B545" s="4" t="s">
        <v>2605</v>
      </c>
      <c r="C545" s="4" t="s">
        <v>2848</v>
      </c>
      <c r="D545" s="4" t="s">
        <v>2849</v>
      </c>
      <c r="E545" s="4" t="s">
        <v>2850</v>
      </c>
      <c r="F545" s="4" t="s">
        <v>2650</v>
      </c>
      <c r="G545" s="4" t="s">
        <v>5</v>
      </c>
      <c r="H545" s="4" t="s">
        <v>6</v>
      </c>
      <c r="I545" s="4" t="s">
        <v>2610</v>
      </c>
      <c r="J545" s="4" t="s">
        <v>2851</v>
      </c>
      <c r="K545" s="4"/>
      <c r="L545" s="5" t="s">
        <v>2852</v>
      </c>
      <c r="M545" s="4" t="s">
        <v>2853</v>
      </c>
      <c r="N545" s="4"/>
      <c r="O545" s="4"/>
    </row>
    <row collapsed="false" customFormat="false" customHeight="true" hidden="false" ht="15" outlineLevel="0" r="546">
      <c r="A546" s="4" t="s">
        <v>2847</v>
      </c>
      <c r="B546" s="4" t="s">
        <v>2605</v>
      </c>
      <c r="C546" s="4"/>
      <c r="D546" s="4" t="s">
        <v>12</v>
      </c>
      <c r="E546" s="4"/>
      <c r="F546" s="4"/>
      <c r="G546" s="4"/>
      <c r="H546" s="4"/>
      <c r="I546" s="4"/>
      <c r="J546" s="4" t="s">
        <v>2851</v>
      </c>
      <c r="K546" s="4"/>
      <c r="L546" s="5"/>
      <c r="M546" s="4"/>
      <c r="N546" s="4"/>
      <c r="O546" s="4"/>
    </row>
    <row collapsed="false" customFormat="false" customHeight="true" hidden="false" ht="15" outlineLevel="0" r="547">
      <c r="A547" s="4" t="s">
        <v>2847</v>
      </c>
      <c r="B547" s="4" t="s">
        <v>2605</v>
      </c>
      <c r="C547" s="4" t="s">
        <v>2854</v>
      </c>
      <c r="D547" s="4" t="s">
        <v>15</v>
      </c>
      <c r="E547" s="4"/>
      <c r="F547" s="4"/>
      <c r="G547" s="4"/>
      <c r="H547" s="4"/>
      <c r="I547" s="4"/>
      <c r="J547" s="4" t="s">
        <v>2855</v>
      </c>
      <c r="K547" s="4"/>
      <c r="L547" s="16"/>
      <c r="M547" s="4"/>
      <c r="N547" s="4"/>
      <c r="O547" s="4"/>
    </row>
    <row collapsed="false" customFormat="false" customHeight="true" hidden="false" ht="15" outlineLevel="0" r="548">
      <c r="A548" s="4" t="s">
        <v>2856</v>
      </c>
      <c r="B548" s="4" t="s">
        <v>2605</v>
      </c>
      <c r="C548" s="4" t="s">
        <v>2710</v>
      </c>
      <c r="D548" s="4" t="s">
        <v>2711</v>
      </c>
      <c r="E548" s="4" t="s">
        <v>2712</v>
      </c>
      <c r="F548" s="4" t="s">
        <v>2659</v>
      </c>
      <c r="G548" s="4" t="s">
        <v>5</v>
      </c>
      <c r="H548" s="4" t="s">
        <v>6</v>
      </c>
      <c r="I548" s="4" t="s">
        <v>2610</v>
      </c>
      <c r="J548" s="4" t="s">
        <v>2713</v>
      </c>
      <c r="K548" s="17"/>
      <c r="L548" s="18" t="str">
        <f aca="false">HYPERLINK("mailto:USAEO.FOIA.Requests@usdoj.gov","mailto:USAEO.FOIA.Requests@usdoj.gov")</f>
        <v>mailto:USAEO.FOIA.Requests@usdoj.gov</v>
      </c>
      <c r="M548" s="19" t="s">
        <v>2715</v>
      </c>
      <c r="N548" s="4"/>
      <c r="O548" s="4"/>
    </row>
    <row collapsed="false" customFormat="false" customHeight="true" hidden="false" ht="15" outlineLevel="0" r="549">
      <c r="A549" s="4" t="s">
        <v>2856</v>
      </c>
      <c r="B549" s="4" t="s">
        <v>2605</v>
      </c>
      <c r="C549" s="4"/>
      <c r="D549" s="4" t="s">
        <v>12</v>
      </c>
      <c r="E549" s="4"/>
      <c r="F549" s="4"/>
      <c r="G549" s="4"/>
      <c r="H549" s="4"/>
      <c r="I549" s="4"/>
      <c r="J549" s="4" t="s">
        <v>2713</v>
      </c>
      <c r="K549" s="4"/>
      <c r="L549" s="20"/>
      <c r="M549" s="4"/>
      <c r="N549" s="4"/>
      <c r="O549" s="4"/>
    </row>
    <row collapsed="false" customFormat="false" customHeight="true" hidden="false" ht="15" outlineLevel="0" r="550">
      <c r="A550" s="4" t="s">
        <v>2856</v>
      </c>
      <c r="B550" s="4" t="s">
        <v>2605</v>
      </c>
      <c r="C550" s="4" t="s">
        <v>2716</v>
      </c>
      <c r="D550" s="4" t="s">
        <v>15</v>
      </c>
      <c r="E550" s="4"/>
      <c r="F550" s="4"/>
      <c r="G550" s="4"/>
      <c r="H550" s="4"/>
      <c r="I550" s="4"/>
      <c r="J550" s="4" t="s">
        <v>2713</v>
      </c>
      <c r="K550" s="4"/>
      <c r="L550" s="5"/>
      <c r="M550" s="4"/>
      <c r="N550" s="4"/>
      <c r="O550" s="4"/>
    </row>
    <row collapsed="false" customFormat="false" customHeight="true" hidden="false" ht="15" outlineLevel="0" r="551">
      <c r="A551" s="4" t="s">
        <v>2857</v>
      </c>
      <c r="B551" s="4" t="s">
        <v>2605</v>
      </c>
      <c r="C551" s="4" t="s">
        <v>2858</v>
      </c>
      <c r="D551" s="4" t="s">
        <v>1116</v>
      </c>
      <c r="E551" s="4" t="s">
        <v>2859</v>
      </c>
      <c r="F551" s="4" t="s">
        <v>2788</v>
      </c>
      <c r="G551" s="4" t="s">
        <v>5</v>
      </c>
      <c r="H551" s="4" t="s">
        <v>6</v>
      </c>
      <c r="I551" s="4" t="n">
        <v>20530</v>
      </c>
      <c r="J551" s="4" t="s">
        <v>2860</v>
      </c>
      <c r="K551" s="4"/>
      <c r="L551" s="5" t="str">
        <f aca="false">HYPERLINK("mailto:OVW.FOIA@usdoj.gov","mailto:OVW.FOIA@usdoj.gov")</f>
        <v>mailto:OVW.FOIA@usdoj.gov</v>
      </c>
      <c r="M551" s="4" t="s">
        <v>2861</v>
      </c>
      <c r="N551" s="4"/>
      <c r="O551" s="4"/>
    </row>
    <row collapsed="false" customFormat="false" customHeight="true" hidden="false" ht="15" outlineLevel="0" r="552">
      <c r="A552" s="4" t="s">
        <v>2857</v>
      </c>
      <c r="B552" s="4" t="s">
        <v>2605</v>
      </c>
      <c r="C552" s="4"/>
      <c r="D552" s="4" t="s">
        <v>12</v>
      </c>
      <c r="E552" s="4"/>
      <c r="F552" s="4"/>
      <c r="G552" s="4"/>
      <c r="H552" s="4"/>
      <c r="I552" s="4"/>
      <c r="J552" s="4" t="s">
        <v>2860</v>
      </c>
      <c r="K552" s="4"/>
      <c r="L552" s="5"/>
      <c r="M552" s="4"/>
      <c r="N552" s="4"/>
      <c r="O552" s="4"/>
    </row>
    <row collapsed="false" customFormat="false" customHeight="true" hidden="false" ht="15" outlineLevel="0" r="553">
      <c r="A553" s="4" t="s">
        <v>2857</v>
      </c>
      <c r="B553" s="4" t="s">
        <v>2605</v>
      </c>
      <c r="C553" s="4" t="s">
        <v>2858</v>
      </c>
      <c r="D553" s="4" t="s">
        <v>15</v>
      </c>
      <c r="E553" s="4"/>
      <c r="F553" s="4"/>
      <c r="G553" s="4"/>
      <c r="H553" s="4"/>
      <c r="I553" s="4"/>
      <c r="J553" s="4" t="s">
        <v>2860</v>
      </c>
      <c r="K553" s="4"/>
      <c r="L553" s="5"/>
      <c r="M553" s="4"/>
      <c r="N553" s="4"/>
      <c r="O553" s="4"/>
    </row>
    <row collapsed="false" customFormat="false" customHeight="true" hidden="false" ht="15" outlineLevel="0" r="554">
      <c r="A554" s="4" t="s">
        <v>2862</v>
      </c>
      <c r="B554" s="4" t="s">
        <v>2605</v>
      </c>
      <c r="C554" s="4" t="s">
        <v>2863</v>
      </c>
      <c r="D554" s="4" t="s">
        <v>2864</v>
      </c>
      <c r="E554" s="4" t="s">
        <v>2865</v>
      </c>
      <c r="F554" s="4" t="s">
        <v>2609</v>
      </c>
      <c r="G554" s="4" t="s">
        <v>5</v>
      </c>
      <c r="H554" s="4" t="s">
        <v>6</v>
      </c>
      <c r="I554" s="4" t="n">
        <v>20530</v>
      </c>
      <c r="J554" s="4" t="s">
        <v>2866</v>
      </c>
      <c r="K554" s="4" t="s">
        <v>2867</v>
      </c>
      <c r="L554" s="5" t="str">
        <f aca="false">HYPERLINK("mailto:PRAO.FOIA@usdoj.gov","mailto:PRAO.FOIA@usdoj.gov")</f>
        <v>mailto:PRAO.FOIA@usdoj.gov</v>
      </c>
      <c r="M554" s="4" t="s">
        <v>2868</v>
      </c>
      <c r="N554" s="4"/>
      <c r="O554" s="4"/>
    </row>
    <row collapsed="false" customFormat="false" customHeight="true" hidden="false" ht="15" outlineLevel="0" r="555">
      <c r="A555" s="4" t="s">
        <v>2862</v>
      </c>
      <c r="B555" s="4" t="s">
        <v>2605</v>
      </c>
      <c r="C555" s="4"/>
      <c r="D555" s="4" t="s">
        <v>12</v>
      </c>
      <c r="E555" s="4"/>
      <c r="F555" s="4"/>
      <c r="G555" s="4"/>
      <c r="H555" s="4"/>
      <c r="I555" s="4"/>
      <c r="J555" s="4" t="s">
        <v>2866</v>
      </c>
      <c r="K555" s="4"/>
      <c r="L555" s="5"/>
      <c r="M555" s="4"/>
      <c r="N555" s="4"/>
      <c r="O555" s="4"/>
    </row>
    <row collapsed="false" customFormat="false" customHeight="true" hidden="false" ht="15" outlineLevel="0" r="556">
      <c r="A556" s="4" t="s">
        <v>2862</v>
      </c>
      <c r="B556" s="4" t="s">
        <v>2605</v>
      </c>
      <c r="C556" s="4" t="s">
        <v>2863</v>
      </c>
      <c r="D556" s="4" t="s">
        <v>15</v>
      </c>
      <c r="E556" s="4"/>
      <c r="F556" s="4"/>
      <c r="G556" s="4"/>
      <c r="H556" s="4"/>
      <c r="I556" s="4"/>
      <c r="J556" s="4" t="s">
        <v>2866</v>
      </c>
      <c r="K556" s="4"/>
      <c r="L556" s="5"/>
      <c r="M556" s="4"/>
      <c r="N556" s="4"/>
      <c r="O556" s="4"/>
    </row>
    <row collapsed="false" customFormat="false" customHeight="true" hidden="false" ht="15" outlineLevel="0" r="557">
      <c r="A557" s="4" t="s">
        <v>2869</v>
      </c>
      <c r="B557" s="4" t="s">
        <v>2605</v>
      </c>
      <c r="C557" s="4" t="s">
        <v>2870</v>
      </c>
      <c r="D557" s="4" t="s">
        <v>2871</v>
      </c>
      <c r="E557" s="4" t="s">
        <v>2872</v>
      </c>
      <c r="F557" s="4" t="s">
        <v>2686</v>
      </c>
      <c r="G557" s="4" t="s">
        <v>5</v>
      </c>
      <c r="H557" s="4" t="s">
        <v>6</v>
      </c>
      <c r="I557" s="4" t="n">
        <v>20044</v>
      </c>
      <c r="J557" s="4" t="s">
        <v>2873</v>
      </c>
      <c r="K557" s="4"/>
      <c r="L557" s="5" t="str">
        <f aca="false">HYPERLINK("mailto:TaxDiv.FOIAPA@usdoj.gov","mailto:TaxDiv.FOIAPA@usdoj.gov")</f>
        <v>mailto:TaxDiv.FOIAPA@usdoj.gov</v>
      </c>
      <c r="M557" s="4" t="s">
        <v>2874</v>
      </c>
      <c r="N557" s="4"/>
      <c r="O557" s="4"/>
    </row>
    <row collapsed="false" customFormat="false" customHeight="true" hidden="false" ht="15" outlineLevel="0" r="558">
      <c r="A558" s="4" t="s">
        <v>2869</v>
      </c>
      <c r="B558" s="4" t="s">
        <v>2605</v>
      </c>
      <c r="C558" s="4"/>
      <c r="D558" s="4" t="s">
        <v>12</v>
      </c>
      <c r="E558" s="4"/>
      <c r="F558" s="4"/>
      <c r="G558" s="4"/>
      <c r="H558" s="4"/>
      <c r="I558" s="4"/>
      <c r="J558" s="4" t="s">
        <v>2873</v>
      </c>
      <c r="K558" s="4"/>
      <c r="L558" s="5"/>
      <c r="M558" s="4"/>
      <c r="N558" s="4"/>
      <c r="O558" s="4"/>
    </row>
    <row collapsed="false" customFormat="false" customHeight="true" hidden="false" ht="15" outlineLevel="0" r="559">
      <c r="A559" s="4" t="s">
        <v>2869</v>
      </c>
      <c r="B559" s="4" t="s">
        <v>2605</v>
      </c>
      <c r="C559" s="4" t="s">
        <v>2875</v>
      </c>
      <c r="D559" s="4" t="s">
        <v>15</v>
      </c>
      <c r="E559" s="4"/>
      <c r="F559" s="4"/>
      <c r="G559" s="4"/>
      <c r="H559" s="4"/>
      <c r="I559" s="4"/>
      <c r="J559" s="4" t="s">
        <v>2876</v>
      </c>
      <c r="K559" s="4"/>
      <c r="L559" s="5"/>
      <c r="M559" s="4"/>
      <c r="N559" s="4"/>
      <c r="O559" s="4"/>
    </row>
    <row collapsed="false" customFormat="false" customHeight="true" hidden="false" ht="15" outlineLevel="0" r="560">
      <c r="A560" s="4" t="s">
        <v>2877</v>
      </c>
      <c r="B560" s="4" t="s">
        <v>2605</v>
      </c>
      <c r="C560" s="4" t="s">
        <v>2878</v>
      </c>
      <c r="D560" s="4" t="s">
        <v>2879</v>
      </c>
      <c r="E560" s="4" t="s">
        <v>555</v>
      </c>
      <c r="F560" s="4" t="s">
        <v>2880</v>
      </c>
      <c r="G560" s="4" t="s">
        <v>807</v>
      </c>
      <c r="H560" s="4" t="s">
        <v>31</v>
      </c>
      <c r="I560" s="4" t="n">
        <v>22301</v>
      </c>
      <c r="J560" s="4" t="s">
        <v>2881</v>
      </c>
      <c r="K560" s="4"/>
      <c r="L560" s="5" t="str">
        <f aca="false">HYPERLINK("mailto:usms.foia@usdoj.gov","mailto:usms.foia@usdoj.gov")</f>
        <v>mailto:usms.foia@usdoj.gov</v>
      </c>
      <c r="M560" s="4" t="s">
        <v>2882</v>
      </c>
      <c r="N560" s="4"/>
      <c r="O560" s="4"/>
    </row>
    <row collapsed="false" customFormat="false" customHeight="true" hidden="false" ht="15" outlineLevel="0" r="561">
      <c r="A561" s="4" t="s">
        <v>2877</v>
      </c>
      <c r="B561" s="4" t="s">
        <v>2605</v>
      </c>
      <c r="C561" s="4"/>
      <c r="D561" s="4" t="s">
        <v>12</v>
      </c>
      <c r="E561" s="4"/>
      <c r="F561" s="4"/>
      <c r="G561" s="4"/>
      <c r="H561" s="4"/>
      <c r="I561" s="4"/>
      <c r="J561" s="4" t="s">
        <v>2881</v>
      </c>
      <c r="K561" s="4"/>
      <c r="L561" s="5"/>
      <c r="M561" s="4"/>
      <c r="N561" s="4"/>
      <c r="O561" s="4"/>
    </row>
    <row collapsed="false" customFormat="false" customHeight="true" hidden="false" ht="15" outlineLevel="0" r="562">
      <c r="A562" s="4" t="s">
        <v>2877</v>
      </c>
      <c r="B562" s="4" t="s">
        <v>2605</v>
      </c>
      <c r="C562" s="4" t="s">
        <v>2883</v>
      </c>
      <c r="D562" s="4" t="s">
        <v>15</v>
      </c>
      <c r="E562" s="4"/>
      <c r="F562" s="4"/>
      <c r="G562" s="4"/>
      <c r="H562" s="4"/>
      <c r="I562" s="4"/>
      <c r="J562" s="4" t="s">
        <v>2884</v>
      </c>
      <c r="K562" s="4"/>
      <c r="L562" s="5"/>
      <c r="M562" s="4"/>
      <c r="N562" s="4"/>
      <c r="O562" s="4"/>
    </row>
    <row collapsed="false" customFormat="false" customHeight="true" hidden="false" ht="15" outlineLevel="0" r="563">
      <c r="A563" s="4" t="s">
        <v>2885</v>
      </c>
      <c r="B563" s="4" t="s">
        <v>2605</v>
      </c>
      <c r="C563" s="4" t="s">
        <v>2886</v>
      </c>
      <c r="D563" s="4" t="s">
        <v>2887</v>
      </c>
      <c r="E563" s="4" t="s">
        <v>2888</v>
      </c>
      <c r="F563" s="4" t="s">
        <v>2889</v>
      </c>
      <c r="G563" s="4" t="s">
        <v>2890</v>
      </c>
      <c r="H563" s="4" t="s">
        <v>138</v>
      </c>
      <c r="I563" s="4" t="n">
        <v>20815</v>
      </c>
      <c r="J563" s="4" t="s">
        <v>2891</v>
      </c>
      <c r="K563" s="4" t="s">
        <v>2892</v>
      </c>
      <c r="L563" s="5" t="str">
        <f aca="false">HYPERLINK("mailto:USPC.FOIA@usdoj.gov","mailto:USPC.FOIA@usdoj.gov")</f>
        <v>mailto:USPC.FOIA@usdoj.gov</v>
      </c>
      <c r="M563" s="4" t="s">
        <v>2893</v>
      </c>
      <c r="N563" s="4"/>
      <c r="O563" s="4"/>
    </row>
    <row collapsed="false" customFormat="false" customHeight="true" hidden="false" ht="15" outlineLevel="0" r="564">
      <c r="A564" s="4" t="s">
        <v>2885</v>
      </c>
      <c r="B564" s="4" t="s">
        <v>2605</v>
      </c>
      <c r="C564" s="4"/>
      <c r="D564" s="4" t="s">
        <v>12</v>
      </c>
      <c r="E564" s="4"/>
      <c r="F564" s="4"/>
      <c r="G564" s="4"/>
      <c r="H564" s="4"/>
      <c r="I564" s="4"/>
      <c r="J564" s="4" t="s">
        <v>2894</v>
      </c>
      <c r="K564" s="4"/>
      <c r="L564" s="5"/>
      <c r="M564" s="4"/>
      <c r="N564" s="4"/>
      <c r="O564" s="4"/>
    </row>
    <row collapsed="false" customFormat="false" customHeight="true" hidden="false" ht="15" outlineLevel="0" r="565">
      <c r="A565" s="4" t="s">
        <v>2885</v>
      </c>
      <c r="B565" s="4" t="s">
        <v>2605</v>
      </c>
      <c r="C565" s="4" t="s">
        <v>2895</v>
      </c>
      <c r="D565" s="4" t="s">
        <v>15</v>
      </c>
      <c r="E565" s="4"/>
      <c r="F565" s="4"/>
      <c r="G565" s="4"/>
      <c r="H565" s="4"/>
      <c r="I565" s="4"/>
      <c r="J565" s="4" t="s">
        <v>2896</v>
      </c>
      <c r="K565" s="4"/>
      <c r="L565" s="5"/>
      <c r="M565" s="4"/>
      <c r="N565" s="4"/>
      <c r="O565" s="4"/>
    </row>
    <row collapsed="false" customFormat="false" customHeight="true" hidden="false" ht="15" outlineLevel="0" r="566">
      <c r="A566" s="4" t="s">
        <v>288</v>
      </c>
      <c r="B566" s="4" t="s">
        <v>2605</v>
      </c>
      <c r="C566" s="4" t="s">
        <v>2897</v>
      </c>
      <c r="D566" s="4" t="s">
        <v>2767</v>
      </c>
      <c r="E566" s="4" t="s">
        <v>2898</v>
      </c>
      <c r="F566" s="4" t="s">
        <v>2899</v>
      </c>
      <c r="G566" s="4" t="s">
        <v>5</v>
      </c>
      <c r="H566" s="4" t="s">
        <v>6</v>
      </c>
      <c r="I566" s="4" t="s">
        <v>2610</v>
      </c>
      <c r="J566" s="4" t="s">
        <v>2900</v>
      </c>
      <c r="K566" s="4" t="s">
        <v>2901</v>
      </c>
      <c r="L566" s="5"/>
      <c r="M566" s="4"/>
      <c r="N566" s="4"/>
      <c r="O566" s="4"/>
    </row>
    <row collapsed="false" customFormat="false" customHeight="true" hidden="false" ht="15" outlineLevel="0" r="567">
      <c r="A567" s="4" t="s">
        <v>288</v>
      </c>
      <c r="B567" s="4" t="s">
        <v>2605</v>
      </c>
      <c r="C567" s="4"/>
      <c r="D567" s="4" t="s">
        <v>12</v>
      </c>
      <c r="E567" s="4"/>
      <c r="F567" s="4"/>
      <c r="G567" s="4"/>
      <c r="H567" s="4"/>
      <c r="I567" s="4"/>
      <c r="J567" s="4" t="s">
        <v>2900</v>
      </c>
      <c r="K567" s="4"/>
      <c r="L567" s="5"/>
      <c r="M567" s="4"/>
      <c r="N567" s="4"/>
      <c r="O567" s="4"/>
    </row>
    <row collapsed="false" customFormat="false" customHeight="true" hidden="false" ht="15" outlineLevel="0" r="568">
      <c r="A568" s="4" t="s">
        <v>288</v>
      </c>
      <c r="B568" s="4" t="s">
        <v>2605</v>
      </c>
      <c r="C568" s="4" t="s">
        <v>2902</v>
      </c>
      <c r="D568" s="4" t="s">
        <v>15</v>
      </c>
      <c r="E568" s="4"/>
      <c r="F568" s="4"/>
      <c r="G568" s="4"/>
      <c r="H568" s="4"/>
      <c r="I568" s="4"/>
      <c r="J568" s="4" t="s">
        <v>2903</v>
      </c>
      <c r="K568" s="4"/>
      <c r="L568" s="5"/>
      <c r="M568" s="4"/>
      <c r="N568" s="4"/>
      <c r="O568" s="4"/>
    </row>
    <row collapsed="false" customFormat="false" customHeight="true" hidden="false" ht="15" outlineLevel="0" r="569">
      <c r="A569" s="4" t="s">
        <v>974</v>
      </c>
      <c r="B569" s="4" t="s">
        <v>2904</v>
      </c>
      <c r="C569" s="4" t="s">
        <v>2905</v>
      </c>
      <c r="D569" s="4" t="s">
        <v>2906</v>
      </c>
      <c r="E569" s="4" t="s">
        <v>2907</v>
      </c>
      <c r="F569" s="4" t="s">
        <v>2908</v>
      </c>
      <c r="G569" s="4" t="s">
        <v>5</v>
      </c>
      <c r="H569" s="4" t="s">
        <v>6</v>
      </c>
      <c r="I569" s="4" t="n">
        <v>20210</v>
      </c>
      <c r="J569" s="4" t="s">
        <v>2909</v>
      </c>
      <c r="K569" s="4" t="s">
        <v>2910</v>
      </c>
      <c r="L569" s="5" t="str">
        <f aca="false">HYPERLINK("mailto:foiarequest@dol.gov","mailto:foiarequest@dol.gov")</f>
        <v>mailto:foiarequest@dol.gov</v>
      </c>
      <c r="M569" s="4" t="s">
        <v>2911</v>
      </c>
      <c r="N569" s="4"/>
      <c r="O569" s="4"/>
    </row>
    <row collapsed="false" customFormat="false" customHeight="true" hidden="false" ht="15" outlineLevel="0" r="570">
      <c r="A570" s="4" t="s">
        <v>974</v>
      </c>
      <c r="B570" s="4" t="s">
        <v>2904</v>
      </c>
      <c r="C570" s="4"/>
      <c r="D570" s="4" t="s">
        <v>12</v>
      </c>
      <c r="E570" s="4"/>
      <c r="F570" s="4"/>
      <c r="G570" s="4"/>
      <c r="H570" s="4"/>
      <c r="I570" s="4"/>
      <c r="J570" s="4" t="s">
        <v>2912</v>
      </c>
      <c r="K570" s="4"/>
      <c r="L570" s="5"/>
      <c r="M570" s="4"/>
      <c r="N570" s="4"/>
      <c r="O570" s="4"/>
    </row>
    <row collapsed="false" customFormat="false" customHeight="true" hidden="false" ht="15" outlineLevel="0" r="571">
      <c r="A571" s="4" t="s">
        <v>974</v>
      </c>
      <c r="B571" s="4" t="s">
        <v>2904</v>
      </c>
      <c r="C571" s="4" t="s">
        <v>2913</v>
      </c>
      <c r="D571" s="4" t="s">
        <v>15</v>
      </c>
      <c r="E571" s="4"/>
      <c r="F571" s="4"/>
      <c r="G571" s="4"/>
      <c r="H571" s="4"/>
      <c r="I571" s="4"/>
      <c r="J571" s="4" t="s">
        <v>2914</v>
      </c>
      <c r="K571" s="4"/>
      <c r="L571" s="5" t="str">
        <f aca="false">HYPERLINK("mailto:hicks.thomas@dol.gov","mailto:hicks.thomas@dol.gov")</f>
        <v>mailto:hicks.thomas@dol.gov</v>
      </c>
      <c r="M571" s="4"/>
      <c r="N571" s="4"/>
      <c r="O571" s="4"/>
    </row>
    <row collapsed="false" customFormat="false" customHeight="true" hidden="false" ht="15" outlineLevel="0" r="572">
      <c r="A572" s="4" t="s">
        <v>2915</v>
      </c>
      <c r="B572" s="4" t="s">
        <v>2904</v>
      </c>
      <c r="C572" s="4"/>
      <c r="D572" s="4" t="s">
        <v>2849</v>
      </c>
      <c r="E572" s="4" t="s">
        <v>2916</v>
      </c>
      <c r="F572" s="4" t="s">
        <v>2908</v>
      </c>
      <c r="G572" s="4" t="s">
        <v>5</v>
      </c>
      <c r="H572" s="4" t="s">
        <v>6</v>
      </c>
      <c r="I572" s="4" t="s">
        <v>2917</v>
      </c>
      <c r="J572" s="4" t="s">
        <v>2918</v>
      </c>
      <c r="K572" s="4"/>
      <c r="L572" s="5" t="str">
        <f aca="false">HYPERLINK("mailto:ILABFOIA@dol.gov","mailto:ILABFOIA@dol.gov")</f>
        <v>mailto:ILABFOIA@dol.gov</v>
      </c>
      <c r="M572" s="4" t="s">
        <v>2919</v>
      </c>
      <c r="N572" s="4"/>
      <c r="O572" s="4"/>
    </row>
    <row collapsed="false" customFormat="false" customHeight="true" hidden="false" ht="15" outlineLevel="0" r="573">
      <c r="A573" s="4" t="s">
        <v>2915</v>
      </c>
      <c r="B573" s="4" t="s">
        <v>2904</v>
      </c>
      <c r="C573" s="4"/>
      <c r="D573" s="4" t="s">
        <v>12</v>
      </c>
      <c r="E573" s="4"/>
      <c r="F573" s="4"/>
      <c r="G573" s="4"/>
      <c r="H573" s="4"/>
      <c r="I573" s="4"/>
      <c r="J573" s="4" t="s">
        <v>2918</v>
      </c>
      <c r="K573" s="4"/>
      <c r="L573" s="5"/>
      <c r="M573" s="4"/>
      <c r="N573" s="4"/>
      <c r="O573" s="4"/>
    </row>
    <row collapsed="false" customFormat="false" customHeight="true" hidden="false" ht="15" outlineLevel="0" r="574">
      <c r="A574" s="4" t="s">
        <v>2915</v>
      </c>
      <c r="B574" s="4" t="s">
        <v>2904</v>
      </c>
      <c r="C574" s="4" t="s">
        <v>2913</v>
      </c>
      <c r="D574" s="4" t="s">
        <v>15</v>
      </c>
      <c r="E574" s="4"/>
      <c r="F574" s="4"/>
      <c r="G574" s="4"/>
      <c r="H574" s="4"/>
      <c r="I574" s="4"/>
      <c r="J574" s="4" t="s">
        <v>2914</v>
      </c>
      <c r="K574" s="4"/>
      <c r="L574" s="5" t="str">
        <f aca="false">HYPERLINK("mailto:hicks.thomas@dol.gov","mailto:hicks.thomas@dol.gov")</f>
        <v>mailto:hicks.thomas@dol.gov</v>
      </c>
      <c r="M574" s="4"/>
      <c r="N574" s="4"/>
      <c r="O574" s="4"/>
    </row>
    <row collapsed="false" customFormat="false" customHeight="true" hidden="false" ht="15" outlineLevel="0" r="575">
      <c r="A575" s="4" t="s">
        <v>2920</v>
      </c>
      <c r="B575" s="4" t="s">
        <v>2904</v>
      </c>
      <c r="C575" s="4"/>
      <c r="D575" s="4" t="s">
        <v>2921</v>
      </c>
      <c r="E575" s="4" t="s">
        <v>2922</v>
      </c>
      <c r="F575" s="4" t="s">
        <v>2923</v>
      </c>
      <c r="G575" s="4" t="s">
        <v>5</v>
      </c>
      <c r="H575" s="4" t="s">
        <v>6</v>
      </c>
      <c r="I575" s="4" t="s">
        <v>2924</v>
      </c>
      <c r="J575" s="4" t="s">
        <v>2925</v>
      </c>
      <c r="K575" s="4" t="s">
        <v>2926</v>
      </c>
      <c r="L575" s="5"/>
      <c r="M575" s="4" t="s">
        <v>2927</v>
      </c>
      <c r="N575" s="4"/>
      <c r="O575" s="4"/>
    </row>
    <row collapsed="false" customFormat="false" customHeight="true" hidden="false" ht="15" outlineLevel="0" r="576">
      <c r="A576" s="4" t="s">
        <v>2920</v>
      </c>
      <c r="B576" s="4" t="s">
        <v>2904</v>
      </c>
      <c r="C576" s="4"/>
      <c r="D576" s="4" t="s">
        <v>12</v>
      </c>
      <c r="E576" s="4"/>
      <c r="F576" s="4"/>
      <c r="G576" s="4"/>
      <c r="H576" s="4"/>
      <c r="I576" s="4"/>
      <c r="J576" s="4" t="s">
        <v>2925</v>
      </c>
      <c r="K576" s="4"/>
      <c r="L576" s="5" t="str">
        <f aca="false">HYPERLINK("mailto:bls.foia@bls.gov","mailto:bls.foia@bls.gov")</f>
        <v>mailto:bls.foia@bls.gov</v>
      </c>
      <c r="M576" s="4"/>
      <c r="N576" s="4"/>
      <c r="O576" s="4"/>
    </row>
    <row collapsed="false" customFormat="false" customHeight="true" hidden="false" ht="15" outlineLevel="0" r="577">
      <c r="A577" s="4" t="s">
        <v>2920</v>
      </c>
      <c r="B577" s="4" t="s">
        <v>2904</v>
      </c>
      <c r="C577" s="4" t="s">
        <v>2913</v>
      </c>
      <c r="D577" s="4" t="s">
        <v>15</v>
      </c>
      <c r="E577" s="4"/>
      <c r="F577" s="4"/>
      <c r="G577" s="4"/>
      <c r="H577" s="4"/>
      <c r="I577" s="4"/>
      <c r="J577" s="4" t="s">
        <v>2914</v>
      </c>
      <c r="K577" s="4"/>
      <c r="L577" s="5" t="str">
        <f aca="false">HYPERLINK("mailto:hicks.thomas@dol.gov","mailto:hicks.thomas@dol.gov")</f>
        <v>mailto:hicks.thomas@dol.gov</v>
      </c>
      <c r="M577" s="4"/>
      <c r="N577" s="4"/>
      <c r="O577" s="4"/>
    </row>
    <row collapsed="false" customFormat="false" customHeight="true" hidden="false" ht="15" outlineLevel="0" r="578">
      <c r="A578" s="4" t="s">
        <v>2928</v>
      </c>
      <c r="B578" s="4" t="s">
        <v>2904</v>
      </c>
      <c r="C578" s="4" t="s">
        <v>2929</v>
      </c>
      <c r="D578" s="4" t="s">
        <v>2</v>
      </c>
      <c r="E578" s="4" t="s">
        <v>2930</v>
      </c>
      <c r="F578" s="4" t="s">
        <v>2908</v>
      </c>
      <c r="G578" s="4" t="s">
        <v>5</v>
      </c>
      <c r="H578" s="4" t="s">
        <v>6</v>
      </c>
      <c r="I578" s="4" t="n">
        <v>20210</v>
      </c>
      <c r="J578" s="4" t="s">
        <v>2931</v>
      </c>
      <c r="K578" s="4"/>
      <c r="L578" s="5" t="str">
        <f aca="false">HYPERLINK("mailto:foiarequest@dol.gov","mailto:foiarequest@dol.gov")</f>
        <v>mailto:foiarequest@dol.gov</v>
      </c>
      <c r="M578" s="4" t="s">
        <v>2932</v>
      </c>
      <c r="N578" s="4"/>
      <c r="O578" s="4"/>
    </row>
    <row collapsed="false" customFormat="false" customHeight="true" hidden="false" ht="15" outlineLevel="0" r="579">
      <c r="A579" s="4" t="s">
        <v>2928</v>
      </c>
      <c r="B579" s="4" t="s">
        <v>2904</v>
      </c>
      <c r="C579" s="4"/>
      <c r="D579" s="4" t="s">
        <v>12</v>
      </c>
      <c r="E579" s="4"/>
      <c r="F579" s="4"/>
      <c r="G579" s="4"/>
      <c r="H579" s="4"/>
      <c r="I579" s="4"/>
      <c r="J579" s="4" t="s">
        <v>2933</v>
      </c>
      <c r="K579" s="4"/>
      <c r="L579" s="5"/>
      <c r="M579" s="4"/>
      <c r="N579" s="4"/>
      <c r="O579" s="4"/>
    </row>
    <row collapsed="false" customFormat="false" customHeight="true" hidden="false" ht="15" outlineLevel="0" r="580">
      <c r="A580" s="4" t="s">
        <v>2928</v>
      </c>
      <c r="B580" s="4" t="s">
        <v>2904</v>
      </c>
      <c r="C580" s="4" t="s">
        <v>2913</v>
      </c>
      <c r="D580" s="4" t="s">
        <v>15</v>
      </c>
      <c r="E580" s="4"/>
      <c r="F580" s="4"/>
      <c r="G580" s="4"/>
      <c r="H580" s="4"/>
      <c r="I580" s="4"/>
      <c r="J580" s="4" t="s">
        <v>2914</v>
      </c>
      <c r="K580" s="4"/>
      <c r="L580" s="5" t="str">
        <f aca="false">HYPERLINK("mailto:hicks.thomas@dol.gov","mailto:hicks.thomas@dol.gov")</f>
        <v>mailto:hicks.thomas@dol.gov</v>
      </c>
      <c r="M580" s="4"/>
      <c r="N580" s="4"/>
      <c r="O580" s="4"/>
    </row>
    <row collapsed="false" customFormat="false" customHeight="true" hidden="false" ht="15" outlineLevel="0" r="581">
      <c r="A581" s="4" t="s">
        <v>2934</v>
      </c>
      <c r="B581" s="4" t="s">
        <v>2904</v>
      </c>
      <c r="C581" s="4"/>
      <c r="D581" s="4" t="s">
        <v>2921</v>
      </c>
      <c r="E581" s="4"/>
      <c r="F581" s="4" t="s">
        <v>2908</v>
      </c>
      <c r="G581" s="4" t="s">
        <v>5</v>
      </c>
      <c r="H581" s="4" t="s">
        <v>6</v>
      </c>
      <c r="I581" s="4" t="s">
        <v>2935</v>
      </c>
      <c r="J581" s="4" t="s">
        <v>2936</v>
      </c>
      <c r="K581" s="4" t="s">
        <v>2937</v>
      </c>
      <c r="L581" s="5"/>
      <c r="M581" s="4" t="s">
        <v>2938</v>
      </c>
      <c r="N581" s="4"/>
      <c r="O581" s="4"/>
    </row>
    <row collapsed="false" customFormat="false" customHeight="true" hidden="false" ht="15" outlineLevel="0" r="582">
      <c r="A582" s="4" t="s">
        <v>2934</v>
      </c>
      <c r="B582" s="4" t="s">
        <v>2904</v>
      </c>
      <c r="C582" s="4"/>
      <c r="D582" s="4" t="s">
        <v>12</v>
      </c>
      <c r="E582" s="4"/>
      <c r="F582" s="4"/>
      <c r="G582" s="4"/>
      <c r="H582" s="4"/>
      <c r="I582" s="4"/>
      <c r="J582" s="4" t="s">
        <v>2936</v>
      </c>
      <c r="K582" s="4"/>
      <c r="L582" s="5"/>
      <c r="M582" s="4"/>
      <c r="N582" s="4"/>
      <c r="O582" s="4"/>
    </row>
    <row collapsed="false" customFormat="false" customHeight="true" hidden="false" ht="15" outlineLevel="0" r="583">
      <c r="A583" s="4" t="s">
        <v>2934</v>
      </c>
      <c r="B583" s="4" t="s">
        <v>2904</v>
      </c>
      <c r="C583" s="4" t="s">
        <v>2913</v>
      </c>
      <c r="D583" s="4" t="s">
        <v>15</v>
      </c>
      <c r="E583" s="4"/>
      <c r="F583" s="4"/>
      <c r="G583" s="4"/>
      <c r="H583" s="4"/>
      <c r="I583" s="4"/>
      <c r="J583" s="4" t="s">
        <v>2914</v>
      </c>
      <c r="K583" s="4"/>
      <c r="L583" s="5" t="str">
        <f aca="false">HYPERLINK("mailto:hicks.thomas@dol.gov","mailto:hicks.thomas@dol.gov")</f>
        <v>mailto:hicks.thomas@dol.gov</v>
      </c>
      <c r="M583" s="4"/>
      <c r="N583" s="4"/>
      <c r="O583" s="4"/>
    </row>
    <row collapsed="false" customFormat="false" customHeight="true" hidden="false" ht="15" outlineLevel="0" r="584">
      <c r="A584" s="4" t="s">
        <v>2939</v>
      </c>
      <c r="B584" s="4" t="s">
        <v>2904</v>
      </c>
      <c r="C584" s="4"/>
      <c r="D584" s="4" t="s">
        <v>2921</v>
      </c>
      <c r="E584" s="4"/>
      <c r="F584" s="4" t="s">
        <v>2908</v>
      </c>
      <c r="G584" s="4" t="s">
        <v>5</v>
      </c>
      <c r="H584" s="4" t="s">
        <v>6</v>
      </c>
      <c r="I584" s="4" t="n">
        <v>20210</v>
      </c>
      <c r="J584" s="4" t="s">
        <v>2936</v>
      </c>
      <c r="K584" s="4" t="s">
        <v>2937</v>
      </c>
      <c r="L584" s="5" t="str">
        <f aca="false">HYPERLINK("mailto:foiarequest@dol.gov","mailto:foiarequest@dol.gov")</f>
        <v>mailto:foiarequest@dol.gov</v>
      </c>
      <c r="M584" s="4" t="s">
        <v>2940</v>
      </c>
      <c r="N584" s="4"/>
      <c r="O584" s="4"/>
    </row>
    <row collapsed="false" customFormat="false" customHeight="true" hidden="false" ht="15" outlineLevel="0" r="585">
      <c r="A585" s="4" t="s">
        <v>2939</v>
      </c>
      <c r="B585" s="4" t="s">
        <v>2904</v>
      </c>
      <c r="C585" s="4"/>
      <c r="D585" s="4" t="s">
        <v>12</v>
      </c>
      <c r="E585" s="4"/>
      <c r="F585" s="4"/>
      <c r="G585" s="4"/>
      <c r="H585" s="4"/>
      <c r="I585" s="4"/>
      <c r="J585" s="4" t="s">
        <v>2941</v>
      </c>
      <c r="K585" s="4"/>
      <c r="L585" s="5"/>
      <c r="M585" s="4"/>
      <c r="N585" s="4"/>
      <c r="O585" s="4"/>
    </row>
    <row collapsed="false" customFormat="false" customHeight="true" hidden="false" ht="15" outlineLevel="0" r="586">
      <c r="A586" s="4" t="s">
        <v>2939</v>
      </c>
      <c r="B586" s="4" t="s">
        <v>2904</v>
      </c>
      <c r="C586" s="4" t="s">
        <v>2913</v>
      </c>
      <c r="D586" s="4" t="s">
        <v>15</v>
      </c>
      <c r="E586" s="4"/>
      <c r="F586" s="4"/>
      <c r="G586" s="4"/>
      <c r="H586" s="4"/>
      <c r="I586" s="4"/>
      <c r="J586" s="4" t="s">
        <v>2914</v>
      </c>
      <c r="K586" s="4"/>
      <c r="L586" s="5" t="str">
        <f aca="false">HYPERLINK("mailto:hicks.thomas@dol.gov","mailto:hicks.thomas@dol.gov")</f>
        <v>mailto:hicks.thomas@dol.gov</v>
      </c>
      <c r="M586" s="4"/>
      <c r="N586" s="4"/>
      <c r="O586" s="4"/>
    </row>
    <row collapsed="false" customFormat="false" customHeight="true" hidden="false" ht="15" outlineLevel="0" r="587">
      <c r="A587" s="4" t="s">
        <v>2942</v>
      </c>
      <c r="B587" s="4" t="s">
        <v>2904</v>
      </c>
      <c r="C587" s="4"/>
      <c r="D587" s="4" t="s">
        <v>2</v>
      </c>
      <c r="E587" s="4" t="s">
        <v>2943</v>
      </c>
      <c r="F587" s="4" t="s">
        <v>2944</v>
      </c>
      <c r="G587" s="4" t="s">
        <v>30</v>
      </c>
      <c r="H587" s="4" t="s">
        <v>31</v>
      </c>
      <c r="I587" s="4" t="s">
        <v>2945</v>
      </c>
      <c r="J587" s="4" t="s">
        <v>2946</v>
      </c>
      <c r="K587" s="4" t="s">
        <v>2947</v>
      </c>
      <c r="L587" s="5" t="str">
        <f aca="false">HYPERLINK("mailto:foiarequest@dol.gov","mailto:foiarequest@dol.gov")</f>
        <v>mailto:foiarequest@dol.gov</v>
      </c>
      <c r="M587" s="4" t="s">
        <v>2948</v>
      </c>
      <c r="N587" s="4"/>
      <c r="O587" s="4"/>
    </row>
    <row collapsed="false" customFormat="false" customHeight="true" hidden="false" ht="15" outlineLevel="0" r="588">
      <c r="A588" s="4" t="s">
        <v>2942</v>
      </c>
      <c r="B588" s="4" t="s">
        <v>2904</v>
      </c>
      <c r="C588" s="4"/>
      <c r="D588" s="4" t="s">
        <v>12</v>
      </c>
      <c r="E588" s="4"/>
      <c r="F588" s="4"/>
      <c r="G588" s="4"/>
      <c r="H588" s="4"/>
      <c r="I588" s="4"/>
      <c r="J588" s="4" t="s">
        <v>2949</v>
      </c>
      <c r="K588" s="4"/>
      <c r="L588" s="5"/>
      <c r="M588" s="4"/>
      <c r="N588" s="4"/>
      <c r="O588" s="4"/>
    </row>
    <row collapsed="false" customFormat="false" customHeight="true" hidden="false" ht="15" outlineLevel="0" r="589">
      <c r="A589" s="4" t="s">
        <v>2942</v>
      </c>
      <c r="B589" s="4" t="s">
        <v>2904</v>
      </c>
      <c r="C589" s="4" t="s">
        <v>2913</v>
      </c>
      <c r="D589" s="4" t="s">
        <v>15</v>
      </c>
      <c r="E589" s="4"/>
      <c r="F589" s="4"/>
      <c r="G589" s="4"/>
      <c r="H589" s="4"/>
      <c r="I589" s="4"/>
      <c r="J589" s="4" t="s">
        <v>2914</v>
      </c>
      <c r="K589" s="4"/>
      <c r="L589" s="5" t="str">
        <f aca="false">HYPERLINK("mailto:hicks.thomas@dol.gov","mailto:hicks.thomas@dol.gov")</f>
        <v>mailto:hicks.thomas@dol.gov</v>
      </c>
      <c r="M589" s="4"/>
      <c r="N589" s="4"/>
      <c r="O589" s="4"/>
    </row>
    <row collapsed="false" customFormat="false" customHeight="true" hidden="false" ht="15" outlineLevel="0" r="590">
      <c r="A590" s="4" t="s">
        <v>2950</v>
      </c>
      <c r="B590" s="4" t="s">
        <v>2904</v>
      </c>
      <c r="C590" s="4"/>
      <c r="D590" s="4" t="s">
        <v>2921</v>
      </c>
      <c r="E590" s="4" t="s">
        <v>2951</v>
      </c>
      <c r="F590" s="4" t="s">
        <v>2952</v>
      </c>
      <c r="G590" s="4" t="s">
        <v>2953</v>
      </c>
      <c r="H590" s="4" t="s">
        <v>6</v>
      </c>
      <c r="I590" s="4" t="s">
        <v>2954</v>
      </c>
      <c r="J590" s="4" t="s">
        <v>2955</v>
      </c>
      <c r="K590" s="4" t="s">
        <v>2956</v>
      </c>
      <c r="L590" s="5" t="str">
        <f aca="false">HYPERLINK("mailto:foiarequest@dol.gov","mailto:foiarequest@dol.gov")</f>
        <v>mailto:foiarequest@dol.gov</v>
      </c>
      <c r="M590" s="4" t="s">
        <v>2957</v>
      </c>
      <c r="N590" s="4"/>
      <c r="O590" s="4"/>
    </row>
    <row collapsed="false" customFormat="false" customHeight="true" hidden="false" ht="15" outlineLevel="0" r="591">
      <c r="A591" s="4" t="s">
        <v>2950</v>
      </c>
      <c r="B591" s="4" t="s">
        <v>2904</v>
      </c>
      <c r="C591" s="4"/>
      <c r="D591" s="4" t="s">
        <v>12</v>
      </c>
      <c r="E591" s="4"/>
      <c r="F591" s="4"/>
      <c r="G591" s="4"/>
      <c r="H591" s="4"/>
      <c r="I591" s="4"/>
      <c r="J591" s="4" t="s">
        <v>2958</v>
      </c>
      <c r="K591" s="4" t="s">
        <v>2956</v>
      </c>
      <c r="L591" s="5" t="str">
        <f aca="false">HYPERLINK("mailto:oalj-foia@dol.gov","mailto:oalj-foia@dol.gov")</f>
        <v>mailto:oalj-foia@dol.gov</v>
      </c>
      <c r="M591" s="4"/>
      <c r="N591" s="4"/>
      <c r="O591" s="4"/>
    </row>
    <row collapsed="false" customFormat="false" customHeight="true" hidden="false" ht="15" outlineLevel="0" r="592">
      <c r="A592" s="4" t="s">
        <v>2950</v>
      </c>
      <c r="B592" s="4" t="s">
        <v>2904</v>
      </c>
      <c r="C592" s="4" t="s">
        <v>2913</v>
      </c>
      <c r="D592" s="4" t="s">
        <v>15</v>
      </c>
      <c r="E592" s="4"/>
      <c r="F592" s="4"/>
      <c r="G592" s="4"/>
      <c r="H592" s="4"/>
      <c r="I592" s="4"/>
      <c r="J592" s="4" t="s">
        <v>2914</v>
      </c>
      <c r="K592" s="4"/>
      <c r="L592" s="5" t="str">
        <f aca="false">HYPERLINK("mailto:hicks.thomas@dol.gov","mailto:hicks.thomas@dol.gov")</f>
        <v>mailto:hicks.thomas@dol.gov</v>
      </c>
      <c r="M592" s="4"/>
      <c r="N592" s="4"/>
      <c r="O592" s="4"/>
    </row>
    <row collapsed="false" customFormat="false" customHeight="true" hidden="false" ht="15" outlineLevel="0" r="593">
      <c r="A593" s="4" t="s">
        <v>2959</v>
      </c>
      <c r="B593" s="4" t="s">
        <v>2904</v>
      </c>
      <c r="C593" s="4"/>
      <c r="D593" s="4" t="s">
        <v>2849</v>
      </c>
      <c r="E593" s="4" t="s">
        <v>2960</v>
      </c>
      <c r="F593" s="4" t="s">
        <v>2908</v>
      </c>
      <c r="G593" s="4" t="s">
        <v>5</v>
      </c>
      <c r="H593" s="4" t="s">
        <v>6</v>
      </c>
      <c r="I593" s="4" t="n">
        <v>20210</v>
      </c>
      <c r="J593" s="4" t="s">
        <v>2961</v>
      </c>
      <c r="K593" s="4" t="s">
        <v>2962</v>
      </c>
      <c r="L593" s="5" t="str">
        <f aca="false">HYPERLINK("mailto:foiarequest@dol.gov","mailto:foiarequest@dol.gov")</f>
        <v>mailto:foiarequest@dol.gov</v>
      </c>
      <c r="M593" s="4" t="s">
        <v>2963</v>
      </c>
      <c r="N593" s="4"/>
      <c r="O593" s="4"/>
    </row>
    <row collapsed="false" customFormat="false" customHeight="true" hidden="false" ht="15" outlineLevel="0" r="594">
      <c r="A594" s="4" t="s">
        <v>2959</v>
      </c>
      <c r="B594" s="4" t="s">
        <v>2904</v>
      </c>
      <c r="C594" s="4"/>
      <c r="D594" s="4" t="s">
        <v>12</v>
      </c>
      <c r="E594" s="4"/>
      <c r="F594" s="4"/>
      <c r="G594" s="4"/>
      <c r="H594" s="4"/>
      <c r="I594" s="4"/>
      <c r="J594" s="4" t="s">
        <v>2961</v>
      </c>
      <c r="K594" s="4"/>
      <c r="L594" s="5" t="str">
        <f aca="false">HYPERLINK("mailto:oasam-foia-service-center@dol.gov","mailto:oasam-foia-service-center@dol.gov")</f>
        <v>mailto:oasam-foia-service-center@dol.gov</v>
      </c>
      <c r="M594" s="5"/>
      <c r="N594" s="4"/>
      <c r="O594" s="4"/>
    </row>
    <row collapsed="false" customFormat="false" customHeight="true" hidden="false" ht="15" outlineLevel="0" r="595">
      <c r="A595" s="4" t="s">
        <v>2959</v>
      </c>
      <c r="B595" s="4" t="s">
        <v>2904</v>
      </c>
      <c r="C595" s="4" t="s">
        <v>2913</v>
      </c>
      <c r="D595" s="4" t="s">
        <v>15</v>
      </c>
      <c r="E595" s="4"/>
      <c r="F595" s="4"/>
      <c r="G595" s="4"/>
      <c r="H595" s="4"/>
      <c r="I595" s="4"/>
      <c r="J595" s="4" t="s">
        <v>2914</v>
      </c>
      <c r="K595" s="4"/>
      <c r="L595" s="5" t="str">
        <f aca="false">HYPERLINK("mailto:hicks.thomas@dol.gov","mailto:hicks.thomas@dol.gov")</f>
        <v>mailto:hicks.thomas@dol.gov</v>
      </c>
      <c r="M595" s="4"/>
      <c r="N595" s="4"/>
      <c r="O595" s="4"/>
    </row>
    <row collapsed="false" customFormat="false" customHeight="true" hidden="false" ht="15" outlineLevel="0" r="596">
      <c r="A596" s="4" t="s">
        <v>2964</v>
      </c>
      <c r="B596" s="4" t="s">
        <v>2904</v>
      </c>
      <c r="C596" s="4"/>
      <c r="D596" s="4" t="s">
        <v>2849</v>
      </c>
      <c r="E596" s="4" t="s">
        <v>2965</v>
      </c>
      <c r="F596" s="4" t="s">
        <v>2908</v>
      </c>
      <c r="G596" s="4" t="s">
        <v>5</v>
      </c>
      <c r="H596" s="4" t="s">
        <v>6</v>
      </c>
      <c r="I596" s="4" t="n">
        <v>20210</v>
      </c>
      <c r="J596" s="4" t="s">
        <v>2941</v>
      </c>
      <c r="K596" s="4" t="s">
        <v>2966</v>
      </c>
      <c r="L596" s="5" t="str">
        <f aca="false">HYPERLINK("mailto:foiarequest@dol.gov","mailto:foiarequest@dol.gov")</f>
        <v>mailto:foiarequest@dol.gov</v>
      </c>
      <c r="M596" s="4" t="s">
        <v>2967</v>
      </c>
      <c r="N596" s="4"/>
      <c r="O596" s="4"/>
    </row>
    <row collapsed="false" customFormat="false" customHeight="true" hidden="false" ht="15" outlineLevel="0" r="597">
      <c r="A597" s="4" t="s">
        <v>2964</v>
      </c>
      <c r="B597" s="4" t="s">
        <v>2904</v>
      </c>
      <c r="C597" s="4"/>
      <c r="D597" s="4" t="s">
        <v>12</v>
      </c>
      <c r="E597" s="4"/>
      <c r="F597" s="4"/>
      <c r="G597" s="4"/>
      <c r="H597" s="4"/>
      <c r="I597" s="4"/>
      <c r="J597" s="4" t="s">
        <v>2941</v>
      </c>
      <c r="K597" s="4"/>
      <c r="L597" s="5"/>
      <c r="M597" s="4"/>
      <c r="N597" s="4"/>
      <c r="O597" s="4"/>
    </row>
    <row collapsed="false" customFormat="false" customHeight="true" hidden="false" ht="15" outlineLevel="0" r="598">
      <c r="A598" s="4" t="s">
        <v>2964</v>
      </c>
      <c r="B598" s="4" t="s">
        <v>2904</v>
      </c>
      <c r="C598" s="4" t="s">
        <v>2913</v>
      </c>
      <c r="D598" s="4" t="s">
        <v>15</v>
      </c>
      <c r="E598" s="4"/>
      <c r="F598" s="4"/>
      <c r="G598" s="4"/>
      <c r="H598" s="4"/>
      <c r="I598" s="4"/>
      <c r="J598" s="4" t="s">
        <v>2914</v>
      </c>
      <c r="K598" s="4"/>
      <c r="L598" s="5" t="str">
        <f aca="false">HYPERLINK("mailto:hicks.thomas@dol.gov","mailto:hicks.thomas@dol.gov")</f>
        <v>mailto:hicks.thomas@dol.gov</v>
      </c>
      <c r="M598" s="4"/>
      <c r="N598" s="4"/>
      <c r="O598" s="4"/>
    </row>
    <row collapsed="false" customFormat="false" customHeight="true" hidden="false" ht="15" outlineLevel="0" r="599">
      <c r="A599" s="4" t="s">
        <v>2968</v>
      </c>
      <c r="B599" s="4" t="s">
        <v>2904</v>
      </c>
      <c r="C599" s="4"/>
      <c r="D599" s="4" t="s">
        <v>2849</v>
      </c>
      <c r="E599" s="4" t="s">
        <v>2969</v>
      </c>
      <c r="F599" s="4" t="s">
        <v>2908</v>
      </c>
      <c r="G599" s="4" t="s">
        <v>5</v>
      </c>
      <c r="H599" s="4" t="s">
        <v>6</v>
      </c>
      <c r="I599" s="4" t="n">
        <v>20210</v>
      </c>
      <c r="J599" s="4" t="s">
        <v>2970</v>
      </c>
      <c r="K599" s="4"/>
      <c r="L599" s="5"/>
      <c r="M599" s="4" t="s">
        <v>2971</v>
      </c>
      <c r="N599" s="4"/>
      <c r="O599" s="4"/>
    </row>
    <row collapsed="false" customFormat="false" customHeight="true" hidden="false" ht="15" outlineLevel="0" r="600">
      <c r="A600" s="4" t="s">
        <v>2968</v>
      </c>
      <c r="B600" s="4" t="s">
        <v>2904</v>
      </c>
      <c r="C600" s="4"/>
      <c r="D600" s="4" t="s">
        <v>12</v>
      </c>
      <c r="E600" s="4"/>
      <c r="F600" s="4"/>
      <c r="G600" s="4"/>
      <c r="H600" s="4"/>
      <c r="I600" s="4"/>
      <c r="J600" s="4" t="s">
        <v>2970</v>
      </c>
      <c r="K600" s="4"/>
      <c r="L600" s="5"/>
      <c r="M600" s="4"/>
      <c r="N600" s="4"/>
      <c r="O600" s="4"/>
    </row>
    <row collapsed="false" customFormat="false" customHeight="true" hidden="false" ht="15" outlineLevel="0" r="601">
      <c r="A601" s="4" t="s">
        <v>2968</v>
      </c>
      <c r="B601" s="4" t="s">
        <v>2904</v>
      </c>
      <c r="C601" s="4" t="s">
        <v>2913</v>
      </c>
      <c r="D601" s="4" t="s">
        <v>15</v>
      </c>
      <c r="E601" s="4"/>
      <c r="F601" s="4"/>
      <c r="G601" s="4"/>
      <c r="H601" s="4"/>
      <c r="I601" s="4"/>
      <c r="J601" s="4" t="s">
        <v>2914</v>
      </c>
      <c r="K601" s="4"/>
      <c r="L601" s="5" t="str">
        <f aca="false">HYPERLINK("mailto:hicks.thomas@dol.gov","mailto:hicks.thomas@dol.gov")</f>
        <v>mailto:hicks.thomas@dol.gov</v>
      </c>
      <c r="M601" s="4"/>
      <c r="N601" s="4"/>
      <c r="O601" s="4"/>
    </row>
    <row collapsed="false" customFormat="false" customHeight="true" hidden="false" ht="15" outlineLevel="0" r="602">
      <c r="A602" s="4" t="s">
        <v>2972</v>
      </c>
      <c r="B602" s="4" t="s">
        <v>2904</v>
      </c>
      <c r="C602" s="4"/>
      <c r="D602" s="4" t="s">
        <v>2849</v>
      </c>
      <c r="E602" s="4" t="s">
        <v>2969</v>
      </c>
      <c r="F602" s="4" t="s">
        <v>2908</v>
      </c>
      <c r="G602" s="4" t="s">
        <v>5</v>
      </c>
      <c r="H602" s="4" t="s">
        <v>6</v>
      </c>
      <c r="I602" s="4" t="n">
        <v>20210</v>
      </c>
      <c r="J602" s="4" t="s">
        <v>2970</v>
      </c>
      <c r="K602" s="4"/>
      <c r="L602" s="5"/>
      <c r="M602" s="4" t="s">
        <v>2973</v>
      </c>
      <c r="N602" s="4"/>
      <c r="O602" s="4"/>
    </row>
    <row collapsed="false" customFormat="false" customHeight="true" hidden="false" ht="15" outlineLevel="0" r="603">
      <c r="A603" s="4" t="s">
        <v>2972</v>
      </c>
      <c r="B603" s="4" t="s">
        <v>2904</v>
      </c>
      <c r="C603" s="4"/>
      <c r="D603" s="4" t="s">
        <v>12</v>
      </c>
      <c r="E603" s="4"/>
      <c r="F603" s="4"/>
      <c r="G603" s="4"/>
      <c r="H603" s="4"/>
      <c r="I603" s="4"/>
      <c r="J603" s="4" t="s">
        <v>2970</v>
      </c>
      <c r="K603" s="4"/>
      <c r="L603" s="5"/>
      <c r="M603" s="4"/>
      <c r="N603" s="4"/>
      <c r="O603" s="4"/>
    </row>
    <row collapsed="false" customFormat="false" customHeight="true" hidden="false" ht="15" outlineLevel="0" r="604">
      <c r="A604" s="4" t="s">
        <v>2972</v>
      </c>
      <c r="B604" s="4" t="s">
        <v>2904</v>
      </c>
      <c r="C604" s="4" t="s">
        <v>2913</v>
      </c>
      <c r="D604" s="4" t="s">
        <v>15</v>
      </c>
      <c r="E604" s="4"/>
      <c r="F604" s="4"/>
      <c r="G604" s="4"/>
      <c r="H604" s="4"/>
      <c r="I604" s="4"/>
      <c r="J604" s="4" t="s">
        <v>2914</v>
      </c>
      <c r="K604" s="4"/>
      <c r="L604" s="5" t="str">
        <f aca="false">HYPERLINK("mailto:hicks.thomas@dol.gov","mailto:hicks.thomas@dol.gov")</f>
        <v>mailto:hicks.thomas@dol.gov</v>
      </c>
      <c r="M604" s="4"/>
      <c r="N604" s="4"/>
      <c r="O604" s="4"/>
    </row>
    <row collapsed="false" customFormat="false" customHeight="true" hidden="false" ht="15" outlineLevel="0" r="605">
      <c r="A605" s="4" t="s">
        <v>600</v>
      </c>
      <c r="B605" s="4" t="s">
        <v>2904</v>
      </c>
      <c r="C605" s="4"/>
      <c r="D605" s="4" t="s">
        <v>1253</v>
      </c>
      <c r="E605" s="4" t="s">
        <v>2974</v>
      </c>
      <c r="F605" s="4" t="s">
        <v>2908</v>
      </c>
      <c r="G605" s="4" t="s">
        <v>5</v>
      </c>
      <c r="H605" s="4" t="s">
        <v>6</v>
      </c>
      <c r="I605" s="4" t="n">
        <v>20210</v>
      </c>
      <c r="J605" s="4"/>
      <c r="K605" s="4" t="s">
        <v>2975</v>
      </c>
      <c r="L605" s="5"/>
      <c r="M605" s="4" t="s">
        <v>2976</v>
      </c>
      <c r="N605" s="4"/>
      <c r="O605" s="4"/>
    </row>
    <row collapsed="false" customFormat="false" customHeight="true" hidden="false" ht="15" outlineLevel="0" r="606">
      <c r="A606" s="4" t="s">
        <v>600</v>
      </c>
      <c r="B606" s="4" t="s">
        <v>2904</v>
      </c>
      <c r="C606" s="4"/>
      <c r="D606" s="4" t="s">
        <v>12</v>
      </c>
      <c r="E606" s="4"/>
      <c r="F606" s="4"/>
      <c r="G606" s="4"/>
      <c r="H606" s="4"/>
      <c r="I606" s="4"/>
      <c r="J606" s="4"/>
      <c r="K606" s="4" t="s">
        <v>2977</v>
      </c>
      <c r="L606" s="5" t="str">
        <f aca="false">HYPERLINK("mailto:laboroiginfo@dol.gov","mailto:laboroiginfo@dol.gov")</f>
        <v>mailto:laboroiginfo@dol.gov</v>
      </c>
      <c r="M606" s="4"/>
      <c r="N606" s="4"/>
      <c r="O606" s="4"/>
    </row>
    <row collapsed="false" customFormat="false" customHeight="true" hidden="false" ht="15" outlineLevel="0" r="607">
      <c r="A607" s="4" t="s">
        <v>600</v>
      </c>
      <c r="B607" s="4" t="s">
        <v>2904</v>
      </c>
      <c r="C607" s="4" t="s">
        <v>2913</v>
      </c>
      <c r="D607" s="4" t="s">
        <v>15</v>
      </c>
      <c r="E607" s="4"/>
      <c r="F607" s="4"/>
      <c r="G607" s="4"/>
      <c r="H607" s="4"/>
      <c r="I607" s="4"/>
      <c r="J607" s="4" t="s">
        <v>2914</v>
      </c>
      <c r="K607" s="4"/>
      <c r="L607" s="5" t="str">
        <f aca="false">HYPERLINK("mailto:hicks.thomas@dol.gov","mailto:hicks.thomas@dol.gov")</f>
        <v>mailto:hicks.thomas@dol.gov</v>
      </c>
      <c r="M607" s="4"/>
      <c r="N607" s="4"/>
      <c r="O607" s="4"/>
    </row>
    <row collapsed="false" customFormat="false" customHeight="true" hidden="false" ht="15" outlineLevel="0" r="608">
      <c r="A608" s="4" t="s">
        <v>2978</v>
      </c>
      <c r="B608" s="4" t="s">
        <v>2904</v>
      </c>
      <c r="C608" s="4"/>
      <c r="D608" s="4" t="s">
        <v>2</v>
      </c>
      <c r="E608" s="4" t="s">
        <v>2979</v>
      </c>
      <c r="F608" s="4" t="s">
        <v>2908</v>
      </c>
      <c r="G608" s="4" t="s">
        <v>5</v>
      </c>
      <c r="H608" s="4" t="s">
        <v>6</v>
      </c>
      <c r="I608" s="4" t="n">
        <v>20210</v>
      </c>
      <c r="J608" s="4" t="s">
        <v>2980</v>
      </c>
      <c r="K608" s="4" t="s">
        <v>2981</v>
      </c>
      <c r="L608" s="5"/>
      <c r="M608" s="4" t="s">
        <v>2982</v>
      </c>
      <c r="N608" s="4"/>
      <c r="O608" s="4"/>
    </row>
    <row collapsed="false" customFormat="false" customHeight="true" hidden="false" ht="15" outlineLevel="0" r="609">
      <c r="A609" s="4" t="s">
        <v>2978</v>
      </c>
      <c r="B609" s="4" t="s">
        <v>2904</v>
      </c>
      <c r="C609" s="4"/>
      <c r="D609" s="4" t="s">
        <v>12</v>
      </c>
      <c r="E609" s="4"/>
      <c r="F609" s="4"/>
      <c r="G609" s="4"/>
      <c r="H609" s="4"/>
      <c r="I609" s="4"/>
      <c r="J609" s="4" t="s">
        <v>2980</v>
      </c>
      <c r="K609" s="4"/>
      <c r="L609" s="5" t="str">
        <f aca="false">HYPERLINK("mailto:osha.foia@dol.gov","mailto:osha.foia@dol.gov")</f>
        <v>mailto:osha.foia@dol.gov</v>
      </c>
      <c r="M609" s="4"/>
      <c r="N609" s="4"/>
      <c r="O609" s="4"/>
    </row>
    <row collapsed="false" customFormat="false" customHeight="true" hidden="false" ht="15" outlineLevel="0" r="610">
      <c r="A610" s="4" t="s">
        <v>2978</v>
      </c>
      <c r="B610" s="4" t="s">
        <v>2904</v>
      </c>
      <c r="C610" s="4" t="s">
        <v>2913</v>
      </c>
      <c r="D610" s="4" t="s">
        <v>15</v>
      </c>
      <c r="E610" s="4"/>
      <c r="F610" s="4"/>
      <c r="G610" s="4"/>
      <c r="H610" s="4"/>
      <c r="I610" s="4"/>
      <c r="J610" s="4" t="s">
        <v>2914</v>
      </c>
      <c r="K610" s="4"/>
      <c r="L610" s="5" t="str">
        <f aca="false">HYPERLINK("mailto:hicks.thomas@dol.gov","mailto:hicks.thomas@dol.gov")</f>
        <v>mailto:hicks.thomas@dol.gov</v>
      </c>
      <c r="M610" s="4"/>
      <c r="N610" s="4"/>
      <c r="O610" s="4"/>
    </row>
    <row collapsed="false" customFormat="false" customHeight="true" hidden="false" ht="15" outlineLevel="0" r="611">
      <c r="A611" s="4" t="s">
        <v>2983</v>
      </c>
      <c r="B611" s="4" t="s">
        <v>2904</v>
      </c>
      <c r="C611" s="4" t="s">
        <v>2984</v>
      </c>
      <c r="D611" s="4" t="s">
        <v>1536</v>
      </c>
      <c r="E611" s="4" t="s">
        <v>2985</v>
      </c>
      <c r="F611" s="4" t="s">
        <v>2908</v>
      </c>
      <c r="G611" s="4" t="s">
        <v>5</v>
      </c>
      <c r="H611" s="4" t="s">
        <v>6</v>
      </c>
      <c r="I611" s="4" t="n">
        <v>20210</v>
      </c>
      <c r="J611" s="4" t="s">
        <v>2986</v>
      </c>
      <c r="K611" s="4"/>
      <c r="L611" s="5"/>
      <c r="M611" s="4" t="s">
        <v>2987</v>
      </c>
      <c r="N611" s="4"/>
      <c r="O611" s="4"/>
    </row>
    <row collapsed="false" customFormat="false" customHeight="true" hidden="false" ht="15" outlineLevel="0" r="612">
      <c r="A612" s="4" t="s">
        <v>2983</v>
      </c>
      <c r="B612" s="4" t="s">
        <v>2904</v>
      </c>
      <c r="C612" s="4"/>
      <c r="D612" s="4" t="s">
        <v>12</v>
      </c>
      <c r="E612" s="4"/>
      <c r="F612" s="4"/>
      <c r="G612" s="4"/>
      <c r="H612" s="4"/>
      <c r="I612" s="4"/>
      <c r="J612" s="4" t="s">
        <v>2986</v>
      </c>
      <c r="K612" s="4"/>
      <c r="L612" s="5"/>
      <c r="M612" s="4"/>
      <c r="N612" s="4"/>
      <c r="O612" s="4"/>
    </row>
    <row collapsed="false" customFormat="false" customHeight="true" hidden="false" ht="15" outlineLevel="0" r="613">
      <c r="A613" s="4" t="s">
        <v>2983</v>
      </c>
      <c r="B613" s="4" t="s">
        <v>2904</v>
      </c>
      <c r="C613" s="4" t="s">
        <v>2913</v>
      </c>
      <c r="D613" s="4" t="s">
        <v>15</v>
      </c>
      <c r="E613" s="4"/>
      <c r="F613" s="4"/>
      <c r="G613" s="4"/>
      <c r="H613" s="4"/>
      <c r="I613" s="4"/>
      <c r="J613" s="4" t="s">
        <v>2914</v>
      </c>
      <c r="K613" s="4"/>
      <c r="L613" s="5" t="str">
        <f aca="false">HYPERLINK("mailto:hicks.thomas@dol.gov","mailto:hicks.thomas@dol.gov")</f>
        <v>mailto:hicks.thomas@dol.gov</v>
      </c>
      <c r="M613" s="4"/>
      <c r="N613" s="4"/>
      <c r="O613" s="4"/>
    </row>
    <row collapsed="false" customFormat="false" customHeight="true" hidden="false" ht="15" outlineLevel="0" r="614">
      <c r="A614" s="4" t="s">
        <v>2988</v>
      </c>
      <c r="B614" s="4" t="s">
        <v>2904</v>
      </c>
      <c r="C614" s="4"/>
      <c r="D614" s="4" t="s">
        <v>2849</v>
      </c>
      <c r="E614" s="4" t="s">
        <v>2989</v>
      </c>
      <c r="F614" s="4" t="s">
        <v>2908</v>
      </c>
      <c r="G614" s="4" t="s">
        <v>5</v>
      </c>
      <c r="H614" s="4" t="s">
        <v>6</v>
      </c>
      <c r="I614" s="4" t="n">
        <v>20210</v>
      </c>
      <c r="J614" s="4"/>
      <c r="K614" s="4"/>
      <c r="L614" s="5"/>
      <c r="M614" s="4" t="s">
        <v>2990</v>
      </c>
      <c r="N614" s="4"/>
      <c r="O614" s="4"/>
    </row>
    <row collapsed="false" customFormat="false" customHeight="true" hidden="false" ht="15" outlineLevel="0" r="615">
      <c r="A615" s="4" t="s">
        <v>2988</v>
      </c>
      <c r="B615" s="4" t="s">
        <v>2904</v>
      </c>
      <c r="C615" s="4"/>
      <c r="D615" s="4" t="s">
        <v>12</v>
      </c>
      <c r="E615" s="4"/>
      <c r="F615" s="4"/>
      <c r="G615" s="4"/>
      <c r="H615" s="4"/>
      <c r="I615" s="4"/>
      <c r="J615" s="4"/>
      <c r="K615" s="4"/>
      <c r="L615" s="5"/>
      <c r="M615" s="4" t="s">
        <v>2990</v>
      </c>
      <c r="N615" s="4"/>
      <c r="O615" s="4"/>
    </row>
    <row collapsed="false" customFormat="false" customHeight="true" hidden="false" ht="15" outlineLevel="0" r="616">
      <c r="A616" s="4" t="s">
        <v>2988</v>
      </c>
      <c r="B616" s="4" t="s">
        <v>2904</v>
      </c>
      <c r="C616" s="4" t="s">
        <v>2913</v>
      </c>
      <c r="D616" s="4" t="s">
        <v>15</v>
      </c>
      <c r="E616" s="4"/>
      <c r="F616" s="4"/>
      <c r="G616" s="4"/>
      <c r="H616" s="4"/>
      <c r="I616" s="4"/>
      <c r="J616" s="4" t="s">
        <v>2914</v>
      </c>
      <c r="K616" s="4"/>
      <c r="L616" s="5" t="str">
        <f aca="false">HYPERLINK("mailto:hicks.thomas@dol.gov","mailto:hicks.thomas@dol.gov")</f>
        <v>mailto:hicks.thomas@dol.gov</v>
      </c>
      <c r="M616" s="4"/>
      <c r="N616" s="4"/>
      <c r="O616" s="4"/>
    </row>
    <row collapsed="false" customFormat="false" customHeight="true" hidden="false" ht="15" outlineLevel="0" r="617">
      <c r="A617" s="4" t="s">
        <v>2991</v>
      </c>
      <c r="B617" s="4" t="s">
        <v>2904</v>
      </c>
      <c r="C617" s="4"/>
      <c r="D617" s="4" t="s">
        <v>2849</v>
      </c>
      <c r="E617" s="4" t="s">
        <v>2992</v>
      </c>
      <c r="F617" s="4" t="s">
        <v>2908</v>
      </c>
      <c r="G617" s="4" t="s">
        <v>5</v>
      </c>
      <c r="H617" s="4" t="s">
        <v>6</v>
      </c>
      <c r="I617" s="4" t="n">
        <v>20210</v>
      </c>
      <c r="J617" s="4"/>
      <c r="K617" s="4" t="s">
        <v>2993</v>
      </c>
      <c r="L617" s="5" t="str">
        <f aca="false">HYPERLINK("mailto:foiarequest@dol.gov","mailto:foiarequest@dol.gov")</f>
        <v>mailto:foiarequest@dol.gov</v>
      </c>
      <c r="M617" s="4" t="s">
        <v>2994</v>
      </c>
      <c r="N617" s="4"/>
      <c r="O617" s="4"/>
    </row>
    <row collapsed="false" customFormat="false" customHeight="true" hidden="false" ht="15" outlineLevel="0" r="618">
      <c r="A618" s="4" t="s">
        <v>2991</v>
      </c>
      <c r="B618" s="4" t="s">
        <v>2904</v>
      </c>
      <c r="C618" s="4"/>
      <c r="D618" s="4" t="s">
        <v>12</v>
      </c>
      <c r="E618" s="4"/>
      <c r="F618" s="4"/>
      <c r="G618" s="4"/>
      <c r="H618" s="4"/>
      <c r="I618" s="4"/>
      <c r="J618" s="4"/>
      <c r="K618" s="4"/>
      <c r="L618" s="5" t="str">
        <f aca="false">HYPERLINK("mailto:wb-foia@dol.gov","mailto:wb-foia@dol.gov")</f>
        <v>mailto:wb-foia@dol.gov</v>
      </c>
      <c r="M618" s="4"/>
      <c r="N618" s="4"/>
      <c r="O618" s="4"/>
    </row>
    <row collapsed="false" customFormat="false" customHeight="true" hidden="false" ht="15" outlineLevel="0" r="619">
      <c r="A619" s="4" t="s">
        <v>2991</v>
      </c>
      <c r="B619" s="4" t="s">
        <v>2904</v>
      </c>
      <c r="C619" s="4" t="s">
        <v>2913</v>
      </c>
      <c r="D619" s="4" t="s">
        <v>15</v>
      </c>
      <c r="E619" s="4"/>
      <c r="F619" s="4"/>
      <c r="G619" s="4"/>
      <c r="H619" s="4"/>
      <c r="I619" s="4"/>
      <c r="J619" s="4" t="s">
        <v>2914</v>
      </c>
      <c r="K619" s="4"/>
      <c r="L619" s="5" t="str">
        <f aca="false">HYPERLINK("mailto:hicks.thomas@dol.gov","mailto:hicks.thomas@dol.gov")</f>
        <v>mailto:hicks.thomas@dol.gov</v>
      </c>
      <c r="M619" s="4"/>
      <c r="N619" s="4"/>
      <c r="O619" s="4"/>
    </row>
    <row collapsed="false" customFormat="false" customHeight="true" hidden="false" ht="15" outlineLevel="0" r="620">
      <c r="A620" s="4" t="s">
        <v>288</v>
      </c>
      <c r="B620" s="4" t="s">
        <v>2904</v>
      </c>
      <c r="C620" s="4" t="s">
        <v>2905</v>
      </c>
      <c r="D620" s="4" t="s">
        <v>2906</v>
      </c>
      <c r="E620" s="4" t="s">
        <v>2907</v>
      </c>
      <c r="F620" s="4" t="s">
        <v>2908</v>
      </c>
      <c r="G620" s="4" t="s">
        <v>5</v>
      </c>
      <c r="H620" s="4" t="s">
        <v>6</v>
      </c>
      <c r="I620" s="4" t="n">
        <v>20210</v>
      </c>
      <c r="J620" s="4" t="s">
        <v>2909</v>
      </c>
      <c r="K620" s="4" t="s">
        <v>2910</v>
      </c>
      <c r="L620" s="5" t="str">
        <f aca="false">HYPERLINK("mailto:foiarequest@dol.gov","mailto:foiarequest@dol.gov")</f>
        <v>mailto:foiarequest@dol.gov</v>
      </c>
      <c r="M620" s="4" t="s">
        <v>2911</v>
      </c>
      <c r="N620" s="4"/>
      <c r="O620" s="4"/>
    </row>
    <row collapsed="false" customFormat="false" customHeight="true" hidden="false" ht="15" outlineLevel="0" r="621">
      <c r="A621" s="4" t="s">
        <v>288</v>
      </c>
      <c r="B621" s="4" t="s">
        <v>2904</v>
      </c>
      <c r="C621" s="4"/>
      <c r="D621" s="4" t="s">
        <v>12</v>
      </c>
      <c r="E621" s="4"/>
      <c r="F621" s="4"/>
      <c r="G621" s="4"/>
      <c r="H621" s="4"/>
      <c r="I621" s="4"/>
      <c r="J621" s="4" t="s">
        <v>2912</v>
      </c>
      <c r="K621" s="4"/>
      <c r="L621" s="5"/>
      <c r="M621" s="4"/>
      <c r="N621" s="4"/>
      <c r="O621" s="4"/>
    </row>
    <row collapsed="false" customFormat="false" customHeight="true" hidden="false" ht="15" outlineLevel="0" r="622">
      <c r="A622" s="4" t="s">
        <v>288</v>
      </c>
      <c r="B622" s="4" t="s">
        <v>2904</v>
      </c>
      <c r="C622" s="4" t="s">
        <v>2913</v>
      </c>
      <c r="D622" s="4" t="s">
        <v>15</v>
      </c>
      <c r="E622" s="4"/>
      <c r="F622" s="4"/>
      <c r="G622" s="4"/>
      <c r="H622" s="4"/>
      <c r="I622" s="4"/>
      <c r="J622" s="4" t="s">
        <v>2914</v>
      </c>
      <c r="K622" s="4"/>
      <c r="L622" s="5" t="str">
        <f aca="false">HYPERLINK("mailto:hicks.thomas@dol.gov","mailto:hicks.thomas@dol.gov")</f>
        <v>mailto:hicks.thomas@dol.gov</v>
      </c>
      <c r="M622" s="4"/>
      <c r="N622" s="4"/>
      <c r="O622" s="4"/>
    </row>
    <row collapsed="false" customFormat="false" customHeight="true" hidden="false" ht="15" outlineLevel="0" r="623">
      <c r="A623" s="4" t="s">
        <v>2995</v>
      </c>
      <c r="B623" s="4" t="s">
        <v>2995</v>
      </c>
      <c r="C623" s="4" t="s">
        <v>2996</v>
      </c>
      <c r="D623" s="4" t="s">
        <v>2997</v>
      </c>
      <c r="E623" s="4" t="s">
        <v>2998</v>
      </c>
      <c r="F623" s="4" t="s">
        <v>2999</v>
      </c>
      <c r="G623" s="4" t="s">
        <v>5</v>
      </c>
      <c r="H623" s="4" t="s">
        <v>6</v>
      </c>
      <c r="I623" s="4" t="s">
        <v>3000</v>
      </c>
      <c r="J623" s="4" t="s">
        <v>3001</v>
      </c>
      <c r="K623" s="4" t="s">
        <v>3002</v>
      </c>
      <c r="L623" s="5"/>
      <c r="M623" s="4" t="s">
        <v>3003</v>
      </c>
      <c r="N623" s="5"/>
      <c r="O623" s="4"/>
    </row>
    <row collapsed="false" customFormat="false" customHeight="true" hidden="false" ht="15" outlineLevel="0" r="624">
      <c r="A624" s="4" t="s">
        <v>2995</v>
      </c>
      <c r="B624" s="4" t="s">
        <v>2995</v>
      </c>
      <c r="C624" s="4"/>
      <c r="D624" s="4" t="s">
        <v>12</v>
      </c>
      <c r="E624" s="4"/>
      <c r="F624" s="4"/>
      <c r="G624" s="4"/>
      <c r="H624" s="4"/>
      <c r="I624" s="4"/>
      <c r="J624" s="4" t="s">
        <v>3001</v>
      </c>
      <c r="K624" s="4"/>
      <c r="L624" s="5"/>
      <c r="M624" s="4"/>
      <c r="N624" s="4"/>
      <c r="O624" s="4"/>
    </row>
    <row collapsed="false" customFormat="false" customHeight="true" hidden="false" ht="15" outlineLevel="0" r="625">
      <c r="A625" s="4" t="s">
        <v>2995</v>
      </c>
      <c r="B625" s="4" t="s">
        <v>2995</v>
      </c>
      <c r="C625" s="4" t="s">
        <v>3004</v>
      </c>
      <c r="D625" s="4" t="s">
        <v>15</v>
      </c>
      <c r="E625" s="4"/>
      <c r="F625" s="4"/>
      <c r="G625" s="4"/>
      <c r="H625" s="4"/>
      <c r="I625" s="4"/>
      <c r="J625" s="4" t="s">
        <v>3001</v>
      </c>
      <c r="K625" s="4" t="s">
        <v>3005</v>
      </c>
      <c r="L625" s="5"/>
      <c r="M625" s="4"/>
      <c r="N625" s="4"/>
      <c r="O625" s="4"/>
    </row>
    <row collapsed="false" customFormat="false" customHeight="true" hidden="false" ht="15" outlineLevel="0" r="626">
      <c r="A626" s="4" t="s">
        <v>1707</v>
      </c>
      <c r="B626" s="4" t="s">
        <v>2995</v>
      </c>
      <c r="C626" s="4" t="s">
        <v>3006</v>
      </c>
      <c r="D626" s="4" t="s">
        <v>3007</v>
      </c>
      <c r="E626" s="4" t="s">
        <v>2995</v>
      </c>
      <c r="F626" s="4" t="s">
        <v>3008</v>
      </c>
      <c r="G626" s="4" t="s">
        <v>5</v>
      </c>
      <c r="H626" s="4" t="s">
        <v>6</v>
      </c>
      <c r="I626" s="4" t="s">
        <v>3009</v>
      </c>
      <c r="J626" s="4" t="s">
        <v>3010</v>
      </c>
      <c r="K626" s="4" t="s">
        <v>3011</v>
      </c>
      <c r="L626" s="5" t="str">
        <f aca="false">HYPERLINK("mailto:oigfoia@state.gov","mailto:oigfoia@state.gov")</f>
        <v>mailto:oigfoia@state.gov</v>
      </c>
      <c r="M626" s="5" t="str">
        <f aca="false">HYPERLINK("http://www.oig.state.gov/foia/index.htm","http://www.oig.state.gov/foia/index.htm")</f>
        <v>http://www.oig.state.gov/foia/index.htm</v>
      </c>
      <c r="N626" s="5"/>
      <c r="O626" s="4"/>
    </row>
    <row collapsed="false" customFormat="false" customHeight="true" hidden="false" ht="15" outlineLevel="0" r="627">
      <c r="A627" s="4" t="s">
        <v>1707</v>
      </c>
      <c r="B627" s="4" t="s">
        <v>2995</v>
      </c>
      <c r="C627" s="4"/>
      <c r="D627" s="4" t="s">
        <v>12</v>
      </c>
      <c r="E627" s="4"/>
      <c r="F627" s="4"/>
      <c r="G627" s="4"/>
      <c r="H627" s="4"/>
      <c r="I627" s="4"/>
      <c r="J627" s="4" t="s">
        <v>3001</v>
      </c>
      <c r="K627" s="4"/>
      <c r="L627" s="5"/>
      <c r="M627" s="4"/>
      <c r="N627" s="4"/>
      <c r="O627" s="4"/>
    </row>
    <row collapsed="false" customFormat="false" customHeight="true" hidden="false" ht="15" outlineLevel="0" r="628">
      <c r="A628" s="4" t="s">
        <v>1707</v>
      </c>
      <c r="B628" s="4" t="s">
        <v>2995</v>
      </c>
      <c r="C628" s="4" t="s">
        <v>3004</v>
      </c>
      <c r="D628" s="4" t="s">
        <v>15</v>
      </c>
      <c r="E628" s="4"/>
      <c r="F628" s="4"/>
      <c r="G628" s="4"/>
      <c r="H628" s="4"/>
      <c r="I628" s="4"/>
      <c r="J628" s="4" t="s">
        <v>3012</v>
      </c>
      <c r="K628" s="4" t="s">
        <v>3005</v>
      </c>
      <c r="L628" s="5"/>
      <c r="M628" s="4"/>
      <c r="N628" s="4"/>
      <c r="O628" s="4"/>
    </row>
    <row collapsed="false" customFormat="false" customHeight="true" hidden="false" ht="15" outlineLevel="0" r="629">
      <c r="A629" s="4" t="s">
        <v>1578</v>
      </c>
      <c r="B629" s="4" t="s">
        <v>3013</v>
      </c>
      <c r="C629" s="4" t="s">
        <v>3014</v>
      </c>
      <c r="D629" s="4" t="s">
        <v>114</v>
      </c>
      <c r="E629" s="4" t="s">
        <v>3015</v>
      </c>
      <c r="F629" s="4" t="s">
        <v>3016</v>
      </c>
      <c r="G629" s="4" t="s">
        <v>5</v>
      </c>
      <c r="H629" s="4" t="s">
        <v>6</v>
      </c>
      <c r="I629" s="4" t="n">
        <v>20590</v>
      </c>
      <c r="J629" s="4" t="s">
        <v>3017</v>
      </c>
      <c r="K629" s="4" t="s">
        <v>3018</v>
      </c>
      <c r="L629" s="5" t="str">
        <f aca="false">HYPERLINK("mailto:ost.foia@dot.gov","mailto:ost.foia@dot.gov")</f>
        <v>mailto:ost.foia@dot.gov</v>
      </c>
      <c r="M629" s="4" t="s">
        <v>3019</v>
      </c>
      <c r="N629" s="4"/>
      <c r="O629" s="4"/>
    </row>
    <row collapsed="false" customFormat="false" customHeight="true" hidden="false" ht="15" outlineLevel="0" r="630">
      <c r="A630" s="4" t="s">
        <v>1578</v>
      </c>
      <c r="B630" s="4" t="s">
        <v>3013</v>
      </c>
      <c r="C630" s="4"/>
      <c r="D630" s="4" t="s">
        <v>12</v>
      </c>
      <c r="E630" s="4"/>
      <c r="F630" s="4"/>
      <c r="G630" s="4"/>
      <c r="H630" s="4"/>
      <c r="I630" s="4"/>
      <c r="J630" s="4" t="s">
        <v>3017</v>
      </c>
      <c r="K630" s="4"/>
      <c r="L630" s="5"/>
      <c r="M630" s="4"/>
      <c r="N630" s="4"/>
      <c r="O630" s="4"/>
    </row>
    <row collapsed="false" customFormat="false" customHeight="true" hidden="false" ht="15" outlineLevel="0" r="631">
      <c r="A631" s="4" t="s">
        <v>1578</v>
      </c>
      <c r="B631" s="4" t="s">
        <v>3013</v>
      </c>
      <c r="C631" s="4" t="s">
        <v>3020</v>
      </c>
      <c r="D631" s="4" t="s">
        <v>15</v>
      </c>
      <c r="E631" s="4"/>
      <c r="F631" s="4"/>
      <c r="G631" s="4"/>
      <c r="H631" s="4"/>
      <c r="I631" s="4"/>
      <c r="J631" s="4" t="s">
        <v>3021</v>
      </c>
      <c r="K631" s="4"/>
      <c r="L631" s="5" t="str">
        <f aca="false">HYPERLINK("mailto:fern.kaufman@dot.gov","mailto:fern.kaufman@dot.gov")</f>
        <v>mailto:fern.kaufman@dot.gov</v>
      </c>
      <c r="M631" s="4"/>
      <c r="N631" s="4"/>
      <c r="O631" s="4"/>
    </row>
    <row collapsed="false" customFormat="false" customHeight="true" hidden="false" ht="15" outlineLevel="0" r="632">
      <c r="A632" s="4" t="s">
        <v>600</v>
      </c>
      <c r="B632" s="4" t="s">
        <v>3013</v>
      </c>
      <c r="C632" s="4"/>
      <c r="D632" s="4" t="s">
        <v>12</v>
      </c>
      <c r="E632" s="4" t="s">
        <v>3022</v>
      </c>
      <c r="F632" s="4" t="s">
        <v>3016</v>
      </c>
      <c r="G632" s="4" t="s">
        <v>5</v>
      </c>
      <c r="H632" s="4" t="s">
        <v>6</v>
      </c>
      <c r="I632" s="4" t="n">
        <v>20590</v>
      </c>
      <c r="J632" s="4" t="s">
        <v>3023</v>
      </c>
      <c r="K632" s="4"/>
      <c r="L632" s="5"/>
      <c r="M632" s="4" t="s">
        <v>3024</v>
      </c>
      <c r="N632" s="5"/>
      <c r="O632" s="4"/>
    </row>
    <row collapsed="false" customFormat="false" customHeight="true" hidden="false" ht="15" outlineLevel="0" r="633">
      <c r="A633" s="4" t="s">
        <v>600</v>
      </c>
      <c r="B633" s="4" t="s">
        <v>3013</v>
      </c>
      <c r="C633" s="4" t="s">
        <v>3025</v>
      </c>
      <c r="D633" s="4" t="s">
        <v>12</v>
      </c>
      <c r="E633" s="4"/>
      <c r="F633" s="4"/>
      <c r="G633" s="4"/>
      <c r="H633" s="4"/>
      <c r="I633" s="4"/>
      <c r="J633" s="4" t="s">
        <v>3026</v>
      </c>
      <c r="K633" s="4"/>
      <c r="L633" s="5"/>
      <c r="M633" s="4"/>
      <c r="N633" s="4"/>
      <c r="O633" s="4"/>
    </row>
    <row collapsed="false" customFormat="false" customHeight="true" hidden="false" ht="15" outlineLevel="0" r="634">
      <c r="A634" s="4" t="s">
        <v>600</v>
      </c>
      <c r="B634" s="4" t="s">
        <v>3013</v>
      </c>
      <c r="C634" s="4" t="s">
        <v>3027</v>
      </c>
      <c r="D634" s="4" t="s">
        <v>15</v>
      </c>
      <c r="E634" s="4"/>
      <c r="F634" s="4"/>
      <c r="G634" s="4"/>
      <c r="H634" s="4"/>
      <c r="I634" s="4"/>
      <c r="J634" s="4" t="s">
        <v>3028</v>
      </c>
      <c r="K634" s="4"/>
      <c r="L634" s="5" t="str">
        <f aca="false">HYPERLINK("mailto:david.wonnenberg@dot.gov","mailto:david.wonnenberg@dot.gov")</f>
        <v>mailto:david.wonnenberg@dot.gov</v>
      </c>
      <c r="M634" s="5"/>
      <c r="N634" s="4"/>
      <c r="O634" s="4"/>
    </row>
    <row collapsed="false" customFormat="false" customHeight="true" hidden="false" ht="15" outlineLevel="0" r="635">
      <c r="A635" s="4" t="s">
        <v>3029</v>
      </c>
      <c r="B635" s="4" t="s">
        <v>3013</v>
      </c>
      <c r="C635" s="4" t="s">
        <v>3030</v>
      </c>
      <c r="D635" s="4" t="s">
        <v>2849</v>
      </c>
      <c r="E635" s="4" t="s">
        <v>3031</v>
      </c>
      <c r="F635" s="4" t="s">
        <v>3032</v>
      </c>
      <c r="G635" s="4" t="s">
        <v>5</v>
      </c>
      <c r="H635" s="4" t="s">
        <v>6</v>
      </c>
      <c r="I635" s="4" t="n">
        <v>20591</v>
      </c>
      <c r="J635" s="4" t="s">
        <v>3033</v>
      </c>
      <c r="K635" s="4" t="s">
        <v>3034</v>
      </c>
      <c r="L635" s="5" t="str">
        <f aca="false">HYPERLINK("mailto:7-AWA-ARC-FOIA@faa.gov","mailto:7-AWA-ARC-FOIA@faa.gov")</f>
        <v>mailto:7-AWA-ARC-FOIA@faa.gov</v>
      </c>
      <c r="M635" s="4" t="s">
        <v>3035</v>
      </c>
      <c r="N635" s="5"/>
      <c r="O635" s="4"/>
    </row>
    <row collapsed="false" customFormat="false" customHeight="true" hidden="false" ht="15" outlineLevel="0" r="636">
      <c r="A636" s="4" t="s">
        <v>3029</v>
      </c>
      <c r="B636" s="4" t="s">
        <v>3013</v>
      </c>
      <c r="C636" s="4" t="s">
        <v>3030</v>
      </c>
      <c r="D636" s="4" t="s">
        <v>12</v>
      </c>
      <c r="E636" s="4"/>
      <c r="F636" s="4"/>
      <c r="G636" s="4"/>
      <c r="H636" s="4"/>
      <c r="I636" s="4"/>
      <c r="J636" s="4" t="s">
        <v>3033</v>
      </c>
      <c r="K636" s="4" t="s">
        <v>3034</v>
      </c>
      <c r="L636" s="5"/>
      <c r="M636" s="4"/>
      <c r="N636" s="4"/>
      <c r="O636" s="4"/>
    </row>
    <row collapsed="false" customFormat="false" customHeight="true" hidden="false" ht="15" outlineLevel="0" r="637">
      <c r="A637" s="4" t="s">
        <v>3029</v>
      </c>
      <c r="B637" s="4" t="s">
        <v>3013</v>
      </c>
      <c r="C637" s="4" t="s">
        <v>3036</v>
      </c>
      <c r="D637" s="4" t="s">
        <v>15</v>
      </c>
      <c r="E637" s="4"/>
      <c r="F637" s="4"/>
      <c r="G637" s="4"/>
      <c r="H637" s="4"/>
      <c r="I637" s="4"/>
      <c r="J637" s="4" t="s">
        <v>3037</v>
      </c>
      <c r="K637" s="4" t="s">
        <v>3034</v>
      </c>
      <c r="L637" s="5" t="str">
        <f aca="false">HYPERLINK("mailto:melanie.yohe@faa.gov","mailto:melanie.yohe@faa.gov")</f>
        <v>mailto:melanie.yohe@faa.gov</v>
      </c>
      <c r="M637" s="4"/>
      <c r="N637" s="4"/>
      <c r="O637" s="4"/>
    </row>
    <row collapsed="false" customFormat="false" customHeight="true" hidden="false" ht="15" outlineLevel="0" r="638">
      <c r="A638" s="4" t="s">
        <v>3038</v>
      </c>
      <c r="B638" s="4" t="s">
        <v>3013</v>
      </c>
      <c r="C638" s="4" t="s">
        <v>3039</v>
      </c>
      <c r="D638" s="4" t="s">
        <v>3040</v>
      </c>
      <c r="E638" s="4" t="s">
        <v>3041</v>
      </c>
      <c r="F638" s="4" t="s">
        <v>3016</v>
      </c>
      <c r="G638" s="4" t="s">
        <v>5</v>
      </c>
      <c r="H638" s="4" t="s">
        <v>6</v>
      </c>
      <c r="I638" s="4" t="n">
        <v>20590</v>
      </c>
      <c r="J638" s="4" t="s">
        <v>3042</v>
      </c>
      <c r="K638" s="4" t="s">
        <v>3043</v>
      </c>
      <c r="L638" s="5" t="str">
        <f aca="false">HYPERLINK("mailto:foia.officer@fhwa.dot.gov","mailto:foia.officer@fhwa.dot.gov")</f>
        <v>mailto:foia.officer@fhwa.dot.gov</v>
      </c>
      <c r="M638" s="4" t="s">
        <v>3044</v>
      </c>
      <c r="N638" s="4"/>
      <c r="O638" s="4"/>
    </row>
    <row collapsed="false" customFormat="false" customHeight="true" hidden="false" ht="15" outlineLevel="0" r="639">
      <c r="A639" s="4" t="s">
        <v>3038</v>
      </c>
      <c r="B639" s="4" t="s">
        <v>3013</v>
      </c>
      <c r="C639" s="4"/>
      <c r="D639" s="4" t="s">
        <v>12</v>
      </c>
      <c r="E639" s="4"/>
      <c r="F639" s="4"/>
      <c r="G639" s="4"/>
      <c r="H639" s="4"/>
      <c r="I639" s="4"/>
      <c r="J639" s="4" t="s">
        <v>3045</v>
      </c>
      <c r="K639" s="4"/>
      <c r="L639" s="5"/>
      <c r="M639" s="4"/>
      <c r="N639" s="4"/>
      <c r="O639" s="4"/>
    </row>
    <row collapsed="false" customFormat="false" customHeight="true" hidden="false" ht="15" outlineLevel="0" r="640">
      <c r="A640" s="4" t="s">
        <v>3038</v>
      </c>
      <c r="B640" s="4" t="s">
        <v>3013</v>
      </c>
      <c r="C640" s="4" t="s">
        <v>3046</v>
      </c>
      <c r="D640" s="4" t="s">
        <v>15</v>
      </c>
      <c r="E640" s="4"/>
      <c r="F640" s="4"/>
      <c r="G640" s="4"/>
      <c r="H640" s="4"/>
      <c r="I640" s="4"/>
      <c r="J640" s="4" t="s">
        <v>3047</v>
      </c>
      <c r="K640" s="4"/>
      <c r="L640" s="5" t="str">
        <f aca="false">HYPERLINK("mailto:grace.reidy@dot.gov","mailto:grace.reidy@dot.gov")</f>
        <v>mailto:grace.reidy@dot.gov</v>
      </c>
      <c r="M640" s="4"/>
      <c r="N640" s="4"/>
      <c r="O640" s="4"/>
    </row>
    <row collapsed="false" customFormat="false" customHeight="true" hidden="false" ht="15" outlineLevel="0" r="641">
      <c r="A641" s="4" t="s">
        <v>3048</v>
      </c>
      <c r="B641" s="4" t="s">
        <v>3013</v>
      </c>
      <c r="C641" s="4" t="s">
        <v>3049</v>
      </c>
      <c r="D641" s="4" t="s">
        <v>3050</v>
      </c>
      <c r="E641" s="4" t="s">
        <v>3051</v>
      </c>
      <c r="F641" s="4" t="s">
        <v>3016</v>
      </c>
      <c r="G641" s="4" t="s">
        <v>5</v>
      </c>
      <c r="H641" s="4" t="s">
        <v>6</v>
      </c>
      <c r="I641" s="4" t="n">
        <v>20590</v>
      </c>
      <c r="J641" s="4" t="s">
        <v>3052</v>
      </c>
      <c r="K641" s="4" t="s">
        <v>3053</v>
      </c>
      <c r="L641" s="5" t="str">
        <f aca="false">HYPERLINK("mailto:denise.kollehlon@fra.dot.gov","mailto:denise.kollehlon@fra.dot.gov")</f>
        <v>mailto:denise.kollehlon@fra.dot.gov</v>
      </c>
      <c r="M641" s="4" t="s">
        <v>3054</v>
      </c>
      <c r="N641" s="4"/>
      <c r="O641" s="4"/>
    </row>
    <row collapsed="false" customFormat="false" customHeight="true" hidden="false" ht="15" outlineLevel="0" r="642">
      <c r="A642" s="4" t="s">
        <v>3048</v>
      </c>
      <c r="B642" s="4" t="s">
        <v>3013</v>
      </c>
      <c r="C642" s="4"/>
      <c r="D642" s="4" t="s">
        <v>12</v>
      </c>
      <c r="E642" s="4"/>
      <c r="F642" s="4"/>
      <c r="G642" s="4"/>
      <c r="H642" s="4"/>
      <c r="I642" s="4"/>
      <c r="J642" s="4" t="s">
        <v>3055</v>
      </c>
      <c r="K642" s="4"/>
      <c r="L642" s="5"/>
      <c r="M642" s="4"/>
      <c r="N642" s="4"/>
      <c r="O642" s="4"/>
    </row>
    <row collapsed="false" customFormat="false" customHeight="true" hidden="false" ht="15" outlineLevel="0" r="643">
      <c r="A643" s="4" t="s">
        <v>3048</v>
      </c>
      <c r="B643" s="4" t="s">
        <v>3013</v>
      </c>
      <c r="C643" s="4" t="s">
        <v>3056</v>
      </c>
      <c r="D643" s="4" t="s">
        <v>15</v>
      </c>
      <c r="E643" s="4"/>
      <c r="F643" s="4"/>
      <c r="G643" s="4"/>
      <c r="H643" s="4"/>
      <c r="I643" s="4"/>
      <c r="J643" s="4" t="s">
        <v>3057</v>
      </c>
      <c r="K643" s="4"/>
      <c r="L643" s="5" t="str">
        <f aca="false">HYPERLINK("mailto:warren.flatau@dot.gov","mailto:warren.flatau@dot.gov")</f>
        <v>mailto:warren.flatau@dot.gov</v>
      </c>
      <c r="M643" s="4"/>
      <c r="N643" s="4"/>
      <c r="O643" s="4"/>
    </row>
    <row collapsed="false" customFormat="false" customHeight="true" hidden="false" ht="15" outlineLevel="0" r="644">
      <c r="A644" s="4" t="s">
        <v>3058</v>
      </c>
      <c r="B644" s="4" t="s">
        <v>3013</v>
      </c>
      <c r="C644" s="4" t="s">
        <v>3059</v>
      </c>
      <c r="D644" s="4" t="s">
        <v>3040</v>
      </c>
      <c r="E644" s="4" t="s">
        <v>3060</v>
      </c>
      <c r="F644" s="4" t="s">
        <v>3016</v>
      </c>
      <c r="G644" s="4" t="s">
        <v>5</v>
      </c>
      <c r="H644" s="4" t="s">
        <v>6</v>
      </c>
      <c r="I644" s="4" t="n">
        <v>20590</v>
      </c>
      <c r="J644" s="4" t="s">
        <v>3061</v>
      </c>
      <c r="K644" s="4" t="s">
        <v>3062</v>
      </c>
      <c r="L644" s="5" t="str">
        <f aca="false">HYPERLINK("mailto:foia@fta.dot.gov","mailto:foia@fta.dot.gov")</f>
        <v>mailto:foia@fta.dot.gov</v>
      </c>
      <c r="M644" s="4" t="s">
        <v>3063</v>
      </c>
      <c r="N644" s="4"/>
      <c r="O644" s="4"/>
    </row>
    <row collapsed="false" customFormat="false" customHeight="true" hidden="false" ht="15" outlineLevel="0" r="645">
      <c r="A645" s="4" t="s">
        <v>3058</v>
      </c>
      <c r="B645" s="4" t="s">
        <v>3013</v>
      </c>
      <c r="C645" s="4"/>
      <c r="D645" s="4" t="s">
        <v>12</v>
      </c>
      <c r="E645" s="4"/>
      <c r="F645" s="4"/>
      <c r="G645" s="4"/>
      <c r="H645" s="4"/>
      <c r="I645" s="4"/>
      <c r="J645" s="4" t="s">
        <v>3064</v>
      </c>
      <c r="K645" s="4"/>
      <c r="L645" s="5"/>
      <c r="M645" s="4"/>
      <c r="N645" s="4"/>
      <c r="O645" s="4"/>
    </row>
    <row collapsed="false" customFormat="false" customHeight="true" hidden="false" ht="15" outlineLevel="0" r="646">
      <c r="A646" s="4" t="s">
        <v>3058</v>
      </c>
      <c r="B646" s="4" t="s">
        <v>3013</v>
      </c>
      <c r="C646" s="4" t="s">
        <v>3065</v>
      </c>
      <c r="D646" s="4" t="s">
        <v>15</v>
      </c>
      <c r="E646" s="4"/>
      <c r="F646" s="4"/>
      <c r="G646" s="4"/>
      <c r="H646" s="4"/>
      <c r="I646" s="4"/>
      <c r="J646" s="4" t="s">
        <v>3066</v>
      </c>
      <c r="K646" s="4"/>
      <c r="L646" s="5" t="str">
        <f aca="false">HYPERLINK("mailto:david.longo@dot.gov","david.longo@dot.gov")</f>
        <v>david.longo@dot.gov</v>
      </c>
      <c r="M646" s="4"/>
      <c r="N646" s="4"/>
      <c r="O646" s="4"/>
    </row>
    <row collapsed="false" customFormat="false" customHeight="true" hidden="false" ht="15" outlineLevel="0" r="647">
      <c r="A647" s="4" t="s">
        <v>3067</v>
      </c>
      <c r="B647" s="4" t="s">
        <v>3013</v>
      </c>
      <c r="C647" s="4" t="s">
        <v>3068</v>
      </c>
      <c r="D647" s="4" t="s">
        <v>3069</v>
      </c>
      <c r="E647" s="4" t="s">
        <v>3070</v>
      </c>
      <c r="F647" s="4" t="s">
        <v>3016</v>
      </c>
      <c r="G647" s="4" t="s">
        <v>5</v>
      </c>
      <c r="H647" s="4" t="s">
        <v>6</v>
      </c>
      <c r="I647" s="4" t="n">
        <v>20590</v>
      </c>
      <c r="J647" s="4" t="s">
        <v>3071</v>
      </c>
      <c r="K647" s="4" t="s">
        <v>3071</v>
      </c>
      <c r="L647" s="5" t="str">
        <f aca="false">HYPERLINK("mailto:foia@fmcsa.dot.gov","mailto:foia@fmcsa.dot.gov")</f>
        <v>mailto:foia@fmcsa.dot.gov</v>
      </c>
      <c r="M647" s="4" t="s">
        <v>3072</v>
      </c>
      <c r="N647" s="4"/>
      <c r="O647" s="4"/>
    </row>
    <row collapsed="false" customFormat="false" customHeight="true" hidden="false" ht="15" outlineLevel="0" r="648">
      <c r="A648" s="4" t="s">
        <v>3067</v>
      </c>
      <c r="B648" s="4" t="s">
        <v>3013</v>
      </c>
      <c r="C648" s="4"/>
      <c r="D648" s="4" t="s">
        <v>12</v>
      </c>
      <c r="E648" s="4"/>
      <c r="F648" s="4"/>
      <c r="G648" s="4"/>
      <c r="H648" s="4"/>
      <c r="I648" s="4"/>
      <c r="J648" s="4" t="s">
        <v>3071</v>
      </c>
      <c r="K648" s="4"/>
      <c r="L648" s="5"/>
      <c r="M648" s="4"/>
      <c r="N648" s="4"/>
      <c r="O648" s="4"/>
    </row>
    <row collapsed="false" customFormat="false" customHeight="true" hidden="false" ht="15" outlineLevel="0" r="649">
      <c r="A649" s="4" t="s">
        <v>3067</v>
      </c>
      <c r="B649" s="4" t="s">
        <v>3013</v>
      </c>
      <c r="C649" s="4" t="s">
        <v>3073</v>
      </c>
      <c r="D649" s="4" t="s">
        <v>15</v>
      </c>
      <c r="E649" s="4"/>
      <c r="F649" s="4"/>
      <c r="G649" s="4"/>
      <c r="H649" s="4"/>
      <c r="I649" s="4"/>
      <c r="J649" s="4" t="s">
        <v>3074</v>
      </c>
      <c r="K649" s="4"/>
      <c r="L649" s="5"/>
      <c r="M649" s="4"/>
      <c r="N649" s="4"/>
      <c r="O649" s="4"/>
    </row>
    <row collapsed="false" customFormat="false" customHeight="true" hidden="false" ht="15" outlineLevel="0" r="650">
      <c r="A650" s="4" t="s">
        <v>3075</v>
      </c>
      <c r="B650" s="4" t="s">
        <v>3013</v>
      </c>
      <c r="C650" s="4" t="s">
        <v>114</v>
      </c>
      <c r="D650" s="4" t="s">
        <v>3076</v>
      </c>
      <c r="E650" s="4" t="s">
        <v>3077</v>
      </c>
      <c r="F650" s="4" t="s">
        <v>3016</v>
      </c>
      <c r="G650" s="4" t="s">
        <v>5</v>
      </c>
      <c r="H650" s="4" t="s">
        <v>6</v>
      </c>
      <c r="I650" s="4" t="n">
        <v>20590</v>
      </c>
      <c r="J650" s="4" t="s">
        <v>3078</v>
      </c>
      <c r="K650" s="4" t="s">
        <v>3079</v>
      </c>
      <c r="L650" s="5" t="str">
        <f aca="false">HYPERLINK("http://www.nhtsa.gov/jsp/email/email_nhtsa.jsp","http://www.nhtsa.gov/jsp/email/email_nhtsa.jsp")</f>
        <v>http://www.nhtsa.gov/jsp/email/email_nhtsa.jsp</v>
      </c>
      <c r="M650" s="4" t="s">
        <v>3080</v>
      </c>
      <c r="N650" s="4"/>
      <c r="O650" s="4"/>
    </row>
    <row collapsed="false" customFormat="false" customHeight="true" hidden="false" ht="15" outlineLevel="0" r="651">
      <c r="A651" s="4" t="s">
        <v>3075</v>
      </c>
      <c r="B651" s="4" t="s">
        <v>3013</v>
      </c>
      <c r="C651" s="4"/>
      <c r="D651" s="4"/>
      <c r="E651" s="4"/>
      <c r="F651" s="4"/>
      <c r="G651" s="4"/>
      <c r="H651" s="4"/>
      <c r="I651" s="4"/>
      <c r="J651" s="4" t="s">
        <v>3081</v>
      </c>
      <c r="K651" s="4"/>
      <c r="L651" s="5"/>
      <c r="M651" s="4"/>
      <c r="N651" s="4"/>
      <c r="O651" s="4"/>
    </row>
    <row collapsed="false" customFormat="false" customHeight="true" hidden="false" ht="15" outlineLevel="0" r="652">
      <c r="A652" s="4" t="s">
        <v>3075</v>
      </c>
      <c r="B652" s="4" t="s">
        <v>3013</v>
      </c>
      <c r="C652" s="4" t="s">
        <v>3082</v>
      </c>
      <c r="D652" s="4"/>
      <c r="E652" s="4"/>
      <c r="F652" s="4"/>
      <c r="G652" s="4"/>
      <c r="H652" s="4"/>
      <c r="I652" s="4"/>
      <c r="J652" s="4" t="s">
        <v>3083</v>
      </c>
      <c r="K652" s="4"/>
      <c r="L652" s="5" t="str">
        <f aca="false">HYPERLINK("mailto:greg.walter@dot.gov","mailto:greg.walter@dot.gov")</f>
        <v>mailto:greg.walter@dot.gov</v>
      </c>
      <c r="M652" s="4"/>
      <c r="N652" s="4"/>
      <c r="O652" s="4"/>
    </row>
    <row collapsed="false" customFormat="false" customHeight="true" hidden="false" ht="15" outlineLevel="0" r="653">
      <c r="A653" s="4" t="s">
        <v>3084</v>
      </c>
      <c r="B653" s="4" t="s">
        <v>3013</v>
      </c>
      <c r="C653" s="4" t="s">
        <v>3085</v>
      </c>
      <c r="D653" s="4" t="s">
        <v>3086</v>
      </c>
      <c r="E653" s="4" t="s">
        <v>3087</v>
      </c>
      <c r="F653" s="4" t="s">
        <v>3016</v>
      </c>
      <c r="G653" s="4" t="s">
        <v>5</v>
      </c>
      <c r="H653" s="4" t="s">
        <v>6</v>
      </c>
      <c r="I653" s="4" t="n">
        <v>20590</v>
      </c>
      <c r="J653" s="4" t="s">
        <v>3088</v>
      </c>
      <c r="K653" s="4" t="s">
        <v>3089</v>
      </c>
      <c r="L653" s="5"/>
      <c r="M653" s="4" t="s">
        <v>3090</v>
      </c>
      <c r="N653" s="4"/>
      <c r="O653" s="4"/>
    </row>
    <row collapsed="false" customFormat="false" customHeight="true" hidden="false" ht="15" outlineLevel="0" r="654">
      <c r="A654" s="4" t="s">
        <v>3084</v>
      </c>
      <c r="B654" s="4" t="s">
        <v>3013</v>
      </c>
      <c r="C654" s="4"/>
      <c r="D654" s="4" t="s">
        <v>12</v>
      </c>
      <c r="E654" s="4"/>
      <c r="F654" s="4"/>
      <c r="G654" s="4"/>
      <c r="H654" s="4"/>
      <c r="I654" s="4"/>
      <c r="J654" s="4" t="s">
        <v>3091</v>
      </c>
      <c r="K654" s="4"/>
      <c r="L654" s="5"/>
      <c r="M654" s="4"/>
      <c r="N654" s="4"/>
      <c r="O654" s="4"/>
    </row>
    <row collapsed="false" customFormat="false" customHeight="true" hidden="false" ht="15" outlineLevel="0" r="655">
      <c r="A655" s="4" t="s">
        <v>3084</v>
      </c>
      <c r="B655" s="4" t="s">
        <v>3013</v>
      </c>
      <c r="C655" s="4" t="s">
        <v>3092</v>
      </c>
      <c r="D655" s="4" t="s">
        <v>15</v>
      </c>
      <c r="E655" s="4"/>
      <c r="F655" s="4"/>
      <c r="G655" s="4"/>
      <c r="H655" s="4"/>
      <c r="I655" s="4"/>
      <c r="J655" s="4" t="s">
        <v>3093</v>
      </c>
      <c r="K655" s="4"/>
      <c r="L655" s="5" t="str">
        <f aca="false">HYPERLINK("mailto:ann.herchenrider@dot.gov","mailto:ann.herchenrider@dot.gov")</f>
        <v>mailto:ann.herchenrider@dot.gov</v>
      </c>
      <c r="M655" s="4"/>
      <c r="N655" s="4"/>
      <c r="O655" s="4"/>
    </row>
    <row collapsed="false" customFormat="false" customHeight="true" hidden="false" ht="15" outlineLevel="0" r="656">
      <c r="A656" s="4" t="s">
        <v>3094</v>
      </c>
      <c r="B656" s="4" t="s">
        <v>3013</v>
      </c>
      <c r="C656" s="4" t="s">
        <v>3095</v>
      </c>
      <c r="D656" s="4" t="s">
        <v>3096</v>
      </c>
      <c r="E656" s="4" t="s">
        <v>3097</v>
      </c>
      <c r="F656" s="4" t="s">
        <v>3016</v>
      </c>
      <c r="G656" s="4" t="s">
        <v>5</v>
      </c>
      <c r="H656" s="4" t="s">
        <v>6</v>
      </c>
      <c r="I656" s="4" t="n">
        <v>20590</v>
      </c>
      <c r="J656" s="4" t="s">
        <v>3098</v>
      </c>
      <c r="K656" s="4" t="s">
        <v>3099</v>
      </c>
      <c r="L656" s="5"/>
      <c r="M656" s="4" t="s">
        <v>3100</v>
      </c>
      <c r="N656" s="4"/>
      <c r="O656" s="4"/>
    </row>
    <row collapsed="false" customFormat="false" customHeight="true" hidden="false" ht="15" outlineLevel="0" r="657">
      <c r="A657" s="4" t="s">
        <v>3094</v>
      </c>
      <c r="B657" s="4" t="s">
        <v>3013</v>
      </c>
      <c r="C657" s="4"/>
      <c r="D657" s="4" t="s">
        <v>12</v>
      </c>
      <c r="E657" s="4"/>
      <c r="F657" s="4"/>
      <c r="G657" s="4"/>
      <c r="H657" s="4"/>
      <c r="I657" s="4"/>
      <c r="J657" s="4" t="s">
        <v>3101</v>
      </c>
      <c r="K657" s="4"/>
      <c r="L657" s="5"/>
      <c r="M657" s="4"/>
      <c r="N657" s="4"/>
      <c r="O657" s="4"/>
    </row>
    <row collapsed="false" customFormat="false" customHeight="true" hidden="false" ht="15" outlineLevel="0" r="658">
      <c r="A658" s="4" t="s">
        <v>3094</v>
      </c>
      <c r="B658" s="4" t="s">
        <v>3013</v>
      </c>
      <c r="C658" s="4" t="s">
        <v>3102</v>
      </c>
      <c r="D658" s="4" t="s">
        <v>15</v>
      </c>
      <c r="E658" s="4"/>
      <c r="F658" s="4"/>
      <c r="G658" s="4"/>
      <c r="H658" s="4"/>
      <c r="I658" s="4"/>
      <c r="J658" s="4" t="s">
        <v>3103</v>
      </c>
      <c r="K658" s="4"/>
      <c r="L658" s="5" t="str">
        <f aca="false">HYPERLINK("mailto:patricia.klinger@dot.gov","mailto:patricia.klinger@dot.gov")</f>
        <v>mailto:patricia.klinger@dot.gov</v>
      </c>
      <c r="M658" s="4"/>
      <c r="N658" s="4"/>
      <c r="O658" s="4"/>
    </row>
    <row collapsed="false" customFormat="false" customHeight="true" hidden="false" ht="15" outlineLevel="0" r="659">
      <c r="A659" s="4" t="s">
        <v>3104</v>
      </c>
      <c r="B659" s="4" t="s">
        <v>3013</v>
      </c>
      <c r="C659" s="4" t="s">
        <v>3105</v>
      </c>
      <c r="D659" s="4" t="s">
        <v>1116</v>
      </c>
      <c r="E659" s="4" t="s">
        <v>3106</v>
      </c>
      <c r="F659" s="4" t="s">
        <v>3016</v>
      </c>
      <c r="G659" s="4" t="s">
        <v>5</v>
      </c>
      <c r="H659" s="4" t="s">
        <v>6</v>
      </c>
      <c r="I659" s="4" t="n">
        <v>20590</v>
      </c>
      <c r="J659" s="4" t="s">
        <v>3107</v>
      </c>
      <c r="K659" s="4" t="s">
        <v>3108</v>
      </c>
      <c r="L659" s="5" t="str">
        <f aca="false">HYPERLINK("mailto:robert.monniere@dot.gov","robert.monniere@dot.gov")</f>
        <v>robert.monniere@dot.gov</v>
      </c>
      <c r="M659" s="4" t="s">
        <v>3109</v>
      </c>
      <c r="N659" s="4"/>
      <c r="O659" s="4"/>
    </row>
    <row collapsed="false" customFormat="false" customHeight="true" hidden="false" ht="15" outlineLevel="0" r="660">
      <c r="A660" s="4" t="s">
        <v>3104</v>
      </c>
      <c r="B660" s="4" t="s">
        <v>3013</v>
      </c>
      <c r="C660" s="4"/>
      <c r="D660" s="4" t="s">
        <v>12</v>
      </c>
      <c r="E660" s="4"/>
      <c r="F660" s="4"/>
      <c r="G660" s="4"/>
      <c r="H660" s="4"/>
      <c r="I660" s="4"/>
      <c r="J660" s="4" t="s">
        <v>3107</v>
      </c>
      <c r="K660" s="4"/>
      <c r="L660" s="5"/>
      <c r="M660" s="4"/>
      <c r="N660" s="4"/>
      <c r="O660" s="4"/>
    </row>
    <row collapsed="false" customFormat="false" customHeight="true" hidden="false" ht="15" outlineLevel="0" r="661">
      <c r="A661" s="4" t="s">
        <v>3104</v>
      </c>
      <c r="B661" s="4" t="s">
        <v>3013</v>
      </c>
      <c r="C661" s="4" t="s">
        <v>3020</v>
      </c>
      <c r="D661" s="4" t="s">
        <v>15</v>
      </c>
      <c r="E661" s="4"/>
      <c r="F661" s="4"/>
      <c r="G661" s="4"/>
      <c r="H661" s="4"/>
      <c r="I661" s="4"/>
      <c r="J661" s="4" t="s">
        <v>3021</v>
      </c>
      <c r="K661" s="4"/>
      <c r="L661" s="5" t="str">
        <f aca="false">HYPERLINK("mailto:fern.kaufman@dot.gov","mailto:fern.kaufman@dot.gov")</f>
        <v>mailto:fern.kaufman@dot.gov</v>
      </c>
      <c r="M661" s="5"/>
      <c r="N661" s="4"/>
      <c r="O661" s="4"/>
    </row>
    <row collapsed="false" customFormat="false" customHeight="true" hidden="false" ht="15" outlineLevel="0" r="662">
      <c r="A662" s="4" t="s">
        <v>3110</v>
      </c>
      <c r="B662" s="4" t="s">
        <v>3013</v>
      </c>
      <c r="C662" s="4" t="s">
        <v>3111</v>
      </c>
      <c r="D662" s="4" t="s">
        <v>3040</v>
      </c>
      <c r="E662" s="4" t="s">
        <v>3112</v>
      </c>
      <c r="F662" s="4" t="s">
        <v>3112</v>
      </c>
      <c r="G662" s="4" t="s">
        <v>3113</v>
      </c>
      <c r="H662" s="4" t="s">
        <v>208</v>
      </c>
      <c r="I662" s="4" t="s">
        <v>3114</v>
      </c>
      <c r="J662" s="4" t="s">
        <v>3115</v>
      </c>
      <c r="K662" s="4" t="s">
        <v>3116</v>
      </c>
      <c r="L662" s="5" t="str">
        <f aca="false">HYPERLINK("mailto:foia.request@sls.dot.gov","mailto:foia.request@sls.dot.gov")</f>
        <v>mailto:foia.request@sls.dot.gov</v>
      </c>
      <c r="M662" s="4" t="s">
        <v>3117</v>
      </c>
      <c r="N662" s="4"/>
      <c r="O662" s="4"/>
    </row>
    <row collapsed="false" customFormat="false" customHeight="true" hidden="false" ht="15" outlineLevel="0" r="663">
      <c r="A663" s="4" t="s">
        <v>3110</v>
      </c>
      <c r="B663" s="4" t="s">
        <v>3013</v>
      </c>
      <c r="C663" s="4"/>
      <c r="D663" s="4" t="s">
        <v>12</v>
      </c>
      <c r="E663" s="4"/>
      <c r="F663" s="4"/>
      <c r="G663" s="4"/>
      <c r="H663" s="4"/>
      <c r="I663" s="4"/>
      <c r="J663" s="4" t="s">
        <v>3118</v>
      </c>
      <c r="K663" s="4"/>
      <c r="L663" s="5"/>
      <c r="M663" s="4"/>
      <c r="N663" s="4"/>
      <c r="O663" s="4"/>
    </row>
    <row collapsed="false" customFormat="false" customHeight="true" hidden="false" ht="15" outlineLevel="0" r="664">
      <c r="A664" s="4" t="s">
        <v>3110</v>
      </c>
      <c r="B664" s="4" t="s">
        <v>3013</v>
      </c>
      <c r="C664" s="4" t="s">
        <v>3020</v>
      </c>
      <c r="D664" s="4" t="s">
        <v>15</v>
      </c>
      <c r="E664" s="4"/>
      <c r="F664" s="4"/>
      <c r="G664" s="4"/>
      <c r="H664" s="4"/>
      <c r="I664" s="4"/>
      <c r="J664" s="4" t="s">
        <v>3021</v>
      </c>
      <c r="K664" s="4"/>
      <c r="L664" s="5" t="str">
        <f aca="false">HYPERLINK("mailto:fern.kaufman@dot.gov","mailto:fern.kaufman@dot.gov")</f>
        <v>mailto:fern.kaufman@dot.gov</v>
      </c>
      <c r="M664" s="4"/>
      <c r="N664" s="4"/>
      <c r="O664" s="4"/>
    </row>
    <row collapsed="false" customFormat="false" customHeight="true" hidden="false" ht="15" outlineLevel="0" r="665">
      <c r="A665" s="4" t="s">
        <v>1336</v>
      </c>
      <c r="B665" s="4" t="s">
        <v>3013</v>
      </c>
      <c r="C665" s="4" t="s">
        <v>1337</v>
      </c>
      <c r="D665" s="4" t="s">
        <v>1338</v>
      </c>
      <c r="E665" s="4"/>
      <c r="F665" s="4" t="s">
        <v>1339</v>
      </c>
      <c r="G665" s="4" t="s">
        <v>5</v>
      </c>
      <c r="H665" s="4" t="s">
        <v>6</v>
      </c>
      <c r="I665" s="4" t="s">
        <v>1340</v>
      </c>
      <c r="J665" s="4" t="s">
        <v>1341</v>
      </c>
      <c r="K665" s="4" t="s">
        <v>1342</v>
      </c>
      <c r="L665" s="5" t="str">
        <f aca="false">HYPERLINK("mailto:FOIA.Privacy@stb.dot.gov","mailto:FOIA.Privacy@stb.dot.gov")</f>
        <v>mailto:FOIA.Privacy@stb.dot.gov</v>
      </c>
      <c r="M665" s="4" t="s">
        <v>1343</v>
      </c>
      <c r="N665" s="4"/>
      <c r="O665" s="4"/>
    </row>
    <row collapsed="false" customFormat="false" customHeight="true" hidden="false" ht="15" outlineLevel="0" r="666">
      <c r="A666" s="4" t="s">
        <v>1336</v>
      </c>
      <c r="B666" s="4" t="s">
        <v>3013</v>
      </c>
      <c r="C666" s="4" t="s">
        <v>1337</v>
      </c>
      <c r="D666" s="4" t="s">
        <v>12</v>
      </c>
      <c r="E666" s="4"/>
      <c r="F666" s="4"/>
      <c r="G666" s="4"/>
      <c r="H666" s="4"/>
      <c r="I666" s="4"/>
      <c r="J666" s="4" t="s">
        <v>1341</v>
      </c>
      <c r="K666" s="4"/>
      <c r="L666" s="5" t="str">
        <f aca="false">HYPERLINK("mailto:FOIA.Privacy@stb.dot.gov","mailto:FOIA.Privacy@stb.dot.gov")</f>
        <v>mailto:FOIA.Privacy@stb.dot.gov</v>
      </c>
      <c r="M666" s="4"/>
      <c r="N666" s="4"/>
      <c r="O666" s="4"/>
    </row>
    <row collapsed="false" customFormat="false" customHeight="true" hidden="false" ht="15" outlineLevel="0" r="667">
      <c r="A667" s="4" t="s">
        <v>1336</v>
      </c>
      <c r="B667" s="4" t="s">
        <v>3013</v>
      </c>
      <c r="C667" s="4" t="s">
        <v>1344</v>
      </c>
      <c r="D667" s="4" t="s">
        <v>15</v>
      </c>
      <c r="E667" s="4"/>
      <c r="F667" s="4"/>
      <c r="G667" s="4"/>
      <c r="H667" s="4"/>
      <c r="I667" s="4"/>
      <c r="J667" s="4" t="s">
        <v>1345</v>
      </c>
      <c r="K667" s="4"/>
      <c r="L667" s="5" t="str">
        <f aca="false">HYPERLINK("mailto:keatsc@stb.dot.gov","mailto:keatsc@stb.dot.gov")</f>
        <v>mailto:keatsc@stb.dot.gov</v>
      </c>
      <c r="M667" s="4"/>
      <c r="N667" s="4"/>
      <c r="O667" s="4"/>
    </row>
    <row collapsed="false" customFormat="false" customHeight="true" hidden="false" ht="15" outlineLevel="0" r="668">
      <c r="A668" s="4" t="s">
        <v>288</v>
      </c>
      <c r="B668" s="4" t="s">
        <v>3013</v>
      </c>
      <c r="C668" s="4" t="s">
        <v>114</v>
      </c>
      <c r="D668" s="4" t="s">
        <v>3119</v>
      </c>
      <c r="E668" s="4" t="s">
        <v>3015</v>
      </c>
      <c r="F668" s="4" t="s">
        <v>3016</v>
      </c>
      <c r="G668" s="4" t="s">
        <v>5</v>
      </c>
      <c r="H668" s="4" t="s">
        <v>6</v>
      </c>
      <c r="I668" s="4" t="n">
        <v>20590</v>
      </c>
      <c r="J668" s="4" t="s">
        <v>3017</v>
      </c>
      <c r="K668" s="4" t="s">
        <v>3018</v>
      </c>
      <c r="L668" s="5" t="str">
        <f aca="false">HYPERLINK("mailto:ost.foia@dot.gov","mailto:ost.foia@dot.gov")</f>
        <v>mailto:ost.foia@dot.gov</v>
      </c>
      <c r="M668" s="4" t="s">
        <v>3120</v>
      </c>
      <c r="N668" s="4"/>
      <c r="O668" s="4"/>
    </row>
    <row collapsed="false" customFormat="false" customHeight="true" hidden="false" ht="15" outlineLevel="0" r="669">
      <c r="A669" s="4" t="s">
        <v>288</v>
      </c>
      <c r="B669" s="4" t="s">
        <v>3013</v>
      </c>
      <c r="C669" s="4"/>
      <c r="D669" s="4" t="s">
        <v>12</v>
      </c>
      <c r="E669" s="4"/>
      <c r="F669" s="4"/>
      <c r="G669" s="4"/>
      <c r="H669" s="4"/>
      <c r="I669" s="4"/>
      <c r="J669" s="4" t="s">
        <v>3017</v>
      </c>
      <c r="K669" s="4"/>
      <c r="L669" s="5"/>
      <c r="M669" s="4"/>
      <c r="N669" s="4"/>
      <c r="O669" s="4"/>
    </row>
    <row collapsed="false" customFormat="false" customHeight="true" hidden="false" ht="15" outlineLevel="0" r="670">
      <c r="A670" s="4" t="s">
        <v>288</v>
      </c>
      <c r="B670" s="4" t="s">
        <v>3013</v>
      </c>
      <c r="C670" s="4" t="s">
        <v>3020</v>
      </c>
      <c r="D670" s="4" t="s">
        <v>15</v>
      </c>
      <c r="E670" s="4"/>
      <c r="F670" s="4"/>
      <c r="G670" s="4"/>
      <c r="H670" s="4"/>
      <c r="I670" s="4"/>
      <c r="J670" s="4" t="s">
        <v>3021</v>
      </c>
      <c r="K670" s="4"/>
      <c r="L670" s="5" t="str">
        <f aca="false">HYPERLINK("mailto:fern.kaufman@dot.gov","mailto:fern.kaufman@dot.gov")</f>
        <v>mailto:fern.kaufman@dot.gov</v>
      </c>
      <c r="M670" s="4"/>
      <c r="N670" s="4"/>
      <c r="O670" s="4"/>
    </row>
    <row collapsed="false" customFormat="false" customHeight="true" hidden="false" ht="15" outlineLevel="0" r="671">
      <c r="A671" s="4" t="s">
        <v>3121</v>
      </c>
      <c r="B671" s="4" t="s">
        <v>3122</v>
      </c>
      <c r="C671" s="4" t="s">
        <v>3123</v>
      </c>
      <c r="D671" s="4" t="s">
        <v>3124</v>
      </c>
      <c r="E671" s="4"/>
      <c r="F671" s="4" t="s">
        <v>3125</v>
      </c>
      <c r="G671" s="4" t="s">
        <v>5</v>
      </c>
      <c r="H671" s="4" t="s">
        <v>6</v>
      </c>
      <c r="I671" s="4" t="n">
        <v>20220</v>
      </c>
      <c r="J671" s="4" t="s">
        <v>3126</v>
      </c>
      <c r="K671" s="4" t="s">
        <v>3127</v>
      </c>
      <c r="L671" s="5"/>
      <c r="M671" s="4" t="s">
        <v>3128</v>
      </c>
      <c r="N671" s="5"/>
      <c r="O671" s="4"/>
    </row>
    <row collapsed="false" customFormat="false" customHeight="true" hidden="false" ht="15" outlineLevel="0" r="672">
      <c r="A672" s="4" t="s">
        <v>3121</v>
      </c>
      <c r="B672" s="4" t="s">
        <v>3122</v>
      </c>
      <c r="C672" s="4"/>
      <c r="D672" s="4" t="s">
        <v>12</v>
      </c>
      <c r="E672" s="4"/>
      <c r="F672" s="4"/>
      <c r="G672" s="4"/>
      <c r="H672" s="4"/>
      <c r="I672" s="4"/>
      <c r="J672" s="4" t="s">
        <v>3126</v>
      </c>
      <c r="K672" s="4"/>
      <c r="L672" s="5"/>
      <c r="M672" s="4"/>
      <c r="N672" s="4"/>
      <c r="O672" s="4"/>
    </row>
    <row collapsed="false" customFormat="false" customHeight="true" hidden="false" ht="15" outlineLevel="0" r="673">
      <c r="A673" s="4" t="s">
        <v>3121</v>
      </c>
      <c r="B673" s="4" t="s">
        <v>3122</v>
      </c>
      <c r="C673" s="4" t="s">
        <v>3123</v>
      </c>
      <c r="D673" s="4" t="s">
        <v>15</v>
      </c>
      <c r="E673" s="4"/>
      <c r="F673" s="4"/>
      <c r="G673" s="4"/>
      <c r="H673" s="4"/>
      <c r="I673" s="4"/>
      <c r="J673" s="4" t="s">
        <v>3129</v>
      </c>
      <c r="K673" s="4"/>
      <c r="L673" s="5" t="str">
        <f aca="false">HYPERLINK("mailto:Hugh.Gilmore@do.treas.gov","mailto:Hugh.Gilmore@do.treas.gov")</f>
        <v>mailto:Hugh.Gilmore@do.treas.gov</v>
      </c>
      <c r="M673" s="4"/>
      <c r="N673" s="4"/>
      <c r="O673" s="4"/>
    </row>
    <row collapsed="false" customFormat="false" customHeight="true" hidden="false" ht="15" outlineLevel="0" r="674">
      <c r="A674" s="4" t="s">
        <v>3130</v>
      </c>
      <c r="B674" s="4" t="s">
        <v>3122</v>
      </c>
      <c r="C674" s="4" t="s">
        <v>3131</v>
      </c>
      <c r="D674" s="4" t="s">
        <v>3132</v>
      </c>
      <c r="E674" s="4" t="s">
        <v>3133</v>
      </c>
      <c r="F674" s="4" t="s">
        <v>3134</v>
      </c>
      <c r="G674" s="4" t="s">
        <v>5</v>
      </c>
      <c r="H674" s="4" t="s">
        <v>6</v>
      </c>
      <c r="I674" s="4" t="n">
        <v>20220</v>
      </c>
      <c r="J674" s="4" t="s">
        <v>3135</v>
      </c>
      <c r="K674" s="4" t="s">
        <v>3136</v>
      </c>
      <c r="L674" s="5"/>
      <c r="M674" s="4" t="s">
        <v>3137</v>
      </c>
      <c r="N674" s="4"/>
      <c r="O674" s="4"/>
    </row>
    <row collapsed="false" customFormat="false" customHeight="true" hidden="false" ht="15" outlineLevel="0" r="675">
      <c r="A675" s="4" t="s">
        <v>3130</v>
      </c>
      <c r="B675" s="4" t="s">
        <v>3122</v>
      </c>
      <c r="C675" s="4"/>
      <c r="D675" s="4" t="s">
        <v>12</v>
      </c>
      <c r="E675" s="4"/>
      <c r="F675" s="4"/>
      <c r="G675" s="4"/>
      <c r="H675" s="4"/>
      <c r="I675" s="4"/>
      <c r="J675" s="4" t="s">
        <v>3138</v>
      </c>
      <c r="K675" s="4"/>
      <c r="L675" s="5" t="str">
        <f aca="false">HYPERLINK("mailto:ttbfoia@ttb.gov","ttbfoia@ttb.gov")</f>
        <v>ttbfoia@ttb.gov</v>
      </c>
      <c r="M675" s="4"/>
      <c r="N675" s="4"/>
      <c r="O675" s="4"/>
    </row>
    <row collapsed="false" customFormat="false" customHeight="true" hidden="false" ht="15" outlineLevel="0" r="676">
      <c r="A676" s="4" t="s">
        <v>3130</v>
      </c>
      <c r="B676" s="4" t="s">
        <v>3122</v>
      </c>
      <c r="C676" s="4" t="s">
        <v>3123</v>
      </c>
      <c r="D676" s="4" t="s">
        <v>15</v>
      </c>
      <c r="E676" s="4"/>
      <c r="F676" s="4"/>
      <c r="G676" s="4"/>
      <c r="H676" s="4"/>
      <c r="I676" s="4"/>
      <c r="J676" s="4" t="s">
        <v>3129</v>
      </c>
      <c r="K676" s="4"/>
      <c r="L676" s="5" t="str">
        <f aca="false">HYPERLINK("mailto:Hugh.Gilmore@do.treas.gov","mailto:Hugh.Gilmore@do.treas.gov")</f>
        <v>mailto:Hugh.Gilmore@do.treas.gov</v>
      </c>
      <c r="M676" s="4"/>
      <c r="N676" s="4"/>
      <c r="O676" s="4"/>
    </row>
    <row collapsed="false" customFormat="false" customHeight="true" hidden="false" ht="15" outlineLevel="0" r="677">
      <c r="A677" s="4" t="s">
        <v>3139</v>
      </c>
      <c r="B677" s="4" t="s">
        <v>3122</v>
      </c>
      <c r="C677" s="4" t="s">
        <v>3140</v>
      </c>
      <c r="D677" s="4" t="s">
        <v>3141</v>
      </c>
      <c r="E677" s="4" t="s">
        <v>3142</v>
      </c>
      <c r="F677" s="4" t="s">
        <v>3143</v>
      </c>
      <c r="G677" s="4" t="s">
        <v>5</v>
      </c>
      <c r="H677" s="4" t="s">
        <v>6</v>
      </c>
      <c r="I677" s="4" t="n">
        <v>20228</v>
      </c>
      <c r="J677" s="4" t="s">
        <v>3144</v>
      </c>
      <c r="K677" s="4" t="s">
        <v>3145</v>
      </c>
      <c r="L677" s="5"/>
      <c r="M677" s="4" t="s">
        <v>3146</v>
      </c>
      <c r="N677" s="5"/>
      <c r="O677" s="4"/>
    </row>
    <row collapsed="false" customFormat="false" customHeight="true" hidden="false" ht="15" outlineLevel="0" r="678">
      <c r="A678" s="4" t="s">
        <v>3139</v>
      </c>
      <c r="B678" s="4" t="s">
        <v>3122</v>
      </c>
      <c r="C678" s="4"/>
      <c r="D678" s="4" t="s">
        <v>12</v>
      </c>
      <c r="E678" s="4"/>
      <c r="F678" s="4"/>
      <c r="G678" s="4"/>
      <c r="H678" s="4"/>
      <c r="I678" s="4"/>
      <c r="J678" s="4" t="s">
        <v>3144</v>
      </c>
      <c r="K678" s="4"/>
      <c r="L678" s="5"/>
      <c r="M678" s="4"/>
      <c r="N678" s="4"/>
      <c r="O678" s="4"/>
    </row>
    <row collapsed="false" customFormat="false" customHeight="true" hidden="false" ht="15" outlineLevel="0" r="679">
      <c r="A679" s="4" t="s">
        <v>3139</v>
      </c>
      <c r="B679" s="4" t="s">
        <v>3122</v>
      </c>
      <c r="C679" s="4" t="s">
        <v>3123</v>
      </c>
      <c r="D679" s="4" t="s">
        <v>15</v>
      </c>
      <c r="E679" s="4"/>
      <c r="F679" s="4"/>
      <c r="G679" s="4"/>
      <c r="H679" s="4"/>
      <c r="I679" s="4"/>
      <c r="J679" s="4" t="s">
        <v>3129</v>
      </c>
      <c r="K679" s="4"/>
      <c r="L679" s="5" t="str">
        <f aca="false">HYPERLINK("mailto:Hugh.Gilmore@do.treas.gov","mailto:Hugh.Gilmore@do.treas.gov")</f>
        <v>mailto:Hugh.Gilmore@do.treas.gov</v>
      </c>
      <c r="M679" s="4"/>
      <c r="N679" s="4"/>
      <c r="O679" s="4"/>
    </row>
    <row collapsed="false" customFormat="false" customHeight="true" hidden="false" ht="15" outlineLevel="0" r="680">
      <c r="A680" s="4" t="s">
        <v>3147</v>
      </c>
      <c r="B680" s="4" t="s">
        <v>3122</v>
      </c>
      <c r="C680" s="4" t="s">
        <v>3148</v>
      </c>
      <c r="D680" s="4" t="s">
        <v>3149</v>
      </c>
      <c r="E680" s="4" t="s">
        <v>3150</v>
      </c>
      <c r="F680" s="4"/>
      <c r="G680" s="4" t="s">
        <v>5</v>
      </c>
      <c r="H680" s="4" t="s">
        <v>6</v>
      </c>
      <c r="I680" s="4" t="n">
        <v>20219</v>
      </c>
      <c r="J680" s="4" t="s">
        <v>3151</v>
      </c>
      <c r="K680" s="4"/>
      <c r="L680" s="5" t="str">
        <f aca="false">HYPERLINK("mailto:foia-pa@occ.treas.gov","mailto:foia-pa@occ.treas.gov")</f>
        <v>mailto:foia-pa@occ.treas.gov</v>
      </c>
      <c r="M680" s="4" t="s">
        <v>3152</v>
      </c>
      <c r="N680" s="5"/>
      <c r="O680" s="4"/>
    </row>
    <row collapsed="false" customFormat="false" customHeight="true" hidden="false" ht="15" outlineLevel="0" r="681">
      <c r="A681" s="4" t="s">
        <v>3147</v>
      </c>
      <c r="B681" s="4" t="s">
        <v>3122</v>
      </c>
      <c r="C681" s="4"/>
      <c r="D681" s="4" t="s">
        <v>12</v>
      </c>
      <c r="E681" s="4"/>
      <c r="F681" s="4"/>
      <c r="G681" s="4"/>
      <c r="H681" s="4"/>
      <c r="I681" s="4"/>
      <c r="J681" s="4" t="s">
        <v>3151</v>
      </c>
      <c r="K681" s="4"/>
      <c r="L681" s="5"/>
      <c r="M681" s="4"/>
      <c r="N681" s="4"/>
      <c r="O681" s="4"/>
    </row>
    <row collapsed="false" customFormat="false" customHeight="true" hidden="false" ht="15" outlineLevel="0" r="682">
      <c r="A682" s="4" t="s">
        <v>3147</v>
      </c>
      <c r="B682" s="4" t="s">
        <v>3122</v>
      </c>
      <c r="C682" s="4" t="s">
        <v>3123</v>
      </c>
      <c r="D682" s="4" t="s">
        <v>15</v>
      </c>
      <c r="E682" s="4"/>
      <c r="F682" s="4"/>
      <c r="G682" s="4"/>
      <c r="H682" s="4"/>
      <c r="I682" s="4"/>
      <c r="J682" s="4" t="s">
        <v>3129</v>
      </c>
      <c r="K682" s="4"/>
      <c r="L682" s="5" t="str">
        <f aca="false">HYPERLINK("mailto:Hugh.Gilmore@do.treas.gov","mailto:Hugh.Gilmore@do.treas.gov")</f>
        <v>mailto:Hugh.Gilmore@do.treas.gov</v>
      </c>
      <c r="M682" s="4"/>
      <c r="N682" s="4"/>
      <c r="O682" s="4"/>
    </row>
    <row collapsed="false" customFormat="false" customHeight="true" hidden="false" ht="15" outlineLevel="0" r="683">
      <c r="A683" s="4" t="s">
        <v>3153</v>
      </c>
      <c r="B683" s="4" t="s">
        <v>3122</v>
      </c>
      <c r="C683" s="4" t="s">
        <v>3154</v>
      </c>
      <c r="D683" s="4" t="s">
        <v>3155</v>
      </c>
      <c r="E683" s="4"/>
      <c r="F683" s="4" t="s">
        <v>3156</v>
      </c>
      <c r="G683" s="4" t="s">
        <v>3157</v>
      </c>
      <c r="H683" s="4" t="s">
        <v>31</v>
      </c>
      <c r="I683" s="4" t="n">
        <v>22183</v>
      </c>
      <c r="J683" s="4" t="s">
        <v>3158</v>
      </c>
      <c r="K683" s="4" t="s">
        <v>3159</v>
      </c>
      <c r="L683" s="5"/>
      <c r="M683" s="4" t="s">
        <v>3160</v>
      </c>
      <c r="N683" s="4"/>
      <c r="O683" s="4"/>
    </row>
    <row collapsed="false" customFormat="false" customHeight="true" hidden="false" ht="15" outlineLevel="0" r="684">
      <c r="A684" s="4" t="s">
        <v>3153</v>
      </c>
      <c r="B684" s="4" t="s">
        <v>3122</v>
      </c>
      <c r="C684" s="4"/>
      <c r="D684" s="4" t="s">
        <v>12</v>
      </c>
      <c r="E684" s="4"/>
      <c r="F684" s="4"/>
      <c r="G684" s="4"/>
      <c r="H684" s="4"/>
      <c r="I684" s="4"/>
      <c r="J684" s="4" t="s">
        <v>3158</v>
      </c>
      <c r="K684" s="4"/>
      <c r="L684" s="5"/>
      <c r="M684" s="4"/>
      <c r="N684" s="4"/>
      <c r="O684" s="4"/>
    </row>
    <row collapsed="false" customFormat="false" customHeight="true" hidden="false" ht="15" outlineLevel="0" r="685">
      <c r="A685" s="4" t="s">
        <v>3153</v>
      </c>
      <c r="B685" s="4" t="s">
        <v>3122</v>
      </c>
      <c r="C685" s="4" t="s">
        <v>3123</v>
      </c>
      <c r="D685" s="4" t="s">
        <v>15</v>
      </c>
      <c r="E685" s="4"/>
      <c r="F685" s="4"/>
      <c r="G685" s="4"/>
      <c r="H685" s="4"/>
      <c r="I685" s="4"/>
      <c r="J685" s="4" t="s">
        <v>3129</v>
      </c>
      <c r="K685" s="4"/>
      <c r="L685" s="5" t="str">
        <f aca="false">HYPERLINK("mailto:Hugh.Gilmore@do.treas.gov","mailto:Hugh.Gilmore@do.treas.gov")</f>
        <v>mailto:Hugh.Gilmore@do.treas.gov</v>
      </c>
      <c r="M685" s="4"/>
      <c r="N685" s="4"/>
      <c r="O685" s="4"/>
    </row>
    <row collapsed="false" customFormat="false" customHeight="true" hidden="false" ht="15" outlineLevel="0" r="686">
      <c r="A686" s="4" t="s">
        <v>3161</v>
      </c>
      <c r="B686" s="4" t="s">
        <v>3122</v>
      </c>
      <c r="C686" s="4" t="s">
        <v>3162</v>
      </c>
      <c r="D686" s="4" t="s">
        <v>1253</v>
      </c>
      <c r="E686" s="4" t="s">
        <v>3163</v>
      </c>
      <c r="F686" s="4" t="s">
        <v>3164</v>
      </c>
      <c r="G686" s="4" t="s">
        <v>5</v>
      </c>
      <c r="H686" s="4" t="s">
        <v>6</v>
      </c>
      <c r="I686" s="4" t="n">
        <v>20227</v>
      </c>
      <c r="J686" s="4" t="s">
        <v>3165</v>
      </c>
      <c r="K686" s="4" t="s">
        <v>3166</v>
      </c>
      <c r="L686" s="5"/>
      <c r="M686" s="4" t="s">
        <v>3167</v>
      </c>
      <c r="N686" s="5"/>
      <c r="O686" s="4"/>
    </row>
    <row collapsed="false" customFormat="false" customHeight="true" hidden="false" ht="15" outlineLevel="0" r="687">
      <c r="A687" s="4" t="s">
        <v>3161</v>
      </c>
      <c r="B687" s="4" t="s">
        <v>3122</v>
      </c>
      <c r="C687" s="4"/>
      <c r="D687" s="4" t="s">
        <v>12</v>
      </c>
      <c r="E687" s="4"/>
      <c r="F687" s="4"/>
      <c r="G687" s="4"/>
      <c r="H687" s="4"/>
      <c r="I687" s="4"/>
      <c r="J687" s="4" t="s">
        <v>3168</v>
      </c>
      <c r="K687" s="4"/>
      <c r="L687" s="5"/>
      <c r="M687" s="4"/>
      <c r="N687" s="4"/>
      <c r="O687" s="4"/>
    </row>
    <row collapsed="false" customFormat="false" customHeight="true" hidden="false" ht="15" outlineLevel="0" r="688">
      <c r="A688" s="4" t="s">
        <v>3161</v>
      </c>
      <c r="B688" s="4" t="s">
        <v>3122</v>
      </c>
      <c r="C688" s="4" t="s">
        <v>3123</v>
      </c>
      <c r="D688" s="4" t="s">
        <v>15</v>
      </c>
      <c r="E688" s="4"/>
      <c r="F688" s="4"/>
      <c r="G688" s="4"/>
      <c r="H688" s="4"/>
      <c r="I688" s="4"/>
      <c r="J688" s="4" t="s">
        <v>3129</v>
      </c>
      <c r="K688" s="4"/>
      <c r="L688" s="5" t="str">
        <f aca="false">HYPERLINK("mailto:Hugh.Gilmore@do.treas.gov","mailto:Hugh.Gilmore@do.treas.gov")</f>
        <v>mailto:Hugh.Gilmore@do.treas.gov</v>
      </c>
      <c r="M688" s="4"/>
      <c r="N688" s="4"/>
      <c r="O688" s="4"/>
    </row>
    <row collapsed="false" customFormat="false" customHeight="true" hidden="false" ht="15" outlineLevel="0" r="689">
      <c r="A689" s="4" t="s">
        <v>3169</v>
      </c>
      <c r="B689" s="4" t="s">
        <v>3122</v>
      </c>
      <c r="C689" s="4"/>
      <c r="D689" s="4" t="s">
        <v>114</v>
      </c>
      <c r="E689" s="4" t="s">
        <v>3170</v>
      </c>
      <c r="F689" s="4" t="s">
        <v>3171</v>
      </c>
      <c r="G689" s="4" t="s">
        <v>3172</v>
      </c>
      <c r="H689" s="4" t="s">
        <v>227</v>
      </c>
      <c r="I689" s="4" t="n">
        <v>30341</v>
      </c>
      <c r="J689" s="4" t="s">
        <v>3173</v>
      </c>
      <c r="K689" s="4"/>
      <c r="L689" s="5"/>
      <c r="M689" s="4" t="s">
        <v>3174</v>
      </c>
      <c r="N689" s="4"/>
      <c r="O689" s="4"/>
    </row>
    <row collapsed="false" customFormat="false" customHeight="true" hidden="false" ht="15" outlineLevel="0" r="690">
      <c r="A690" s="4" t="s">
        <v>3169</v>
      </c>
      <c r="B690" s="4" t="s">
        <v>3122</v>
      </c>
      <c r="C690" s="4"/>
      <c r="D690" s="4" t="s">
        <v>12</v>
      </c>
      <c r="E690" s="4"/>
      <c r="F690" s="4"/>
      <c r="G690" s="4"/>
      <c r="H690" s="4"/>
      <c r="I690" s="4"/>
      <c r="J690" s="4" t="s">
        <v>3173</v>
      </c>
      <c r="K690" s="4"/>
      <c r="L690" s="5"/>
      <c r="M690" s="4"/>
      <c r="N690" s="4"/>
      <c r="O690" s="4"/>
    </row>
    <row collapsed="false" customFormat="false" customHeight="true" hidden="false" ht="15" outlineLevel="0" r="691">
      <c r="A691" s="4" t="s">
        <v>3169</v>
      </c>
      <c r="B691" s="4" t="s">
        <v>3122</v>
      </c>
      <c r="C691" s="4" t="s">
        <v>3175</v>
      </c>
      <c r="D691" s="4" t="s">
        <v>15</v>
      </c>
      <c r="E691" s="4"/>
      <c r="F691" s="4"/>
      <c r="G691" s="4"/>
      <c r="H691" s="4"/>
      <c r="I691" s="4"/>
      <c r="J691" s="4" t="s">
        <v>3173</v>
      </c>
      <c r="K691" s="4"/>
      <c r="L691" s="5"/>
      <c r="M691" s="4"/>
      <c r="N691" s="4"/>
      <c r="O691" s="4"/>
    </row>
    <row collapsed="false" customFormat="false" customHeight="true" hidden="false" ht="15" outlineLevel="0" r="692">
      <c r="A692" s="4" t="s">
        <v>3176</v>
      </c>
      <c r="B692" s="4" t="s">
        <v>3122</v>
      </c>
      <c r="C692" s="4" t="s">
        <v>3177</v>
      </c>
      <c r="D692" s="4" t="s">
        <v>114</v>
      </c>
      <c r="E692" s="4" t="s">
        <v>3178</v>
      </c>
      <c r="F692" s="4" t="s">
        <v>3179</v>
      </c>
      <c r="G692" s="4" t="s">
        <v>5</v>
      </c>
      <c r="H692" s="4" t="s">
        <v>6</v>
      </c>
      <c r="I692" s="4" t="n">
        <v>20220</v>
      </c>
      <c r="J692" s="4" t="s">
        <v>3180</v>
      </c>
      <c r="K692" s="4" t="s">
        <v>3181</v>
      </c>
      <c r="L692" s="5"/>
      <c r="M692" s="4" t="s">
        <v>3182</v>
      </c>
      <c r="N692" s="4"/>
      <c r="O692" s="4"/>
    </row>
    <row collapsed="false" customFormat="false" customHeight="true" hidden="false" ht="15" outlineLevel="0" r="693">
      <c r="A693" s="4" t="s">
        <v>3176</v>
      </c>
      <c r="B693" s="4" t="s">
        <v>3122</v>
      </c>
      <c r="C693" s="4"/>
      <c r="D693" s="4" t="s">
        <v>12</v>
      </c>
      <c r="E693" s="4"/>
      <c r="F693" s="4"/>
      <c r="G693" s="4"/>
      <c r="H693" s="4"/>
      <c r="I693" s="4"/>
      <c r="J693" s="4" t="s">
        <v>3183</v>
      </c>
      <c r="K693" s="4"/>
      <c r="L693" s="5"/>
      <c r="M693" s="4"/>
      <c r="N693" s="4"/>
      <c r="O693" s="4"/>
    </row>
    <row collapsed="false" customFormat="false" customHeight="true" hidden="false" ht="15" outlineLevel="0" r="694">
      <c r="A694" s="4" t="s">
        <v>3176</v>
      </c>
      <c r="B694" s="4" t="s">
        <v>3122</v>
      </c>
      <c r="C694" s="4" t="s">
        <v>3123</v>
      </c>
      <c r="D694" s="4" t="s">
        <v>15</v>
      </c>
      <c r="E694" s="4"/>
      <c r="F694" s="4"/>
      <c r="G694" s="4"/>
      <c r="H694" s="4"/>
      <c r="I694" s="4"/>
      <c r="J694" s="4" t="s">
        <v>3129</v>
      </c>
      <c r="K694" s="4"/>
      <c r="L694" s="5" t="str">
        <f aca="false">HYPERLINK("mailto:Hugh.Gilmore@do.treas.gov","mailto:Hugh.Gilmore@do.treas.gov")</f>
        <v>mailto:Hugh.Gilmore@do.treas.gov</v>
      </c>
      <c r="M694" s="4"/>
      <c r="N694" s="4"/>
      <c r="O694" s="4"/>
    </row>
    <row collapsed="false" customFormat="false" customHeight="true" hidden="false" ht="15" outlineLevel="0" r="695">
      <c r="A695" s="4" t="s">
        <v>3184</v>
      </c>
      <c r="B695" s="4" t="s">
        <v>3122</v>
      </c>
      <c r="C695" s="4" t="s">
        <v>3185</v>
      </c>
      <c r="D695" s="4" t="s">
        <v>3186</v>
      </c>
      <c r="E695" s="4" t="s">
        <v>3187</v>
      </c>
      <c r="F695" s="4" t="s">
        <v>3188</v>
      </c>
      <c r="G695" s="4" t="s">
        <v>3189</v>
      </c>
      <c r="H695" s="4" t="s">
        <v>3190</v>
      </c>
      <c r="I695" s="4" t="n">
        <v>26106</v>
      </c>
      <c r="J695" s="4" t="s">
        <v>3191</v>
      </c>
      <c r="K695" s="4" t="s">
        <v>3192</v>
      </c>
      <c r="L695" s="5"/>
      <c r="M695" s="4" t="s">
        <v>3193</v>
      </c>
      <c r="N695" s="5"/>
      <c r="O695" s="4"/>
    </row>
    <row collapsed="false" customFormat="false" customHeight="true" hidden="false" ht="15" outlineLevel="0" r="696">
      <c r="A696" s="4" t="s">
        <v>3184</v>
      </c>
      <c r="B696" s="4" t="s">
        <v>3122</v>
      </c>
      <c r="C696" s="4"/>
      <c r="D696" s="4" t="s">
        <v>12</v>
      </c>
      <c r="E696" s="4"/>
      <c r="F696" s="4"/>
      <c r="G696" s="4"/>
      <c r="H696" s="4"/>
      <c r="I696" s="4"/>
      <c r="J696" s="4" t="s">
        <v>3191</v>
      </c>
      <c r="K696" s="4"/>
      <c r="L696" s="5"/>
      <c r="M696" s="4"/>
      <c r="N696" s="4"/>
      <c r="O696" s="4"/>
    </row>
    <row collapsed="false" customFormat="false" customHeight="true" hidden="false" ht="15" outlineLevel="0" r="697">
      <c r="A697" s="4" t="s">
        <v>3184</v>
      </c>
      <c r="B697" s="4" t="s">
        <v>3122</v>
      </c>
      <c r="C697" s="4" t="s">
        <v>3123</v>
      </c>
      <c r="D697" s="4" t="s">
        <v>15</v>
      </c>
      <c r="E697" s="4"/>
      <c r="F697" s="4"/>
      <c r="G697" s="4"/>
      <c r="H697" s="4"/>
      <c r="I697" s="4"/>
      <c r="J697" s="4" t="s">
        <v>3129</v>
      </c>
      <c r="K697" s="4"/>
      <c r="L697" s="5" t="str">
        <f aca="false">HYPERLINK("mailto:Hugh.Gilmore@do.treas.gov","mailto:Hugh.Gilmore@do.treas.gov")</f>
        <v>mailto:Hugh.Gilmore@do.treas.gov</v>
      </c>
      <c r="M697" s="4"/>
      <c r="N697" s="4"/>
      <c r="O697" s="4"/>
    </row>
    <row collapsed="false" customFormat="false" customHeight="true" hidden="false" ht="15" outlineLevel="0" r="698">
      <c r="A698" s="4" t="s">
        <v>3194</v>
      </c>
      <c r="B698" s="4" t="s">
        <v>3122</v>
      </c>
      <c r="C698" s="4" t="s">
        <v>3195</v>
      </c>
      <c r="D698" s="4" t="s">
        <v>114</v>
      </c>
      <c r="E698" s="4"/>
      <c r="F698" s="4" t="s">
        <v>125</v>
      </c>
      <c r="G698" s="4" t="s">
        <v>5</v>
      </c>
      <c r="H698" s="4" t="s">
        <v>6</v>
      </c>
      <c r="I698" s="4" t="n">
        <v>20552</v>
      </c>
      <c r="J698" s="4" t="s">
        <v>3196</v>
      </c>
      <c r="K698" s="4" t="s">
        <v>3197</v>
      </c>
      <c r="L698" s="5" t="str">
        <f aca="false">HYPERLINK("mailto:public.info@ots.treas.gov","mailto:public.info@ots.treas.gov")</f>
        <v>mailto:public.info@ots.treas.gov</v>
      </c>
      <c r="M698" s="4" t="s">
        <v>3198</v>
      </c>
      <c r="N698" s="4"/>
      <c r="O698" s="4"/>
    </row>
    <row collapsed="false" customFormat="false" customHeight="true" hidden="false" ht="15" outlineLevel="0" r="699">
      <c r="A699" s="4" t="s">
        <v>3194</v>
      </c>
      <c r="B699" s="4" t="s">
        <v>3122</v>
      </c>
      <c r="C699" s="4"/>
      <c r="D699" s="4" t="s">
        <v>12</v>
      </c>
      <c r="E699" s="4"/>
      <c r="F699" s="4"/>
      <c r="G699" s="4"/>
      <c r="H699" s="4"/>
      <c r="I699" s="4"/>
      <c r="J699" s="4" t="s">
        <v>3196</v>
      </c>
      <c r="K699" s="4"/>
      <c r="L699" s="5" t="str">
        <f aca="false">HYPERLINK("mailto:foia.servicecenter@ots.treas.gov","mailto:foia.servicecenter@ots.treas.gov")</f>
        <v>mailto:foia.servicecenter@ots.treas.gov</v>
      </c>
      <c r="M699" s="4"/>
      <c r="N699" s="4"/>
      <c r="O699" s="4"/>
    </row>
    <row collapsed="false" customFormat="false" customHeight="true" hidden="false" ht="15" outlineLevel="0" r="700">
      <c r="A700" s="4" t="s">
        <v>3194</v>
      </c>
      <c r="B700" s="4" t="s">
        <v>3122</v>
      </c>
      <c r="C700" s="4" t="s">
        <v>3199</v>
      </c>
      <c r="D700" s="4" t="s">
        <v>15</v>
      </c>
      <c r="E700" s="4"/>
      <c r="F700" s="4"/>
      <c r="G700" s="4"/>
      <c r="H700" s="4"/>
      <c r="I700" s="4"/>
      <c r="J700" s="4" t="s">
        <v>3200</v>
      </c>
      <c r="K700" s="4"/>
      <c r="L700" s="5" t="str">
        <f aca="false">HYPERLINK("mailto:dirk.roberts@ots.treas.gov","mailto:dirk.roberts@ots.treas.gov")</f>
        <v>mailto:dirk.roberts@ots.treas.gov</v>
      </c>
      <c r="M700" s="4"/>
      <c r="N700" s="4"/>
      <c r="O700" s="4"/>
    </row>
    <row collapsed="false" customFormat="false" customHeight="true" hidden="false" ht="15" outlineLevel="0" r="701">
      <c r="A701" s="4" t="s">
        <v>3201</v>
      </c>
      <c r="B701" s="4" t="s">
        <v>3122</v>
      </c>
      <c r="C701" s="4" t="s">
        <v>3202</v>
      </c>
      <c r="D701" s="4" t="s">
        <v>3203</v>
      </c>
      <c r="E701" s="4" t="s">
        <v>3204</v>
      </c>
      <c r="F701" s="4" t="s">
        <v>3205</v>
      </c>
      <c r="G701" s="4" t="s">
        <v>5</v>
      </c>
      <c r="H701" s="4" t="s">
        <v>6</v>
      </c>
      <c r="I701" s="4" t="n">
        <v>20005</v>
      </c>
      <c r="J701" s="4" t="s">
        <v>3206</v>
      </c>
      <c r="K701" s="4" t="s">
        <v>3207</v>
      </c>
      <c r="L701" s="5" t="str">
        <f aca="false">HYPERLINK("mailto:FOIA.Reading.Room@tigta.treas.gov","mailto:FOIA.Reading.Room@tigta.treas.gov")</f>
        <v>mailto:FOIA.Reading.Room@tigta.treas.gov</v>
      </c>
      <c r="M701" s="4" t="s">
        <v>3208</v>
      </c>
      <c r="N701" s="4"/>
      <c r="O701" s="4"/>
    </row>
    <row collapsed="false" customFormat="false" customHeight="true" hidden="false" ht="15" outlineLevel="0" r="702">
      <c r="A702" s="4" t="s">
        <v>3201</v>
      </c>
      <c r="B702" s="4" t="s">
        <v>3122</v>
      </c>
      <c r="C702" s="4"/>
      <c r="D702" s="4" t="s">
        <v>12</v>
      </c>
      <c r="E702" s="4"/>
      <c r="F702" s="4"/>
      <c r="G702" s="4"/>
      <c r="H702" s="4"/>
      <c r="I702" s="4"/>
      <c r="J702" s="4" t="s">
        <v>3206</v>
      </c>
      <c r="K702" s="4"/>
      <c r="L702" s="5"/>
      <c r="M702" s="4"/>
      <c r="N702" s="4"/>
      <c r="O702" s="4"/>
    </row>
    <row collapsed="false" customFormat="false" customHeight="true" hidden="false" ht="15" outlineLevel="0" r="703">
      <c r="A703" s="4" t="s">
        <v>3201</v>
      </c>
      <c r="B703" s="4" t="s">
        <v>3122</v>
      </c>
      <c r="C703" s="4" t="s">
        <v>3202</v>
      </c>
      <c r="D703" s="4" t="s">
        <v>15</v>
      </c>
      <c r="E703" s="4"/>
      <c r="F703" s="4"/>
      <c r="G703" s="4"/>
      <c r="H703" s="4"/>
      <c r="I703" s="4"/>
      <c r="J703" s="4" t="s">
        <v>3206</v>
      </c>
      <c r="K703" s="4"/>
      <c r="L703" s="5"/>
      <c r="M703" s="4"/>
      <c r="N703" s="4"/>
      <c r="O703" s="4"/>
    </row>
    <row collapsed="false" customFormat="false" customHeight="true" hidden="false" ht="15" outlineLevel="0" r="704">
      <c r="A704" s="4" t="s">
        <v>3209</v>
      </c>
      <c r="B704" s="4" t="s">
        <v>3210</v>
      </c>
      <c r="C704" s="4" t="s">
        <v>3211</v>
      </c>
      <c r="D704" s="4" t="s">
        <v>3212</v>
      </c>
      <c r="E704" s="4" t="s">
        <v>3213</v>
      </c>
      <c r="F704" s="4" t="s">
        <v>3214</v>
      </c>
      <c r="G704" s="4" t="s">
        <v>5</v>
      </c>
      <c r="H704" s="4" t="s">
        <v>6</v>
      </c>
      <c r="I704" s="4" t="n">
        <v>20420</v>
      </c>
      <c r="J704" s="4" t="s">
        <v>3215</v>
      </c>
      <c r="K704" s="4" t="s">
        <v>3216</v>
      </c>
      <c r="L704" s="5" t="s">
        <v>3217</v>
      </c>
      <c r="M704" s="4" t="s">
        <v>3218</v>
      </c>
      <c r="N704" s="4"/>
      <c r="O704" s="4"/>
    </row>
    <row collapsed="false" customFormat="false" customHeight="true" hidden="false" ht="15" outlineLevel="0" r="705">
      <c r="A705" s="4" t="s">
        <v>3209</v>
      </c>
      <c r="B705" s="4" t="s">
        <v>3210</v>
      </c>
      <c r="C705" s="4"/>
      <c r="D705" s="4" t="s">
        <v>12</v>
      </c>
      <c r="E705" s="4"/>
      <c r="F705" s="4"/>
      <c r="G705" s="4"/>
      <c r="H705" s="4"/>
      <c r="I705" s="4"/>
      <c r="J705" s="4" t="s">
        <v>3215</v>
      </c>
      <c r="K705" s="4"/>
      <c r="L705" s="5"/>
      <c r="M705" s="4"/>
      <c r="N705" s="4"/>
      <c r="O705" s="4"/>
    </row>
    <row collapsed="false" customFormat="false" customHeight="true" hidden="false" ht="15" outlineLevel="0" r="706">
      <c r="A706" s="4" t="s">
        <v>3209</v>
      </c>
      <c r="B706" s="4" t="s">
        <v>3210</v>
      </c>
      <c r="C706" s="4"/>
      <c r="D706" s="4" t="s">
        <v>15</v>
      </c>
      <c r="E706" s="4"/>
      <c r="F706" s="4"/>
      <c r="G706" s="4"/>
      <c r="H706" s="4"/>
      <c r="I706" s="4"/>
      <c r="J706" s="4" t="s">
        <v>3215</v>
      </c>
      <c r="K706" s="4"/>
      <c r="L706" s="5"/>
      <c r="M706" s="4"/>
      <c r="N706" s="4"/>
      <c r="O706" s="4"/>
    </row>
    <row collapsed="false" customFormat="false" customHeight="true" hidden="false" ht="15" outlineLevel="0" r="707">
      <c r="A707" s="4" t="s">
        <v>3219</v>
      </c>
      <c r="B707" s="4" t="s">
        <v>3210</v>
      </c>
      <c r="C707" s="4" t="s">
        <v>3220</v>
      </c>
      <c r="D707" s="4" t="s">
        <v>3221</v>
      </c>
      <c r="E707" s="4" t="s">
        <v>3222</v>
      </c>
      <c r="F707" s="4" t="s">
        <v>3214</v>
      </c>
      <c r="G707" s="4" t="s">
        <v>5</v>
      </c>
      <c r="H707" s="4" t="s">
        <v>6</v>
      </c>
      <c r="I707" s="4" t="n">
        <v>20420</v>
      </c>
      <c r="J707" s="4" t="s">
        <v>3223</v>
      </c>
      <c r="K707" s="4" t="s">
        <v>3224</v>
      </c>
      <c r="L707" s="5" t="s">
        <v>3225</v>
      </c>
      <c r="M707" s="4" t="s">
        <v>3218</v>
      </c>
      <c r="N707" s="4"/>
      <c r="O707" s="4"/>
    </row>
    <row collapsed="false" customFormat="false" customHeight="true" hidden="false" ht="15" outlineLevel="0" r="708">
      <c r="A708" s="4" t="s">
        <v>3219</v>
      </c>
      <c r="B708" s="4" t="s">
        <v>3210</v>
      </c>
      <c r="C708" s="4"/>
      <c r="D708" s="4" t="s">
        <v>12</v>
      </c>
      <c r="E708" s="4"/>
      <c r="F708" s="4"/>
      <c r="G708" s="4"/>
      <c r="H708" s="4"/>
      <c r="I708" s="4"/>
      <c r="J708" s="4" t="s">
        <v>3223</v>
      </c>
      <c r="K708" s="4"/>
      <c r="L708" s="5"/>
      <c r="M708" s="4"/>
      <c r="N708" s="4"/>
      <c r="O708" s="4"/>
    </row>
    <row collapsed="false" customFormat="false" customHeight="true" hidden="false" ht="15" outlineLevel="0" r="709">
      <c r="A709" s="4" t="s">
        <v>3219</v>
      </c>
      <c r="B709" s="4" t="s">
        <v>3210</v>
      </c>
      <c r="C709" s="4" t="s">
        <v>3220</v>
      </c>
      <c r="D709" s="4" t="s">
        <v>15</v>
      </c>
      <c r="E709" s="4"/>
      <c r="F709" s="4"/>
      <c r="G709" s="4"/>
      <c r="H709" s="4"/>
      <c r="I709" s="4"/>
      <c r="J709" s="4" t="s">
        <v>3223</v>
      </c>
      <c r="K709" s="4"/>
      <c r="L709" s="5"/>
      <c r="M709" s="4"/>
      <c r="N709" s="4"/>
      <c r="O709" s="4"/>
    </row>
    <row collapsed="false" customFormat="false" customHeight="true" hidden="false" ht="15" outlineLevel="0" r="710">
      <c r="A710" s="4" t="s">
        <v>3226</v>
      </c>
      <c r="B710" s="4" t="s">
        <v>3210</v>
      </c>
      <c r="C710" s="4" t="s">
        <v>3227</v>
      </c>
      <c r="D710" s="4" t="s">
        <v>114</v>
      </c>
      <c r="E710" s="4" t="s">
        <v>3228</v>
      </c>
      <c r="F710" s="4" t="s">
        <v>3214</v>
      </c>
      <c r="G710" s="4" t="s">
        <v>5</v>
      </c>
      <c r="H710" s="4" t="s">
        <v>6</v>
      </c>
      <c r="I710" s="4" t="n">
        <v>20420</v>
      </c>
      <c r="J710" s="4" t="s">
        <v>3229</v>
      </c>
      <c r="K710" s="4" t="s">
        <v>3230</v>
      </c>
      <c r="L710" s="5" t="s">
        <v>3231</v>
      </c>
      <c r="M710" s="4" t="s">
        <v>3218</v>
      </c>
      <c r="N710" s="4"/>
      <c r="O710" s="4"/>
    </row>
    <row collapsed="false" customFormat="false" customHeight="true" hidden="false" ht="15" outlineLevel="0" r="711">
      <c r="A711" s="4" t="s">
        <v>3226</v>
      </c>
      <c r="B711" s="4" t="s">
        <v>3210</v>
      </c>
      <c r="C711" s="4"/>
      <c r="D711" s="4" t="s">
        <v>12</v>
      </c>
      <c r="E711" s="4"/>
      <c r="F711" s="4"/>
      <c r="G711" s="4"/>
      <c r="H711" s="4"/>
      <c r="I711" s="4"/>
      <c r="J711" s="4" t="s">
        <v>3229</v>
      </c>
      <c r="K711" s="4"/>
      <c r="L711" s="5"/>
      <c r="M711" s="4"/>
      <c r="N711" s="4"/>
      <c r="O711" s="4"/>
    </row>
    <row collapsed="false" customFormat="false" customHeight="true" hidden="false" ht="15" outlineLevel="0" r="712">
      <c r="A712" s="4" t="s">
        <v>3226</v>
      </c>
      <c r="B712" s="4" t="s">
        <v>3210</v>
      </c>
      <c r="C712" s="4" t="s">
        <v>3227</v>
      </c>
      <c r="D712" s="4" t="s">
        <v>15</v>
      </c>
      <c r="E712" s="4"/>
      <c r="F712" s="4"/>
      <c r="G712" s="4"/>
      <c r="H712" s="4"/>
      <c r="I712" s="4"/>
      <c r="J712" s="4" t="s">
        <v>3229</v>
      </c>
      <c r="K712" s="4"/>
      <c r="L712" s="5"/>
      <c r="M712" s="4"/>
      <c r="N712" s="4"/>
      <c r="O712" s="4"/>
    </row>
    <row collapsed="false" customFormat="false" customHeight="true" hidden="false" ht="15" outlineLevel="0" r="713">
      <c r="A713" s="4" t="s">
        <v>3232</v>
      </c>
      <c r="B713" s="4" t="s">
        <v>3210</v>
      </c>
      <c r="C713" s="4" t="s">
        <v>3233</v>
      </c>
      <c r="D713" s="4" t="s">
        <v>114</v>
      </c>
      <c r="E713" s="4" t="s">
        <v>3234</v>
      </c>
      <c r="F713" s="4" t="s">
        <v>3214</v>
      </c>
      <c r="G713" s="4" t="s">
        <v>5</v>
      </c>
      <c r="H713" s="4" t="s">
        <v>6</v>
      </c>
      <c r="I713" s="4" t="n">
        <v>20420</v>
      </c>
      <c r="J713" s="4" t="s">
        <v>3235</v>
      </c>
      <c r="K713" s="4" t="s">
        <v>3236</v>
      </c>
      <c r="L713" s="5" t="s">
        <v>3237</v>
      </c>
      <c r="M713" s="4" t="s">
        <v>3218</v>
      </c>
      <c r="N713" s="4"/>
      <c r="O713" s="4"/>
    </row>
    <row collapsed="false" customFormat="false" customHeight="true" hidden="false" ht="15" outlineLevel="0" r="714">
      <c r="A714" s="4" t="s">
        <v>3232</v>
      </c>
      <c r="B714" s="4" t="s">
        <v>3210</v>
      </c>
      <c r="C714" s="4"/>
      <c r="D714" s="4" t="s">
        <v>12</v>
      </c>
      <c r="E714" s="4"/>
      <c r="F714" s="4"/>
      <c r="G714" s="4"/>
      <c r="H714" s="4"/>
      <c r="I714" s="4"/>
      <c r="J714" s="4" t="s">
        <v>3235</v>
      </c>
      <c r="K714" s="4"/>
      <c r="L714" s="5"/>
      <c r="M714" s="4"/>
      <c r="N714" s="4"/>
      <c r="O714" s="4"/>
    </row>
    <row collapsed="false" customFormat="false" customHeight="true" hidden="false" ht="15" outlineLevel="0" r="715">
      <c r="A715" s="4" t="s">
        <v>3232</v>
      </c>
      <c r="B715" s="4" t="s">
        <v>3210</v>
      </c>
      <c r="C715" s="4" t="s">
        <v>3233</v>
      </c>
      <c r="D715" s="4" t="s">
        <v>15</v>
      </c>
      <c r="E715" s="4"/>
      <c r="F715" s="4"/>
      <c r="G715" s="4"/>
      <c r="H715" s="4"/>
      <c r="I715" s="4"/>
      <c r="J715" s="4" t="s">
        <v>3235</v>
      </c>
      <c r="K715" s="4"/>
      <c r="L715" s="5"/>
      <c r="M715" s="4"/>
      <c r="N715" s="4"/>
      <c r="O715" s="4"/>
    </row>
    <row collapsed="false" customFormat="false" customHeight="true" hidden="false" ht="15" outlineLevel="0" r="716">
      <c r="A716" s="4" t="s">
        <v>3238</v>
      </c>
      <c r="B716" s="4" t="s">
        <v>3210</v>
      </c>
      <c r="C716" s="4" t="s">
        <v>3239</v>
      </c>
      <c r="D716" s="4" t="s">
        <v>114</v>
      </c>
      <c r="E716" s="4" t="s">
        <v>3240</v>
      </c>
      <c r="F716" s="4" t="s">
        <v>3214</v>
      </c>
      <c r="G716" s="4" t="s">
        <v>5</v>
      </c>
      <c r="H716" s="4" t="s">
        <v>6</v>
      </c>
      <c r="I716" s="4" t="n">
        <v>20420</v>
      </c>
      <c r="J716" s="4" t="s">
        <v>3241</v>
      </c>
      <c r="K716" s="4" t="s">
        <v>3242</v>
      </c>
      <c r="L716" s="5"/>
      <c r="M716" s="4" t="s">
        <v>3218</v>
      </c>
      <c r="N716" s="4"/>
      <c r="O716" s="4"/>
    </row>
    <row collapsed="false" customFormat="false" customHeight="true" hidden="false" ht="15" outlineLevel="0" r="717">
      <c r="A717" s="4" t="s">
        <v>3238</v>
      </c>
      <c r="B717" s="4" t="s">
        <v>3210</v>
      </c>
      <c r="C717" s="4"/>
      <c r="D717" s="4" t="s">
        <v>12</v>
      </c>
      <c r="E717" s="4"/>
      <c r="F717" s="4"/>
      <c r="G717" s="4"/>
      <c r="H717" s="4"/>
      <c r="I717" s="4"/>
      <c r="J717" s="4" t="s">
        <v>3241</v>
      </c>
      <c r="K717" s="4"/>
      <c r="L717" s="5"/>
      <c r="M717" s="4"/>
      <c r="N717" s="4"/>
      <c r="O717" s="4"/>
    </row>
    <row collapsed="false" customFormat="false" customHeight="true" hidden="false" ht="15" outlineLevel="0" r="718">
      <c r="A718" s="4" t="s">
        <v>3238</v>
      </c>
      <c r="B718" s="4" t="s">
        <v>3210</v>
      </c>
      <c r="C718" s="4" t="s">
        <v>3239</v>
      </c>
      <c r="D718" s="4" t="s">
        <v>15</v>
      </c>
      <c r="E718" s="4"/>
      <c r="F718" s="4"/>
      <c r="G718" s="4"/>
      <c r="H718" s="4"/>
      <c r="I718" s="4"/>
      <c r="J718" s="4" t="s">
        <v>3241</v>
      </c>
      <c r="K718" s="4"/>
      <c r="L718" s="5"/>
      <c r="M718" s="4"/>
      <c r="N718" s="4"/>
      <c r="O718" s="4"/>
    </row>
    <row collapsed="false" customFormat="false" customHeight="true" hidden="false" ht="15" outlineLevel="0" r="719">
      <c r="A719" s="4" t="s">
        <v>3243</v>
      </c>
      <c r="B719" s="4" t="s">
        <v>3210</v>
      </c>
      <c r="C719" s="4" t="s">
        <v>3244</v>
      </c>
      <c r="D719" s="4" t="s">
        <v>114</v>
      </c>
      <c r="E719" s="4" t="s">
        <v>3245</v>
      </c>
      <c r="F719" s="4" t="s">
        <v>3214</v>
      </c>
      <c r="G719" s="4" t="s">
        <v>5</v>
      </c>
      <c r="H719" s="4" t="s">
        <v>6</v>
      </c>
      <c r="I719" s="4" t="n">
        <v>20420</v>
      </c>
      <c r="J719" s="4" t="s">
        <v>3246</v>
      </c>
      <c r="K719" s="4" t="s">
        <v>3247</v>
      </c>
      <c r="L719" s="5"/>
      <c r="M719" s="4" t="s">
        <v>3218</v>
      </c>
      <c r="N719" s="4"/>
      <c r="O719" s="4"/>
    </row>
    <row collapsed="false" customFormat="false" customHeight="true" hidden="false" ht="15" outlineLevel="0" r="720">
      <c r="A720" s="4" t="s">
        <v>3243</v>
      </c>
      <c r="B720" s="4" t="s">
        <v>3210</v>
      </c>
      <c r="C720" s="4"/>
      <c r="D720" s="4" t="s">
        <v>12</v>
      </c>
      <c r="E720" s="4"/>
      <c r="F720" s="4"/>
      <c r="G720" s="4"/>
      <c r="H720" s="4"/>
      <c r="I720" s="4"/>
      <c r="J720" s="4" t="s">
        <v>3246</v>
      </c>
      <c r="K720" s="4"/>
      <c r="L720" s="5"/>
      <c r="M720" s="4"/>
      <c r="N720" s="4"/>
      <c r="O720" s="4"/>
    </row>
    <row collapsed="false" customFormat="false" customHeight="true" hidden="false" ht="15" outlineLevel="0" r="721">
      <c r="A721" s="4" t="s">
        <v>3243</v>
      </c>
      <c r="B721" s="4" t="s">
        <v>3210</v>
      </c>
      <c r="C721" s="4" t="s">
        <v>3248</v>
      </c>
      <c r="D721" s="4" t="s">
        <v>15</v>
      </c>
      <c r="E721" s="4"/>
      <c r="F721" s="4"/>
      <c r="G721" s="4"/>
      <c r="H721" s="4"/>
      <c r="I721" s="4"/>
      <c r="J721" s="4" t="s">
        <v>3246</v>
      </c>
      <c r="K721" s="4"/>
      <c r="L721" s="5"/>
      <c r="M721" s="4"/>
      <c r="N721" s="4"/>
      <c r="O721" s="4"/>
    </row>
    <row collapsed="false" customFormat="false" customHeight="true" hidden="false" ht="15" outlineLevel="0" r="722">
      <c r="A722" s="4" t="s">
        <v>3249</v>
      </c>
      <c r="B722" s="4" t="s">
        <v>3210</v>
      </c>
      <c r="C722" s="4" t="s">
        <v>3250</v>
      </c>
      <c r="D722" s="4" t="s">
        <v>114</v>
      </c>
      <c r="E722" s="4" t="s">
        <v>3251</v>
      </c>
      <c r="F722" s="4" t="s">
        <v>3214</v>
      </c>
      <c r="G722" s="4" t="s">
        <v>5</v>
      </c>
      <c r="H722" s="4" t="s">
        <v>6</v>
      </c>
      <c r="I722" s="4" t="n">
        <v>20420</v>
      </c>
      <c r="J722" s="4" t="s">
        <v>3252</v>
      </c>
      <c r="K722" s="4" t="s">
        <v>3253</v>
      </c>
      <c r="L722" s="5"/>
      <c r="M722" s="4" t="s">
        <v>3218</v>
      </c>
      <c r="N722" s="4"/>
      <c r="O722" s="4"/>
    </row>
    <row collapsed="false" customFormat="false" customHeight="true" hidden="false" ht="15" outlineLevel="0" r="723">
      <c r="A723" s="4" t="s">
        <v>3249</v>
      </c>
      <c r="B723" s="4" t="s">
        <v>3210</v>
      </c>
      <c r="C723" s="4"/>
      <c r="D723" s="4" t="s">
        <v>12</v>
      </c>
      <c r="E723" s="4"/>
      <c r="F723" s="4"/>
      <c r="G723" s="4"/>
      <c r="H723" s="4"/>
      <c r="I723" s="4"/>
      <c r="J723" s="4" t="s">
        <v>3252</v>
      </c>
      <c r="K723" s="4"/>
      <c r="L723" s="5"/>
      <c r="M723" s="4"/>
      <c r="N723" s="4"/>
      <c r="O723" s="4"/>
    </row>
    <row collapsed="false" customFormat="false" customHeight="true" hidden="false" ht="15" outlineLevel="0" r="724">
      <c r="A724" s="4" t="s">
        <v>3249</v>
      </c>
      <c r="B724" s="4" t="s">
        <v>3210</v>
      </c>
      <c r="C724" s="4" t="s">
        <v>3254</v>
      </c>
      <c r="D724" s="4" t="s">
        <v>15</v>
      </c>
      <c r="E724" s="4"/>
      <c r="F724" s="4"/>
      <c r="G724" s="4"/>
      <c r="H724" s="4"/>
      <c r="I724" s="4"/>
      <c r="J724" s="4" t="s">
        <v>3252</v>
      </c>
      <c r="K724" s="4"/>
      <c r="L724" s="5"/>
      <c r="M724" s="4"/>
      <c r="N724" s="4"/>
      <c r="O724" s="4"/>
    </row>
    <row collapsed="false" customFormat="false" customHeight="true" hidden="false" ht="15" outlineLevel="0" r="725">
      <c r="A725" s="4" t="s">
        <v>3255</v>
      </c>
      <c r="B725" s="4" t="s">
        <v>3210</v>
      </c>
      <c r="C725" s="4" t="s">
        <v>3256</v>
      </c>
      <c r="D725" s="4" t="s">
        <v>114</v>
      </c>
      <c r="E725" s="4" t="s">
        <v>3257</v>
      </c>
      <c r="F725" s="4" t="s">
        <v>3214</v>
      </c>
      <c r="G725" s="4" t="s">
        <v>5</v>
      </c>
      <c r="H725" s="4" t="s">
        <v>6</v>
      </c>
      <c r="I725" s="4" t="n">
        <v>20420</v>
      </c>
      <c r="J725" s="4" t="s">
        <v>3258</v>
      </c>
      <c r="K725" s="4" t="s">
        <v>3259</v>
      </c>
      <c r="L725" s="5"/>
      <c r="M725" s="4" t="s">
        <v>3218</v>
      </c>
      <c r="N725" s="4"/>
      <c r="O725" s="4"/>
    </row>
    <row collapsed="false" customFormat="false" customHeight="true" hidden="false" ht="15" outlineLevel="0" r="726">
      <c r="A726" s="4" t="s">
        <v>3255</v>
      </c>
      <c r="B726" s="4" t="s">
        <v>3210</v>
      </c>
      <c r="C726" s="4"/>
      <c r="D726" s="4" t="s">
        <v>12</v>
      </c>
      <c r="E726" s="4"/>
      <c r="F726" s="4"/>
      <c r="G726" s="4"/>
      <c r="H726" s="4"/>
      <c r="I726" s="4"/>
      <c r="J726" s="4" t="s">
        <v>3258</v>
      </c>
      <c r="K726" s="4"/>
      <c r="L726" s="5"/>
      <c r="M726" s="4"/>
      <c r="N726" s="4"/>
      <c r="O726" s="4"/>
    </row>
    <row collapsed="false" customFormat="false" customHeight="true" hidden="false" ht="15" outlineLevel="0" r="727">
      <c r="A727" s="4" t="s">
        <v>3255</v>
      </c>
      <c r="B727" s="4" t="s">
        <v>3210</v>
      </c>
      <c r="C727" s="4" t="s">
        <v>3256</v>
      </c>
      <c r="D727" s="4" t="s">
        <v>15</v>
      </c>
      <c r="E727" s="4"/>
      <c r="F727" s="4"/>
      <c r="G727" s="4"/>
      <c r="H727" s="4"/>
      <c r="I727" s="4"/>
      <c r="J727" s="4" t="s">
        <v>3258</v>
      </c>
      <c r="K727" s="4"/>
      <c r="L727" s="5"/>
      <c r="M727" s="4"/>
      <c r="N727" s="4"/>
      <c r="O727" s="4"/>
    </row>
    <row collapsed="false" customFormat="false" customHeight="true" hidden="false" ht="15" outlineLevel="0" r="728">
      <c r="A728" s="4" t="s">
        <v>3260</v>
      </c>
      <c r="B728" s="4" t="s">
        <v>3210</v>
      </c>
      <c r="C728" s="4" t="s">
        <v>3261</v>
      </c>
      <c r="D728" s="4" t="s">
        <v>114</v>
      </c>
      <c r="E728" s="4" t="s">
        <v>3262</v>
      </c>
      <c r="F728" s="4" t="s">
        <v>3214</v>
      </c>
      <c r="G728" s="4" t="s">
        <v>5</v>
      </c>
      <c r="H728" s="4" t="s">
        <v>6</v>
      </c>
      <c r="I728" s="4" t="n">
        <v>20420</v>
      </c>
      <c r="J728" s="4" t="s">
        <v>3263</v>
      </c>
      <c r="K728" s="4" t="s">
        <v>3264</v>
      </c>
      <c r="L728" s="5"/>
      <c r="M728" s="4" t="s">
        <v>3218</v>
      </c>
      <c r="N728" s="4"/>
      <c r="O728" s="4"/>
    </row>
    <row collapsed="false" customFormat="false" customHeight="true" hidden="false" ht="15" outlineLevel="0" r="729">
      <c r="A729" s="4" t="s">
        <v>3260</v>
      </c>
      <c r="B729" s="4" t="s">
        <v>3210</v>
      </c>
      <c r="C729" s="4"/>
      <c r="D729" s="4" t="s">
        <v>12</v>
      </c>
      <c r="E729" s="4"/>
      <c r="F729" s="4"/>
      <c r="G729" s="4"/>
      <c r="H729" s="4"/>
      <c r="I729" s="4"/>
      <c r="J729" s="4" t="s">
        <v>3263</v>
      </c>
      <c r="K729" s="4"/>
      <c r="L729" s="5"/>
      <c r="M729" s="4"/>
      <c r="N729" s="4"/>
      <c r="O729" s="4"/>
    </row>
    <row collapsed="false" customFormat="false" customHeight="true" hidden="false" ht="15" outlineLevel="0" r="730">
      <c r="A730" s="4" t="s">
        <v>3260</v>
      </c>
      <c r="B730" s="4" t="s">
        <v>3210</v>
      </c>
      <c r="C730" s="4" t="s">
        <v>3261</v>
      </c>
      <c r="D730" s="4" t="s">
        <v>15</v>
      </c>
      <c r="E730" s="4"/>
      <c r="F730" s="4"/>
      <c r="G730" s="4"/>
      <c r="H730" s="4"/>
      <c r="I730" s="4"/>
      <c r="J730" s="4" t="s">
        <v>3263</v>
      </c>
      <c r="K730" s="4"/>
      <c r="L730" s="5"/>
      <c r="M730" s="4"/>
      <c r="N730" s="4"/>
      <c r="O730" s="4"/>
    </row>
    <row collapsed="false" customFormat="false" customHeight="true" hidden="false" ht="15" outlineLevel="0" r="731">
      <c r="A731" s="4" t="s">
        <v>3265</v>
      </c>
      <c r="B731" s="4" t="s">
        <v>3210</v>
      </c>
      <c r="C731" s="4" t="s">
        <v>3266</v>
      </c>
      <c r="D731" s="4" t="s">
        <v>114</v>
      </c>
      <c r="E731" s="4" t="s">
        <v>3267</v>
      </c>
      <c r="F731" s="4" t="s">
        <v>3214</v>
      </c>
      <c r="G731" s="4" t="s">
        <v>5</v>
      </c>
      <c r="H731" s="4" t="s">
        <v>6</v>
      </c>
      <c r="I731" s="4" t="n">
        <v>20420</v>
      </c>
      <c r="J731" s="4" t="s">
        <v>3268</v>
      </c>
      <c r="K731" s="4" t="s">
        <v>3269</v>
      </c>
      <c r="L731" s="5"/>
      <c r="M731" s="4" t="s">
        <v>3218</v>
      </c>
      <c r="N731" s="4"/>
      <c r="O731" s="4"/>
    </row>
    <row collapsed="false" customFormat="false" customHeight="true" hidden="false" ht="15" outlineLevel="0" r="732">
      <c r="A732" s="4" t="s">
        <v>3265</v>
      </c>
      <c r="B732" s="4" t="s">
        <v>3210</v>
      </c>
      <c r="C732" s="4"/>
      <c r="D732" s="4" t="s">
        <v>12</v>
      </c>
      <c r="E732" s="4"/>
      <c r="F732" s="4"/>
      <c r="G732" s="4"/>
      <c r="H732" s="4"/>
      <c r="I732" s="4"/>
      <c r="J732" s="4" t="s">
        <v>3268</v>
      </c>
      <c r="K732" s="4"/>
      <c r="L732" s="5"/>
      <c r="M732" s="4"/>
      <c r="N732" s="4"/>
      <c r="O732" s="4"/>
    </row>
    <row collapsed="false" customFormat="false" customHeight="true" hidden="false" ht="15" outlineLevel="0" r="733">
      <c r="A733" s="4" t="s">
        <v>3265</v>
      </c>
      <c r="B733" s="4" t="s">
        <v>3210</v>
      </c>
      <c r="C733" s="4" t="s">
        <v>3266</v>
      </c>
      <c r="D733" s="4" t="s">
        <v>15</v>
      </c>
      <c r="E733" s="4"/>
      <c r="F733" s="4"/>
      <c r="G733" s="4"/>
      <c r="H733" s="4"/>
      <c r="I733" s="4"/>
      <c r="J733" s="4" t="s">
        <v>3268</v>
      </c>
      <c r="K733" s="4"/>
      <c r="L733" s="5"/>
      <c r="M733" s="4"/>
      <c r="N733" s="4"/>
      <c r="O733" s="4"/>
    </row>
    <row collapsed="false" customFormat="false" customHeight="true" hidden="false" ht="15" outlineLevel="0" r="734">
      <c r="A734" s="4" t="s">
        <v>3270</v>
      </c>
      <c r="B734" s="4" t="s">
        <v>3210</v>
      </c>
      <c r="C734" s="4" t="s">
        <v>3271</v>
      </c>
      <c r="D734" s="4" t="s">
        <v>114</v>
      </c>
      <c r="E734" s="4" t="s">
        <v>3272</v>
      </c>
      <c r="F734" s="4" t="s">
        <v>3214</v>
      </c>
      <c r="G734" s="4" t="s">
        <v>5</v>
      </c>
      <c r="H734" s="4" t="s">
        <v>6</v>
      </c>
      <c r="I734" s="4" t="n">
        <v>20420</v>
      </c>
      <c r="J734" s="4" t="s">
        <v>3273</v>
      </c>
      <c r="K734" s="4" t="s">
        <v>3274</v>
      </c>
      <c r="L734" s="5"/>
      <c r="M734" s="4" t="s">
        <v>3218</v>
      </c>
      <c r="N734" s="4"/>
      <c r="O734" s="4"/>
    </row>
    <row collapsed="false" customFormat="false" customHeight="true" hidden="false" ht="15" outlineLevel="0" r="735">
      <c r="A735" s="4" t="s">
        <v>3270</v>
      </c>
      <c r="B735" s="4" t="s">
        <v>3210</v>
      </c>
      <c r="C735" s="4"/>
      <c r="D735" s="4" t="s">
        <v>12</v>
      </c>
      <c r="E735" s="4"/>
      <c r="F735" s="4"/>
      <c r="G735" s="4"/>
      <c r="H735" s="4"/>
      <c r="I735" s="4"/>
      <c r="J735" s="4" t="s">
        <v>3273</v>
      </c>
      <c r="K735" s="4"/>
      <c r="L735" s="5"/>
      <c r="M735" s="4"/>
      <c r="N735" s="4"/>
      <c r="O735" s="4"/>
    </row>
    <row collapsed="false" customFormat="false" customHeight="true" hidden="false" ht="15" outlineLevel="0" r="736">
      <c r="A736" s="4" t="s">
        <v>3270</v>
      </c>
      <c r="B736" s="4" t="s">
        <v>3210</v>
      </c>
      <c r="C736" s="4" t="s">
        <v>3271</v>
      </c>
      <c r="D736" s="4" t="s">
        <v>15</v>
      </c>
      <c r="E736" s="4"/>
      <c r="F736" s="4"/>
      <c r="G736" s="4"/>
      <c r="H736" s="4"/>
      <c r="I736" s="4"/>
      <c r="J736" s="4" t="s">
        <v>3273</v>
      </c>
      <c r="K736" s="4"/>
      <c r="L736" s="5"/>
      <c r="M736" s="4"/>
      <c r="N736" s="4"/>
      <c r="O736" s="4"/>
    </row>
    <row collapsed="false" customFormat="false" customHeight="true" hidden="false" ht="15" outlineLevel="0" r="737">
      <c r="A737" s="4" t="s">
        <v>3275</v>
      </c>
      <c r="B737" s="4" t="s">
        <v>3210</v>
      </c>
      <c r="C737" s="4" t="s">
        <v>3276</v>
      </c>
      <c r="D737" s="4" t="s">
        <v>114</v>
      </c>
      <c r="E737" s="4" t="s">
        <v>3277</v>
      </c>
      <c r="F737" s="4" t="s">
        <v>3278</v>
      </c>
      <c r="G737" s="4" t="s">
        <v>217</v>
      </c>
      <c r="H737" s="4" t="s">
        <v>218</v>
      </c>
      <c r="I737" s="4" t="n">
        <v>19144</v>
      </c>
      <c r="J737" s="4" t="s">
        <v>3279</v>
      </c>
      <c r="K737" s="4" t="s">
        <v>3280</v>
      </c>
      <c r="L737" s="5" t="s">
        <v>3281</v>
      </c>
      <c r="M737" s="4" t="s">
        <v>3218</v>
      </c>
      <c r="N737" s="4"/>
      <c r="O737" s="4"/>
    </row>
    <row collapsed="false" customFormat="false" customHeight="true" hidden="false" ht="15" outlineLevel="0" r="738">
      <c r="A738" s="4" t="s">
        <v>3275</v>
      </c>
      <c r="B738" s="4" t="s">
        <v>3210</v>
      </c>
      <c r="C738" s="4"/>
      <c r="D738" s="4" t="s">
        <v>12</v>
      </c>
      <c r="E738" s="4"/>
      <c r="F738" s="4"/>
      <c r="G738" s="4"/>
      <c r="H738" s="4"/>
      <c r="I738" s="4"/>
      <c r="J738" s="4" t="s">
        <v>3279</v>
      </c>
      <c r="K738" s="4"/>
      <c r="L738" s="5"/>
      <c r="M738" s="4"/>
      <c r="N738" s="4"/>
      <c r="O738" s="4"/>
    </row>
    <row collapsed="false" customFormat="false" customHeight="true" hidden="false" ht="15" outlineLevel="0" r="739">
      <c r="A739" s="4" t="s">
        <v>3275</v>
      </c>
      <c r="B739" s="4" t="s">
        <v>3210</v>
      </c>
      <c r="C739" s="4" t="s">
        <v>3276</v>
      </c>
      <c r="D739" s="4" t="s">
        <v>15</v>
      </c>
      <c r="E739" s="4"/>
      <c r="F739" s="4"/>
      <c r="G739" s="4"/>
      <c r="H739" s="4"/>
      <c r="I739" s="4"/>
      <c r="J739" s="4" t="s">
        <v>3279</v>
      </c>
      <c r="K739" s="4"/>
      <c r="L739" s="5"/>
      <c r="M739" s="4"/>
      <c r="N739" s="4"/>
      <c r="O739" s="4"/>
    </row>
    <row collapsed="false" customFormat="false" customHeight="true" hidden="false" ht="15" outlineLevel="0" r="740">
      <c r="A740" s="4" t="s">
        <v>3282</v>
      </c>
      <c r="B740" s="4" t="s">
        <v>3210</v>
      </c>
      <c r="C740" s="4" t="s">
        <v>3211</v>
      </c>
      <c r="D740" s="4" t="s">
        <v>3212</v>
      </c>
      <c r="E740" s="4" t="s">
        <v>3213</v>
      </c>
      <c r="F740" s="4" t="s">
        <v>3214</v>
      </c>
      <c r="G740" s="4" t="s">
        <v>5</v>
      </c>
      <c r="H740" s="4" t="s">
        <v>6</v>
      </c>
      <c r="I740" s="4" t="n">
        <v>20420</v>
      </c>
      <c r="J740" s="4" t="s">
        <v>3215</v>
      </c>
      <c r="K740" s="4" t="s">
        <v>3283</v>
      </c>
      <c r="L740" s="5" t="str">
        <f aca="false">HYPERLINK("mailto:vacofoiaservice@va.gov","mailto:vacofoiaservice@va.gov")</f>
        <v>mailto:vacofoiaservice@va.gov</v>
      </c>
      <c r="M740" s="4" t="s">
        <v>3218</v>
      </c>
      <c r="N740" s="4"/>
      <c r="O740" s="4"/>
    </row>
    <row collapsed="false" customFormat="false" customHeight="true" hidden="false" ht="15" outlineLevel="0" r="741">
      <c r="A741" s="4" t="s">
        <v>3282</v>
      </c>
      <c r="B741" s="4" t="s">
        <v>3210</v>
      </c>
      <c r="C741" s="4"/>
      <c r="D741" s="4" t="s">
        <v>12</v>
      </c>
      <c r="E741" s="4"/>
      <c r="F741" s="4"/>
      <c r="G741" s="4"/>
      <c r="H741" s="4"/>
      <c r="I741" s="4"/>
      <c r="J741" s="4" t="s">
        <v>3284</v>
      </c>
      <c r="K741" s="4"/>
      <c r="L741" s="5"/>
      <c r="M741" s="4"/>
      <c r="N741" s="4"/>
      <c r="O741" s="4"/>
    </row>
    <row collapsed="false" customFormat="false" customHeight="true" hidden="false" ht="15" outlineLevel="0" r="742">
      <c r="A742" s="4" t="s">
        <v>3282</v>
      </c>
      <c r="B742" s="4" t="s">
        <v>3210</v>
      </c>
      <c r="C742" s="4" t="s">
        <v>3285</v>
      </c>
      <c r="D742" s="4" t="s">
        <v>15</v>
      </c>
      <c r="E742" s="4"/>
      <c r="F742" s="4"/>
      <c r="G742" s="4"/>
      <c r="H742" s="4"/>
      <c r="I742" s="4"/>
      <c r="J742" s="4" t="s">
        <v>3284</v>
      </c>
      <c r="K742" s="4"/>
      <c r="L742" s="5"/>
      <c r="M742" s="4"/>
      <c r="N742" s="4"/>
      <c r="O742" s="4"/>
    </row>
    <row collapsed="false" customFormat="false" customHeight="true" hidden="false" ht="15" outlineLevel="0" r="743">
      <c r="A743" s="4" t="s">
        <v>3286</v>
      </c>
      <c r="B743" s="4" t="s">
        <v>3210</v>
      </c>
      <c r="C743" s="4" t="s">
        <v>3287</v>
      </c>
      <c r="D743" s="4" t="s">
        <v>114</v>
      </c>
      <c r="E743" s="4" t="s">
        <v>3288</v>
      </c>
      <c r="F743" s="4" t="s">
        <v>3214</v>
      </c>
      <c r="G743" s="4" t="s">
        <v>5</v>
      </c>
      <c r="H743" s="4" t="s">
        <v>6</v>
      </c>
      <c r="I743" s="4" t="n">
        <v>20420</v>
      </c>
      <c r="J743" s="4" t="s">
        <v>3289</v>
      </c>
      <c r="K743" s="4" t="s">
        <v>3290</v>
      </c>
      <c r="L743" s="5"/>
      <c r="M743" s="4" t="s">
        <v>3218</v>
      </c>
      <c r="N743" s="4"/>
      <c r="O743" s="4"/>
    </row>
    <row collapsed="false" customFormat="false" customHeight="true" hidden="false" ht="15" outlineLevel="0" r="744">
      <c r="A744" s="4" t="s">
        <v>3286</v>
      </c>
      <c r="B744" s="4" t="s">
        <v>3210</v>
      </c>
      <c r="C744" s="4"/>
      <c r="D744" s="4" t="s">
        <v>12</v>
      </c>
      <c r="E744" s="4"/>
      <c r="F744" s="4"/>
      <c r="G744" s="4"/>
      <c r="H744" s="4"/>
      <c r="I744" s="4"/>
      <c r="J744" s="4" t="s">
        <v>3289</v>
      </c>
      <c r="K744" s="4"/>
      <c r="L744" s="5"/>
      <c r="M744" s="4"/>
      <c r="N744" s="4"/>
      <c r="O744" s="4"/>
    </row>
    <row collapsed="false" customFormat="false" customHeight="true" hidden="false" ht="15" outlineLevel="0" r="745">
      <c r="A745" s="4" t="s">
        <v>3286</v>
      </c>
      <c r="B745" s="4" t="s">
        <v>3210</v>
      </c>
      <c r="C745" s="4" t="s">
        <v>3287</v>
      </c>
      <c r="D745" s="4" t="s">
        <v>15</v>
      </c>
      <c r="E745" s="4"/>
      <c r="F745" s="4"/>
      <c r="G745" s="4"/>
      <c r="H745" s="4"/>
      <c r="I745" s="4"/>
      <c r="J745" s="4" t="s">
        <v>3289</v>
      </c>
      <c r="K745" s="4"/>
      <c r="L745" s="5"/>
      <c r="M745" s="4"/>
      <c r="N745" s="4"/>
      <c r="O745" s="4"/>
    </row>
    <row collapsed="false" customFormat="false" customHeight="true" hidden="false" ht="15" outlineLevel="0" r="746">
      <c r="A746" s="4" t="s">
        <v>3291</v>
      </c>
      <c r="B746" s="4" t="s">
        <v>3210</v>
      </c>
      <c r="C746" s="4" t="s">
        <v>3292</v>
      </c>
      <c r="D746" s="4" t="s">
        <v>114</v>
      </c>
      <c r="E746" s="4" t="s">
        <v>3293</v>
      </c>
      <c r="F746" s="4" t="s">
        <v>3214</v>
      </c>
      <c r="G746" s="4" t="s">
        <v>5</v>
      </c>
      <c r="H746" s="4" t="s">
        <v>6</v>
      </c>
      <c r="I746" s="4" t="n">
        <v>20420</v>
      </c>
      <c r="J746" s="4" t="s">
        <v>3294</v>
      </c>
      <c r="K746" s="4" t="s">
        <v>3295</v>
      </c>
      <c r="L746" s="5"/>
      <c r="M746" s="4" t="s">
        <v>3218</v>
      </c>
      <c r="N746" s="4"/>
      <c r="O746" s="4"/>
    </row>
    <row collapsed="false" customFormat="false" customHeight="true" hidden="false" ht="15" outlineLevel="0" r="747">
      <c r="A747" s="4" t="s">
        <v>3291</v>
      </c>
      <c r="B747" s="4" t="s">
        <v>3210</v>
      </c>
      <c r="C747" s="4"/>
      <c r="D747" s="4" t="s">
        <v>12</v>
      </c>
      <c r="E747" s="4"/>
      <c r="F747" s="4"/>
      <c r="G747" s="4"/>
      <c r="H747" s="4"/>
      <c r="I747" s="4"/>
      <c r="J747" s="4" t="s">
        <v>3294</v>
      </c>
      <c r="K747" s="4"/>
      <c r="L747" s="5"/>
      <c r="M747" s="4"/>
      <c r="N747" s="4"/>
      <c r="O747" s="4"/>
    </row>
    <row collapsed="false" customFormat="false" customHeight="true" hidden="false" ht="15" outlineLevel="0" r="748">
      <c r="A748" s="4" t="s">
        <v>3291</v>
      </c>
      <c r="B748" s="4" t="s">
        <v>3210</v>
      </c>
      <c r="C748" s="4" t="s">
        <v>3292</v>
      </c>
      <c r="D748" s="4" t="s">
        <v>15</v>
      </c>
      <c r="E748" s="4"/>
      <c r="F748" s="4"/>
      <c r="G748" s="4"/>
      <c r="H748" s="4"/>
      <c r="I748" s="4"/>
      <c r="J748" s="4" t="s">
        <v>3294</v>
      </c>
      <c r="K748" s="4"/>
      <c r="L748" s="5"/>
      <c r="M748" s="4"/>
      <c r="N748" s="4"/>
      <c r="O748" s="4"/>
    </row>
    <row collapsed="false" customFormat="false" customHeight="true" hidden="false" ht="15" outlineLevel="0" r="749">
      <c r="A749" s="4" t="s">
        <v>3296</v>
      </c>
      <c r="B749" s="4" t="s">
        <v>3210</v>
      </c>
      <c r="C749" s="4" t="s">
        <v>3297</v>
      </c>
      <c r="D749" s="4" t="s">
        <v>114</v>
      </c>
      <c r="E749" s="4" t="s">
        <v>3298</v>
      </c>
      <c r="F749" s="4" t="s">
        <v>3214</v>
      </c>
      <c r="G749" s="4" t="s">
        <v>5</v>
      </c>
      <c r="H749" s="4" t="s">
        <v>6</v>
      </c>
      <c r="I749" s="4" t="n">
        <v>20420</v>
      </c>
      <c r="J749" s="4" t="s">
        <v>3299</v>
      </c>
      <c r="K749" s="4" t="s">
        <v>3300</v>
      </c>
      <c r="L749" s="5"/>
      <c r="M749" s="4" t="s">
        <v>3218</v>
      </c>
      <c r="N749" s="4"/>
      <c r="O749" s="4"/>
    </row>
    <row collapsed="false" customFormat="false" customHeight="true" hidden="false" ht="15" outlineLevel="0" r="750">
      <c r="A750" s="4" t="s">
        <v>3296</v>
      </c>
      <c r="B750" s="4" t="s">
        <v>3210</v>
      </c>
      <c r="C750" s="4"/>
      <c r="D750" s="4" t="s">
        <v>12</v>
      </c>
      <c r="E750" s="4"/>
      <c r="F750" s="4"/>
      <c r="G750" s="4"/>
      <c r="H750" s="4"/>
      <c r="I750" s="4"/>
      <c r="J750" s="4" t="s">
        <v>3299</v>
      </c>
      <c r="K750" s="4"/>
      <c r="L750" s="5"/>
      <c r="M750" s="4"/>
      <c r="N750" s="4"/>
      <c r="O750" s="4"/>
    </row>
    <row collapsed="false" customFormat="false" customHeight="true" hidden="false" ht="15" outlineLevel="0" r="751">
      <c r="A751" s="4" t="s">
        <v>3296</v>
      </c>
      <c r="B751" s="4" t="s">
        <v>3210</v>
      </c>
      <c r="C751" s="4" t="s">
        <v>3297</v>
      </c>
      <c r="D751" s="4" t="s">
        <v>15</v>
      </c>
      <c r="E751" s="4"/>
      <c r="F751" s="4"/>
      <c r="G751" s="4"/>
      <c r="H751" s="4"/>
      <c r="I751" s="4"/>
      <c r="J751" s="4" t="s">
        <v>3299</v>
      </c>
      <c r="K751" s="4"/>
      <c r="L751" s="5"/>
      <c r="M751" s="4"/>
      <c r="N751" s="4"/>
      <c r="O751" s="4"/>
    </row>
    <row collapsed="false" customFormat="false" customHeight="true" hidden="false" ht="15" outlineLevel="0" r="752">
      <c r="A752" s="4" t="s">
        <v>3301</v>
      </c>
      <c r="B752" s="4" t="s">
        <v>3210</v>
      </c>
      <c r="C752" s="4" t="s">
        <v>3302</v>
      </c>
      <c r="D752" s="4" t="s">
        <v>114</v>
      </c>
      <c r="E752" s="4" t="s">
        <v>3303</v>
      </c>
      <c r="F752" s="4" t="s">
        <v>3214</v>
      </c>
      <c r="G752" s="4" t="s">
        <v>5</v>
      </c>
      <c r="H752" s="4" t="s">
        <v>6</v>
      </c>
      <c r="I752" s="4" t="n">
        <v>20420</v>
      </c>
      <c r="J752" s="4" t="s">
        <v>3304</v>
      </c>
      <c r="K752" s="4" t="s">
        <v>3305</v>
      </c>
      <c r="L752" s="5"/>
      <c r="M752" s="4" t="s">
        <v>3218</v>
      </c>
      <c r="N752" s="4"/>
      <c r="O752" s="4"/>
    </row>
    <row collapsed="false" customFormat="false" customHeight="true" hidden="false" ht="15" outlineLevel="0" r="753">
      <c r="A753" s="4" t="s">
        <v>3301</v>
      </c>
      <c r="B753" s="4" t="s">
        <v>3210</v>
      </c>
      <c r="C753" s="4"/>
      <c r="D753" s="4" t="s">
        <v>12</v>
      </c>
      <c r="E753" s="4"/>
      <c r="F753" s="4"/>
      <c r="G753" s="4"/>
      <c r="H753" s="4"/>
      <c r="I753" s="4"/>
      <c r="J753" s="4" t="s">
        <v>3304</v>
      </c>
      <c r="K753" s="4"/>
      <c r="L753" s="5"/>
      <c r="M753" s="4"/>
      <c r="N753" s="4"/>
      <c r="O753" s="4"/>
    </row>
    <row collapsed="false" customFormat="false" customHeight="true" hidden="false" ht="15" outlineLevel="0" r="754">
      <c r="A754" s="4" t="s">
        <v>3301</v>
      </c>
      <c r="B754" s="4" t="s">
        <v>3210</v>
      </c>
      <c r="C754" s="4" t="s">
        <v>3302</v>
      </c>
      <c r="D754" s="4" t="s">
        <v>15</v>
      </c>
      <c r="E754" s="4"/>
      <c r="F754" s="4"/>
      <c r="G754" s="4"/>
      <c r="H754" s="4"/>
      <c r="I754" s="4"/>
      <c r="J754" s="4" t="s">
        <v>3304</v>
      </c>
      <c r="K754" s="4"/>
      <c r="L754" s="5"/>
      <c r="M754" s="4"/>
      <c r="N754" s="4"/>
      <c r="O754" s="4"/>
    </row>
    <row collapsed="false" customFormat="false" customHeight="true" hidden="false" ht="15" outlineLevel="0" r="755">
      <c r="A755" s="4" t="s">
        <v>3306</v>
      </c>
      <c r="B755" s="4" t="s">
        <v>3210</v>
      </c>
      <c r="C755" s="4" t="s">
        <v>3307</v>
      </c>
      <c r="D755" s="4" t="s">
        <v>114</v>
      </c>
      <c r="E755" s="4" t="s">
        <v>3308</v>
      </c>
      <c r="F755" s="4" t="s">
        <v>3214</v>
      </c>
      <c r="G755" s="4" t="s">
        <v>5</v>
      </c>
      <c r="H755" s="4" t="s">
        <v>6</v>
      </c>
      <c r="I755" s="4" t="n">
        <v>20420</v>
      </c>
      <c r="J755" s="4" t="s">
        <v>3309</v>
      </c>
      <c r="K755" s="4" t="s">
        <v>3310</v>
      </c>
      <c r="L755" s="5"/>
      <c r="M755" s="4" t="s">
        <v>3218</v>
      </c>
      <c r="N755" s="4"/>
      <c r="O755" s="4"/>
    </row>
    <row collapsed="false" customFormat="false" customHeight="true" hidden="false" ht="15" outlineLevel="0" r="756">
      <c r="A756" s="4" t="s">
        <v>3306</v>
      </c>
      <c r="B756" s="4" t="s">
        <v>3210</v>
      </c>
      <c r="C756" s="4"/>
      <c r="D756" s="4" t="s">
        <v>12</v>
      </c>
      <c r="E756" s="4"/>
      <c r="F756" s="4"/>
      <c r="G756" s="4"/>
      <c r="H756" s="4"/>
      <c r="I756" s="4"/>
      <c r="J756" s="4" t="s">
        <v>3309</v>
      </c>
      <c r="K756" s="4"/>
      <c r="L756" s="5"/>
      <c r="M756" s="4"/>
      <c r="N756" s="4"/>
      <c r="O756" s="4"/>
    </row>
    <row collapsed="false" customFormat="false" customHeight="true" hidden="false" ht="15" outlineLevel="0" r="757">
      <c r="A757" s="4" t="s">
        <v>3306</v>
      </c>
      <c r="B757" s="4" t="s">
        <v>3210</v>
      </c>
      <c r="C757" s="4" t="s">
        <v>3307</v>
      </c>
      <c r="D757" s="4" t="s">
        <v>15</v>
      </c>
      <c r="E757" s="4"/>
      <c r="F757" s="4"/>
      <c r="G757" s="4"/>
      <c r="H757" s="4"/>
      <c r="I757" s="4"/>
      <c r="J757" s="4" t="s">
        <v>3309</v>
      </c>
      <c r="K757" s="4"/>
      <c r="L757" s="5"/>
      <c r="M757" s="4"/>
      <c r="N757" s="4"/>
      <c r="O757" s="4"/>
    </row>
    <row collapsed="false" customFormat="false" customHeight="true" hidden="false" ht="15" outlineLevel="0" r="758">
      <c r="A758" s="4" t="s">
        <v>3311</v>
      </c>
      <c r="B758" s="4" t="s">
        <v>3210</v>
      </c>
      <c r="C758" s="4" t="s">
        <v>3312</v>
      </c>
      <c r="D758" s="4" t="s">
        <v>114</v>
      </c>
      <c r="E758" s="4" t="s">
        <v>3313</v>
      </c>
      <c r="F758" s="4" t="s">
        <v>3214</v>
      </c>
      <c r="G758" s="4" t="s">
        <v>5</v>
      </c>
      <c r="H758" s="4" t="s">
        <v>6</v>
      </c>
      <c r="I758" s="4" t="n">
        <v>20420</v>
      </c>
      <c r="J758" s="4" t="s">
        <v>3314</v>
      </c>
      <c r="K758" s="4" t="s">
        <v>3315</v>
      </c>
      <c r="L758" s="5"/>
      <c r="M758" s="4" t="s">
        <v>3218</v>
      </c>
      <c r="N758" s="4"/>
      <c r="O758" s="4"/>
    </row>
    <row collapsed="false" customFormat="false" customHeight="true" hidden="false" ht="15" outlineLevel="0" r="759">
      <c r="A759" s="4" t="s">
        <v>3311</v>
      </c>
      <c r="B759" s="4" t="s">
        <v>3210</v>
      </c>
      <c r="C759" s="4"/>
      <c r="D759" s="4" t="s">
        <v>12</v>
      </c>
      <c r="E759" s="4"/>
      <c r="F759" s="4"/>
      <c r="G759" s="4"/>
      <c r="H759" s="4"/>
      <c r="I759" s="4"/>
      <c r="J759" s="4" t="s">
        <v>3314</v>
      </c>
      <c r="K759" s="4"/>
      <c r="L759" s="5"/>
      <c r="M759" s="4"/>
      <c r="N759" s="4"/>
      <c r="O759" s="4"/>
    </row>
    <row collapsed="false" customFormat="false" customHeight="true" hidden="false" ht="15" outlineLevel="0" r="760">
      <c r="A760" s="4" t="s">
        <v>3311</v>
      </c>
      <c r="B760" s="4" t="s">
        <v>3210</v>
      </c>
      <c r="C760" s="4" t="s">
        <v>3312</v>
      </c>
      <c r="D760" s="4" t="s">
        <v>15</v>
      </c>
      <c r="E760" s="4"/>
      <c r="F760" s="4"/>
      <c r="G760" s="4"/>
      <c r="H760" s="4"/>
      <c r="I760" s="4"/>
      <c r="J760" s="4" t="s">
        <v>3314</v>
      </c>
      <c r="K760" s="4"/>
      <c r="L760" s="5"/>
      <c r="M760" s="4"/>
      <c r="N760" s="4"/>
      <c r="O760" s="4"/>
    </row>
    <row collapsed="false" customFormat="false" customHeight="true" hidden="false" ht="15" outlineLevel="0" r="761">
      <c r="A761" s="4" t="s">
        <v>3316</v>
      </c>
      <c r="B761" s="4" t="s">
        <v>3210</v>
      </c>
      <c r="C761" s="4" t="s">
        <v>3317</v>
      </c>
      <c r="D761" s="4" t="s">
        <v>114</v>
      </c>
      <c r="E761" s="4" t="s">
        <v>3318</v>
      </c>
      <c r="F761" s="4" t="s">
        <v>3214</v>
      </c>
      <c r="G761" s="4" t="s">
        <v>5</v>
      </c>
      <c r="H761" s="4" t="s">
        <v>6</v>
      </c>
      <c r="I761" s="4" t="n">
        <v>20420</v>
      </c>
      <c r="J761" s="4" t="s">
        <v>3319</v>
      </c>
      <c r="K761" s="4" t="s">
        <v>3320</v>
      </c>
      <c r="L761" s="5"/>
      <c r="M761" s="4" t="s">
        <v>3218</v>
      </c>
      <c r="N761" s="4"/>
      <c r="O761" s="4"/>
    </row>
    <row collapsed="false" customFormat="false" customHeight="true" hidden="false" ht="15" outlineLevel="0" r="762">
      <c r="A762" s="4" t="s">
        <v>3316</v>
      </c>
      <c r="B762" s="4" t="s">
        <v>3210</v>
      </c>
      <c r="C762" s="4"/>
      <c r="D762" s="4" t="s">
        <v>12</v>
      </c>
      <c r="E762" s="4"/>
      <c r="F762" s="4"/>
      <c r="G762" s="4"/>
      <c r="H762" s="4"/>
      <c r="I762" s="4"/>
      <c r="J762" s="4" t="s">
        <v>3321</v>
      </c>
      <c r="K762" s="4"/>
      <c r="L762" s="5"/>
      <c r="M762" s="4"/>
      <c r="N762" s="4"/>
      <c r="O762" s="4"/>
    </row>
    <row collapsed="false" customFormat="false" customHeight="true" hidden="false" ht="15" outlineLevel="0" r="763">
      <c r="A763" s="4" t="s">
        <v>3316</v>
      </c>
      <c r="B763" s="4" t="s">
        <v>3210</v>
      </c>
      <c r="C763" s="4" t="s">
        <v>3317</v>
      </c>
      <c r="D763" s="4" t="s">
        <v>15</v>
      </c>
      <c r="E763" s="4"/>
      <c r="F763" s="4"/>
      <c r="G763" s="4"/>
      <c r="H763" s="4"/>
      <c r="I763" s="4"/>
      <c r="J763" s="4" t="s">
        <v>3321</v>
      </c>
      <c r="K763" s="4"/>
      <c r="L763" s="5"/>
      <c r="M763" s="4"/>
      <c r="N763" s="4"/>
      <c r="O763" s="4"/>
    </row>
    <row collapsed="false" customFormat="false" customHeight="true" hidden="false" ht="15" outlineLevel="0" r="764">
      <c r="A764" s="4" t="s">
        <v>3322</v>
      </c>
      <c r="B764" s="4" t="s">
        <v>3210</v>
      </c>
      <c r="C764" s="4" t="s">
        <v>3323</v>
      </c>
      <c r="D764" s="4" t="s">
        <v>114</v>
      </c>
      <c r="E764" s="4" t="s">
        <v>3324</v>
      </c>
      <c r="F764" s="4" t="s">
        <v>3214</v>
      </c>
      <c r="G764" s="4" t="s">
        <v>5</v>
      </c>
      <c r="H764" s="4" t="s">
        <v>6</v>
      </c>
      <c r="I764" s="4" t="n">
        <v>20420</v>
      </c>
      <c r="J764" s="4" t="s">
        <v>3325</v>
      </c>
      <c r="K764" s="4" t="s">
        <v>3326</v>
      </c>
      <c r="L764" s="5"/>
      <c r="M764" s="4" t="s">
        <v>3218</v>
      </c>
      <c r="N764" s="4"/>
      <c r="O764" s="4"/>
    </row>
    <row collapsed="false" customFormat="false" customHeight="true" hidden="false" ht="15" outlineLevel="0" r="765">
      <c r="A765" s="4" t="s">
        <v>3322</v>
      </c>
      <c r="B765" s="4" t="s">
        <v>3210</v>
      </c>
      <c r="C765" s="4"/>
      <c r="D765" s="4" t="s">
        <v>12</v>
      </c>
      <c r="E765" s="4"/>
      <c r="F765" s="4"/>
      <c r="G765" s="4"/>
      <c r="H765" s="4"/>
      <c r="I765" s="4"/>
      <c r="J765" s="4" t="s">
        <v>3325</v>
      </c>
      <c r="K765" s="4"/>
      <c r="L765" s="5"/>
      <c r="M765" s="4"/>
      <c r="N765" s="4"/>
      <c r="O765" s="4"/>
    </row>
    <row collapsed="false" customFormat="false" customHeight="true" hidden="false" ht="15" outlineLevel="0" r="766">
      <c r="A766" s="4" t="s">
        <v>3322</v>
      </c>
      <c r="B766" s="4" t="s">
        <v>3210</v>
      </c>
      <c r="C766" s="4" t="s">
        <v>3323</v>
      </c>
      <c r="D766" s="4" t="s">
        <v>15</v>
      </c>
      <c r="E766" s="4"/>
      <c r="F766" s="4"/>
      <c r="G766" s="4"/>
      <c r="H766" s="4"/>
      <c r="I766" s="4"/>
      <c r="J766" s="4" t="s">
        <v>3325</v>
      </c>
      <c r="K766" s="4"/>
      <c r="L766" s="5"/>
      <c r="M766" s="4"/>
      <c r="N766" s="4"/>
      <c r="O766" s="4"/>
    </row>
    <row collapsed="false" customFormat="false" customHeight="true" hidden="false" ht="15" outlineLevel="0" r="767">
      <c r="A767" s="4" t="s">
        <v>3327</v>
      </c>
      <c r="B767" s="4" t="s">
        <v>3210</v>
      </c>
      <c r="C767" s="4" t="s">
        <v>3328</v>
      </c>
      <c r="D767" s="4" t="s">
        <v>114</v>
      </c>
      <c r="E767" s="4" t="s">
        <v>3329</v>
      </c>
      <c r="F767" s="4" t="s">
        <v>3214</v>
      </c>
      <c r="G767" s="4" t="s">
        <v>5</v>
      </c>
      <c r="H767" s="4" t="s">
        <v>6</v>
      </c>
      <c r="I767" s="4" t="n">
        <v>20420</v>
      </c>
      <c r="J767" s="4" t="s">
        <v>3330</v>
      </c>
      <c r="K767" s="4" t="s">
        <v>3331</v>
      </c>
      <c r="L767" s="5" t="str">
        <f aca="false">HYPERLINK("mailto:CFM.FOIA@va.gov","mailto:CFM.FOIA@va.gov")</f>
        <v>mailto:CFM.FOIA@va.gov</v>
      </c>
      <c r="M767" s="4" t="s">
        <v>3218</v>
      </c>
      <c r="N767" s="4"/>
      <c r="O767" s="4"/>
    </row>
    <row collapsed="false" customFormat="false" customHeight="true" hidden="false" ht="15" outlineLevel="0" r="768">
      <c r="A768" s="4" t="s">
        <v>3327</v>
      </c>
      <c r="B768" s="4" t="s">
        <v>3210</v>
      </c>
      <c r="C768" s="4"/>
      <c r="D768" s="4" t="s">
        <v>12</v>
      </c>
      <c r="E768" s="4"/>
      <c r="F768" s="4"/>
      <c r="G768" s="4"/>
      <c r="H768" s="4"/>
      <c r="I768" s="4"/>
      <c r="J768" s="4" t="s">
        <v>3330</v>
      </c>
      <c r="K768" s="4"/>
      <c r="L768" s="5"/>
      <c r="M768" s="4"/>
      <c r="N768" s="4"/>
      <c r="O768" s="4"/>
    </row>
    <row collapsed="false" customFormat="false" customHeight="true" hidden="false" ht="15" outlineLevel="0" r="769">
      <c r="A769" s="4" t="s">
        <v>3327</v>
      </c>
      <c r="B769" s="4" t="s">
        <v>3210</v>
      </c>
      <c r="C769" s="4" t="s">
        <v>3328</v>
      </c>
      <c r="D769" s="4" t="s">
        <v>15</v>
      </c>
      <c r="E769" s="4"/>
      <c r="F769" s="4"/>
      <c r="G769" s="4"/>
      <c r="H769" s="4"/>
      <c r="I769" s="4"/>
      <c r="J769" s="4" t="s">
        <v>3330</v>
      </c>
      <c r="K769" s="4"/>
      <c r="L769" s="5"/>
      <c r="M769" s="4"/>
      <c r="N769" s="4"/>
      <c r="O769" s="4"/>
    </row>
    <row collapsed="false" customFormat="false" customHeight="true" hidden="false" ht="15" outlineLevel="0" r="770">
      <c r="A770" s="4" t="s">
        <v>3332</v>
      </c>
      <c r="B770" s="4" t="s">
        <v>3210</v>
      </c>
      <c r="C770" s="4" t="s">
        <v>3333</v>
      </c>
      <c r="D770" s="4" t="s">
        <v>114</v>
      </c>
      <c r="E770" s="4" t="s">
        <v>3334</v>
      </c>
      <c r="F770" s="4" t="s">
        <v>3214</v>
      </c>
      <c r="G770" s="4" t="s">
        <v>5</v>
      </c>
      <c r="H770" s="4" t="s">
        <v>6</v>
      </c>
      <c r="I770" s="4" t="n">
        <v>20420</v>
      </c>
      <c r="J770" s="4" t="s">
        <v>3335</v>
      </c>
      <c r="K770" s="4"/>
      <c r="L770" s="5" t="str">
        <f aca="false">HYPERLINK("mailto:VA_OAL_FOIA@va.gov","mailto:VA_OAL_FOIA@va.gov")</f>
        <v>mailto:VA_OAL_FOIA@va.gov</v>
      </c>
      <c r="M770" s="4" t="s">
        <v>3218</v>
      </c>
      <c r="N770" s="4"/>
      <c r="O770" s="4"/>
    </row>
    <row collapsed="false" customFormat="false" customHeight="true" hidden="false" ht="15" outlineLevel="0" r="771">
      <c r="A771" s="4" t="s">
        <v>3332</v>
      </c>
      <c r="B771" s="4" t="s">
        <v>3210</v>
      </c>
      <c r="C771" s="4"/>
      <c r="D771" s="4" t="s">
        <v>12</v>
      </c>
      <c r="E771" s="4"/>
      <c r="F771" s="4"/>
      <c r="G771" s="4"/>
      <c r="H771" s="4"/>
      <c r="I771" s="4"/>
      <c r="J771" s="4" t="s">
        <v>3335</v>
      </c>
      <c r="K771" s="4"/>
      <c r="L771" s="5"/>
      <c r="M771" s="4"/>
      <c r="N771" s="4"/>
      <c r="O771" s="4"/>
    </row>
    <row collapsed="false" customFormat="false" customHeight="true" hidden="false" ht="15" outlineLevel="0" r="772">
      <c r="A772" s="4" t="s">
        <v>3332</v>
      </c>
      <c r="B772" s="4" t="s">
        <v>3210</v>
      </c>
      <c r="C772" s="4" t="s">
        <v>3333</v>
      </c>
      <c r="D772" s="4" t="s">
        <v>15</v>
      </c>
      <c r="E772" s="4"/>
      <c r="F772" s="4"/>
      <c r="G772" s="4"/>
      <c r="H772" s="4"/>
      <c r="I772" s="4"/>
      <c r="J772" s="4" t="s">
        <v>3335</v>
      </c>
      <c r="K772" s="4"/>
      <c r="L772" s="5"/>
      <c r="M772" s="4"/>
      <c r="N772" s="4"/>
      <c r="O772" s="4"/>
    </row>
    <row collapsed="false" customFormat="false" customHeight="true" hidden="false" ht="15" outlineLevel="0" r="773">
      <c r="A773" s="4" t="s">
        <v>3336</v>
      </c>
      <c r="B773" s="4" t="s">
        <v>3210</v>
      </c>
      <c r="C773" s="4" t="s">
        <v>3337</v>
      </c>
      <c r="D773" s="4" t="s">
        <v>114</v>
      </c>
      <c r="E773" s="4" t="s">
        <v>3338</v>
      </c>
      <c r="F773" s="4" t="s">
        <v>3214</v>
      </c>
      <c r="G773" s="4" t="s">
        <v>5</v>
      </c>
      <c r="H773" s="4" t="s">
        <v>6</v>
      </c>
      <c r="I773" s="4" t="n">
        <v>20420</v>
      </c>
      <c r="J773" s="4" t="s">
        <v>3339</v>
      </c>
      <c r="K773" s="4" t="s">
        <v>3340</v>
      </c>
      <c r="L773" s="5"/>
      <c r="M773" s="4" t="s">
        <v>3218</v>
      </c>
      <c r="N773" s="4"/>
      <c r="O773" s="4"/>
    </row>
    <row collapsed="false" customFormat="false" customHeight="true" hidden="false" ht="15" outlineLevel="0" r="774">
      <c r="A774" s="4" t="s">
        <v>3336</v>
      </c>
      <c r="B774" s="4" t="s">
        <v>3210</v>
      </c>
      <c r="C774" s="4"/>
      <c r="D774" s="4" t="s">
        <v>12</v>
      </c>
      <c r="E774" s="4"/>
      <c r="F774" s="4"/>
      <c r="G774" s="4"/>
      <c r="H774" s="4"/>
      <c r="I774" s="4"/>
      <c r="J774" s="4" t="s">
        <v>3339</v>
      </c>
      <c r="K774" s="4"/>
      <c r="L774" s="5"/>
      <c r="M774" s="4"/>
      <c r="N774" s="4"/>
      <c r="O774" s="4"/>
    </row>
    <row collapsed="false" customFormat="false" customHeight="true" hidden="false" ht="15" outlineLevel="0" r="775">
      <c r="A775" s="4" t="s">
        <v>3336</v>
      </c>
      <c r="B775" s="4" t="s">
        <v>3210</v>
      </c>
      <c r="C775" s="4" t="s">
        <v>3337</v>
      </c>
      <c r="D775" s="4" t="s">
        <v>15</v>
      </c>
      <c r="E775" s="4"/>
      <c r="F775" s="4"/>
      <c r="G775" s="4"/>
      <c r="H775" s="4"/>
      <c r="I775" s="4"/>
      <c r="J775" s="4" t="s">
        <v>3339</v>
      </c>
      <c r="K775" s="4"/>
      <c r="L775" s="5"/>
      <c r="M775" s="4"/>
      <c r="N775" s="4"/>
      <c r="O775" s="4"/>
    </row>
    <row collapsed="false" customFormat="false" customHeight="true" hidden="false" ht="15" outlineLevel="0" r="776">
      <c r="A776" s="4" t="s">
        <v>555</v>
      </c>
      <c r="B776" s="4" t="s">
        <v>3210</v>
      </c>
      <c r="C776" s="4" t="s">
        <v>3341</v>
      </c>
      <c r="D776" s="4" t="s">
        <v>114</v>
      </c>
      <c r="E776" s="4" t="s">
        <v>3342</v>
      </c>
      <c r="F776" s="4" t="s">
        <v>3214</v>
      </c>
      <c r="G776" s="4" t="s">
        <v>5</v>
      </c>
      <c r="H776" s="4" t="s">
        <v>6</v>
      </c>
      <c r="I776" s="4" t="n">
        <v>20420</v>
      </c>
      <c r="J776" s="4" t="s">
        <v>3343</v>
      </c>
      <c r="K776" s="4" t="s">
        <v>3344</v>
      </c>
      <c r="L776" s="5" t="s">
        <v>3345</v>
      </c>
      <c r="M776" s="4" t="s">
        <v>3218</v>
      </c>
      <c r="N776" s="4"/>
      <c r="O776" s="4"/>
    </row>
    <row collapsed="false" customFormat="false" customHeight="true" hidden="false" ht="15" outlineLevel="0" r="777">
      <c r="A777" s="4" t="s">
        <v>555</v>
      </c>
      <c r="B777" s="4" t="s">
        <v>3210</v>
      </c>
      <c r="C777" s="4"/>
      <c r="D777" s="4" t="s">
        <v>12</v>
      </c>
      <c r="E777" s="4"/>
      <c r="F777" s="4"/>
      <c r="G777" s="4"/>
      <c r="H777" s="4"/>
      <c r="I777" s="4"/>
      <c r="J777" s="4" t="s">
        <v>3343</v>
      </c>
      <c r="K777" s="4"/>
      <c r="L777" s="5"/>
      <c r="M777" s="4"/>
      <c r="N777" s="4"/>
      <c r="O777" s="4"/>
    </row>
    <row collapsed="false" customFormat="false" customHeight="true" hidden="false" ht="15" outlineLevel="0" r="778">
      <c r="A778" s="4" t="s">
        <v>555</v>
      </c>
      <c r="B778" s="4" t="s">
        <v>3210</v>
      </c>
      <c r="C778" s="4" t="s">
        <v>3341</v>
      </c>
      <c r="D778" s="4" t="s">
        <v>15</v>
      </c>
      <c r="E778" s="4"/>
      <c r="F778" s="4"/>
      <c r="G778" s="4"/>
      <c r="H778" s="4"/>
      <c r="I778" s="4"/>
      <c r="J778" s="4" t="s">
        <v>3343</v>
      </c>
      <c r="K778" s="4"/>
      <c r="L778" s="5"/>
      <c r="M778" s="4"/>
      <c r="N778" s="4"/>
      <c r="O778" s="4"/>
    </row>
    <row collapsed="false" customFormat="false" customHeight="true" hidden="false" ht="15" outlineLevel="0" r="779">
      <c r="A779" s="4" t="s">
        <v>1707</v>
      </c>
      <c r="B779" s="4" t="s">
        <v>3210</v>
      </c>
      <c r="C779" s="4" t="s">
        <v>3346</v>
      </c>
      <c r="D779" s="4" t="s">
        <v>114</v>
      </c>
      <c r="E779" s="4" t="s">
        <v>3347</v>
      </c>
      <c r="F779" s="4" t="s">
        <v>3214</v>
      </c>
      <c r="G779" s="4" t="s">
        <v>5</v>
      </c>
      <c r="H779" s="4" t="s">
        <v>6</v>
      </c>
      <c r="I779" s="4" t="n">
        <v>20420</v>
      </c>
      <c r="J779" s="4" t="s">
        <v>3348</v>
      </c>
      <c r="K779" s="4" t="s">
        <v>3349</v>
      </c>
      <c r="L779" s="5" t="str">
        <f aca="false">HYPERLINK("mailto:vaoigfoia-pa@va.gov","mailto:vaoigfoia-pa@va.gov")</f>
        <v>mailto:vaoigfoia-pa@va.gov</v>
      </c>
      <c r="M779" s="4" t="s">
        <v>3218</v>
      </c>
      <c r="N779" s="4"/>
      <c r="O779" s="4"/>
    </row>
    <row collapsed="false" customFormat="false" customHeight="true" hidden="false" ht="15" outlineLevel="0" r="780">
      <c r="A780" s="4" t="s">
        <v>1707</v>
      </c>
      <c r="B780" s="4" t="s">
        <v>3210</v>
      </c>
      <c r="C780" s="4"/>
      <c r="D780" s="4" t="s">
        <v>12</v>
      </c>
      <c r="E780" s="4"/>
      <c r="F780" s="4"/>
      <c r="G780" s="4"/>
      <c r="H780" s="4"/>
      <c r="I780" s="4"/>
      <c r="J780" s="4" t="s">
        <v>3348</v>
      </c>
      <c r="K780" s="4"/>
      <c r="L780" s="5"/>
      <c r="M780" s="4"/>
      <c r="N780" s="4"/>
      <c r="O780" s="4"/>
    </row>
    <row collapsed="false" customFormat="false" customHeight="true" hidden="false" ht="15" outlineLevel="0" r="781">
      <c r="A781" s="4" t="s">
        <v>1707</v>
      </c>
      <c r="B781" s="4" t="s">
        <v>3210</v>
      </c>
      <c r="C781" s="4" t="s">
        <v>3346</v>
      </c>
      <c r="D781" s="4" t="s">
        <v>15</v>
      </c>
      <c r="E781" s="4"/>
      <c r="F781" s="4"/>
      <c r="G781" s="4"/>
      <c r="H781" s="4"/>
      <c r="I781" s="4"/>
      <c r="J781" s="4" t="s">
        <v>3348</v>
      </c>
      <c r="K781" s="4"/>
      <c r="L781" s="5"/>
      <c r="M781" s="4"/>
      <c r="N781" s="4"/>
      <c r="O781" s="4"/>
    </row>
    <row collapsed="false" customFormat="false" customHeight="true" hidden="false" ht="15" outlineLevel="0" r="782">
      <c r="A782" s="4" t="s">
        <v>3350</v>
      </c>
      <c r="B782" s="4" t="s">
        <v>3210</v>
      </c>
      <c r="C782" s="4" t="s">
        <v>3351</v>
      </c>
      <c r="D782" s="4" t="s">
        <v>114</v>
      </c>
      <c r="E782" s="4" t="s">
        <v>3352</v>
      </c>
      <c r="F782" s="4" t="s">
        <v>3214</v>
      </c>
      <c r="G782" s="4" t="s">
        <v>5</v>
      </c>
      <c r="H782" s="4" t="s">
        <v>6</v>
      </c>
      <c r="I782" s="4" t="n">
        <v>20420</v>
      </c>
      <c r="J782" s="4" t="s">
        <v>3353</v>
      </c>
      <c r="K782" s="4" t="s">
        <v>3354</v>
      </c>
      <c r="L782" s="5" t="str">
        <f aca="false">HYPERLINK("mailto:osbdufoia@va.gov","mailto:osbdufoia@va.gov")</f>
        <v>mailto:osbdufoia@va.gov</v>
      </c>
      <c r="M782" s="4" t="s">
        <v>3218</v>
      </c>
      <c r="N782" s="4"/>
      <c r="O782" s="4"/>
    </row>
    <row collapsed="false" customFormat="false" customHeight="true" hidden="false" ht="15" outlineLevel="0" r="783">
      <c r="A783" s="4" t="s">
        <v>3350</v>
      </c>
      <c r="B783" s="4" t="s">
        <v>3210</v>
      </c>
      <c r="C783" s="4"/>
      <c r="D783" s="4" t="s">
        <v>12</v>
      </c>
      <c r="E783" s="4"/>
      <c r="F783" s="4"/>
      <c r="G783" s="4"/>
      <c r="H783" s="4"/>
      <c r="I783" s="4"/>
      <c r="J783" s="4" t="s">
        <v>3353</v>
      </c>
      <c r="K783" s="4"/>
      <c r="L783" s="5"/>
      <c r="M783" s="4"/>
      <c r="N783" s="4"/>
      <c r="O783" s="4"/>
    </row>
    <row collapsed="false" customFormat="false" customHeight="true" hidden="false" ht="15" outlineLevel="0" r="784">
      <c r="A784" s="4" t="s">
        <v>3350</v>
      </c>
      <c r="B784" s="4" t="s">
        <v>3210</v>
      </c>
      <c r="C784" s="4" t="s">
        <v>3351</v>
      </c>
      <c r="D784" s="4" t="s">
        <v>15</v>
      </c>
      <c r="E784" s="4"/>
      <c r="F784" s="4"/>
      <c r="G784" s="4"/>
      <c r="H784" s="4"/>
      <c r="I784" s="4"/>
      <c r="J784" s="4" t="s">
        <v>3353</v>
      </c>
      <c r="K784" s="4"/>
      <c r="L784" s="5"/>
      <c r="M784" s="4"/>
      <c r="N784" s="4"/>
      <c r="O784" s="4"/>
    </row>
    <row collapsed="false" customFormat="false" customHeight="true" hidden="false" ht="15" outlineLevel="0" r="785">
      <c r="A785" s="4" t="s">
        <v>288</v>
      </c>
      <c r="B785" s="4" t="s">
        <v>3210</v>
      </c>
      <c r="C785" s="4" t="s">
        <v>3211</v>
      </c>
      <c r="D785" s="4" t="s">
        <v>3212</v>
      </c>
      <c r="E785" s="4" t="s">
        <v>3213</v>
      </c>
      <c r="F785" s="4" t="s">
        <v>3214</v>
      </c>
      <c r="G785" s="4" t="s">
        <v>5</v>
      </c>
      <c r="H785" s="4" t="s">
        <v>6</v>
      </c>
      <c r="I785" s="4" t="n">
        <v>20420</v>
      </c>
      <c r="J785" s="4" t="s">
        <v>3215</v>
      </c>
      <c r="K785" s="4" t="s">
        <v>3283</v>
      </c>
      <c r="L785" s="5"/>
      <c r="M785" s="4" t="s">
        <v>3218</v>
      </c>
      <c r="N785" s="4"/>
      <c r="O785" s="4"/>
    </row>
    <row collapsed="false" customFormat="false" customHeight="true" hidden="false" ht="15" outlineLevel="0" r="786">
      <c r="A786" s="4" t="s">
        <v>288</v>
      </c>
      <c r="B786" s="4" t="s">
        <v>3210</v>
      </c>
      <c r="C786" s="4"/>
      <c r="D786" s="4" t="s">
        <v>12</v>
      </c>
      <c r="E786" s="4"/>
      <c r="F786" s="4"/>
      <c r="G786" s="4"/>
      <c r="H786" s="4"/>
      <c r="I786" s="4"/>
      <c r="J786" s="4" t="s">
        <v>3355</v>
      </c>
      <c r="K786" s="4"/>
      <c r="L786" s="5"/>
      <c r="M786" s="4"/>
      <c r="N786" s="4"/>
      <c r="O786" s="4"/>
    </row>
    <row collapsed="false" customFormat="false" customHeight="true" hidden="false" ht="15" outlineLevel="0" r="787">
      <c r="A787" s="4" t="s">
        <v>288</v>
      </c>
      <c r="B787" s="4" t="s">
        <v>3210</v>
      </c>
      <c r="C787" s="4"/>
      <c r="D787" s="4" t="s">
        <v>15</v>
      </c>
      <c r="E787" s="4"/>
      <c r="F787" s="4"/>
      <c r="G787" s="4"/>
      <c r="H787" s="4"/>
      <c r="I787" s="4"/>
      <c r="J787" s="4" t="s">
        <v>3355</v>
      </c>
      <c r="K787" s="4"/>
      <c r="L787" s="5"/>
      <c r="M787" s="4"/>
      <c r="N787" s="4"/>
      <c r="O787" s="4"/>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LibreOffice/3.6$MacOSX_x86 LibreOffice_project/58f22d5-270d05a-e2abed1-ea17a85-9b5702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