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MoE (BS 9999)" sheetId="1" state="visible" r:id="rId2"/>
    <sheet name="VMoE (ADB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<sst xmlns="http://schemas.openxmlformats.org/spreadsheetml/2006/main" count="202" uniqueCount="91">
  <si>
    <t xml:space="preserve">Stair capacity factors</t>
  </si>
  <si>
    <t xml:space="preserve">Door capacity factors</t>
  </si>
  <si>
    <t xml:space="preserve">Notes:</t>
  </si>
  <si>
    <t xml:space="preserve">1 floor</t>
  </si>
  <si>
    <t xml:space="preserve">2 floors</t>
  </si>
  <si>
    <t xml:space="preserve">3 floors</t>
  </si>
  <si>
    <t xml:space="preserve">4 floors</t>
  </si>
  <si>
    <t xml:space="preserve">5 floors</t>
  </si>
  <si>
    <t xml:space="preserve">6 floors</t>
  </si>
  <si>
    <t xml:space="preserve">7 floors</t>
  </si>
  <si>
    <t xml:space="preserve">Building is sprinkler protected</t>
  </si>
  <si>
    <t xml:space="preserve">A1</t>
  </si>
  <si>
    <t xml:space="preserve">Building is designed in accordance with BS 9999</t>
  </si>
  <si>
    <t xml:space="preserve">A2</t>
  </si>
  <si>
    <t xml:space="preserve">Building is provided with fire detection throughout</t>
  </si>
  <si>
    <t xml:space="preserve">A3</t>
  </si>
  <si>
    <t xml:space="preserve">Building appears to operate a simultaneous evacuation strategy</t>
  </si>
  <si>
    <t xml:space="preserve">B1</t>
  </si>
  <si>
    <t xml:space="preserve">B2</t>
  </si>
  <si>
    <t xml:space="preserve">B3</t>
  </si>
  <si>
    <t xml:space="preserve">Stair capacity factors with enhanced fire protection (15% bonus)</t>
  </si>
  <si>
    <t xml:space="preserve">Door capacity factors with enhanced detection (15% bonus)</t>
  </si>
  <si>
    <t xml:space="preserve">Building</t>
  </si>
  <si>
    <t xml:space="preserve">Stair No.</t>
  </si>
  <si>
    <t xml:space="preserve">Clear Width (mm)</t>
  </si>
  <si>
    <t xml:space="preserve">Floors served (above ground)</t>
  </si>
  <si>
    <t xml:space="preserve">Stair capacity factor</t>
  </si>
  <si>
    <t xml:space="preserve">Capacity</t>
  </si>
  <si>
    <t xml:space="preserve">Capacity per floor</t>
  </si>
  <si>
    <t xml:space="preserve">Lobbied?</t>
  </si>
  <si>
    <t xml:space="preserve">Storey exit capacity</t>
  </si>
  <si>
    <t xml:space="preserve">Final Exit</t>
  </si>
  <si>
    <t xml:space="preserve">Capacity per floor (upper floors)</t>
  </si>
  <si>
    <t xml:space="preserve">merging flow capacity</t>
  </si>
  <si>
    <t xml:space="preserve">Ground merging flow</t>
  </si>
  <si>
    <t xml:space="preserve">Notes</t>
  </si>
  <si>
    <t xml:space="preserve">Block 1</t>
  </si>
  <si>
    <t xml:space="preserve">Stair 01</t>
  </si>
  <si>
    <t xml:space="preserve">Yes</t>
  </si>
  <si>
    <t xml:space="preserve">Firefighting shaft</t>
  </si>
  <si>
    <t xml:space="preserve">Stair 02</t>
  </si>
  <si>
    <t xml:space="preserve">Stair 03</t>
  </si>
  <si>
    <t xml:space="preserve">Stair 04</t>
  </si>
  <si>
    <t xml:space="preserve">Block 2</t>
  </si>
  <si>
    <t xml:space="preserve">Stair 05</t>
  </si>
  <si>
    <t xml:space="preserve">Stair 06</t>
  </si>
  <si>
    <t xml:space="preserve">Stair 07</t>
  </si>
  <si>
    <t xml:space="preserve">Stair 08</t>
  </si>
  <si>
    <t xml:space="preserve">Block 3</t>
  </si>
  <si>
    <t xml:space="preserve">Stair 09</t>
  </si>
  <si>
    <t xml:space="preserve">Stair 10</t>
  </si>
  <si>
    <t xml:space="preserve">Stair 11</t>
  </si>
  <si>
    <t xml:space="preserve">Stair 12</t>
  </si>
  <si>
    <t xml:space="preserve">Ground + basement</t>
  </si>
  <si>
    <t xml:space="preserve">Based on GF storey exits and merging flows</t>
  </si>
  <si>
    <t xml:space="preserve">Level </t>
  </si>
  <si>
    <r>
      <rPr>
        <b val="true"/>
        <sz val="11"/>
        <color rgb="FF000000"/>
        <rFont val="Calibri"/>
        <family val="2"/>
        <charset val="1"/>
      </rPr>
      <t xml:space="preserve">Area (m</t>
    </r>
    <r>
      <rPr>
        <b val="true"/>
        <sz val="7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) </t>
    </r>
  </si>
  <si>
    <r>
      <rPr>
        <b val="true"/>
        <sz val="11"/>
        <color rgb="FF000000"/>
        <rFont val="Calibri"/>
        <family val="2"/>
        <charset val="1"/>
      </rPr>
      <t xml:space="preserve">Population (@
6m</t>
    </r>
    <r>
      <rPr>
        <b val="true"/>
        <sz val="7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/person)</t>
    </r>
  </si>
  <si>
    <r>
      <rPr>
        <b val="true"/>
        <sz val="11"/>
        <color rgb="FF000000"/>
        <rFont val="Calibri"/>
        <family val="2"/>
        <charset val="1"/>
      </rPr>
      <t xml:space="preserve">Population (@
10m</t>
    </r>
    <r>
      <rPr>
        <b val="true"/>
        <sz val="7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/person)</t>
    </r>
  </si>
  <si>
    <t xml:space="preserve">Acutal capacity density</t>
  </si>
  <si>
    <t xml:space="preserve">First</t>
  </si>
  <si>
    <t xml:space="preserve">6 (Blocks A &amp; B only) </t>
  </si>
  <si>
    <t xml:space="preserve">Second</t>
  </si>
  <si>
    <t xml:space="preserve">5 (Blocks A &amp; B only) </t>
  </si>
  <si>
    <t xml:space="preserve">Third</t>
  </si>
  <si>
    <t xml:space="preserve">Fourth</t>
  </si>
  <si>
    <t xml:space="preserve">Fifth</t>
  </si>
  <si>
    <t xml:space="preserve">-</t>
  </si>
  <si>
    <t xml:space="preserve">Sixth</t>
  </si>
  <si>
    <t xml:space="preserve">G </t>
  </si>
  <si>
    <t xml:space="preserve">Total</t>
  </si>
  <si>
    <t xml:space="preserve">TOTAL </t>
  </si>
  <si>
    <t xml:space="preserve">Floors served</t>
  </si>
  <si>
    <t xml:space="preserve">Width (mm)</t>
  </si>
  <si>
    <t xml:space="preserve">Stair capacity equation</t>
  </si>
  <si>
    <t xml:space="preserve">P=200W+50(W-0.3)(N-1)</t>
  </si>
  <si>
    <t xml:space="preserve">Stair capacity Table</t>
  </si>
  <si>
    <t xml:space="preserve">Clear width (mm)</t>
  </si>
  <si>
    <t xml:space="preserve">Clear width</t>
  </si>
  <si>
    <t xml:space="preserve">Floors</t>
  </si>
  <si>
    <t xml:space="preserve">Building is designed in accordance with ADB</t>
  </si>
  <si>
    <t xml:space="preserve">&gt;1,050</t>
  </si>
  <si>
    <t xml:space="preserve">1 person / 5mm</t>
  </si>
  <si>
    <t xml:space="preserve">Block</t>
  </si>
  <si>
    <t xml:space="preserve">Storey exit width</t>
  </si>
  <si>
    <t xml:space="preserve">Merging flow capacity</t>
  </si>
  <si>
    <t xml:space="preserve">StoreyExit 5</t>
  </si>
  <si>
    <t xml:space="preserve">FinalExit 7</t>
  </si>
  <si>
    <t xml:space="preserve">If Area is on upper floor</t>
  </si>
  <si>
    <t xml:space="preserve">Capacity = </t>
  </si>
  <si>
    <t xml:space="preserve">If Area is on final exit level of all stairs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</si>
</sst>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"/>
    <numFmt numFmtId="167" formatCode="#,##0"/>
    <numFmt numFmtId="168" formatCode="0"/>
    <numFmt numFmtId="169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272160</xdr:colOff>
      <xdr:row>11</xdr:row>
      <xdr:rowOff>90720</xdr:rowOff>
    </xdr:from>
    <xdr:to>
      <xdr:col>18</xdr:col>
      <xdr:colOff>64080</xdr:colOff>
      <xdr:row>17</xdr:row>
      <xdr:rowOff>14040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6114680" y="2081520"/>
          <a:ext cx="3157560" cy="1009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48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B13" activeCellId="0" sqref="B13"/>
    </sheetView>
  </sheetViews>
  <sheetFormatPr defaultColWidth="8.6953125" defaultRowHeight="14.25" zeroHeight="false" outlineLevelRow="0" outlineLevelCol="0"/>
  <cols>
    <col collapsed="false" customWidth="true" hidden="false" outlineLevel="0" max="2" min="2" style="0" width="23.81"/>
    <col collapsed="false" customWidth="true" hidden="false" outlineLevel="0" max="3" min="3" style="0" width="13.17"/>
    <col collapsed="false" customWidth="true" hidden="false" outlineLevel="0" max="4" min="4" style="0" width="11.45"/>
    <col collapsed="false" customWidth="true" hidden="false" outlineLevel="0" max="5" min="5" style="0" width="9"/>
    <col collapsed="false" customWidth="true" hidden="false" outlineLevel="0" max="6" min="6" style="0" width="25.27"/>
    <col collapsed="false" customWidth="true" hidden="false" outlineLevel="0" max="7" min="7" style="0" width="7.82"/>
    <col collapsed="false" customWidth="true" hidden="false" outlineLevel="0" max="8" min="8" style="0" width="15.72"/>
    <col collapsed="false" customWidth="true" hidden="false" outlineLevel="0" max="9" min="9" style="0" width="8.45"/>
    <col collapsed="false" customWidth="true" hidden="false" outlineLevel="0" max="10" min="10" style="0" width="18.46"/>
    <col collapsed="false" customWidth="true" hidden="false" outlineLevel="0" max="11" min="11" style="0" width="8.45"/>
    <col collapsed="false" customWidth="true" hidden="false" outlineLevel="0" max="12" min="12" style="0" width="9.46"/>
    <col collapsed="false" customWidth="true" hidden="false" outlineLevel="0" max="13" min="13" style="0" width="13.44"/>
    <col collapsed="false" customWidth="true" hidden="false" outlineLevel="0" max="14" min="14" style="0" width="11.72"/>
    <col collapsed="false" customWidth="true" hidden="false" outlineLevel="0" max="15" min="15" style="0" width="31.01"/>
    <col collapsed="false" customWidth="true" hidden="false" outlineLevel="0" max="16" min="16" style="0" width="27.46"/>
    <col collapsed="false" customWidth="true" hidden="false" outlineLevel="0" max="17" min="17" style="0" width="24.45"/>
  </cols>
  <sheetData>
    <row r="2" customFormat="false" ht="14.25" hidden="false" customHeight="false" outlineLevel="0" collapsed="false">
      <c r="B2" s="1" t="s">
        <v>0</v>
      </c>
      <c r="K2" s="1" t="s">
        <v>1</v>
      </c>
      <c r="L2" s="1"/>
      <c r="O2" s="1" t="s">
        <v>2</v>
      </c>
    </row>
    <row r="3" customFormat="false" ht="14.25" hidden="false" customHeight="false" outlineLevel="0" collapsed="false"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/>
      <c r="L3" s="2"/>
      <c r="O3" s="2" t="s">
        <v>10</v>
      </c>
    </row>
    <row r="4" customFormat="false" ht="14.25" hidden="false" customHeight="false" outlineLevel="0" collapsed="false">
      <c r="B4" s="1" t="s">
        <v>11</v>
      </c>
      <c r="C4" s="3" t="n">
        <v>3.9</v>
      </c>
      <c r="D4" s="3" t="n">
        <v>3.4</v>
      </c>
      <c r="E4" s="3" t="n">
        <v>2.95</v>
      </c>
      <c r="F4" s="3" t="n">
        <v>2.45</v>
      </c>
      <c r="G4" s="3" t="n">
        <v>2.15</v>
      </c>
      <c r="H4" s="3" t="n">
        <v>2</v>
      </c>
      <c r="I4" s="3" t="n">
        <v>1.8</v>
      </c>
      <c r="J4" s="3"/>
      <c r="K4" s="1" t="s">
        <v>11</v>
      </c>
      <c r="L4" s="3" t="n">
        <v>3.3</v>
      </c>
      <c r="O4" s="0" t="s">
        <v>12</v>
      </c>
    </row>
    <row r="5" customFormat="false" ht="14.25" hidden="false" customHeight="false" outlineLevel="0" collapsed="false">
      <c r="B5" s="1" t="s">
        <v>13</v>
      </c>
      <c r="C5" s="3" t="n">
        <v>4.5</v>
      </c>
      <c r="D5" s="3" t="n">
        <v>3.8</v>
      </c>
      <c r="E5" s="3" t="n">
        <v>3.25</v>
      </c>
      <c r="F5" s="3" t="n">
        <v>2.75</v>
      </c>
      <c r="G5" s="3" t="n">
        <v>2.45</v>
      </c>
      <c r="H5" s="3" t="n">
        <v>2.2</v>
      </c>
      <c r="I5" s="3" t="n">
        <v>2</v>
      </c>
      <c r="J5" s="3"/>
      <c r="K5" s="1" t="s">
        <v>13</v>
      </c>
      <c r="L5" s="3" t="n">
        <v>3.6</v>
      </c>
      <c r="O5" s="0" t="s">
        <v>14</v>
      </c>
    </row>
    <row r="6" customFormat="false" ht="14.25" hidden="false" customHeight="false" outlineLevel="0" collapsed="false">
      <c r="B6" s="1" t="s">
        <v>15</v>
      </c>
      <c r="C6" s="3" t="n">
        <v>5.4</v>
      </c>
      <c r="D6" s="3" t="n">
        <v>4.6</v>
      </c>
      <c r="E6" s="3" t="n">
        <v>4</v>
      </c>
      <c r="F6" s="3" t="n">
        <v>3.5</v>
      </c>
      <c r="G6" s="3" t="n">
        <v>3.1</v>
      </c>
      <c r="H6" s="3" t="n">
        <v>2.8</v>
      </c>
      <c r="I6" s="3" t="n">
        <v>2.6</v>
      </c>
      <c r="J6" s="3"/>
      <c r="K6" s="1" t="s">
        <v>15</v>
      </c>
      <c r="L6" s="3" t="n">
        <v>4.6</v>
      </c>
      <c r="O6" s="0" t="s">
        <v>16</v>
      </c>
    </row>
    <row r="7" customFormat="false" ht="14.25" hidden="false" customHeight="false" outlineLevel="0" collapsed="false">
      <c r="B7" s="1" t="s">
        <v>17</v>
      </c>
      <c r="C7" s="3" t="n">
        <v>4.2</v>
      </c>
      <c r="D7" s="3" t="n">
        <v>3.6</v>
      </c>
      <c r="E7" s="3" t="n">
        <v>3.1</v>
      </c>
      <c r="F7" s="3" t="n">
        <v>2.6</v>
      </c>
      <c r="G7" s="3" t="n">
        <v>2.3</v>
      </c>
      <c r="H7" s="3" t="n">
        <v>2.1</v>
      </c>
      <c r="I7" s="3" t="n">
        <v>1.9</v>
      </c>
      <c r="J7" s="3"/>
      <c r="K7" s="1" t="s">
        <v>17</v>
      </c>
      <c r="L7" s="3" t="n">
        <v>3.6</v>
      </c>
    </row>
    <row r="8" customFormat="false" ht="14.25" hidden="false" customHeight="false" outlineLevel="0" collapsed="false">
      <c r="B8" s="1" t="s">
        <v>18</v>
      </c>
      <c r="C8" s="3" t="n">
        <v>4.8</v>
      </c>
      <c r="D8" s="3" t="n">
        <v>4</v>
      </c>
      <c r="E8" s="3" t="n">
        <v>3.4</v>
      </c>
      <c r="F8" s="3" t="n">
        <v>2.9</v>
      </c>
      <c r="G8" s="3" t="n">
        <v>2.6</v>
      </c>
      <c r="H8" s="3" t="n">
        <v>2.3</v>
      </c>
      <c r="I8" s="3" t="n">
        <v>2.1</v>
      </c>
      <c r="J8" s="3"/>
      <c r="K8" s="1" t="s">
        <v>18</v>
      </c>
      <c r="L8" s="3" t="n">
        <v>4.1</v>
      </c>
    </row>
    <row r="9" customFormat="false" ht="14.25" hidden="false" customHeight="false" outlineLevel="0" collapsed="false">
      <c r="B9" s="1" t="s">
        <v>19</v>
      </c>
      <c r="C9" s="3" t="n">
        <v>7</v>
      </c>
      <c r="D9" s="3" t="n">
        <v>6</v>
      </c>
      <c r="E9" s="3" t="n">
        <v>5.3</v>
      </c>
      <c r="F9" s="3" t="n">
        <v>4.6</v>
      </c>
      <c r="G9" s="3" t="n">
        <v>4.2</v>
      </c>
      <c r="H9" s="3" t="n">
        <v>3.7</v>
      </c>
      <c r="I9" s="3" t="n">
        <v>3.4</v>
      </c>
      <c r="J9" s="3"/>
      <c r="K9" s="1" t="s">
        <v>19</v>
      </c>
      <c r="L9" s="3" t="n">
        <v>6</v>
      </c>
    </row>
    <row r="10" customFormat="false" ht="14.25" hidden="false" customHeight="false" outlineLevel="0" collapsed="false">
      <c r="B10" s="1"/>
    </row>
    <row r="11" customFormat="false" ht="14.25" hidden="false" customHeight="false" outlineLevel="0" collapsed="false">
      <c r="B11" s="1" t="s">
        <v>20</v>
      </c>
    </row>
    <row r="12" customFormat="false" ht="14.25" hidden="false" customHeight="false" outlineLevel="0" collapsed="false"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/>
      <c r="K12" s="1" t="s">
        <v>21</v>
      </c>
    </row>
    <row r="13" customFormat="false" ht="14.25" hidden="false" customHeight="false" outlineLevel="0" collapsed="false">
      <c r="B13" s="1" t="s">
        <v>11</v>
      </c>
      <c r="C13" s="4" t="n">
        <f aca="false">C4*0.85</f>
        <v>3.315</v>
      </c>
      <c r="D13" s="4" t="n">
        <f aca="false">D4*0.85</f>
        <v>2.89</v>
      </c>
      <c r="E13" s="4" t="n">
        <f aca="false">E4*0.85</f>
        <v>2.5075</v>
      </c>
      <c r="F13" s="4" t="n">
        <f aca="false">F4*0.85</f>
        <v>2.0825</v>
      </c>
      <c r="G13" s="4" t="n">
        <f aca="false">G4*0.85</f>
        <v>1.8275</v>
      </c>
      <c r="H13" s="4" t="n">
        <f aca="false">H4*0.85</f>
        <v>1.7</v>
      </c>
      <c r="I13" s="4" t="n">
        <f aca="false">I4*0.85</f>
        <v>1.53</v>
      </c>
      <c r="J13" s="4"/>
      <c r="K13" s="1" t="s">
        <v>11</v>
      </c>
      <c r="L13" s="3" t="n">
        <f aca="false">L4*0.85</f>
        <v>2.805</v>
      </c>
    </row>
    <row r="14" customFormat="false" ht="14.25" hidden="false" customHeight="false" outlineLevel="0" collapsed="false">
      <c r="B14" s="1" t="s">
        <v>13</v>
      </c>
      <c r="C14" s="4" t="n">
        <f aca="false">C5*0.85</f>
        <v>3.825</v>
      </c>
      <c r="D14" s="4" t="n">
        <f aca="false">D5*0.85</f>
        <v>3.23</v>
      </c>
      <c r="E14" s="4" t="n">
        <f aca="false">E5*0.85</f>
        <v>2.7625</v>
      </c>
      <c r="F14" s="4" t="n">
        <f aca="false">F5*0.85</f>
        <v>2.3375</v>
      </c>
      <c r="G14" s="4" t="n">
        <f aca="false">G5*0.85</f>
        <v>2.0825</v>
      </c>
      <c r="H14" s="4" t="n">
        <f aca="false">H5*0.85</f>
        <v>1.87</v>
      </c>
      <c r="I14" s="4" t="n">
        <f aca="false">I5*0.85</f>
        <v>1.7</v>
      </c>
      <c r="J14" s="4"/>
      <c r="K14" s="1" t="s">
        <v>13</v>
      </c>
      <c r="L14" s="3" t="n">
        <f aca="false">L5*0.85</f>
        <v>3.06</v>
      </c>
    </row>
    <row r="15" customFormat="false" ht="14.25" hidden="false" customHeight="false" outlineLevel="0" collapsed="false">
      <c r="B15" s="1" t="s">
        <v>15</v>
      </c>
      <c r="C15" s="4" t="n">
        <f aca="false">C6*0.85</f>
        <v>4.59</v>
      </c>
      <c r="D15" s="4" t="n">
        <f aca="false">D6*0.85</f>
        <v>3.91</v>
      </c>
      <c r="E15" s="4" t="n">
        <f aca="false">E6*0.85</f>
        <v>3.4</v>
      </c>
      <c r="F15" s="4" t="n">
        <f aca="false">F6*0.85</f>
        <v>2.975</v>
      </c>
      <c r="G15" s="4" t="n">
        <f aca="false">G6*0.85</f>
        <v>2.635</v>
      </c>
      <c r="H15" s="4" t="n">
        <f aca="false">H6*0.85</f>
        <v>2.38</v>
      </c>
      <c r="I15" s="4" t="n">
        <f aca="false">I6*0.85</f>
        <v>2.21</v>
      </c>
      <c r="J15" s="4"/>
      <c r="K15" s="1" t="s">
        <v>15</v>
      </c>
      <c r="L15" s="3" t="n">
        <f aca="false">L6*0.85</f>
        <v>3.91</v>
      </c>
    </row>
    <row r="16" customFormat="false" ht="14.25" hidden="false" customHeight="false" outlineLevel="0" collapsed="false">
      <c r="B16" s="1" t="s">
        <v>17</v>
      </c>
      <c r="C16" s="4" t="n">
        <f aca="false">C7*0.85</f>
        <v>3.57</v>
      </c>
      <c r="D16" s="4" t="n">
        <f aca="false">D7*0.85</f>
        <v>3.06</v>
      </c>
      <c r="E16" s="4" t="n">
        <f aca="false">E7*0.85</f>
        <v>2.635</v>
      </c>
      <c r="F16" s="4" t="n">
        <f aca="false">F7*0.85</f>
        <v>2.21</v>
      </c>
      <c r="G16" s="4" t="n">
        <f aca="false">G7*0.85</f>
        <v>1.955</v>
      </c>
      <c r="H16" s="4" t="n">
        <f aca="false">H7*0.85</f>
        <v>1.785</v>
      </c>
      <c r="I16" s="4" t="n">
        <f aca="false">I7*0.85</f>
        <v>1.615</v>
      </c>
      <c r="J16" s="4"/>
      <c r="K16" s="1" t="s">
        <v>17</v>
      </c>
      <c r="L16" s="3" t="n">
        <f aca="false">L7*0.85</f>
        <v>3.06</v>
      </c>
    </row>
    <row r="17" customFormat="false" ht="14.25" hidden="false" customHeight="false" outlineLevel="0" collapsed="false">
      <c r="B17" s="1" t="s">
        <v>18</v>
      </c>
      <c r="C17" s="4" t="n">
        <f aca="false">C8*0.85</f>
        <v>4.08</v>
      </c>
      <c r="D17" s="4" t="n">
        <f aca="false">D8*0.85</f>
        <v>3.4</v>
      </c>
      <c r="E17" s="4" t="n">
        <f aca="false">E8*0.85</f>
        <v>2.89</v>
      </c>
      <c r="F17" s="4" t="n">
        <f aca="false">F8*0.85</f>
        <v>2.465</v>
      </c>
      <c r="G17" s="4" t="n">
        <f aca="false">G8*0.85</f>
        <v>2.21</v>
      </c>
      <c r="H17" s="4" t="n">
        <f aca="false">H8*0.85</f>
        <v>1.955</v>
      </c>
      <c r="I17" s="4" t="n">
        <f aca="false">I8*0.85</f>
        <v>1.785</v>
      </c>
      <c r="J17" s="4"/>
      <c r="K17" s="1" t="s">
        <v>18</v>
      </c>
      <c r="L17" s="3" t="n">
        <f aca="false">L8*0.85</f>
        <v>3.485</v>
      </c>
    </row>
    <row r="18" customFormat="false" ht="14.25" hidden="false" customHeight="false" outlineLevel="0" collapsed="false">
      <c r="B18" s="1" t="s">
        <v>19</v>
      </c>
      <c r="C18" s="4" t="n">
        <f aca="false">C9*0.85</f>
        <v>5.95</v>
      </c>
      <c r="D18" s="4" t="n">
        <f aca="false">D9*0.85</f>
        <v>5.1</v>
      </c>
      <c r="E18" s="4" t="n">
        <f aca="false">E9*0.85</f>
        <v>4.505</v>
      </c>
      <c r="F18" s="4" t="n">
        <f aca="false">F9*0.85</f>
        <v>3.91</v>
      </c>
      <c r="G18" s="4" t="n">
        <f aca="false">G9*0.85</f>
        <v>3.57</v>
      </c>
      <c r="H18" s="4" t="n">
        <f aca="false">H9*0.85</f>
        <v>3.145</v>
      </c>
      <c r="I18" s="4" t="n">
        <f aca="false">I9*0.85</f>
        <v>2.89</v>
      </c>
      <c r="J18" s="4"/>
      <c r="K18" s="1" t="s">
        <v>19</v>
      </c>
      <c r="L18" s="3" t="n">
        <f aca="false">L9*0.85</f>
        <v>5.1</v>
      </c>
    </row>
    <row r="22" customFormat="false" ht="14.25" hidden="false" customHeight="false" outlineLevel="0" collapsed="false"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/>
      <c r="M22" s="1" t="s">
        <v>31</v>
      </c>
      <c r="N22" s="1" t="s">
        <v>27</v>
      </c>
      <c r="O22" s="1" t="s">
        <v>32</v>
      </c>
      <c r="P22" s="1" t="s">
        <v>33</v>
      </c>
      <c r="Q22" s="1" t="s">
        <v>34</v>
      </c>
      <c r="R22" s="1" t="s">
        <v>35</v>
      </c>
    </row>
    <row r="23" customFormat="false" ht="14.25" hidden="false" customHeight="false" outlineLevel="0" collapsed="false">
      <c r="B23" s="0" t="s">
        <v>36</v>
      </c>
      <c r="C23" s="5" t="s">
        <v>37</v>
      </c>
      <c r="D23" s="6" t="n">
        <v>1100</v>
      </c>
      <c r="E23" s="5" t="n">
        <v>6</v>
      </c>
      <c r="F23" s="7" t="n">
        <f aca="false">$H$13</f>
        <v>1.7</v>
      </c>
      <c r="G23" s="8" t="n">
        <f aca="false">D23/F23</f>
        <v>647.058823529412</v>
      </c>
      <c r="H23" s="5" t="n">
        <f aca="false">ROUNDDOWN(G23/E23,0)</f>
        <v>107</v>
      </c>
      <c r="I23" s="5" t="s">
        <v>38</v>
      </c>
      <c r="J23" s="5" t="n">
        <f aca="false">ROUNDDOWN(500/$L$13,0)</f>
        <v>178</v>
      </c>
      <c r="K23" s="5"/>
      <c r="M23" s="9" t="n">
        <v>1500</v>
      </c>
      <c r="N23" s="10" t="n">
        <f aca="false">G23</f>
        <v>647.058823529412</v>
      </c>
      <c r="O23" s="0" t="n">
        <f aca="false">ROUNDDOWN(N23/E23,0)</f>
        <v>107</v>
      </c>
      <c r="P23" s="0" t="n">
        <f aca="false">ROUNDDOWN((M23-500-0.75*D23)/$L$13,0)</f>
        <v>62</v>
      </c>
      <c r="Q23" s="0" t="n">
        <f aca="false">ROUNDDOWN(P23/2,0)</f>
        <v>31</v>
      </c>
      <c r="R23" s="11" t="s">
        <v>39</v>
      </c>
    </row>
    <row r="24" customFormat="false" ht="14.25" hidden="false" customHeight="false" outlineLevel="0" collapsed="false">
      <c r="B24" s="0" t="s">
        <v>36</v>
      </c>
      <c r="C24" s="5" t="s">
        <v>40</v>
      </c>
      <c r="D24" s="6" t="n">
        <v>1100</v>
      </c>
      <c r="E24" s="5" t="n">
        <v>6</v>
      </c>
      <c r="F24" s="7" t="n">
        <f aca="false">$H$13</f>
        <v>1.7</v>
      </c>
      <c r="G24" s="8" t="n">
        <f aca="false">D24/F24</f>
        <v>647.058823529412</v>
      </c>
      <c r="H24" s="5" t="n">
        <f aca="false">ROUNDDOWN(G24/E24,0)</f>
        <v>107</v>
      </c>
      <c r="I24" s="5" t="s">
        <v>38</v>
      </c>
      <c r="J24" s="5" t="n">
        <f aca="false">ROUNDDOWN(500/$L$13,0)</f>
        <v>178</v>
      </c>
      <c r="K24" s="5"/>
      <c r="M24" s="9" t="n">
        <v>1500</v>
      </c>
      <c r="N24" s="10" t="n">
        <f aca="false">G24</f>
        <v>647.058823529412</v>
      </c>
      <c r="O24" s="0" t="n">
        <f aca="false">ROUNDDOWN(N24/E24,0)</f>
        <v>107</v>
      </c>
      <c r="P24" s="0" t="n">
        <f aca="false">ROUNDDOWN((M24-0.75*D24)/$L$13,0)</f>
        <v>240</v>
      </c>
      <c r="Q24" s="0" t="n">
        <f aca="false">ROUNDDOWN(P24/2,0)</f>
        <v>120</v>
      </c>
    </row>
    <row r="25" customFormat="false" ht="14.25" hidden="false" customHeight="false" outlineLevel="0" collapsed="false">
      <c r="B25" s="0" t="s">
        <v>36</v>
      </c>
      <c r="C25" s="5" t="s">
        <v>41</v>
      </c>
      <c r="D25" s="6" t="n">
        <v>1100</v>
      </c>
      <c r="E25" s="5" t="n">
        <v>6</v>
      </c>
      <c r="F25" s="7" t="n">
        <f aca="false">$H$13</f>
        <v>1.7</v>
      </c>
      <c r="G25" s="8" t="n">
        <f aca="false">D25/F25</f>
        <v>647.058823529412</v>
      </c>
      <c r="H25" s="5" t="n">
        <f aca="false">ROUNDDOWN(G25/E25,0)</f>
        <v>107</v>
      </c>
      <c r="I25" s="5" t="s">
        <v>38</v>
      </c>
      <c r="J25" s="5" t="n">
        <f aca="false">ROUNDDOWN(500/$L$13,0)</f>
        <v>178</v>
      </c>
      <c r="K25" s="5"/>
      <c r="M25" s="9" t="n">
        <v>1500</v>
      </c>
      <c r="N25" s="10" t="n">
        <f aca="false">G25</f>
        <v>647.058823529412</v>
      </c>
      <c r="O25" s="0" t="n">
        <f aca="false">ROUNDDOWN(N25/E25,0)</f>
        <v>107</v>
      </c>
      <c r="P25" s="0" t="n">
        <f aca="false">ROUNDDOWN((M25-0.75*D25)/$L$13,0)</f>
        <v>240</v>
      </c>
      <c r="Q25" s="0" t="n">
        <f aca="false">ROUNDDOWN(P25/2,0)</f>
        <v>120</v>
      </c>
      <c r="R25" s="11"/>
    </row>
    <row r="26" customFormat="false" ht="14.25" hidden="false" customHeight="false" outlineLevel="0" collapsed="false">
      <c r="B26" s="0" t="s">
        <v>36</v>
      </c>
      <c r="C26" s="5" t="s">
        <v>42</v>
      </c>
      <c r="D26" s="6" t="n">
        <v>1100</v>
      </c>
      <c r="E26" s="5" t="n">
        <v>6</v>
      </c>
      <c r="F26" s="7" t="n">
        <f aca="false">$H$13</f>
        <v>1.7</v>
      </c>
      <c r="G26" s="8" t="n">
        <f aca="false">D26/F26</f>
        <v>647.058823529412</v>
      </c>
      <c r="H26" s="5" t="n">
        <f aca="false">ROUNDDOWN(G26/E26,0)</f>
        <v>107</v>
      </c>
      <c r="I26" s="5" t="s">
        <v>38</v>
      </c>
      <c r="J26" s="5" t="n">
        <f aca="false">ROUNDDOWN(500/$L$13,0)</f>
        <v>178</v>
      </c>
      <c r="K26" s="5"/>
      <c r="M26" s="9" t="n">
        <v>1500</v>
      </c>
      <c r="N26" s="10" t="n">
        <f aca="false">G26</f>
        <v>647.058823529412</v>
      </c>
      <c r="O26" s="0" t="n">
        <f aca="false">ROUNDDOWN(N26/E26,0)</f>
        <v>107</v>
      </c>
      <c r="P26" s="0" t="n">
        <f aca="false">ROUNDDOWN((M26-500-0.75*D26)/$L$13,0)</f>
        <v>62</v>
      </c>
      <c r="Q26" s="0" t="n">
        <f aca="false">ROUNDDOWN(P26/2,0)</f>
        <v>31</v>
      </c>
      <c r="R26" s="11" t="s">
        <v>39</v>
      </c>
    </row>
    <row r="27" customFormat="false" ht="14.25" hidden="false" customHeight="false" outlineLevel="0" collapsed="false">
      <c r="B27" s="0" t="s">
        <v>43</v>
      </c>
      <c r="C27" s="5" t="s">
        <v>44</v>
      </c>
      <c r="D27" s="6" t="n">
        <v>1100</v>
      </c>
      <c r="E27" s="5" t="n">
        <v>6</v>
      </c>
      <c r="F27" s="7" t="n">
        <f aca="false">$H$13</f>
        <v>1.7</v>
      </c>
      <c r="G27" s="8" t="n">
        <f aca="false">D27/F27</f>
        <v>647.058823529412</v>
      </c>
      <c r="H27" s="5" t="n">
        <f aca="false">ROUNDDOWN(G27/E27,0)</f>
        <v>107</v>
      </c>
      <c r="I27" s="5" t="s">
        <v>38</v>
      </c>
      <c r="J27" s="5" t="n">
        <f aca="false">ROUNDDOWN(500/$L$13,0)</f>
        <v>178</v>
      </c>
      <c r="K27" s="5"/>
      <c r="M27" s="9" t="n">
        <v>1500</v>
      </c>
      <c r="N27" s="10" t="n">
        <f aca="false">G27</f>
        <v>647.058823529412</v>
      </c>
      <c r="O27" s="0" t="n">
        <f aca="false">ROUNDDOWN(N27/E27,0)</f>
        <v>107</v>
      </c>
      <c r="P27" s="0" t="n">
        <f aca="false">ROUNDDOWN((M27-0.75*D27)/$L$13,0)</f>
        <v>240</v>
      </c>
      <c r="Q27" s="0" t="n">
        <f aca="false">ROUNDDOWN(P27/2,0)</f>
        <v>120</v>
      </c>
      <c r="R27" s="11"/>
    </row>
    <row r="28" customFormat="false" ht="14.25" hidden="false" customHeight="false" outlineLevel="0" collapsed="false">
      <c r="B28" s="0" t="s">
        <v>43</v>
      </c>
      <c r="C28" s="5" t="s">
        <v>45</v>
      </c>
      <c r="D28" s="6" t="n">
        <v>1100</v>
      </c>
      <c r="E28" s="5" t="n">
        <v>6</v>
      </c>
      <c r="F28" s="7" t="n">
        <f aca="false">$H$13</f>
        <v>1.7</v>
      </c>
      <c r="G28" s="8" t="n">
        <f aca="false">D28/F28</f>
        <v>647.058823529412</v>
      </c>
      <c r="H28" s="5" t="n">
        <f aca="false">ROUNDDOWN(G28/E28,0)</f>
        <v>107</v>
      </c>
      <c r="I28" s="5" t="s">
        <v>38</v>
      </c>
      <c r="J28" s="5" t="n">
        <f aca="false">ROUNDDOWN(500/$L$13,0)</f>
        <v>178</v>
      </c>
      <c r="K28" s="5"/>
      <c r="M28" s="9" t="n">
        <v>1500</v>
      </c>
      <c r="N28" s="10" t="n">
        <f aca="false">G28</f>
        <v>647.058823529412</v>
      </c>
      <c r="O28" s="0" t="n">
        <f aca="false">ROUNDDOWN(N28/E28,0)</f>
        <v>107</v>
      </c>
      <c r="P28" s="0" t="n">
        <f aca="false">ROUNDDOWN((M28-0.75*D28)/$L$13,0)</f>
        <v>240</v>
      </c>
      <c r="Q28" s="0" t="n">
        <f aca="false">ROUNDDOWN(P28/2,0)</f>
        <v>120</v>
      </c>
      <c r="R28" s="11"/>
    </row>
    <row r="29" customFormat="false" ht="14.25" hidden="false" customHeight="false" outlineLevel="0" collapsed="false">
      <c r="B29" s="0" t="s">
        <v>43</v>
      </c>
      <c r="C29" s="5" t="s">
        <v>46</v>
      </c>
      <c r="D29" s="6" t="n">
        <v>1100</v>
      </c>
      <c r="E29" s="5" t="n">
        <v>6</v>
      </c>
      <c r="F29" s="7" t="n">
        <f aca="false">$H$13</f>
        <v>1.7</v>
      </c>
      <c r="G29" s="8" t="n">
        <f aca="false">D29/F29</f>
        <v>647.058823529412</v>
      </c>
      <c r="H29" s="5" t="n">
        <f aca="false">ROUNDDOWN(G29/E29,0)</f>
        <v>107</v>
      </c>
      <c r="I29" s="5" t="s">
        <v>38</v>
      </c>
      <c r="J29" s="5" t="n">
        <f aca="false">ROUNDDOWN(500/$L$13,0)</f>
        <v>178</v>
      </c>
      <c r="K29" s="5"/>
      <c r="M29" s="9" t="n">
        <v>1500</v>
      </c>
      <c r="N29" s="10" t="n">
        <f aca="false">G29</f>
        <v>647.058823529412</v>
      </c>
      <c r="O29" s="0" t="n">
        <f aca="false">ROUNDDOWN(N29/E29,0)</f>
        <v>107</v>
      </c>
      <c r="P29" s="0" t="n">
        <f aca="false">ROUNDDOWN((M29-500-0.75*D29)/$L$13,0)</f>
        <v>62</v>
      </c>
      <c r="Q29" s="0" t="n">
        <f aca="false">ROUNDDOWN(P29/2,0)</f>
        <v>31</v>
      </c>
      <c r="R29" s="11" t="s">
        <v>39</v>
      </c>
    </row>
    <row r="30" customFormat="false" ht="14.25" hidden="false" customHeight="false" outlineLevel="0" collapsed="false">
      <c r="B30" s="0" t="s">
        <v>43</v>
      </c>
      <c r="C30" s="5" t="s">
        <v>47</v>
      </c>
      <c r="D30" s="6" t="n">
        <v>1100</v>
      </c>
      <c r="E30" s="5" t="n">
        <v>6</v>
      </c>
      <c r="F30" s="7" t="n">
        <f aca="false">$H$13</f>
        <v>1.7</v>
      </c>
      <c r="G30" s="8" t="n">
        <f aca="false">D30/F30</f>
        <v>647.058823529412</v>
      </c>
      <c r="H30" s="5" t="n">
        <f aca="false">ROUNDDOWN(G30/E30,0)</f>
        <v>107</v>
      </c>
      <c r="I30" s="5" t="s">
        <v>38</v>
      </c>
      <c r="J30" s="5" t="n">
        <f aca="false">ROUNDDOWN(500/$L$13,0)</f>
        <v>178</v>
      </c>
      <c r="K30" s="5"/>
      <c r="M30" s="9" t="n">
        <v>1500</v>
      </c>
      <c r="N30" s="10" t="n">
        <f aca="false">G30</f>
        <v>647.058823529412</v>
      </c>
      <c r="O30" s="0" t="n">
        <f aca="false">ROUNDDOWN(N30/E30,0)</f>
        <v>107</v>
      </c>
      <c r="P30" s="0" t="n">
        <f aca="false">ROUNDDOWN((M30-500-0.75*D30)/$L$13,0)</f>
        <v>62</v>
      </c>
      <c r="Q30" s="0" t="n">
        <f aca="false">ROUNDDOWN(P30/2,0)</f>
        <v>31</v>
      </c>
      <c r="R30" s="11" t="s">
        <v>39</v>
      </c>
    </row>
    <row r="31" customFormat="false" ht="14.25" hidden="false" customHeight="false" outlineLevel="0" collapsed="false">
      <c r="B31" s="0" t="s">
        <v>48</v>
      </c>
      <c r="C31" s="5" t="s">
        <v>49</v>
      </c>
      <c r="D31" s="6" t="n">
        <v>1100</v>
      </c>
      <c r="E31" s="5" t="n">
        <v>4</v>
      </c>
      <c r="F31" s="7" t="n">
        <f aca="false">$F$13</f>
        <v>2.0825</v>
      </c>
      <c r="G31" s="8" t="n">
        <f aca="false">D31/F31</f>
        <v>528.211284513806</v>
      </c>
      <c r="H31" s="5" t="n">
        <f aca="false">ROUNDDOWN(G31/E31,0)</f>
        <v>132</v>
      </c>
      <c r="I31" s="5" t="s">
        <v>38</v>
      </c>
      <c r="J31" s="5" t="n">
        <f aca="false">ROUNDDOWN(500/$L$13,0)</f>
        <v>178</v>
      </c>
      <c r="K31" s="5"/>
      <c r="M31" s="9" t="n">
        <v>1500</v>
      </c>
      <c r="N31" s="10" t="n">
        <f aca="false">G31</f>
        <v>528.211284513806</v>
      </c>
      <c r="O31" s="0" t="n">
        <f aca="false">ROUNDDOWN(N31/E31,0)</f>
        <v>132</v>
      </c>
      <c r="P31" s="0" t="n">
        <f aca="false">ROUNDDOWN((M31-0.75*D31)/$L$13,0)</f>
        <v>240</v>
      </c>
      <c r="Q31" s="0" t="n">
        <f aca="false">ROUNDDOWN(P31/2,0)</f>
        <v>120</v>
      </c>
    </row>
    <row r="32" customFormat="false" ht="14.25" hidden="false" customHeight="false" outlineLevel="0" collapsed="false">
      <c r="B32" s="0" t="s">
        <v>48</v>
      </c>
      <c r="C32" s="5" t="s">
        <v>50</v>
      </c>
      <c r="D32" s="6" t="n">
        <v>1100</v>
      </c>
      <c r="E32" s="5" t="n">
        <v>4</v>
      </c>
      <c r="F32" s="7" t="n">
        <f aca="false">$F$13</f>
        <v>2.0825</v>
      </c>
      <c r="G32" s="8" t="n">
        <f aca="false">D32/F32</f>
        <v>528.211284513806</v>
      </c>
      <c r="H32" s="5" t="n">
        <f aca="false">ROUNDDOWN(G32/E32,0)</f>
        <v>132</v>
      </c>
      <c r="I32" s="5" t="s">
        <v>38</v>
      </c>
      <c r="J32" s="5" t="n">
        <f aca="false">ROUNDDOWN(500/$L$13,0)</f>
        <v>178</v>
      </c>
      <c r="K32" s="5"/>
      <c r="M32" s="9" t="n">
        <v>1500</v>
      </c>
      <c r="N32" s="10" t="n">
        <f aca="false">G32</f>
        <v>528.211284513806</v>
      </c>
      <c r="O32" s="0" t="n">
        <f aca="false">ROUNDDOWN(N32/E32,0)</f>
        <v>132</v>
      </c>
      <c r="P32" s="0" t="n">
        <f aca="false">ROUNDDOWN((M32-500-0.75*D32)/$L$13,0)</f>
        <v>62</v>
      </c>
      <c r="Q32" s="0" t="n">
        <f aca="false">ROUNDDOWN(P32/2,0)</f>
        <v>31</v>
      </c>
      <c r="R32" s="11" t="s">
        <v>39</v>
      </c>
    </row>
    <row r="33" customFormat="false" ht="14.25" hidden="false" customHeight="false" outlineLevel="0" collapsed="false">
      <c r="B33" s="0" t="s">
        <v>48</v>
      </c>
      <c r="C33" s="5" t="s">
        <v>51</v>
      </c>
      <c r="D33" s="6" t="n">
        <v>1100</v>
      </c>
      <c r="E33" s="5" t="n">
        <v>4</v>
      </c>
      <c r="F33" s="7" t="n">
        <f aca="false">$F$13</f>
        <v>2.0825</v>
      </c>
      <c r="G33" s="8" t="n">
        <f aca="false">D33/F33</f>
        <v>528.211284513806</v>
      </c>
      <c r="H33" s="5" t="n">
        <f aca="false">ROUNDDOWN(G33/E33,0)</f>
        <v>132</v>
      </c>
      <c r="I33" s="5" t="s">
        <v>38</v>
      </c>
      <c r="J33" s="5" t="n">
        <f aca="false">ROUNDDOWN(500/$L$13,0)</f>
        <v>178</v>
      </c>
      <c r="K33" s="5"/>
      <c r="M33" s="9" t="n">
        <v>1500</v>
      </c>
      <c r="N33" s="10" t="n">
        <f aca="false">G33</f>
        <v>528.211284513806</v>
      </c>
      <c r="O33" s="0" t="n">
        <f aca="false">ROUNDDOWN(N33/E33,0)</f>
        <v>132</v>
      </c>
      <c r="P33" s="0" t="n">
        <f aca="false">ROUNDDOWN((M33-500-0.75*D33)/$L$13,0)</f>
        <v>62</v>
      </c>
      <c r="Q33" s="0" t="n">
        <f aca="false">ROUNDDOWN(P33/2,0)</f>
        <v>31</v>
      </c>
      <c r="R33" s="11" t="s">
        <v>39</v>
      </c>
    </row>
    <row r="34" customFormat="false" ht="14.25" hidden="false" customHeight="false" outlineLevel="0" collapsed="false">
      <c r="B34" s="0" t="s">
        <v>48</v>
      </c>
      <c r="C34" s="5" t="s">
        <v>52</v>
      </c>
      <c r="D34" s="6" t="n">
        <v>1100</v>
      </c>
      <c r="E34" s="5" t="n">
        <v>4</v>
      </c>
      <c r="F34" s="7" t="n">
        <f aca="false">$F$13</f>
        <v>2.0825</v>
      </c>
      <c r="G34" s="8" t="n">
        <f aca="false">D34/F34</f>
        <v>528.211284513806</v>
      </c>
      <c r="H34" s="5" t="n">
        <f aca="false">ROUNDDOWN(G34/E34,0)</f>
        <v>132</v>
      </c>
      <c r="I34" s="5" t="s">
        <v>38</v>
      </c>
      <c r="J34" s="5" t="n">
        <f aca="false">ROUNDDOWN(500/$L$13,0)</f>
        <v>178</v>
      </c>
      <c r="K34" s="5"/>
      <c r="M34" s="9" t="n">
        <v>1500</v>
      </c>
      <c r="N34" s="10" t="n">
        <f aca="false">G34</f>
        <v>528.211284513806</v>
      </c>
      <c r="O34" s="0" t="n">
        <f aca="false">ROUNDDOWN(N34/E34,0)</f>
        <v>132</v>
      </c>
      <c r="P34" s="0" t="n">
        <f aca="false">ROUNDDOWN((M34-0.75*D34)/$L$13,0)</f>
        <v>240</v>
      </c>
      <c r="Q34" s="0" t="n">
        <f aca="false">ROUNDDOWN(P34/2,0)</f>
        <v>120</v>
      </c>
    </row>
    <row r="37" customFormat="false" ht="14.25" hidden="false" customHeight="false" outlineLevel="0" collapsed="false">
      <c r="G37" s="1"/>
    </row>
    <row r="38" customFormat="false" ht="14.25" hidden="false" customHeight="false" outlineLevel="0" collapsed="false">
      <c r="B38" s="1"/>
      <c r="C38" s="12" t="s">
        <v>36</v>
      </c>
      <c r="D38" s="12" t="s">
        <v>43</v>
      </c>
      <c r="E38" s="12" t="s">
        <v>48</v>
      </c>
      <c r="G38" s="1" t="s">
        <v>35</v>
      </c>
    </row>
    <row r="39" customFormat="false" ht="28.5" hidden="false" customHeight="false" outlineLevel="0" collapsed="false">
      <c r="B39" s="1" t="s">
        <v>53</v>
      </c>
      <c r="C39" s="13" t="n">
        <f aca="false">SUMIF($B$23:$B$34,"="&amp;C$38,$P$23:$P$34)-_xlfn.MAXIFS($P$23:$P$34,$B$23:$B$34,"="&amp;C$38,$I$23:$I$34,"="&amp;"No")</f>
        <v>604</v>
      </c>
      <c r="D39" s="13" t="n">
        <f aca="false">SUMIF($B$23:$B$34,"="&amp;D$38,$P$23:$P$34)-_xlfn.MAXIFS($P$23:$P$34,$B$23:$B$34,"="&amp;D$38,$I$23:$I$34,"="&amp;"No")</f>
        <v>604</v>
      </c>
      <c r="E39" s="13" t="n">
        <f aca="false">SUMIF($B$23:$B$34,"="&amp;E$38,$P$23:$P$34)-_xlfn.MAXIFS($P$23:$P$34,$B$23:$B$34,"="&amp;E$38,$I$23:$I$34,"="&amp;"No")</f>
        <v>604</v>
      </c>
      <c r="F39" s="14"/>
      <c r="H39" s="14" t="s">
        <v>54</v>
      </c>
      <c r="M39" s="15" t="s">
        <v>55</v>
      </c>
      <c r="N39" s="15" t="s">
        <v>56</v>
      </c>
      <c r="O39" s="15" t="s">
        <v>57</v>
      </c>
      <c r="P39" s="15" t="s">
        <v>58</v>
      </c>
      <c r="Q39" s="15" t="s">
        <v>59</v>
      </c>
    </row>
    <row r="40" customFormat="false" ht="28.5" hidden="false" customHeight="false" outlineLevel="0" collapsed="false">
      <c r="B40" s="1" t="s">
        <v>60</v>
      </c>
      <c r="C40" s="13" t="n">
        <f aca="false">SUMIF($B$23:$B$34,"="&amp;C$38,$H$23:$H$34)-_xlfn.MAXIFS($H$23:$H$34,$B$23:$B$34,"="&amp;C$38,$I$23:$I$34,"="&amp;"No")</f>
        <v>428</v>
      </c>
      <c r="D40" s="13" t="n">
        <f aca="false">SUMIF($B$23:$B$34,"="&amp;D$38,$H$23:$H$34)-_xlfn.MAXIFS($H$23:$H$34,$B$23:$B$34,"="&amp;D$38,$I$23:$I$34,"="&amp;"No")</f>
        <v>428</v>
      </c>
      <c r="E40" s="13" t="n">
        <f aca="false">SUMIF($B$23:$B$34,"="&amp;E$38,$H$23:$H$34)-_xlfn.MAXIFS($H$23:$H$34,$B$23:$B$34,"="&amp;E$38,$I$23:$I$34,"="&amp;"No")</f>
        <v>528</v>
      </c>
      <c r="M40" s="16" t="s">
        <v>61</v>
      </c>
      <c r="N40" s="17" t="n">
        <v>3300</v>
      </c>
      <c r="O40" s="17" t="n">
        <f aca="false">N40/6</f>
        <v>550</v>
      </c>
      <c r="P40" s="17" t="n">
        <f aca="false">N40/10</f>
        <v>330</v>
      </c>
      <c r="Q40" s="18" t="n">
        <f aca="false">N40/SUM(C45:E45)</f>
        <v>3.85514018691589</v>
      </c>
    </row>
    <row r="41" customFormat="false" ht="28.5" hidden="false" customHeight="false" outlineLevel="0" collapsed="false">
      <c r="B41" s="1" t="s">
        <v>62</v>
      </c>
      <c r="C41" s="13" t="n">
        <f aca="false">SUMIF($B$23:$B$34,"="&amp;C$38,$H$23:$H$34)-_xlfn.MAXIFS($H$23:$H$34,$B$23:$B$34,"="&amp;C$38,$I$23:$I$34,"="&amp;"No")</f>
        <v>428</v>
      </c>
      <c r="D41" s="13" t="n">
        <f aca="false">SUMIF($B$23:$B$34,"="&amp;D$38,$H$23:$H$34)-_xlfn.MAXIFS($H$23:$H$34,$B$23:$B$34,"="&amp;D$38,$I$23:$I$34,"="&amp;"No")</f>
        <v>428</v>
      </c>
      <c r="E41" s="13" t="n">
        <f aca="false">SUMIF($B$23:$B$34,"="&amp;E$38,$H$23:$H$34)-_xlfn.MAXIFS($H$23:$H$34,$B$23:$B$34,"="&amp;E$38,$I$23:$I$34,"="&amp;"No")</f>
        <v>528</v>
      </c>
      <c r="M41" s="16" t="s">
        <v>63</v>
      </c>
      <c r="N41" s="17" t="n">
        <v>4680</v>
      </c>
      <c r="O41" s="17" t="n">
        <f aca="false">N41/6</f>
        <v>780</v>
      </c>
      <c r="P41" s="17" t="n">
        <f aca="false">N41/10</f>
        <v>468</v>
      </c>
      <c r="Q41" s="18" t="n">
        <f aca="false">N41/SUM(C44:E44)</f>
        <v>5.46728971962617</v>
      </c>
    </row>
    <row r="42" customFormat="false" ht="14.25" hidden="false" customHeight="false" outlineLevel="0" collapsed="false">
      <c r="B42" s="1" t="s">
        <v>64</v>
      </c>
      <c r="C42" s="13" t="n">
        <f aca="false">SUMIF($B$23:$B$34,"="&amp;C$38,$H$23:$H$34)-_xlfn.MAXIFS($H$23:$H$34,$B$23:$B$34,"="&amp;C$38,$I$23:$I$34,"="&amp;"No")</f>
        <v>428</v>
      </c>
      <c r="D42" s="13" t="n">
        <f aca="false">SUMIF($B$23:$B$34,"="&amp;D$38,$H$23:$H$34)-_xlfn.MAXIFS($H$23:$H$34,$B$23:$B$34,"="&amp;D$38,$I$23:$I$34,"="&amp;"No")</f>
        <v>428</v>
      </c>
      <c r="E42" s="13" t="n">
        <f aca="false">SUMIF($B$23:$B$34,"="&amp;E$38,$H$23:$H$34)-_xlfn.MAXIFS($H$23:$H$34,$B$23:$B$34,"="&amp;E$38,$I$23:$I$34,"="&amp;"No")</f>
        <v>528</v>
      </c>
      <c r="M42" s="16" t="n">
        <v>4</v>
      </c>
      <c r="N42" s="17" t="n">
        <v>8060</v>
      </c>
      <c r="O42" s="17" t="n">
        <f aca="false">N42/6</f>
        <v>1343.33333333333</v>
      </c>
      <c r="P42" s="17" t="n">
        <f aca="false">N42/10</f>
        <v>806</v>
      </c>
      <c r="Q42" s="18" t="n">
        <f aca="false">N42/SUM(C43:E43)</f>
        <v>5.82369942196532</v>
      </c>
    </row>
    <row r="43" customFormat="false" ht="14.25" hidden="false" customHeight="false" outlineLevel="0" collapsed="false">
      <c r="B43" s="1" t="s">
        <v>65</v>
      </c>
      <c r="C43" s="13" t="n">
        <f aca="false">SUMIF($B$23:$B$34,"="&amp;C$38,$H$23:$H$34)-_xlfn.MAXIFS($H$23:$H$34,$B$23:$B$34,"="&amp;C$38,$I$23:$I$34,"="&amp;"No")</f>
        <v>428</v>
      </c>
      <c r="D43" s="13" t="n">
        <f aca="false">SUMIF($B$23:$B$34,"="&amp;D$38,$H$23:$H$34)-_xlfn.MAXIFS($H$23:$H$34,$B$23:$B$34,"="&amp;D$38,$I$23:$I$34,"="&amp;"No")</f>
        <v>428</v>
      </c>
      <c r="E43" s="13" t="n">
        <f aca="false">SUMIF($B$23:$B$34,"="&amp;E$38,$H$23:$H$34)-_xlfn.MAXIFS($H$23:$H$34,$B$23:$B$34,"="&amp;E$38,$I$23:$I$34,"="&amp;"No")</f>
        <v>528</v>
      </c>
      <c r="M43" s="16" t="n">
        <v>3</v>
      </c>
      <c r="N43" s="17" t="n">
        <v>8060</v>
      </c>
      <c r="O43" s="17" t="n">
        <f aca="false">N43/6</f>
        <v>1343.33333333333</v>
      </c>
      <c r="P43" s="17" t="n">
        <f aca="false">N43/10</f>
        <v>806</v>
      </c>
      <c r="Q43" s="18" t="n">
        <f aca="false">N43/SUM(C42:E42)</f>
        <v>5.82369942196532</v>
      </c>
    </row>
    <row r="44" customFormat="false" ht="14.25" hidden="false" customHeight="false" outlineLevel="0" collapsed="false">
      <c r="B44" s="1" t="s">
        <v>66</v>
      </c>
      <c r="C44" s="13" t="n">
        <f aca="false">SUMIF($B$23:$B$34,"="&amp;C$38,$H$23:$H$34)-_xlfn.MAXIFS($H$23:$H$34,$B$23:$B$34,"="&amp;C$38,$I$23:$I$34,"="&amp;"No")</f>
        <v>428</v>
      </c>
      <c r="D44" s="13" t="n">
        <f aca="false">SUMIF($B$23:$B$34,"="&amp;D$38,$H$23:$H$34)-_xlfn.MAXIFS($H$23:$H$34,$B$23:$B$34,"="&amp;D$38,$I$23:$I$34,"="&amp;"No")</f>
        <v>428</v>
      </c>
      <c r="E44" s="13" t="s">
        <v>67</v>
      </c>
      <c r="M44" s="16" t="n">
        <v>2</v>
      </c>
      <c r="N44" s="17" t="n">
        <v>8060</v>
      </c>
      <c r="O44" s="17" t="n">
        <f aca="false">N44/6</f>
        <v>1343.33333333333</v>
      </c>
      <c r="P44" s="17" t="n">
        <f aca="false">N44/10</f>
        <v>806</v>
      </c>
      <c r="Q44" s="18" t="n">
        <f aca="false">N44/SUM(C41:E41)</f>
        <v>5.82369942196532</v>
      </c>
    </row>
    <row r="45" customFormat="false" ht="14.25" hidden="false" customHeight="false" outlineLevel="0" collapsed="false">
      <c r="B45" s="1" t="s">
        <v>68</v>
      </c>
      <c r="C45" s="13" t="n">
        <f aca="false">SUMIF($B$23:$B$34,"="&amp;C$38,$H$23:$H$34)-_xlfn.MAXIFS($H$23:$H$34,$B$23:$B$34,"="&amp;C$38,$I$23:$I$34,"="&amp;"No")</f>
        <v>428</v>
      </c>
      <c r="D45" s="13" t="n">
        <f aca="false">SUMIF($B$23:$B$34,"="&amp;D$38,$H$23:$H$34)-_xlfn.MAXIFS($H$23:$H$34,$B$23:$B$34,"="&amp;D$38,$I$23:$I$34,"="&amp;"No")</f>
        <v>428</v>
      </c>
      <c r="E45" s="13" t="s">
        <v>67</v>
      </c>
      <c r="M45" s="16" t="n">
        <v>1</v>
      </c>
      <c r="N45" s="17" t="n">
        <v>7960</v>
      </c>
      <c r="O45" s="17" t="n">
        <f aca="false">N45/6</f>
        <v>1326.66666666667</v>
      </c>
      <c r="P45" s="17" t="n">
        <f aca="false">N45/10</f>
        <v>796</v>
      </c>
      <c r="Q45" s="18" t="n">
        <f aca="false">N45/SUM(C40:E40)</f>
        <v>5.7514450867052</v>
      </c>
    </row>
    <row r="46" customFormat="false" ht="14.25" hidden="false" customHeight="false" outlineLevel="0" collapsed="false">
      <c r="C46" s="13"/>
      <c r="D46" s="13"/>
      <c r="E46" s="13"/>
      <c r="M46" s="16" t="s">
        <v>69</v>
      </c>
      <c r="N46" s="17" t="n">
        <v>7380</v>
      </c>
      <c r="O46" s="17" t="n">
        <f aca="false">N46/6</f>
        <v>1230</v>
      </c>
      <c r="P46" s="17" t="n">
        <f aca="false">N46/10</f>
        <v>738</v>
      </c>
      <c r="Q46" s="18" t="n">
        <f aca="false">N46/SUM(C39:E39)</f>
        <v>4.07284768211921</v>
      </c>
    </row>
    <row r="47" customFormat="false" ht="14.25" hidden="false" customHeight="false" outlineLevel="0" collapsed="false">
      <c r="B47" s="1" t="s">
        <v>70</v>
      </c>
      <c r="C47" s="12" t="n">
        <f aca="false">SUM(C39:C45)</f>
        <v>3172</v>
      </c>
      <c r="D47" s="12" t="n">
        <f aca="false">SUM(D39:D45)</f>
        <v>3172</v>
      </c>
      <c r="E47" s="12" t="n">
        <f aca="false">SUM(E39:E45)</f>
        <v>2716</v>
      </c>
      <c r="G47" s="1"/>
      <c r="M47" s="16" t="s">
        <v>71</v>
      </c>
      <c r="N47" s="17" t="n">
        <f aca="false">SUM(N40:N46)</f>
        <v>47500</v>
      </c>
      <c r="O47" s="17" t="n">
        <f aca="false">SUM(O40:O46)</f>
        <v>7916.66666666667</v>
      </c>
      <c r="P47" s="17" t="n">
        <f aca="false">SUM(P40:P46)</f>
        <v>4750</v>
      </c>
      <c r="Q47" s="18" t="e">
        <f aca="false">N47/SUM(C52:E52)</f>
        <v>#DIV/0!</v>
      </c>
    </row>
    <row r="48" customFormat="false" ht="14.25" hidden="false" customHeight="false" outlineLevel="0" collapsed="false">
      <c r="C48" s="19" t="n">
        <f aca="false">SUM(C47:E47)</f>
        <v>9060</v>
      </c>
      <c r="D48" s="19"/>
      <c r="E48" s="19"/>
    </row>
  </sheetData>
  <mergeCells count="1">
    <mergeCell ref="C48:E48"/>
  </mergeCell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&amp;L&amp;"Arial,Regular"&amp;9Contains &amp;"Arial,Italic"sensitive&amp;"Arial,Regular"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4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29" activeCellId="0" sqref="D29"/>
    </sheetView>
  </sheetViews>
  <sheetFormatPr defaultColWidth="8.6953125" defaultRowHeight="14.2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13.17"/>
    <col collapsed="false" customWidth="true" hidden="false" outlineLevel="0" max="4" min="4" style="0" width="15.81"/>
    <col collapsed="false" customWidth="true" hidden="false" outlineLevel="0" max="5" min="5" style="0" width="13.82"/>
    <col collapsed="false" customWidth="true" hidden="false" outlineLevel="0" max="6" min="6" style="0" width="11.91"/>
    <col collapsed="false" customWidth="true" hidden="false" outlineLevel="0" max="7" min="7" style="0" width="15.72"/>
    <col collapsed="false" customWidth="true" hidden="false" outlineLevel="0" max="8" min="8" style="0" width="17.91"/>
    <col collapsed="false" customWidth="true" hidden="false" outlineLevel="0" max="9" min="9" style="0" width="15.63"/>
    <col collapsed="false" customWidth="true" hidden="false" outlineLevel="0" max="10" min="10" style="0" width="18.09"/>
    <col collapsed="false" customWidth="true" hidden="false" outlineLevel="0" max="11" min="11" style="0" width="8.45"/>
    <col collapsed="false" customWidth="true" hidden="false" outlineLevel="0" max="12" min="12" style="0" width="9.46"/>
    <col collapsed="false" customWidth="true" hidden="false" outlineLevel="0" max="13" min="13" style="0" width="21.17"/>
    <col collapsed="false" customWidth="true" hidden="false" outlineLevel="0" max="15" min="15" style="0" width="16.45"/>
    <col collapsed="false" customWidth="true" hidden="false" outlineLevel="0" max="16" min="16" style="0" width="20.11"/>
    <col collapsed="false" customWidth="true" hidden="false" outlineLevel="0" max="17" min="17" style="0" width="18.91"/>
  </cols>
  <sheetData>
    <row r="1" customFormat="false" ht="14.25" hidden="false" customHeight="false" outlineLevel="0" collapsed="false">
      <c r="B1" s="1"/>
      <c r="F1" s="1" t="s">
        <v>72</v>
      </c>
      <c r="G1" s="1" t="s">
        <v>73</v>
      </c>
      <c r="H1" s="1" t="s">
        <v>27</v>
      </c>
    </row>
    <row r="2" customFormat="false" ht="14.25" hidden="false" customHeight="false" outlineLevel="0" collapsed="false">
      <c r="B2" s="1" t="s">
        <v>74</v>
      </c>
      <c r="C2" s="0" t="s">
        <v>75</v>
      </c>
      <c r="F2" s="0" t="n">
        <v>3</v>
      </c>
      <c r="G2" s="0" t="n">
        <v>1000</v>
      </c>
      <c r="H2" s="0" t="n">
        <f aca="false">200*(G2/1000)+50*((G2/1000)-0.3)*(F2-1)</f>
        <v>270</v>
      </c>
    </row>
    <row r="3" customFormat="false" ht="14.25" hidden="false" customHeight="false" outlineLevel="0" collapsed="false">
      <c r="B3" s="1"/>
    </row>
    <row r="4" customFormat="false" ht="14.25" hidden="false" customHeight="false" outlineLevel="0" collapsed="false">
      <c r="B4" s="1" t="s">
        <v>76</v>
      </c>
      <c r="M4" s="1"/>
    </row>
    <row r="5" customFormat="false" ht="14.25" hidden="false" customHeight="false" outlineLevel="0" collapsed="false">
      <c r="B5" s="18"/>
      <c r="C5" s="20" t="s">
        <v>77</v>
      </c>
      <c r="D5" s="20"/>
      <c r="E5" s="20"/>
      <c r="F5" s="20"/>
      <c r="G5" s="20"/>
      <c r="H5" s="20"/>
      <c r="I5" s="20"/>
      <c r="J5" s="20"/>
      <c r="K5" s="20"/>
      <c r="M5" s="1" t="s">
        <v>78</v>
      </c>
      <c r="N5" s="1" t="s">
        <v>27</v>
      </c>
      <c r="R5" s="1" t="s">
        <v>2</v>
      </c>
    </row>
    <row r="6" customFormat="false" ht="14.25" hidden="false" customHeight="false" outlineLevel="0" collapsed="false">
      <c r="B6" s="21" t="s">
        <v>79</v>
      </c>
      <c r="C6" s="22" t="n">
        <v>1000</v>
      </c>
      <c r="D6" s="22" t="n">
        <f aca="false">C6+100</f>
        <v>1100</v>
      </c>
      <c r="E6" s="22" t="n">
        <f aca="false">D6+100</f>
        <v>1200</v>
      </c>
      <c r="F6" s="22" t="n">
        <f aca="false">E6+100</f>
        <v>1300</v>
      </c>
      <c r="G6" s="22" t="n">
        <f aca="false">F6+100</f>
        <v>1400</v>
      </c>
      <c r="H6" s="22" t="n">
        <f aca="false">G6+100</f>
        <v>1500</v>
      </c>
      <c r="I6" s="22" t="n">
        <f aca="false">H6+100</f>
        <v>1600</v>
      </c>
      <c r="J6" s="22" t="n">
        <f aca="false">I6+100</f>
        <v>1700</v>
      </c>
      <c r="K6" s="22" t="n">
        <f aca="false">J6+100</f>
        <v>1800</v>
      </c>
      <c r="M6" s="1" t="n">
        <v>750</v>
      </c>
      <c r="N6" s="10" t="n">
        <v>60</v>
      </c>
      <c r="R6" s="2" t="s">
        <v>10</v>
      </c>
    </row>
    <row r="7" customFormat="false" ht="14.25" hidden="false" customHeight="false" outlineLevel="0" collapsed="false">
      <c r="B7" s="21" t="n">
        <v>1</v>
      </c>
      <c r="C7" s="23" t="n">
        <v>150</v>
      </c>
      <c r="D7" s="23" t="n">
        <v>220</v>
      </c>
      <c r="E7" s="23" t="n">
        <v>240</v>
      </c>
      <c r="F7" s="23" t="n">
        <v>260</v>
      </c>
      <c r="G7" s="23" t="n">
        <v>280</v>
      </c>
      <c r="H7" s="23" t="n">
        <v>300</v>
      </c>
      <c r="I7" s="23" t="n">
        <v>320</v>
      </c>
      <c r="J7" s="23" t="n">
        <v>340</v>
      </c>
      <c r="K7" s="23" t="n">
        <v>360</v>
      </c>
      <c r="M7" s="1" t="n">
        <v>850</v>
      </c>
      <c r="N7" s="10" t="n">
        <v>110</v>
      </c>
      <c r="R7" s="0" t="s">
        <v>80</v>
      </c>
    </row>
    <row r="8" customFormat="false" ht="14.25" hidden="false" customHeight="false" outlineLevel="0" collapsed="false">
      <c r="B8" s="21" t="n">
        <v>2</v>
      </c>
      <c r="C8" s="23" t="n">
        <v>190</v>
      </c>
      <c r="D8" s="23" t="n">
        <v>260</v>
      </c>
      <c r="E8" s="23" t="n">
        <v>285</v>
      </c>
      <c r="F8" s="23" t="n">
        <v>310</v>
      </c>
      <c r="G8" s="23" t="n">
        <v>335</v>
      </c>
      <c r="H8" s="23" t="n">
        <v>360</v>
      </c>
      <c r="I8" s="23" t="n">
        <v>385</v>
      </c>
      <c r="J8" s="23" t="n">
        <v>410</v>
      </c>
      <c r="K8" s="23" t="n">
        <v>435</v>
      </c>
      <c r="M8" s="1" t="n">
        <v>1050</v>
      </c>
      <c r="N8" s="10" t="n">
        <v>220</v>
      </c>
      <c r="R8" s="0" t="s">
        <v>14</v>
      </c>
    </row>
    <row r="9" customFormat="false" ht="14.25" hidden="false" customHeight="false" outlineLevel="0" collapsed="false">
      <c r="B9" s="21" t="n">
        <v>3</v>
      </c>
      <c r="C9" s="23" t="n">
        <v>230</v>
      </c>
      <c r="D9" s="23" t="n">
        <v>300</v>
      </c>
      <c r="E9" s="23" t="n">
        <v>330</v>
      </c>
      <c r="F9" s="23" t="n">
        <v>360</v>
      </c>
      <c r="G9" s="23" t="n">
        <v>390</v>
      </c>
      <c r="H9" s="23" t="n">
        <v>420</v>
      </c>
      <c r="I9" s="23" t="n">
        <v>450</v>
      </c>
      <c r="J9" s="23" t="n">
        <v>480</v>
      </c>
      <c r="K9" s="23" t="n">
        <v>510</v>
      </c>
      <c r="M9" s="24" t="s">
        <v>81</v>
      </c>
      <c r="N9" s="3" t="s">
        <v>82</v>
      </c>
      <c r="R9" s="0" t="s">
        <v>16</v>
      </c>
    </row>
    <row r="10" customFormat="false" ht="14.25" hidden="false" customHeight="false" outlineLevel="0" collapsed="false">
      <c r="B10" s="21" t="n">
        <v>4</v>
      </c>
      <c r="C10" s="23" t="n">
        <v>270</v>
      </c>
      <c r="D10" s="23" t="n">
        <v>340</v>
      </c>
      <c r="E10" s="23" t="n">
        <v>375</v>
      </c>
      <c r="F10" s="23" t="n">
        <v>410</v>
      </c>
      <c r="G10" s="23" t="n">
        <v>445</v>
      </c>
      <c r="H10" s="23" t="n">
        <v>480</v>
      </c>
      <c r="I10" s="23" t="n">
        <v>515</v>
      </c>
      <c r="J10" s="23" t="n">
        <v>550</v>
      </c>
      <c r="K10" s="23" t="n">
        <v>585</v>
      </c>
    </row>
    <row r="11" customFormat="false" ht="14.25" hidden="false" customHeight="false" outlineLevel="0" collapsed="false">
      <c r="B11" s="21" t="n">
        <v>5</v>
      </c>
      <c r="C11" s="23" t="n">
        <v>310</v>
      </c>
      <c r="D11" s="23" t="n">
        <v>380</v>
      </c>
      <c r="E11" s="23" t="n">
        <v>420</v>
      </c>
      <c r="F11" s="23" t="n">
        <v>460</v>
      </c>
      <c r="G11" s="23" t="n">
        <v>500</v>
      </c>
      <c r="H11" s="23" t="n">
        <v>540</v>
      </c>
      <c r="I11" s="23" t="n">
        <v>580</v>
      </c>
      <c r="J11" s="23" t="n">
        <v>620</v>
      </c>
      <c r="K11" s="23" t="n">
        <v>660</v>
      </c>
      <c r="L11" s="3"/>
    </row>
    <row r="12" customFormat="false" ht="14.25" hidden="false" customHeight="false" outlineLevel="0" collapsed="false">
      <c r="B12" s="21" t="n">
        <v>6</v>
      </c>
      <c r="C12" s="23" t="n">
        <v>350</v>
      </c>
      <c r="D12" s="23" t="n">
        <v>420</v>
      </c>
      <c r="E12" s="23" t="n">
        <v>465</v>
      </c>
      <c r="F12" s="23" t="n">
        <v>510</v>
      </c>
      <c r="G12" s="23" t="n">
        <v>555</v>
      </c>
      <c r="H12" s="23" t="n">
        <v>600</v>
      </c>
      <c r="I12" s="23" t="n">
        <v>645</v>
      </c>
      <c r="J12" s="23" t="n">
        <v>690</v>
      </c>
      <c r="K12" s="23" t="n">
        <v>735</v>
      </c>
      <c r="L12" s="3"/>
    </row>
    <row r="13" customFormat="false" ht="14.25" hidden="false" customHeight="false" outlineLevel="0" collapsed="false">
      <c r="B13" s="21" t="n">
        <v>7</v>
      </c>
      <c r="C13" s="23" t="n">
        <v>390</v>
      </c>
      <c r="D13" s="23" t="n">
        <v>460</v>
      </c>
      <c r="E13" s="23" t="n">
        <v>510</v>
      </c>
      <c r="F13" s="23" t="n">
        <v>560</v>
      </c>
      <c r="G13" s="23" t="n">
        <v>610</v>
      </c>
      <c r="H13" s="23" t="n">
        <v>660</v>
      </c>
      <c r="I13" s="23" t="n">
        <v>710</v>
      </c>
      <c r="J13" s="23" t="n">
        <v>760</v>
      </c>
      <c r="K13" s="23" t="n">
        <v>810</v>
      </c>
    </row>
    <row r="14" customFormat="false" ht="14.25" hidden="false" customHeight="false" outlineLevel="0" collapsed="false">
      <c r="B14" s="21" t="n">
        <v>8</v>
      </c>
      <c r="C14" s="23" t="n">
        <v>430</v>
      </c>
      <c r="D14" s="23" t="n">
        <v>500</v>
      </c>
      <c r="E14" s="23" t="n">
        <v>555</v>
      </c>
      <c r="F14" s="23" t="n">
        <v>610</v>
      </c>
      <c r="G14" s="23" t="n">
        <v>665</v>
      </c>
      <c r="H14" s="23" t="n">
        <v>720</v>
      </c>
      <c r="I14" s="23" t="n">
        <v>775</v>
      </c>
      <c r="J14" s="23" t="n">
        <v>830</v>
      </c>
      <c r="K14" s="23" t="n">
        <v>885</v>
      </c>
    </row>
    <row r="15" customFormat="false" ht="14.25" hidden="false" customHeight="false" outlineLevel="0" collapsed="false">
      <c r="B15" s="21" t="n">
        <v>9</v>
      </c>
      <c r="C15" s="23" t="n">
        <v>470</v>
      </c>
      <c r="D15" s="23" t="n">
        <v>540</v>
      </c>
      <c r="E15" s="23" t="n">
        <v>600</v>
      </c>
      <c r="F15" s="23" t="n">
        <v>660</v>
      </c>
      <c r="G15" s="23" t="n">
        <v>720</v>
      </c>
      <c r="H15" s="23" t="n">
        <v>780</v>
      </c>
      <c r="I15" s="23" t="n">
        <v>840</v>
      </c>
      <c r="J15" s="23" t="n">
        <v>900</v>
      </c>
      <c r="K15" s="23" t="n">
        <v>960</v>
      </c>
    </row>
    <row r="16" customFormat="false" ht="14.25" hidden="false" customHeight="false" outlineLevel="0" collapsed="false">
      <c r="B16" s="21" t="n">
        <v>10</v>
      </c>
      <c r="C16" s="23" t="n">
        <v>510</v>
      </c>
      <c r="D16" s="23" t="n">
        <v>580</v>
      </c>
      <c r="E16" s="23" t="n">
        <v>645</v>
      </c>
      <c r="F16" s="23" t="n">
        <v>710</v>
      </c>
      <c r="G16" s="23" t="n">
        <v>775</v>
      </c>
      <c r="H16" s="23" t="n">
        <v>840</v>
      </c>
      <c r="I16" s="23" t="n">
        <v>905</v>
      </c>
      <c r="J16" s="23" t="n">
        <v>970</v>
      </c>
      <c r="K16" s="23" t="n">
        <v>1035</v>
      </c>
    </row>
    <row r="17" customFormat="false" ht="14.25" hidden="false" customHeight="false" outlineLevel="0" collapsed="false">
      <c r="B17" s="1"/>
    </row>
    <row r="19" customFormat="false" ht="43.5" hidden="false" customHeight="false" outlineLevel="0" collapsed="false">
      <c r="B19" s="25" t="s">
        <v>83</v>
      </c>
      <c r="C19" s="25" t="s">
        <v>23</v>
      </c>
      <c r="D19" s="25" t="s">
        <v>24</v>
      </c>
      <c r="E19" s="25" t="s">
        <v>25</v>
      </c>
      <c r="F19" s="25" t="s">
        <v>27</v>
      </c>
      <c r="G19" s="25" t="s">
        <v>28</v>
      </c>
      <c r="H19" s="25" t="s">
        <v>29</v>
      </c>
      <c r="I19" s="25" t="s">
        <v>84</v>
      </c>
      <c r="J19" s="25" t="s">
        <v>30</v>
      </c>
      <c r="K19" s="25"/>
      <c r="L19" s="26"/>
      <c r="M19" s="25" t="s">
        <v>31</v>
      </c>
      <c r="N19" s="25" t="s">
        <v>27</v>
      </c>
      <c r="O19" s="25" t="s">
        <v>32</v>
      </c>
      <c r="P19" s="1" t="s">
        <v>85</v>
      </c>
      <c r="Q19" s="1" t="s">
        <v>34</v>
      </c>
      <c r="R19" s="1" t="s">
        <v>35</v>
      </c>
    </row>
    <row r="20" customFormat="false" ht="13.8" hidden="false" customHeight="false" outlineLevel="0" collapsed="false">
      <c r="B20" s="0" t="s">
        <v>36</v>
      </c>
      <c r="C20" s="5" t="s">
        <v>37</v>
      </c>
      <c r="D20" s="6" t="n">
        <v>1000</v>
      </c>
      <c r="E20" s="5" t="n">
        <v>3</v>
      </c>
      <c r="F20" s="8" t="n">
        <v>230</v>
      </c>
      <c r="G20" s="5" t="n">
        <f aca="false">ROUNDDOWN(F20/E20,0)</f>
        <v>76</v>
      </c>
      <c r="H20" s="5" t="s">
        <v>38</v>
      </c>
      <c r="I20" s="0" t="n">
        <v>1050</v>
      </c>
      <c r="J20" s="5" t="n">
        <f aca="false" t="array" ref="J20:J20">_xlfn.IFS(AND($I20&gt;=$M$6,$I20&lt;$M$7),$N$6,AND($I20&gt;=$M$7,$I20&lt;$M$8),$N$7,$I20&gt;=$M$8,$N$8+($I20-$M$8)/5)</f>
        <v>220</v>
      </c>
      <c r="K20" s="5"/>
      <c r="M20" s="9" t="n">
        <f aca="false">1050+0.5*1050</f>
        <v>1575</v>
      </c>
      <c r="N20" s="5" t="n">
        <f aca="false" t="array" ref="N20:N20">_xlfn.IFS(AND($M20&gt;=$M$6,$M20&lt;$M$7),$N$6,AND($M20&gt;=$M$7,$M20&lt;$M$8),$N$7,$M20&gt;=$M$8,$N$8+($M20-$M$8)/5)</f>
        <v>325</v>
      </c>
      <c r="O20" s="0" t="n">
        <f aca="false">ROUNDDOWN(N20/E20,0)</f>
        <v>108</v>
      </c>
      <c r="P20" s="0" t="n">
        <f aca="false">MIN((ROUNDDOWN(N20,0)),ROUNDDOWN(((((M20)/1000)*80)-(60*(D20/1000)))*2.5,0))</f>
        <v>165</v>
      </c>
      <c r="R20" s="11"/>
    </row>
    <row r="21" customFormat="false" ht="13.8" hidden="false" customHeight="false" outlineLevel="0" collapsed="false">
      <c r="B21" s="0" t="s">
        <v>36</v>
      </c>
      <c r="C21" s="5" t="s">
        <v>40</v>
      </c>
      <c r="D21" s="6" t="n">
        <v>1100</v>
      </c>
      <c r="E21" s="5" t="n">
        <v>3</v>
      </c>
      <c r="F21" s="8" t="n">
        <f aca="false">200*(D21/1000)+50*((D21/1000)-0.3)*(E21-1)</f>
        <v>300</v>
      </c>
      <c r="G21" s="5" t="n">
        <f aca="false">ROUNDDOWN(F21/E21,0)</f>
        <v>100</v>
      </c>
      <c r="H21" s="5" t="s">
        <v>38</v>
      </c>
      <c r="I21" s="0" t="n">
        <v>1050</v>
      </c>
      <c r="J21" s="5" t="n">
        <f aca="false" t="array" ref="J21:J21">_xlfn.IFS(AND($I21&gt;=$M$6,$I21&lt;$M$7),$N$6,AND($I21&gt;=$M$7,$I21&lt;$M$8),$N$7,$I21&gt;=$M$8,$N$8+($I21-$M$8)/5)</f>
        <v>220</v>
      </c>
      <c r="K21" s="5"/>
      <c r="M21" s="9" t="n">
        <f aca="false">1050+0.5*1050</f>
        <v>1575</v>
      </c>
      <c r="N21" s="5" t="n">
        <f aca="false" t="array" ref="N21:N21">_xlfn.IFS(AND($M21&gt;=$M$6,$M21&lt;$M$7),$N$6,AND($M21&gt;=$M$7,$M21&lt;$M$8),$N$7,$M21&gt;=$M$8,$N$8+($M21-$M$8)/5)</f>
        <v>325</v>
      </c>
      <c r="O21" s="0" t="n">
        <f aca="false">ROUNDDOWN(N21/E21,0)</f>
        <v>108</v>
      </c>
      <c r="P21" s="0" t="n">
        <f aca="false">MIN((ROUNDDOWN(N21,0)),ROUNDDOWN((((M21/1000)*80)-(60*(D21/1000)))*2.5,0))</f>
        <v>150</v>
      </c>
    </row>
    <row r="22" customFormat="false" ht="13.8" hidden="false" customHeight="false" outlineLevel="0" collapsed="false">
      <c r="B22" s="0" t="s">
        <v>36</v>
      </c>
      <c r="C22" s="5" t="s">
        <v>41</v>
      </c>
      <c r="D22" s="6" t="n">
        <v>1000</v>
      </c>
      <c r="E22" s="5" t="n">
        <v>3</v>
      </c>
      <c r="F22" s="8" t="n">
        <v>230</v>
      </c>
      <c r="G22" s="5" t="n">
        <f aca="false">ROUNDDOWN(F22/E22,0)</f>
        <v>76</v>
      </c>
      <c r="H22" s="5" t="s">
        <v>38</v>
      </c>
      <c r="I22" s="0" t="n">
        <v>1050</v>
      </c>
      <c r="J22" s="5" t="n">
        <f aca="false" t="array" ref="J22:J22">_xlfn.IFS(AND($I22&gt;=$M$6,$I22&lt;$M$7),$N$6,AND($I22&gt;=$M$7,$I22&lt;$M$8),$N$7,$I22&gt;=$M$8,$N$8+($I22-$M$8)/5)</f>
        <v>220</v>
      </c>
      <c r="K22" s="5"/>
      <c r="M22" s="9" t="n">
        <f aca="false">1050+0.5*1050</f>
        <v>1575</v>
      </c>
      <c r="N22" s="5" t="n">
        <f aca="false" t="array" ref="N22:N22">_xlfn.IFS(AND($M22&gt;=$M$6,$M22&lt;$M$7),$N$6,AND($M22&gt;=$M$7,$M22&lt;$M$8),$N$7,$M22&gt;=$M$8,$N$8+($M22-$M$8)/5)</f>
        <v>325</v>
      </c>
      <c r="O22" s="0" t="n">
        <f aca="false">ROUNDDOWN(N22/E22,0)</f>
        <v>108</v>
      </c>
      <c r="P22" s="0" t="n">
        <f aca="false">MIN((ROUNDDOWN(N22,0)),ROUNDDOWN((((M22/1000)*80)-(60*(D22/1000)))*2.5,0))</f>
        <v>165</v>
      </c>
      <c r="R22" s="11"/>
    </row>
    <row r="23" customFormat="false" ht="13.8" hidden="false" customHeight="false" outlineLevel="0" collapsed="false">
      <c r="B23" s="0" t="s">
        <v>36</v>
      </c>
      <c r="C23" s="5" t="s">
        <v>42</v>
      </c>
      <c r="D23" s="6" t="n">
        <v>1100</v>
      </c>
      <c r="E23" s="5" t="n">
        <v>3</v>
      </c>
      <c r="F23" s="8" t="n">
        <f aca="false">200*(D23/1000)+50*((D23/1000)-0.3)*(E23-1)</f>
        <v>300</v>
      </c>
      <c r="G23" s="5" t="n">
        <f aca="false">ROUNDDOWN(F23/E23,0)</f>
        <v>100</v>
      </c>
      <c r="H23" s="5" t="s">
        <v>38</v>
      </c>
      <c r="I23" s="0" t="n">
        <v>1050</v>
      </c>
      <c r="J23" s="5" t="n">
        <f aca="false" t="array" ref="J23:J23">_xlfn.IFS(AND($I23&gt;=$M$6,$I23&lt;$M$7),$N$6,AND($I23&gt;=$M$7,$I23&lt;$M$8),$N$7,$I23&gt;=$M$8,$N$8+($I23-$M$8)/5)</f>
        <v>220</v>
      </c>
      <c r="K23" s="5"/>
      <c r="M23" s="9" t="n">
        <f aca="false">1050+0.5*1050</f>
        <v>1575</v>
      </c>
      <c r="N23" s="5" t="n">
        <f aca="false" t="array" ref="N23:N23">_xlfn.IFS(AND($M23&gt;=$M$6,$M23&lt;$M$7),$N$6,AND($M23&gt;=$M$7,$M23&lt;$M$8),$N$7,$M23&gt;=$M$8,$N$8+($M23-$M$8)/5)</f>
        <v>325</v>
      </c>
      <c r="O23" s="0" t="n">
        <f aca="false">ROUNDDOWN(N23/E23,0)</f>
        <v>108</v>
      </c>
      <c r="P23" s="0" t="n">
        <f aca="false">MIN((ROUNDDOWN(N23,0)),ROUNDDOWN(((((M23)/1000)*80)-(60*(D23/1000)))*2.5,0))</f>
        <v>150</v>
      </c>
      <c r="R23" s="11"/>
    </row>
    <row r="24" customFormat="false" ht="13.8" hidden="false" customHeight="false" outlineLevel="0" collapsed="false">
      <c r="C24" s="5"/>
      <c r="D24" s="6"/>
      <c r="E24" s="5"/>
      <c r="F24" s="8"/>
      <c r="G24" s="5"/>
      <c r="H24" s="5"/>
      <c r="J24" s="5"/>
      <c r="K24" s="5"/>
      <c r="M24" s="9"/>
      <c r="N24" s="5"/>
      <c r="R24" s="11"/>
    </row>
    <row r="25" customFormat="false" ht="13.8" hidden="false" customHeight="false" outlineLevel="0" collapsed="false">
      <c r="C25" s="5" t="s">
        <v>86</v>
      </c>
      <c r="D25" s="6"/>
      <c r="E25" s="5"/>
      <c r="F25" s="8"/>
      <c r="G25" s="5"/>
      <c r="H25" s="5"/>
      <c r="I25" s="0" t="n">
        <v>1050</v>
      </c>
      <c r="J25" s="5" t="n">
        <f aca="false" t="array" ref="J25:J25">_xlfn.IFS(AND($I25&gt;=$M$6,$I25&lt;$M$7),$N$6,AND($I25&gt;=$M$7,$I25&lt;$M$8),$N$7,$I25&gt;=$M$8,$N$8+($I25-$M$8)/5)</f>
        <v>220</v>
      </c>
      <c r="K25" s="5"/>
      <c r="M25" s="9"/>
      <c r="N25" s="5"/>
      <c r="R25" s="11"/>
    </row>
    <row r="26" customFormat="false" ht="13.8" hidden="false" customHeight="false" outlineLevel="0" collapsed="false">
      <c r="C26" s="5" t="s">
        <v>87</v>
      </c>
      <c r="D26" s="6"/>
      <c r="E26" s="5"/>
      <c r="F26" s="8"/>
      <c r="G26" s="5"/>
      <c r="H26" s="5"/>
      <c r="I26" s="0" t="n">
        <v>1050</v>
      </c>
      <c r="J26" s="5" t="n">
        <f aca="false" t="array" ref="J26:J26">_xlfn.IFS(AND($I26&gt;=$M$6,$I26&lt;$M$7),$N$6,AND($I26&gt;=$M$7,$I26&lt;$M$8),$N$7,$I26&gt;=$M$8,$N$8+($I26-$M$8)/5)</f>
        <v>220</v>
      </c>
      <c r="K26" s="5"/>
      <c r="M26" s="9"/>
      <c r="N26" s="5"/>
      <c r="R26" s="11"/>
    </row>
    <row r="27" customFormat="false" ht="13.8" hidden="false" customHeight="false" outlineLevel="0" collapsed="false">
      <c r="C27" s="5"/>
      <c r="D27" s="6"/>
      <c r="E27" s="5"/>
      <c r="F27" s="8"/>
      <c r="G27" s="5"/>
      <c r="H27" s="5"/>
      <c r="J27" s="5"/>
      <c r="K27" s="5"/>
      <c r="M27" s="9"/>
      <c r="N27" s="5"/>
      <c r="R27" s="11"/>
    </row>
    <row r="28" customFormat="false" ht="13.8" hidden="false" customHeight="false" outlineLevel="0" collapsed="false">
      <c r="B28" s="0" t="s">
        <v>88</v>
      </c>
      <c r="C28" s="5" t="s">
        <v>89</v>
      </c>
      <c r="D28" s="6" t="n">
        <f aca="false">SUM(G20:G23, J25:J26)-MAX(G20:G23,J25:J26)</f>
        <v>572</v>
      </c>
      <c r="E28" s="5"/>
      <c r="F28" s="8"/>
      <c r="G28" s="5"/>
      <c r="H28" s="5"/>
      <c r="J28" s="5"/>
      <c r="K28" s="5"/>
      <c r="M28" s="9"/>
      <c r="N28" s="5"/>
    </row>
    <row r="29" customFormat="false" ht="13.8" hidden="false" customHeight="false" outlineLevel="0" collapsed="false">
      <c r="B29" s="0" t="s">
        <v>90</v>
      </c>
      <c r="C29" s="5" t="s">
        <v>89</v>
      </c>
      <c r="D29" s="6" t="n">
        <f aca="false">SUM(P20:P23, J25:J26)-MAX(P20:P23,J25:J26)</f>
        <v>850</v>
      </c>
      <c r="E29" s="5"/>
      <c r="F29" s="8"/>
      <c r="G29" s="5"/>
      <c r="H29" s="5"/>
      <c r="J29" s="5"/>
      <c r="K29" s="5"/>
      <c r="M29" s="9"/>
      <c r="N29" s="5"/>
      <c r="R29" s="11"/>
    </row>
    <row r="30" customFormat="false" ht="13.8" hidden="false" customHeight="false" outlineLevel="0" collapsed="false">
      <c r="C30" s="5"/>
      <c r="D30" s="6"/>
      <c r="E30" s="5"/>
      <c r="F30" s="8"/>
      <c r="G30" s="5"/>
      <c r="H30" s="5"/>
      <c r="J30" s="5"/>
      <c r="K30" s="5"/>
      <c r="M30" s="9"/>
      <c r="N30" s="5"/>
      <c r="R30" s="11"/>
    </row>
    <row r="31" customFormat="false" ht="13.8" hidden="false" customHeight="false" outlineLevel="0" collapsed="false">
      <c r="C31" s="5"/>
      <c r="D31" s="6"/>
      <c r="E31" s="5"/>
      <c r="F31" s="8"/>
      <c r="G31" s="5"/>
      <c r="H31" s="5"/>
      <c r="J31" s="5"/>
      <c r="K31" s="5"/>
      <c r="M31" s="9"/>
      <c r="N31" s="5"/>
    </row>
    <row r="34" customFormat="false" ht="14.25" hidden="false" customHeight="false" outlineLevel="0" collapsed="false">
      <c r="G34" s="1"/>
    </row>
    <row r="35" customFormat="false" ht="14.25" hidden="false" customHeight="false" outlineLevel="0" collapsed="false">
      <c r="B35" s="1"/>
      <c r="C35" s="12" t="s">
        <v>36</v>
      </c>
      <c r="D35" s="12" t="s">
        <v>43</v>
      </c>
      <c r="E35" s="12" t="s">
        <v>48</v>
      </c>
      <c r="G35" s="1" t="s">
        <v>35</v>
      </c>
    </row>
    <row r="36" customFormat="false" ht="28.5" hidden="false" customHeight="false" outlineLevel="0" collapsed="false">
      <c r="B36" s="1" t="s">
        <v>53</v>
      </c>
      <c r="C36" s="13" t="n">
        <f aca="false">SUMIF($B$20:$B$31,"="&amp;C$35,$P$20:$P$31)-_xlfn.MAXIFS($P$20:$P$31,$B$20:$B$31,"="&amp;C$35,$H$20:$H$31,"="&amp;"No")</f>
        <v>630</v>
      </c>
      <c r="D36" s="13" t="n">
        <f aca="false">SUMIF($B$20:$B$31,"="&amp;D$35,$P$20:$P$31)-_xlfn.MAXIFS($P$20:$P$31,$B$20:$B$31,"="&amp;D$35,$H$20:$H$31,"="&amp;"No")</f>
        <v>0</v>
      </c>
      <c r="E36" s="13" t="n">
        <f aca="false">SUMIF($B$20:$B$31,"="&amp;E$35,$P$20:$P$31)-_xlfn.MAXIFS($P$20:$P$31,$B$20:$B$31,"="&amp;E$35,$H$20:$H$31,"="&amp;"No")</f>
        <v>0</v>
      </c>
      <c r="F36" s="14"/>
      <c r="H36" s="14" t="s">
        <v>54</v>
      </c>
      <c r="M36" s="15" t="s">
        <v>55</v>
      </c>
      <c r="N36" s="15" t="s">
        <v>56</v>
      </c>
      <c r="O36" s="15" t="s">
        <v>57</v>
      </c>
      <c r="P36" s="15" t="s">
        <v>58</v>
      </c>
      <c r="Q36" s="15" t="s">
        <v>59</v>
      </c>
    </row>
    <row r="37" customFormat="false" ht="14.25" hidden="false" customHeight="false" outlineLevel="0" collapsed="false">
      <c r="B37" s="1" t="s">
        <v>60</v>
      </c>
      <c r="C37" s="13" t="n">
        <f aca="false">SUMIF($B$20:$B$31,"="&amp;C$35,$G$20:$G$31)-_xlfn.MAXIFS($G$20:$G$31,$B$20:$B$31,"="&amp;C$35,$H$20:$H$31,"="&amp;"No")</f>
        <v>352</v>
      </c>
      <c r="D37" s="13" t="n">
        <f aca="false">SUMIF($B$20:$B$31,"="&amp;D$35,$G$20:$G$31)-_xlfn.MAXIFS($G$20:$G$31,$B$20:$B$31,"="&amp;D$35,$H$20:$H$31,"="&amp;"No")</f>
        <v>0</v>
      </c>
      <c r="E37" s="13" t="n">
        <f aca="false">SUMIF($B$20:$B$31,"="&amp;E$35,$G$20:$G$31)-_xlfn.MAXIFS($G$20:$G$31,$B$20:$B$31,"="&amp;E$35,$H$20:$H$31,"="&amp;"No")</f>
        <v>0</v>
      </c>
      <c r="M37" s="16" t="s">
        <v>61</v>
      </c>
      <c r="N37" s="17" t="n">
        <v>3300</v>
      </c>
      <c r="O37" s="17" t="n">
        <f aca="false">N37/6</f>
        <v>550</v>
      </c>
      <c r="P37" s="17" t="n">
        <f aca="false">N37/10</f>
        <v>330</v>
      </c>
      <c r="Q37" s="18" t="n">
        <f aca="false">N37/SUM(C42:E42)</f>
        <v>9.375</v>
      </c>
    </row>
    <row r="38" customFormat="false" ht="14.25" hidden="false" customHeight="false" outlineLevel="0" collapsed="false">
      <c r="B38" s="1" t="s">
        <v>62</v>
      </c>
      <c r="C38" s="13" t="n">
        <f aca="false">SUMIF($B$20:$B$31,"="&amp;C$35,$G$20:$G$31)-_xlfn.MAXIFS($G$20:$G$31,$B$20:$B$31,"="&amp;C$35,$H$20:$H$31,"="&amp;"No")</f>
        <v>352</v>
      </c>
      <c r="D38" s="13" t="n">
        <f aca="false">SUMIF($B$20:$B$31,"="&amp;D$35,$G$20:$G$31)-_xlfn.MAXIFS($G$20:$G$31,$B$20:$B$31,"="&amp;D$35,$H$20:$H$31,"="&amp;"No")</f>
        <v>0</v>
      </c>
      <c r="E38" s="13" t="n">
        <f aca="false">SUMIF($B$20:$B$31,"="&amp;E$35,$G$20:$G$31)-_xlfn.MAXIFS($G$20:$G$31,$B$20:$B$31,"="&amp;E$35,$H$20:$H$31,"="&amp;"No")</f>
        <v>0</v>
      </c>
      <c r="M38" s="16" t="s">
        <v>63</v>
      </c>
      <c r="N38" s="17" t="n">
        <v>4680</v>
      </c>
      <c r="O38" s="17" t="n">
        <f aca="false">N38/6</f>
        <v>780</v>
      </c>
      <c r="P38" s="17" t="n">
        <f aca="false">N38/10</f>
        <v>468</v>
      </c>
      <c r="Q38" s="18" t="n">
        <f aca="false">N38/SUM(C41:E41)</f>
        <v>13.2954545454545</v>
      </c>
    </row>
    <row r="39" customFormat="false" ht="14.25" hidden="false" customHeight="false" outlineLevel="0" collapsed="false">
      <c r="B39" s="1" t="s">
        <v>64</v>
      </c>
      <c r="C39" s="13" t="n">
        <f aca="false">SUMIF($B$20:$B$31,"="&amp;C$35,$G$20:$G$31)-_xlfn.MAXIFS($G$20:$G$31,$B$20:$B$31,"="&amp;C$35,$H$20:$H$31,"="&amp;"No")</f>
        <v>352</v>
      </c>
      <c r="D39" s="13" t="n">
        <f aca="false">SUMIF($B$20:$B$31,"="&amp;D$35,$G$20:$G$31)-_xlfn.MAXIFS($G$20:$G$31,$B$20:$B$31,"="&amp;D$35,$H$20:$H$31,"="&amp;"No")</f>
        <v>0</v>
      </c>
      <c r="E39" s="13" t="n">
        <f aca="false">SUMIF($B$20:$B$31,"="&amp;E$35,$G$20:$G$31)-_xlfn.MAXIFS($G$20:$G$31,$B$20:$B$31,"="&amp;E$35,$H$20:$H$31,"="&amp;"No")</f>
        <v>0</v>
      </c>
      <c r="M39" s="16" t="n">
        <v>4</v>
      </c>
      <c r="N39" s="17" t="n">
        <v>8060</v>
      </c>
      <c r="O39" s="17" t="n">
        <f aca="false">N39/6</f>
        <v>1343.33333333333</v>
      </c>
      <c r="P39" s="17" t="n">
        <f aca="false">N39/10</f>
        <v>806</v>
      </c>
      <c r="Q39" s="18" t="n">
        <f aca="false">N39/SUM(C40:E40)</f>
        <v>22.8977272727273</v>
      </c>
    </row>
    <row r="40" customFormat="false" ht="14.25" hidden="false" customHeight="false" outlineLevel="0" collapsed="false">
      <c r="B40" s="1" t="s">
        <v>65</v>
      </c>
      <c r="C40" s="13" t="n">
        <f aca="false">SUMIF($B$20:$B$31,"="&amp;C$35,$G$20:$G$31)-_xlfn.MAXIFS($G$20:$G$31,$B$20:$B$31,"="&amp;C$35,$H$20:$H$31,"="&amp;"No")</f>
        <v>352</v>
      </c>
      <c r="D40" s="13" t="n">
        <f aca="false">SUMIF($B$20:$B$31,"="&amp;D$35,$G$20:$G$31)-_xlfn.MAXIFS($G$20:$G$31,$B$20:$B$31,"="&amp;D$35,$H$20:$H$31,"="&amp;"No")</f>
        <v>0</v>
      </c>
      <c r="E40" s="13" t="n">
        <f aca="false">SUMIF($B$20:$B$31,"="&amp;E$35,$G$20:$G$31)-_xlfn.MAXIFS($G$20:$G$31,$B$20:$B$31,"="&amp;E$35,$H$20:$H$31,"="&amp;"No")</f>
        <v>0</v>
      </c>
      <c r="M40" s="16" t="n">
        <v>3</v>
      </c>
      <c r="N40" s="17" t="n">
        <v>8060</v>
      </c>
      <c r="O40" s="17" t="n">
        <f aca="false">N40/6</f>
        <v>1343.33333333333</v>
      </c>
      <c r="P40" s="17" t="n">
        <f aca="false">N40/10</f>
        <v>806</v>
      </c>
      <c r="Q40" s="18" t="n">
        <f aca="false">N40/SUM(C39:E39)</f>
        <v>22.8977272727273</v>
      </c>
    </row>
    <row r="41" customFormat="false" ht="14.25" hidden="false" customHeight="false" outlineLevel="0" collapsed="false">
      <c r="B41" s="1" t="s">
        <v>66</v>
      </c>
      <c r="C41" s="13" t="n">
        <f aca="false">SUMIF($B$20:$B$31,"="&amp;C$35,$G$20:$G$31)-_xlfn.MAXIFS($G$20:$G$31,$B$20:$B$31,"="&amp;C$35,$H$20:$H$31,"="&amp;"No")</f>
        <v>352</v>
      </c>
      <c r="D41" s="13" t="n">
        <f aca="false">SUMIF($B$20:$B$31,"="&amp;D$35,$G$20:$G$31)-_xlfn.MAXIFS($G$20:$G$31,$B$20:$B$31,"="&amp;D$35,$H$20:$H$31,"="&amp;"No")</f>
        <v>0</v>
      </c>
      <c r="E41" s="13" t="s">
        <v>67</v>
      </c>
      <c r="M41" s="16" t="n">
        <v>2</v>
      </c>
      <c r="N41" s="17" t="n">
        <v>8060</v>
      </c>
      <c r="O41" s="17" t="n">
        <f aca="false">N41/6</f>
        <v>1343.33333333333</v>
      </c>
      <c r="P41" s="17" t="n">
        <f aca="false">N41/10</f>
        <v>806</v>
      </c>
      <c r="Q41" s="18" t="n">
        <f aca="false">N41/SUM(C38:E38)</f>
        <v>22.8977272727273</v>
      </c>
    </row>
    <row r="42" customFormat="false" ht="14.25" hidden="false" customHeight="false" outlineLevel="0" collapsed="false">
      <c r="B42" s="1" t="s">
        <v>68</v>
      </c>
      <c r="C42" s="13" t="n">
        <f aca="false">SUMIF($B$20:$B$31,"="&amp;C$35,$G$20:$G$31)-_xlfn.MAXIFS($G$20:$G$31,$B$20:$B$31,"="&amp;C$35,$H$20:$H$31,"="&amp;"No")</f>
        <v>352</v>
      </c>
      <c r="D42" s="13" t="n">
        <f aca="false">SUMIF($B$20:$B$31,"="&amp;D$35,$G$20:$G$31)-_xlfn.MAXIFS($G$20:$G$31,$B$20:$B$31,"="&amp;D$35,$H$20:$H$31,"="&amp;"No")</f>
        <v>0</v>
      </c>
      <c r="E42" s="13" t="s">
        <v>67</v>
      </c>
      <c r="M42" s="16" t="n">
        <v>1</v>
      </c>
      <c r="N42" s="17" t="n">
        <v>7960</v>
      </c>
      <c r="O42" s="17" t="n">
        <f aca="false">N42/6</f>
        <v>1326.66666666667</v>
      </c>
      <c r="P42" s="17" t="n">
        <f aca="false">N42/10</f>
        <v>796</v>
      </c>
      <c r="Q42" s="18" t="n">
        <f aca="false">N42/SUM(C37:E37)</f>
        <v>22.6136363636364</v>
      </c>
    </row>
    <row r="43" customFormat="false" ht="14.25" hidden="false" customHeight="false" outlineLevel="0" collapsed="false">
      <c r="C43" s="13"/>
      <c r="D43" s="13"/>
      <c r="E43" s="13"/>
      <c r="M43" s="16" t="s">
        <v>69</v>
      </c>
      <c r="N43" s="17" t="n">
        <v>7380</v>
      </c>
      <c r="O43" s="17" t="n">
        <f aca="false">N43/6</f>
        <v>1230</v>
      </c>
      <c r="P43" s="17" t="n">
        <f aca="false">N43/10</f>
        <v>738</v>
      </c>
      <c r="Q43" s="18" t="n">
        <f aca="false">N43/SUM(C36:E36)</f>
        <v>11.7142857142857</v>
      </c>
    </row>
    <row r="44" customFormat="false" ht="14.25" hidden="false" customHeight="false" outlineLevel="0" collapsed="false">
      <c r="B44" s="1" t="s">
        <v>70</v>
      </c>
      <c r="C44" s="12" t="n">
        <f aca="false">SUM(C36:C42)</f>
        <v>2742</v>
      </c>
      <c r="D44" s="12" t="n">
        <f aca="false">SUM(D36:D42)</f>
        <v>0</v>
      </c>
      <c r="E44" s="12" t="n">
        <f aca="false">SUM(E36:E42)</f>
        <v>0</v>
      </c>
      <c r="G44" s="1"/>
      <c r="M44" s="16" t="s">
        <v>71</v>
      </c>
      <c r="N44" s="17" t="n">
        <f aca="false">SUM(N37:N43)</f>
        <v>47500</v>
      </c>
      <c r="O44" s="17" t="n">
        <f aca="false">SUM(O37:O43)</f>
        <v>7916.66666666667</v>
      </c>
      <c r="P44" s="17" t="n">
        <f aca="false">SUM(P37:P43)</f>
        <v>4750</v>
      </c>
      <c r="Q44" s="18" t="e">
        <f aca="false">N44/SUM(C49:E49)</f>
        <v>#DIV/0!</v>
      </c>
    </row>
    <row r="45" customFormat="false" ht="14.25" hidden="false" customHeight="false" outlineLevel="0" collapsed="false">
      <c r="C45" s="19" t="n">
        <f aca="false">SUM(C44:E44)</f>
        <v>2742</v>
      </c>
      <c r="D45" s="19"/>
      <c r="E45" s="19"/>
    </row>
  </sheetData>
  <mergeCells count="2">
    <mergeCell ref="C5:K5"/>
    <mergeCell ref="C45:E45"/>
  </mergeCell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&amp;L&amp;"Arial,Regular"&amp;9Contains &amp;"Arial,Italic"sensitive&amp;"Arial,Regular" information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B007D1570734C8CCFFD54613C6B26" ma:contentTypeVersion="14" ma:contentTypeDescription="Create a new document." ma:contentTypeScope="" ma:versionID="ce86992e149e986e2a6116bffafeedfe">
  <xsd:schema xmlns:xsd="http://www.w3.org/2001/XMLSchema" xmlns:xs="http://www.w3.org/2001/XMLSchema" xmlns:p="http://schemas.microsoft.com/office/2006/metadata/properties" xmlns:ns2="13a16423-c6a9-45c4-b969-49378641a263" xmlns:ns3="61361e86-f666-4c6c-8fc5-c2ad3f5f6030" targetNamespace="http://schemas.microsoft.com/office/2006/metadata/properties" ma:root="true" ma:fieldsID="135ae7d611df5d8ee181c49ed9722076" ns2:_="" ns3:_="">
    <xsd:import namespace="13a16423-c6a9-45c4-b969-49378641a263"/>
    <xsd:import namespace="61361e86-f666-4c6c-8fc5-c2ad3f5f60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16423-c6a9-45c4-b969-49378641a2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f7636e4-27fd-40f6-b66a-8c08e824a2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61e86-f666-4c6c-8fc5-c2ad3f5f60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3d64f7b-dcb7-42de-930d-fd2f8f7fc62b}" ma:internalName="TaxCatchAll" ma:showField="CatchAllData" ma:web="61361e86-f666-4c6c-8fc5-c2ad3f5f60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361e86-f666-4c6c-8fc5-c2ad3f5f6030" xsi:nil="true"/>
    <lcf76f155ced4ddcb4097134ff3c332f xmlns="13a16423-c6a9-45c4-b969-49378641a2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9EA7AE-5180-471F-AFE8-8BEFC0CED2AA}"/>
</file>

<file path=customXml/itemProps2.xml><?xml version="1.0" encoding="utf-8"?>
<ds:datastoreItem xmlns:ds="http://schemas.openxmlformats.org/officeDocument/2006/customXml" ds:itemID="{DC606BAA-4127-4C2E-89E8-F3491C9287D4}"/>
</file>

<file path=customXml/itemProps3.xml><?xml version="1.0" encoding="utf-8"?>
<ds:datastoreItem xmlns:ds="http://schemas.openxmlformats.org/officeDocument/2006/customXml" ds:itemID="{9CA62DE8-438F-4C20-8BCE-5D076B76033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2022-09-12T09:48:48Z</dcterms:created>
  <dc:creator>Adam Ross</dc:creator>
  <dc:description/>
  <dc:language>en-GB</dc:language>
  <cp:lastModifiedBy/>
  <dcterms:modified xsi:type="dcterms:W3CDTF">2024-11-04T16:15:04Z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0x010100C7AB007D1570734C8CCFFD54613C6B26</vt:lpwstr>
  </property>
  <property fmtid="{D5CDD505-2E9C-101B-9397-08002B2CF9AE}" pid="3" name="DocRiskLevel">
    <vt:lpwstr>Contains sensitive information</vt:lpwstr>
  </property>
  <property fmtid="{D5CDD505-2E9C-101B-9397-08002B2CF9AE}" pid="4" name="DocRiskLevelWizardMarker">
    <vt:lpwstr>Contains sensitive information</vt:lpwstr>
  </property>
  <property fmtid="{D5CDD505-2E9C-101B-9397-08002B2CF9AE}" pid="5" name="DocRiskLevelWizardText">
    <vt:lpwstr>Atkins Sensitive</vt:lpwstr>
  </property>
</Properties>
</file>