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chartsheets/sheet2.xml" ContentType="application/vnd.openxmlformats-officedocument.spreadsheetml.chartsheet+xml"/>
  <Override PartName="/xl/worksheets/sheet8.xml" ContentType="application/vnd.openxmlformats-officedocument.spreadsheetml.worksheet+xml"/>
  <Override PartName="/xl/chartsheets/sheet3.xml" ContentType="application/vnd.openxmlformats-officedocument.spreadsheetml.chartsheet+xml"/>
  <Override PartName="/xl/worksheets/sheet9.xml" ContentType="application/vnd.openxmlformats-officedocument.spreadsheetml.worksheet+xml"/>
  <Override PartName="/xl/chartsheets/sheet4.xml" ContentType="application/vnd.openxmlformats-officedocument.spreadsheetml.chart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coyotegulch/Documents/Demand Management /"/>
    </mc:Choice>
  </mc:AlternateContent>
  <xr:revisionPtr revIDLastSave="0" documentId="13_ncr:1_{E05C1044-4BFF-674F-BD25-00C406BC2B2A}" xr6:coauthVersionLast="46" xr6:coauthVersionMax="46" xr10:uidLastSave="{00000000-0000-0000-0000-000000000000}"/>
  <bookViews>
    <workbookView xWindow="8200" yWindow="720" windowWidth="34020" windowHeight="24440" tabRatio="881" activeTab="1" xr2:uid="{00000000-000D-0000-FFFF-FFFF00000000}"/>
  </bookViews>
  <sheets>
    <sheet name="SOP" sheetId="27" r:id="rId1"/>
    <sheet name="Data" sheetId="5" r:id="rId2"/>
    <sheet name="Emily's notes" sheetId="15" r:id="rId3"/>
    <sheet name="Commercial Estimates" sheetId="16" r:id="rId4"/>
    <sheet name="No TWP Data by Year" sheetId="19" r:id="rId5"/>
    <sheet name="No TWP Data by Pop" sheetId="23" r:id="rId6"/>
    <sheet name="No TWP Chart by Pop" sheetId="20" r:id="rId7"/>
    <sheet name="Data by Pop" sheetId="24" r:id="rId8"/>
    <sheet name="Chart by Pop" sheetId="10" r:id="rId9"/>
    <sheet name="Data by Year" sheetId="7" r:id="rId10"/>
    <sheet name="Chart by Year" sheetId="8" r:id="rId11"/>
    <sheet name="Data by Year CE Accelerated" sheetId="25" r:id="rId12"/>
    <sheet name="Chart by Year CE Accelerated" sheetId="26" r:id="rId13"/>
    <sheet name="Population Maxes" sheetId="11" r:id="rId14"/>
  </sheets>
  <definedNames>
    <definedName name="_xlnm.Print_Area" localSheetId="1">Data!$B$1:$BH$72</definedName>
    <definedName name="_xlnm.Print_Area" localSheetId="7">'Data by Pop'!$A$1:$J$120</definedName>
    <definedName name="_xlnm.Print_Area" localSheetId="9">'Data by Year'!$A$1:$J$58</definedName>
    <definedName name="_xlnm.Print_Area" localSheetId="11">'Data by Year CE Accelerated'!$A$1:$J$58</definedName>
    <definedName name="_xlnm.Print_Area" localSheetId="5">'No TWP Data by Pop'!$A$1:$J$120</definedName>
    <definedName name="_xlnm.Print_Area" localSheetId="4">'No TWP Data by Year'!$A$1:$J$58</definedName>
    <definedName name="_xlnm.Print_Area" localSheetId="13">'Population Maxes'!$B$1:$F$52</definedName>
    <definedName name="_xlnm.Print_Titles" localSheetId="1">Data!$B:$B</definedName>
    <definedName name="_xlnm.Print_Titles" localSheetId="13">'Population Maxes'!$1:$1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5" l="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L15" i="5" l="1"/>
  <c r="L14" i="5"/>
  <c r="I15" i="5"/>
  <c r="L16" i="5" l="1"/>
  <c r="K63" i="25" l="1"/>
  <c r="K62" i="25"/>
  <c r="K61" i="25"/>
  <c r="K60" i="25"/>
  <c r="J58" i="25"/>
  <c r="J59" i="25" s="1"/>
  <c r="K59" i="25" s="1"/>
  <c r="J10" i="25"/>
  <c r="K10" i="25" s="1"/>
  <c r="J9" i="25"/>
  <c r="K9" i="25" s="1"/>
  <c r="J8" i="25"/>
  <c r="K8" i="25" s="1"/>
  <c r="A8" i="25"/>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J7" i="25"/>
  <c r="J6" i="25"/>
  <c r="E6" i="25"/>
  <c r="E7" i="25" s="1"/>
  <c r="E8" i="25" s="1"/>
  <c r="A6" i="25"/>
  <c r="A7" i="25" s="1"/>
  <c r="J5" i="25"/>
  <c r="K58" i="25" l="1"/>
  <c r="E9" i="25"/>
  <c r="E10" i="25" l="1"/>
  <c r="E11" i="25" l="1"/>
  <c r="E12" i="25" l="1"/>
  <c r="E13" i="25" l="1"/>
  <c r="E14" i="25" l="1"/>
  <c r="E15" i="25" l="1"/>
  <c r="E16" i="25" l="1"/>
  <c r="E17" i="25" l="1"/>
  <c r="E18" i="25" l="1"/>
  <c r="E19" i="25" l="1"/>
  <c r="E20" i="25" l="1"/>
  <c r="E21" i="25" l="1"/>
  <c r="E22" i="25" l="1"/>
  <c r="E23" i="25" l="1"/>
  <c r="E24" i="25" l="1"/>
  <c r="E25" i="25" l="1"/>
  <c r="E26" i="25" l="1"/>
  <c r="E27" i="25" l="1"/>
  <c r="E28" i="25" l="1"/>
  <c r="E29" i="25" l="1"/>
  <c r="E30" i="25" l="1"/>
  <c r="E31" i="25" l="1"/>
  <c r="E32" i="25" l="1"/>
  <c r="E33" i="25" l="1"/>
  <c r="E34" i="25" l="1"/>
  <c r="E35" i="25" l="1"/>
  <c r="E36" i="25" l="1"/>
  <c r="E37" i="25" l="1"/>
  <c r="E38" i="25" l="1"/>
  <c r="E39" i="25" l="1"/>
  <c r="E40" i="25" l="1"/>
  <c r="E41" i="25" l="1"/>
  <c r="E42" i="25" l="1"/>
  <c r="E43" i="25" l="1"/>
  <c r="E44" i="25" l="1"/>
  <c r="E45" i="25" l="1"/>
  <c r="E46" i="25" l="1"/>
  <c r="E47" i="25" l="1"/>
  <c r="E48" i="25" l="1"/>
  <c r="E49" i="25" l="1"/>
  <c r="E50" i="25" l="1"/>
  <c r="E51" i="25" l="1"/>
  <c r="E52" i="25" l="1"/>
  <c r="E53" i="25" l="1"/>
  <c r="E54" i="25" l="1"/>
  <c r="E55" i="25" l="1"/>
  <c r="E56" i="25" l="1"/>
  <c r="E57" i="25" l="1"/>
  <c r="E58" i="25" l="1"/>
  <c r="E59" i="25" l="1"/>
  <c r="E60" i="25" l="1"/>
  <c r="I59" i="25"/>
  <c r="E61" i="25" l="1"/>
  <c r="E62" i="25" l="1"/>
  <c r="I61" i="25"/>
  <c r="I62" i="25" l="1"/>
  <c r="E63" i="25"/>
  <c r="I63" i="25" l="1"/>
  <c r="K125" i="24" l="1"/>
  <c r="J124" i="24"/>
  <c r="K123" i="24"/>
  <c r="J122" i="24"/>
  <c r="J121" i="24"/>
  <c r="J120" i="24"/>
  <c r="K120" i="24" s="1"/>
  <c r="J15" i="24"/>
  <c r="K15" i="24" s="1"/>
  <c r="K16" i="24" s="1"/>
  <c r="K17" i="24" s="1"/>
  <c r="K18" i="24" s="1"/>
  <c r="J11" i="24"/>
  <c r="K11" i="24" s="1"/>
  <c r="K12" i="24" s="1"/>
  <c r="K13" i="24" s="1"/>
  <c r="K14" i="24" s="1"/>
  <c r="J8" i="24"/>
  <c r="K8" i="24" s="1"/>
  <c r="J7" i="24"/>
  <c r="J6" i="24"/>
  <c r="E6" i="24"/>
  <c r="A6" i="24"/>
  <c r="A7" i="24" s="1"/>
  <c r="A8" i="24" s="1"/>
  <c r="A11" i="24" s="1"/>
  <c r="A15" i="24" s="1"/>
  <c r="A19" i="24" s="1"/>
  <c r="A23" i="24" s="1"/>
  <c r="A27" i="24" s="1"/>
  <c r="A28" i="24" s="1"/>
  <c r="A30" i="24" s="1"/>
  <c r="A32" i="24" s="1"/>
  <c r="A34" i="24" s="1"/>
  <c r="A36" i="24" s="1"/>
  <c r="A38" i="24" s="1"/>
  <c r="A40" i="24" s="1"/>
  <c r="A42" i="24" s="1"/>
  <c r="A44" i="24" s="1"/>
  <c r="A46" i="24" s="1"/>
  <c r="A48" i="24" s="1"/>
  <c r="A50" i="24" s="1"/>
  <c r="A52" i="24" s="1"/>
  <c r="A54" i="24" s="1"/>
  <c r="A56" i="24" s="1"/>
  <c r="A58" i="24" s="1"/>
  <c r="A60" i="24" s="1"/>
  <c r="A62" i="24" s="1"/>
  <c r="A64" i="24" s="1"/>
  <c r="A66" i="24" s="1"/>
  <c r="A68" i="24" s="1"/>
  <c r="A70" i="24" s="1"/>
  <c r="A72" i="24" s="1"/>
  <c r="A73" i="24" s="1"/>
  <c r="A75" i="24" s="1"/>
  <c r="A77" i="24" s="1"/>
  <c r="A79" i="24" s="1"/>
  <c r="A81" i="24" s="1"/>
  <c r="A83" i="24" s="1"/>
  <c r="A85" i="24" s="1"/>
  <c r="A87" i="24" s="1"/>
  <c r="A89" i="24" s="1"/>
  <c r="A91" i="24" s="1"/>
  <c r="A93" i="24" s="1"/>
  <c r="A95" i="24" s="1"/>
  <c r="A97" i="24" s="1"/>
  <c r="A99" i="24" s="1"/>
  <c r="A101" i="24" s="1"/>
  <c r="A103" i="24" s="1"/>
  <c r="A105" i="24" s="1"/>
  <c r="A107" i="24" s="1"/>
  <c r="A109" i="24" s="1"/>
  <c r="A111" i="24" s="1"/>
  <c r="A113" i="24" s="1"/>
  <c r="A120" i="24" s="1"/>
  <c r="A121" i="24" s="1"/>
  <c r="A122" i="24" s="1"/>
  <c r="A123" i="24" s="1"/>
  <c r="A124" i="24" s="1"/>
  <c r="A125" i="24" s="1"/>
  <c r="J5" i="24"/>
  <c r="B28" i="23"/>
  <c r="E26" i="23"/>
  <c r="E27" i="23" s="1"/>
  <c r="B29" i="23"/>
  <c r="K125" i="23"/>
  <c r="J124" i="23"/>
  <c r="K124" i="23" s="1"/>
  <c r="K123" i="23"/>
  <c r="J122" i="23"/>
  <c r="K122" i="23" s="1"/>
  <c r="J121" i="23"/>
  <c r="K121" i="23" s="1"/>
  <c r="J120" i="23"/>
  <c r="K120" i="23" s="1"/>
  <c r="J15" i="23"/>
  <c r="K15" i="23" s="1"/>
  <c r="K16" i="23" s="1"/>
  <c r="K17" i="23" s="1"/>
  <c r="K18" i="23" s="1"/>
  <c r="J11" i="23"/>
  <c r="K11" i="23" s="1"/>
  <c r="K12" i="23" s="1"/>
  <c r="K13" i="23" s="1"/>
  <c r="K14" i="23" s="1"/>
  <c r="J8" i="23"/>
  <c r="K8" i="23" s="1"/>
  <c r="J7" i="23"/>
  <c r="J6" i="23"/>
  <c r="E6" i="23"/>
  <c r="E7" i="23" s="1"/>
  <c r="A6" i="23"/>
  <c r="A7" i="23" s="1"/>
  <c r="A8" i="23" s="1"/>
  <c r="A11" i="23" s="1"/>
  <c r="A15" i="23" s="1"/>
  <c r="A19" i="23" s="1"/>
  <c r="A23" i="23" s="1"/>
  <c r="A27" i="23" s="1"/>
  <c r="A28" i="23" s="1"/>
  <c r="A30" i="23" s="1"/>
  <c r="A32" i="23" s="1"/>
  <c r="A34" i="23" s="1"/>
  <c r="A36" i="23" s="1"/>
  <c r="A38" i="23" s="1"/>
  <c r="A40" i="23" s="1"/>
  <c r="A42" i="23" s="1"/>
  <c r="A44" i="23" s="1"/>
  <c r="A46" i="23" s="1"/>
  <c r="A48" i="23" s="1"/>
  <c r="A50" i="23" s="1"/>
  <c r="A52" i="23" s="1"/>
  <c r="A54" i="23" s="1"/>
  <c r="A56" i="23" s="1"/>
  <c r="A58" i="23" s="1"/>
  <c r="A60" i="23" s="1"/>
  <c r="A62" i="23" s="1"/>
  <c r="A64" i="23" s="1"/>
  <c r="A66" i="23" s="1"/>
  <c r="A68" i="23" s="1"/>
  <c r="A70" i="23" s="1"/>
  <c r="A72" i="23" s="1"/>
  <c r="A73" i="23" s="1"/>
  <c r="A75" i="23" s="1"/>
  <c r="A77" i="23" s="1"/>
  <c r="A79" i="23" s="1"/>
  <c r="A81" i="23" s="1"/>
  <c r="A83" i="23" s="1"/>
  <c r="A85" i="23" s="1"/>
  <c r="A87" i="23" s="1"/>
  <c r="A89" i="23" s="1"/>
  <c r="A91" i="23" s="1"/>
  <c r="A93" i="23" s="1"/>
  <c r="A95" i="23" s="1"/>
  <c r="A97" i="23" s="1"/>
  <c r="A99" i="23" s="1"/>
  <c r="A101" i="23" s="1"/>
  <c r="A103" i="23" s="1"/>
  <c r="A105" i="23" s="1"/>
  <c r="A107" i="23" s="1"/>
  <c r="A109" i="23" s="1"/>
  <c r="A111" i="23" s="1"/>
  <c r="A113" i="23" s="1"/>
  <c r="A120" i="23" s="1"/>
  <c r="A121" i="23" s="1"/>
  <c r="A122" i="23" s="1"/>
  <c r="A123" i="23" s="1"/>
  <c r="A124" i="23" s="1"/>
  <c r="A125" i="23" s="1"/>
  <c r="J5" i="23"/>
  <c r="J59" i="19"/>
  <c r="J62" i="19"/>
  <c r="J60" i="19"/>
  <c r="J58" i="19"/>
  <c r="E7" i="24" l="1"/>
  <c r="E8" i="23"/>
  <c r="J58" i="7"/>
  <c r="J59" i="7" s="1"/>
  <c r="J10" i="7"/>
  <c r="K63" i="19"/>
  <c r="K62" i="19"/>
  <c r="K61" i="19"/>
  <c r="K60" i="19"/>
  <c r="K59" i="19"/>
  <c r="K58" i="19"/>
  <c r="J10" i="19"/>
  <c r="K10" i="19" s="1"/>
  <c r="J9" i="19"/>
  <c r="K9" i="19" s="1"/>
  <c r="J8" i="19"/>
  <c r="K8" i="19" s="1"/>
  <c r="J7" i="19"/>
  <c r="J6" i="19"/>
  <c r="E6" i="19"/>
  <c r="E7" i="19" s="1"/>
  <c r="E8" i="19" s="1"/>
  <c r="A6" i="19"/>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J5" i="19"/>
  <c r="E8" i="24" l="1"/>
  <c r="E9" i="24" s="1"/>
  <c r="E10" i="24" s="1"/>
  <c r="E11" i="24" s="1"/>
  <c r="E12" i="24" s="1"/>
  <c r="E13" i="24" s="1"/>
  <c r="E14" i="24" s="1"/>
  <c r="E15" i="24" s="1"/>
  <c r="E16" i="24" s="1"/>
  <c r="E17" i="24" s="1"/>
  <c r="E18" i="24" s="1"/>
  <c r="E19" i="24" s="1"/>
  <c r="E20" i="24" s="1"/>
  <c r="E21" i="24" s="1"/>
  <c r="E22" i="24" s="1"/>
  <c r="E23" i="24" s="1"/>
  <c r="E24" i="24" s="1"/>
  <c r="E25" i="24" s="1"/>
  <c r="E26" i="24" s="1"/>
  <c r="E27" i="24" s="1"/>
  <c r="E11" i="23"/>
  <c r="E9" i="19"/>
  <c r="C18" i="16"/>
  <c r="D18" i="16" s="1"/>
  <c r="B18" i="16"/>
  <c r="B17" i="16"/>
  <c r="B16" i="16"/>
  <c r="B15" i="16"/>
  <c r="C15" i="16" s="1"/>
  <c r="D15" i="16" s="1"/>
  <c r="B14" i="16"/>
  <c r="B19" i="16" s="1"/>
  <c r="C7" i="16" s="1"/>
  <c r="D7" i="16" s="1"/>
  <c r="B6" i="16"/>
  <c r="C6" i="16" s="1"/>
  <c r="D6" i="16" s="1"/>
  <c r="B5" i="16"/>
  <c r="C5" i="16" s="1"/>
  <c r="C14" i="16" l="1"/>
  <c r="E28" i="24"/>
  <c r="E15" i="23"/>
  <c r="E10" i="19"/>
  <c r="D5" i="16"/>
  <c r="D8" i="16" s="1"/>
  <c r="C8" i="16"/>
  <c r="D14" i="16"/>
  <c r="C17" i="16"/>
  <c r="D17" i="16" s="1"/>
  <c r="C16" i="16"/>
  <c r="D16" i="16" s="1"/>
  <c r="E29" i="24" l="1"/>
  <c r="E30" i="24" s="1"/>
  <c r="E19" i="23"/>
  <c r="E11" i="19"/>
  <c r="D20" i="16"/>
  <c r="C19" i="16"/>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E31" i="24" l="1"/>
  <c r="E32" i="24" s="1"/>
  <c r="E23" i="23"/>
  <c r="E24" i="23" s="1"/>
  <c r="E12" i="19"/>
  <c r="J11" i="25" l="1"/>
  <c r="K11" i="25" s="1"/>
  <c r="J19" i="23"/>
  <c r="K19" i="23" s="1"/>
  <c r="K20" i="23" s="1"/>
  <c r="K21" i="23" s="1"/>
  <c r="K22" i="23" s="1"/>
  <c r="J11" i="19"/>
  <c r="K11" i="19" s="1"/>
  <c r="J19" i="24"/>
  <c r="K19" i="24" s="1"/>
  <c r="K20" i="24" s="1"/>
  <c r="K21" i="24" s="1"/>
  <c r="K22" i="24" s="1"/>
  <c r="J11" i="7"/>
  <c r="E33" i="24"/>
  <c r="E34" i="24" s="1"/>
  <c r="E13" i="19"/>
  <c r="M14" i="5"/>
  <c r="J14" i="5"/>
  <c r="I14" i="5"/>
  <c r="J12" i="25" l="1"/>
  <c r="K12" i="25" s="1"/>
  <c r="J23" i="23"/>
  <c r="K23" i="23" s="1"/>
  <c r="K24" i="23" s="1"/>
  <c r="K25" i="23" s="1"/>
  <c r="K26" i="23" s="1"/>
  <c r="J23" i="24"/>
  <c r="K23" i="24" s="1"/>
  <c r="K24" i="24" s="1"/>
  <c r="K25" i="24" s="1"/>
  <c r="K26" i="24" s="1"/>
  <c r="J12" i="19"/>
  <c r="K12" i="19" s="1"/>
  <c r="J12" i="7"/>
  <c r="E35" i="24"/>
  <c r="E36" i="24" s="1"/>
  <c r="E28" i="23"/>
  <c r="E29" i="23" s="1"/>
  <c r="E14" i="19"/>
  <c r="M13" i="5"/>
  <c r="L13" i="5"/>
  <c r="J13" i="5"/>
  <c r="I13" i="5"/>
  <c r="E37" i="24" l="1"/>
  <c r="E38" i="24" s="1"/>
  <c r="H28" i="23"/>
  <c r="E30" i="23"/>
  <c r="I28" i="23"/>
  <c r="E15" i="19"/>
  <c r="M12" i="5"/>
  <c r="L12" i="5"/>
  <c r="J12" i="5"/>
  <c r="I12" i="5"/>
  <c r="E39" i="24" l="1"/>
  <c r="E40" i="24" s="1"/>
  <c r="E32" i="23"/>
  <c r="E16" i="19"/>
  <c r="M11" i="5"/>
  <c r="L11" i="5"/>
  <c r="J11" i="5"/>
  <c r="I11" i="5"/>
  <c r="E41" i="24" l="1"/>
  <c r="E42" i="24" s="1"/>
  <c r="E34" i="23"/>
  <c r="E17" i="19"/>
  <c r="M10" i="5"/>
  <c r="L10" i="5"/>
  <c r="J10" i="5"/>
  <c r="I10" i="5"/>
  <c r="K7" i="25" l="1"/>
  <c r="K7" i="23"/>
  <c r="K7" i="24"/>
  <c r="K7" i="19"/>
  <c r="E43" i="24"/>
  <c r="E44" i="24" s="1"/>
  <c r="E36" i="23"/>
  <c r="E18" i="19"/>
  <c r="M9" i="5"/>
  <c r="L9" i="5"/>
  <c r="J9" i="5"/>
  <c r="I9" i="5"/>
  <c r="M8" i="5"/>
  <c r="L8" i="5"/>
  <c r="J8" i="5"/>
  <c r="I8" i="5"/>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E45" i="24" l="1"/>
  <c r="E46" i="24" s="1"/>
  <c r="E38" i="23"/>
  <c r="E19" i="19"/>
  <c r="F9" i="5"/>
  <c r="F8" i="5"/>
  <c r="E47" i="24" l="1"/>
  <c r="E48" i="24" s="1"/>
  <c r="E40" i="23"/>
  <c r="E20" i="19"/>
  <c r="K59" i="7"/>
  <c r="K60" i="7"/>
  <c r="K61" i="7"/>
  <c r="K62" i="7"/>
  <c r="K63" i="7"/>
  <c r="E49" i="24" l="1"/>
  <c r="E50" i="24" s="1"/>
  <c r="E42" i="23"/>
  <c r="E21" i="19"/>
  <c r="K7" i="7"/>
  <c r="B2" i="11"/>
  <c r="J2" i="11" s="1"/>
  <c r="E51" i="24" l="1"/>
  <c r="E52" i="24" s="1"/>
  <c r="E44" i="23"/>
  <c r="E22" i="19"/>
  <c r="J5" i="7"/>
  <c r="E53" i="24" l="1"/>
  <c r="E54" i="24" s="1"/>
  <c r="E46" i="23"/>
  <c r="E23" i="19"/>
  <c r="F14" i="5"/>
  <c r="J6" i="7"/>
  <c r="E55" i="24" l="1"/>
  <c r="E56" i="24" s="1"/>
  <c r="E48" i="23"/>
  <c r="E24" i="19"/>
  <c r="E57" i="24" l="1"/>
  <c r="E58" i="24" s="1"/>
  <c r="E50" i="23"/>
  <c r="E25" i="19"/>
  <c r="E59" i="24" l="1"/>
  <c r="E60" i="24" s="1"/>
  <c r="E52" i="23"/>
  <c r="E26" i="19"/>
  <c r="K58" i="7"/>
  <c r="K12" i="7"/>
  <c r="E61" i="24" l="1"/>
  <c r="E62" i="24" s="1"/>
  <c r="E54" i="23"/>
  <c r="E27" i="19"/>
  <c r="E63" i="24" l="1"/>
  <c r="E64" i="24" s="1"/>
  <c r="E56" i="23"/>
  <c r="E28" i="19"/>
  <c r="E65" i="24" l="1"/>
  <c r="E66" i="24" s="1"/>
  <c r="E58" i="23"/>
  <c r="E29" i="19"/>
  <c r="E67" i="24" l="1"/>
  <c r="E68" i="24" s="1"/>
  <c r="E60" i="23"/>
  <c r="E30" i="19"/>
  <c r="E69" i="24" l="1"/>
  <c r="E70" i="24" s="1"/>
  <c r="E62" i="23"/>
  <c r="E31" i="19"/>
  <c r="E71" i="24" l="1"/>
  <c r="E72" i="24" s="1"/>
  <c r="E64" i="23"/>
  <c r="E32" i="19"/>
  <c r="E73" i="24" l="1"/>
  <c r="E66" i="23"/>
  <c r="E33" i="19"/>
  <c r="E74" i="24" l="1"/>
  <c r="E75" i="24" s="1"/>
  <c r="E68" i="23"/>
  <c r="E34" i="19"/>
  <c r="E76" i="24" l="1"/>
  <c r="E77" i="24" s="1"/>
  <c r="E70" i="23"/>
  <c r="E35" i="19"/>
  <c r="E78" i="24" l="1"/>
  <c r="E79" i="24" s="1"/>
  <c r="E72" i="23"/>
  <c r="E36" i="19"/>
  <c r="E80" i="24" l="1"/>
  <c r="E81" i="24" s="1"/>
  <c r="E73" i="23"/>
  <c r="E37" i="19"/>
  <c r="E82" i="24" l="1"/>
  <c r="E83" i="24" s="1"/>
  <c r="E75" i="23"/>
  <c r="E38" i="19"/>
  <c r="E84" i="24" l="1"/>
  <c r="E85" i="24" s="1"/>
  <c r="E77" i="23"/>
  <c r="E39" i="19"/>
  <c r="E86" i="24" l="1"/>
  <c r="E87" i="24" s="1"/>
  <c r="E79" i="23"/>
  <c r="E40" i="19"/>
  <c r="E88" i="24" l="1"/>
  <c r="E89" i="24" s="1"/>
  <c r="E81" i="23"/>
  <c r="E41" i="19"/>
  <c r="E90" i="24" l="1"/>
  <c r="E91" i="24" s="1"/>
  <c r="E83" i="23"/>
  <c r="E42" i="19"/>
  <c r="E92" i="24" l="1"/>
  <c r="E93" i="24" s="1"/>
  <c r="E85" i="23"/>
  <c r="E43" i="19"/>
  <c r="E94" i="24" l="1"/>
  <c r="E95" i="24" s="1"/>
  <c r="E87" i="23"/>
  <c r="E44" i="19"/>
  <c r="E96" i="24" l="1"/>
  <c r="E97" i="24" s="1"/>
  <c r="E89" i="23"/>
  <c r="E45" i="19"/>
  <c r="J7" i="7"/>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H11" i="5" s="1"/>
  <c r="F11" i="5"/>
  <c r="G10" i="5"/>
  <c r="F10" i="5"/>
  <c r="G9" i="5"/>
  <c r="G8" i="5"/>
  <c r="AB63" i="5"/>
  <c r="AB62" i="5"/>
  <c r="AB61" i="5"/>
  <c r="AB60" i="5"/>
  <c r="AB59" i="5"/>
  <c r="AB58" i="5"/>
  <c r="AB57" i="5"/>
  <c r="AB56" i="5"/>
  <c r="AB55" i="5"/>
  <c r="AB54" i="5"/>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B78" i="5"/>
  <c r="B79" i="5" s="1"/>
  <c r="B80" i="5" s="1"/>
  <c r="B81" i="5" s="1"/>
  <c r="B82" i="5" s="1"/>
  <c r="B83" i="5" s="1"/>
  <c r="B84" i="5" s="1"/>
  <c r="B85" i="5" s="1"/>
  <c r="B86" i="5" s="1"/>
  <c r="B87" i="5" s="1"/>
  <c r="B88" i="5" s="1"/>
  <c r="B89" i="5" s="1"/>
  <c r="B90" i="5" s="1"/>
  <c r="B91" i="5" s="1"/>
  <c r="B92" i="5" s="1"/>
  <c r="A10" i="5"/>
  <c r="A11" i="5"/>
  <c r="A9" i="5"/>
  <c r="V19" i="5"/>
  <c r="V20" i="5" s="1"/>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9" i="5"/>
  <c r="BO8" i="5"/>
  <c r="BO9" i="5" s="1"/>
  <c r="BO10" i="5" s="1"/>
  <c r="BO11" i="5" s="1"/>
  <c r="BO12" i="5" s="1"/>
  <c r="BO13" i="5" s="1"/>
  <c r="BO14" i="5" s="1"/>
  <c r="BO15" i="5" s="1"/>
  <c r="BO16" i="5" s="1"/>
  <c r="BO17" i="5" s="1"/>
  <c r="BO18" i="5" s="1"/>
  <c r="BO19" i="5" s="1"/>
  <c r="BO20" i="5" s="1"/>
  <c r="BO21" i="5" s="1"/>
  <c r="BO22" i="5" s="1"/>
  <c r="BO23" i="5" s="1"/>
  <c r="BO24" i="5" s="1"/>
  <c r="BO25" i="5" s="1"/>
  <c r="BO26" i="5" s="1"/>
  <c r="BO27" i="5" s="1"/>
  <c r="BO28" i="5" s="1"/>
  <c r="BO29" i="5" s="1"/>
  <c r="BO30" i="5" s="1"/>
  <c r="BO31" i="5" s="1"/>
  <c r="BO32" i="5" s="1"/>
  <c r="BO33" i="5" s="1"/>
  <c r="BO34" i="5" s="1"/>
  <c r="BO35" i="5" s="1"/>
  <c r="BO36" i="5" s="1"/>
  <c r="BO37" i="5" s="1"/>
  <c r="BO38" i="5" s="1"/>
  <c r="BO39" i="5" s="1"/>
  <c r="BO40" i="5" s="1"/>
  <c r="BO41" i="5" s="1"/>
  <c r="BO42" i="5" s="1"/>
  <c r="BO43" i="5" s="1"/>
  <c r="BO44" i="5" s="1"/>
  <c r="BO45" i="5" s="1"/>
  <c r="BO46" i="5" s="1"/>
  <c r="BO47" i="5" s="1"/>
  <c r="BO48" i="5" s="1"/>
  <c r="BO49" i="5" s="1"/>
  <c r="BO50" i="5" s="1"/>
  <c r="BO51" i="5" s="1"/>
  <c r="BO52" i="5" s="1"/>
  <c r="BO53" i="5" s="1"/>
  <c r="BN8" i="5"/>
  <c r="BN9" i="5" s="1"/>
  <c r="BN10" i="5" s="1"/>
  <c r="BN11" i="5" s="1"/>
  <c r="BN12" i="5" s="1"/>
  <c r="BN13" i="5" s="1"/>
  <c r="BN14" i="5" s="1"/>
  <c r="BN15" i="5" s="1"/>
  <c r="BN16" i="5" s="1"/>
  <c r="BN17" i="5" s="1"/>
  <c r="BN18" i="5" s="1"/>
  <c r="BN19" i="5" s="1"/>
  <c r="BN20" i="5" s="1"/>
  <c r="BN21" i="5" s="1"/>
  <c r="BN22" i="5" s="1"/>
  <c r="BN23" i="5" s="1"/>
  <c r="BN24" i="5" s="1"/>
  <c r="BN25" i="5" s="1"/>
  <c r="BN26" i="5" s="1"/>
  <c r="BN27" i="5" s="1"/>
  <c r="BN28" i="5" s="1"/>
  <c r="BN29" i="5" s="1"/>
  <c r="BN30" i="5" s="1"/>
  <c r="BN31" i="5" s="1"/>
  <c r="BN32" i="5" s="1"/>
  <c r="BN33" i="5" s="1"/>
  <c r="BN34" i="5" s="1"/>
  <c r="BN35" i="5" s="1"/>
  <c r="BN36" i="5" s="1"/>
  <c r="BN37" i="5" s="1"/>
  <c r="BN38" i="5" s="1"/>
  <c r="BN39" i="5" s="1"/>
  <c r="BN40" i="5" s="1"/>
  <c r="BN41" i="5" s="1"/>
  <c r="BN42" i="5" s="1"/>
  <c r="BN43" i="5" s="1"/>
  <c r="BN44" i="5" s="1"/>
  <c r="BN45" i="5" s="1"/>
  <c r="BN46" i="5" s="1"/>
  <c r="BN47" i="5" s="1"/>
  <c r="BN48" i="5" s="1"/>
  <c r="BN49" i="5" s="1"/>
  <c r="BN50" i="5" s="1"/>
  <c r="BN51" i="5" s="1"/>
  <c r="BN52" i="5" s="1"/>
  <c r="BN53" i="5" s="1"/>
  <c r="K8" i="5"/>
  <c r="N8" i="5"/>
  <c r="W8" i="5"/>
  <c r="O9" i="5"/>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K63" i="5"/>
  <c r="N63" i="5"/>
  <c r="K53" i="5"/>
  <c r="N53" i="5"/>
  <c r="K54" i="5"/>
  <c r="N54" i="5"/>
  <c r="K55" i="5"/>
  <c r="N55" i="5"/>
  <c r="K56" i="5"/>
  <c r="N56" i="5"/>
  <c r="K57" i="5"/>
  <c r="N57" i="5"/>
  <c r="K58" i="5"/>
  <c r="N58" i="5"/>
  <c r="K59" i="5"/>
  <c r="N59" i="5"/>
  <c r="K60" i="5"/>
  <c r="N60" i="5"/>
  <c r="K61" i="5"/>
  <c r="N61" i="5"/>
  <c r="K62" i="5"/>
  <c r="N62" i="5"/>
  <c r="W9" i="5"/>
  <c r="W10" i="5"/>
  <c r="W11" i="5"/>
  <c r="W12" i="5"/>
  <c r="W13" i="5"/>
  <c r="E8" i="5"/>
  <c r="BL8" i="5" s="1"/>
  <c r="E9" i="5"/>
  <c r="BL9" i="5" s="1"/>
  <c r="E10" i="5"/>
  <c r="BL10" i="5" s="1"/>
  <c r="E11" i="5"/>
  <c r="BL11" i="5" s="1"/>
  <c r="B9" i="5"/>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AE8" i="5"/>
  <c r="AF21" i="5" s="1"/>
  <c r="AE9" i="5"/>
  <c r="AE10" i="5"/>
  <c r="AE11" i="5"/>
  <c r="AE12" i="5"/>
  <c r="AE13" i="5"/>
  <c r="AE14" i="5"/>
  <c r="AE15" i="5"/>
  <c r="AE16" i="5"/>
  <c r="AE17" i="5"/>
  <c r="AE18" i="5"/>
  <c r="AE19" i="5"/>
  <c r="AE20" i="5"/>
  <c r="AE21" i="5"/>
  <c r="AE22" i="5"/>
  <c r="AE23" i="5"/>
  <c r="AF32" i="5" s="1"/>
  <c r="AE24" i="5"/>
  <c r="AE25" i="5"/>
  <c r="AE26" i="5"/>
  <c r="AE27" i="5"/>
  <c r="AF37" i="5" s="1"/>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G8" i="5"/>
  <c r="AH32" i="5" s="1"/>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S28" i="5"/>
  <c r="AS29" i="5" s="1"/>
  <c r="AT29" i="5" s="1"/>
  <c r="AY9" i="5"/>
  <c r="AY10" i="5" s="1"/>
  <c r="AY11" i="5" s="1"/>
  <c r="AX11" i="5" s="1"/>
  <c r="BA49" i="5"/>
  <c r="BA50" i="5" s="1"/>
  <c r="AZ50" i="5" s="1"/>
  <c r="BB23" i="5"/>
  <c r="AX8" i="5"/>
  <c r="BB8" i="5"/>
  <c r="BR8" i="5"/>
  <c r="BU8" i="5"/>
  <c r="BB9" i="5"/>
  <c r="BR9" i="5"/>
  <c r="BU9" i="5"/>
  <c r="BB10" i="5"/>
  <c r="BR10" i="5"/>
  <c r="BU10" i="5"/>
  <c r="BB11" i="5"/>
  <c r="BR11" i="5"/>
  <c r="BU11" i="5"/>
  <c r="BB12" i="5"/>
  <c r="BR12" i="5"/>
  <c r="BU12" i="5"/>
  <c r="BB13" i="5"/>
  <c r="BR13" i="5"/>
  <c r="BU13" i="5"/>
  <c r="BB14" i="5"/>
  <c r="BR14" i="5"/>
  <c r="BU14" i="5"/>
  <c r="BB15" i="5"/>
  <c r="BR15" i="5"/>
  <c r="BU15" i="5"/>
  <c r="BB16" i="5"/>
  <c r="BR16" i="5"/>
  <c r="BU16" i="5"/>
  <c r="BB17" i="5"/>
  <c r="BR17" i="5"/>
  <c r="BU17" i="5"/>
  <c r="BB18" i="5"/>
  <c r="BR18" i="5"/>
  <c r="BU18" i="5"/>
  <c r="BB19" i="5"/>
  <c r="BR19" i="5"/>
  <c r="BU19" i="5"/>
  <c r="BB20" i="5"/>
  <c r="BR20" i="5"/>
  <c r="BU20" i="5"/>
  <c r="BB21" i="5"/>
  <c r="BR21" i="5"/>
  <c r="BU21" i="5"/>
  <c r="BB22" i="5"/>
  <c r="BR22" i="5"/>
  <c r="BU22" i="5"/>
  <c r="AF23" i="5"/>
  <c r="AT23" i="5"/>
  <c r="BR23" i="5"/>
  <c r="BU23" i="5"/>
  <c r="AS24" i="5"/>
  <c r="AT24" i="5" s="1"/>
  <c r="BB24" i="5"/>
  <c r="BR24" i="5"/>
  <c r="BU24" i="5"/>
  <c r="AF25" i="5"/>
  <c r="BB25" i="5"/>
  <c r="BR25" i="5"/>
  <c r="BU25" i="5"/>
  <c r="BB26" i="5"/>
  <c r="BR26" i="5"/>
  <c r="BU26" i="5"/>
  <c r="AT27" i="5"/>
  <c r="BB27" i="5"/>
  <c r="BR27" i="5"/>
  <c r="BU27" i="5"/>
  <c r="BB28" i="5"/>
  <c r="BR28" i="5"/>
  <c r="BU28" i="5"/>
  <c r="AF29" i="5"/>
  <c r="BB29" i="5"/>
  <c r="BR29" i="5"/>
  <c r="BU29" i="5"/>
  <c r="BB30" i="5"/>
  <c r="BR30" i="5"/>
  <c r="BU30" i="5"/>
  <c r="BB31" i="5"/>
  <c r="BR31" i="5"/>
  <c r="BU31" i="5"/>
  <c r="BB32" i="5"/>
  <c r="BR32" i="5"/>
  <c r="BU32" i="5"/>
  <c r="BB33" i="5"/>
  <c r="BR33" i="5"/>
  <c r="BU33" i="5"/>
  <c r="BB34" i="5"/>
  <c r="BR34" i="5"/>
  <c r="BU34" i="5"/>
  <c r="AF35" i="5"/>
  <c r="BB35" i="5"/>
  <c r="BR35" i="5"/>
  <c r="BU35" i="5"/>
  <c r="BB36" i="5"/>
  <c r="BR36" i="5"/>
  <c r="BU36" i="5"/>
  <c r="BB37" i="5"/>
  <c r="BR37" i="5"/>
  <c r="BU37" i="5"/>
  <c r="AF38" i="5"/>
  <c r="AH38" i="5"/>
  <c r="BB38" i="5"/>
  <c r="BR38" i="5"/>
  <c r="BU38" i="5"/>
  <c r="AF39" i="5"/>
  <c r="BB39" i="5"/>
  <c r="BR39" i="5"/>
  <c r="BU39" i="5"/>
  <c r="AF40" i="5"/>
  <c r="BB40" i="5"/>
  <c r="BR40" i="5"/>
  <c r="BU40" i="5"/>
  <c r="AF41" i="5"/>
  <c r="BB41" i="5"/>
  <c r="BR41" i="5"/>
  <c r="BU41" i="5"/>
  <c r="AF42" i="5"/>
  <c r="BB42" i="5"/>
  <c r="BR42" i="5"/>
  <c r="BU42" i="5"/>
  <c r="AF43" i="5"/>
  <c r="BB43" i="5"/>
  <c r="BR43" i="5"/>
  <c r="BU43" i="5"/>
  <c r="AF44" i="5"/>
  <c r="BB44" i="5"/>
  <c r="BR44" i="5"/>
  <c r="BU44" i="5"/>
  <c r="BB45" i="5"/>
  <c r="BR45" i="5"/>
  <c r="BU45" i="5"/>
  <c r="AF46" i="5"/>
  <c r="BB46" i="5"/>
  <c r="BR46" i="5"/>
  <c r="BU46" i="5"/>
  <c r="AF47" i="5"/>
  <c r="AH47" i="5"/>
  <c r="BB47" i="5"/>
  <c r="BR47" i="5"/>
  <c r="BU47" i="5"/>
  <c r="AF48" i="5"/>
  <c r="AZ48" i="5"/>
  <c r="BB48" i="5"/>
  <c r="BR48" i="5"/>
  <c r="BU48" i="5"/>
  <c r="AF49" i="5"/>
  <c r="AZ49" i="5"/>
  <c r="BB49" i="5"/>
  <c r="BR49" i="5"/>
  <c r="BU49" i="5"/>
  <c r="AF50" i="5"/>
  <c r="BB50" i="5"/>
  <c r="BR50" i="5"/>
  <c r="BU50" i="5"/>
  <c r="BB51" i="5"/>
  <c r="BR51" i="5"/>
  <c r="BU51" i="5"/>
  <c r="AF52" i="5"/>
  <c r="BB52" i="5"/>
  <c r="BR52" i="5"/>
  <c r="BU52" i="5"/>
  <c r="AF53" i="5"/>
  <c r="BB53" i="5"/>
  <c r="BR53" i="5"/>
  <c r="BU53" i="5"/>
  <c r="BR54" i="5"/>
  <c r="BU54" i="5"/>
  <c r="BR55" i="5"/>
  <c r="BU55" i="5"/>
  <c r="W63" i="5"/>
  <c r="W54" i="5"/>
  <c r="W55" i="5"/>
  <c r="W56" i="5"/>
  <c r="W57" i="5"/>
  <c r="W58" i="5"/>
  <c r="W59" i="5"/>
  <c r="W60" i="5"/>
  <c r="W61" i="5"/>
  <c r="W62" i="5"/>
  <c r="W14" i="5"/>
  <c r="W15" i="5"/>
  <c r="W16" i="5"/>
  <c r="W17" i="5"/>
  <c r="W18" i="5"/>
  <c r="W19" i="5"/>
  <c r="W48" i="5"/>
  <c r="W49" i="5"/>
  <c r="W50" i="5"/>
  <c r="W51" i="5"/>
  <c r="W52" i="5"/>
  <c r="W53" i="5"/>
  <c r="AH14" i="5"/>
  <c r="AH16" i="5"/>
  <c r="AF12" i="5"/>
  <c r="AH12" i="5"/>
  <c r="AH21" i="5"/>
  <c r="AF20" i="5"/>
  <c r="AF19" i="5"/>
  <c r="AF17" i="5"/>
  <c r="AF16" i="5"/>
  <c r="AF15" i="5"/>
  <c r="AF13" i="5"/>
  <c r="AF11" i="5"/>
  <c r="AF10" i="5"/>
  <c r="AO9" i="5"/>
  <c r="AP9" i="5" s="1"/>
  <c r="AO8" i="5"/>
  <c r="AP8" i="5" s="1"/>
  <c r="AS25" i="5"/>
  <c r="AS26" i="5" s="1"/>
  <c r="AT26" i="5" s="1"/>
  <c r="AO10" i="5"/>
  <c r="AP10" i="5" s="1"/>
  <c r="AO11" i="5"/>
  <c r="AP11" i="5" s="1"/>
  <c r="H9" i="5"/>
  <c r="E12" i="5"/>
  <c r="BL12" i="5" s="1"/>
  <c r="AQ8" i="5"/>
  <c r="AR8" i="5" s="1"/>
  <c r="AL9" i="5"/>
  <c r="AQ9" i="5" s="1"/>
  <c r="AR9" i="5" s="1"/>
  <c r="AO12" i="5"/>
  <c r="AP12" i="5" s="1"/>
  <c r="AS8" i="5"/>
  <c r="AS9" i="5" s="1"/>
  <c r="AO13" i="5"/>
  <c r="AP13" i="5" s="1"/>
  <c r="BE8" i="5"/>
  <c r="BD8" i="5" s="1"/>
  <c r="BA9" i="5"/>
  <c r="AZ9" i="5" s="1"/>
  <c r="AZ8" i="5"/>
  <c r="AO14" i="5"/>
  <c r="AP14" i="5" s="1"/>
  <c r="AO15" i="5"/>
  <c r="AP15" i="5" s="1"/>
  <c r="AO16" i="5"/>
  <c r="AP16" i="5" s="1"/>
  <c r="AO17" i="5"/>
  <c r="AP17" i="5" s="1"/>
  <c r="AO18" i="5"/>
  <c r="AP18" i="5" s="1"/>
  <c r="AO19" i="5"/>
  <c r="AP19" i="5" s="1"/>
  <c r="AO20" i="5"/>
  <c r="AP20" i="5" s="1"/>
  <c r="AO21" i="5"/>
  <c r="AP21" i="5" s="1"/>
  <c r="AK23" i="5"/>
  <c r="AK24" i="5" s="1"/>
  <c r="AO22" i="5"/>
  <c r="AP22" i="5" s="1"/>
  <c r="E6" i="7"/>
  <c r="B3" i="11" s="1"/>
  <c r="J3" i="11" s="1"/>
  <c r="E98" i="24" l="1"/>
  <c r="E99" i="24" s="1"/>
  <c r="E91" i="23"/>
  <c r="E46" i="19"/>
  <c r="H78" i="5"/>
  <c r="AT28" i="5"/>
  <c r="AS30" i="5"/>
  <c r="AS31" i="5" s="1"/>
  <c r="AS32" i="5" s="1"/>
  <c r="AT32" i="5" s="1"/>
  <c r="AX9" i="5"/>
  <c r="AX10" i="5"/>
  <c r="AH24" i="5"/>
  <c r="AH13" i="5"/>
  <c r="AH20" i="5"/>
  <c r="AH18" i="5"/>
  <c r="AH52" i="5"/>
  <c r="AH45" i="5"/>
  <c r="AH44" i="5"/>
  <c r="AH8" i="5"/>
  <c r="AH11" i="5"/>
  <c r="AH26" i="5"/>
  <c r="AH15" i="5"/>
  <c r="AH10" i="5"/>
  <c r="AH22" i="5"/>
  <c r="AH51" i="5"/>
  <c r="AH50" i="5"/>
  <c r="AH48" i="5"/>
  <c r="AH41" i="5"/>
  <c r="AH40" i="5"/>
  <c r="AH42" i="5"/>
  <c r="AH37" i="5"/>
  <c r="AH9" i="5"/>
  <c r="AH23" i="5"/>
  <c r="AH19" i="5"/>
  <c r="AH17" i="5"/>
  <c r="AH53" i="5"/>
  <c r="AH49" i="5"/>
  <c r="AH46" i="5"/>
  <c r="K77" i="5"/>
  <c r="BA51" i="5"/>
  <c r="N9" i="5"/>
  <c r="N78" i="5" s="1"/>
  <c r="H10" i="5"/>
  <c r="H79" i="5" s="1"/>
  <c r="H8" i="5"/>
  <c r="H77" i="5" s="1"/>
  <c r="AT31" i="5"/>
  <c r="BA10" i="5"/>
  <c r="BE10" i="5" s="1"/>
  <c r="BD10" i="5" s="1"/>
  <c r="AO23" i="5"/>
  <c r="AP23" i="5" s="1"/>
  <c r="AF14" i="5"/>
  <c r="AF18" i="5"/>
  <c r="AF22" i="5"/>
  <c r="AF51" i="5"/>
  <c r="AF45" i="5"/>
  <c r="AF33" i="5"/>
  <c r="K9" i="5"/>
  <c r="K78" i="5" s="1"/>
  <c r="AK25" i="5"/>
  <c r="AO24" i="5"/>
  <c r="AP24" i="5" s="1"/>
  <c r="N10" i="5"/>
  <c r="N79" i="5" s="1"/>
  <c r="N11" i="5"/>
  <c r="N80" i="5" s="1"/>
  <c r="V21" i="5"/>
  <c r="W20" i="5"/>
  <c r="AH43" i="5"/>
  <c r="AH39" i="5"/>
  <c r="AH36" i="5"/>
  <c r="AF34" i="5"/>
  <c r="AF31" i="5"/>
  <c r="AH30" i="5"/>
  <c r="AF28" i="5"/>
  <c r="AF8" i="5"/>
  <c r="AF9" i="5"/>
  <c r="AF36" i="5"/>
  <c r="AH35" i="5"/>
  <c r="AH33" i="5"/>
  <c r="AF30" i="5"/>
  <c r="AH29" i="5"/>
  <c r="AF27" i="5"/>
  <c r="AF26" i="5"/>
  <c r="AH25" i="5"/>
  <c r="AF24" i="5"/>
  <c r="AH27" i="5"/>
  <c r="AH34" i="5"/>
  <c r="AH31" i="5"/>
  <c r="AH28" i="5"/>
  <c r="BE9" i="5"/>
  <c r="BD9" i="5" s="1"/>
  <c r="H80" i="5"/>
  <c r="AY12" i="5"/>
  <c r="K10" i="5"/>
  <c r="K79" i="5" s="1"/>
  <c r="AL10" i="5"/>
  <c r="N77" i="5"/>
  <c r="E7" i="7"/>
  <c r="B4" i="11" s="1"/>
  <c r="J4" i="11" s="1"/>
  <c r="O54" i="5"/>
  <c r="AT9" i="5"/>
  <c r="AS10" i="5"/>
  <c r="AT8" i="5"/>
  <c r="AT25" i="5"/>
  <c r="J8" i="7"/>
  <c r="K8" i="7" s="1"/>
  <c r="F12" i="5"/>
  <c r="H12" i="5" s="1"/>
  <c r="A12" i="5"/>
  <c r="E100" i="24" l="1"/>
  <c r="E101" i="24" s="1"/>
  <c r="E93" i="23"/>
  <c r="E47" i="19"/>
  <c r="P9" i="5"/>
  <c r="Q9" i="5" s="1"/>
  <c r="Q78" i="5" s="1"/>
  <c r="AS33" i="5"/>
  <c r="AT30" i="5"/>
  <c r="AC8" i="5"/>
  <c r="AC9" i="5"/>
  <c r="AZ10" i="5"/>
  <c r="P8" i="5"/>
  <c r="Q8" i="5" s="1"/>
  <c r="Q77" i="5" s="1"/>
  <c r="BA11" i="5"/>
  <c r="BA12" i="5" s="1"/>
  <c r="BA13" i="5" s="1"/>
  <c r="BA14" i="5" s="1"/>
  <c r="AZ51" i="5"/>
  <c r="BA52" i="5"/>
  <c r="P10" i="5"/>
  <c r="Q10" i="5" s="1"/>
  <c r="Q79" i="5" s="1"/>
  <c r="V22" i="5"/>
  <c r="W21" i="5"/>
  <c r="AO25" i="5"/>
  <c r="AP25" i="5" s="1"/>
  <c r="AK26" i="5"/>
  <c r="AC10" i="5"/>
  <c r="AX12" i="5"/>
  <c r="AY13" i="5"/>
  <c r="AL11" i="5"/>
  <c r="AQ10" i="5"/>
  <c r="AR10" i="5" s="1"/>
  <c r="K11" i="5"/>
  <c r="E8" i="7"/>
  <c r="B5" i="11" s="1"/>
  <c r="J5" i="11" s="1"/>
  <c r="F13" i="5"/>
  <c r="H13" i="5" s="1"/>
  <c r="A13" i="5"/>
  <c r="E13" i="5"/>
  <c r="AS34" i="5"/>
  <c r="AT33" i="5"/>
  <c r="H81" i="5"/>
  <c r="AS11" i="5"/>
  <c r="AT10" i="5"/>
  <c r="O55" i="5"/>
  <c r="C5" i="25" l="1"/>
  <c r="C5" i="24"/>
  <c r="C5" i="23"/>
  <c r="C5" i="19"/>
  <c r="E102" i="24"/>
  <c r="E103" i="24" s="1"/>
  <c r="E95" i="23"/>
  <c r="E48" i="19"/>
  <c r="R9" i="5"/>
  <c r="AD9" i="5" s="1"/>
  <c r="AI9" i="5" s="1"/>
  <c r="AM9" i="5" s="1"/>
  <c r="R10" i="5"/>
  <c r="S10" i="5" s="1"/>
  <c r="AZ11" i="5"/>
  <c r="AZ13" i="5"/>
  <c r="BE13" i="5"/>
  <c r="BD13" i="5" s="1"/>
  <c r="BE12" i="5"/>
  <c r="BD12" i="5" s="1"/>
  <c r="R8" i="5"/>
  <c r="BE11" i="5"/>
  <c r="BD11" i="5" s="1"/>
  <c r="AZ12" i="5"/>
  <c r="BA53" i="5"/>
  <c r="AZ53" i="5" s="1"/>
  <c r="AZ52" i="5"/>
  <c r="N12" i="5"/>
  <c r="N81" i="5" s="1"/>
  <c r="C5" i="7"/>
  <c r="V23" i="5"/>
  <c r="W22" i="5"/>
  <c r="AK27" i="5"/>
  <c r="AO26" i="5"/>
  <c r="AP26" i="5" s="1"/>
  <c r="AX13" i="5"/>
  <c r="AY14" i="5"/>
  <c r="S9" i="5"/>
  <c r="AQ11" i="5"/>
  <c r="AR11" i="5" s="1"/>
  <c r="AL12" i="5"/>
  <c r="P11" i="5"/>
  <c r="Q11" i="5" s="1"/>
  <c r="AC11" i="5"/>
  <c r="K80" i="5"/>
  <c r="K12" i="5"/>
  <c r="AD10" i="5"/>
  <c r="E9" i="7"/>
  <c r="B6" i="11" s="1"/>
  <c r="J6" i="11" s="1"/>
  <c r="O56" i="5"/>
  <c r="BA15" i="5"/>
  <c r="BE14" i="5"/>
  <c r="AZ14" i="5"/>
  <c r="AS12" i="5"/>
  <c r="AT11" i="5"/>
  <c r="BL13" i="5"/>
  <c r="H82" i="5"/>
  <c r="AS35" i="5"/>
  <c r="AT34" i="5"/>
  <c r="D5" i="25" l="1"/>
  <c r="H5" i="25" s="1"/>
  <c r="D5" i="24"/>
  <c r="D5" i="23"/>
  <c r="D5" i="19"/>
  <c r="C6" i="25"/>
  <c r="C6" i="24"/>
  <c r="C6" i="23"/>
  <c r="C6" i="19"/>
  <c r="B5" i="25"/>
  <c r="I5" i="25" s="1"/>
  <c r="E104" i="24"/>
  <c r="E105" i="24" s="1"/>
  <c r="E97" i="23"/>
  <c r="E49" i="19"/>
  <c r="S8" i="5"/>
  <c r="AD8" i="5"/>
  <c r="AI8" i="5" s="1"/>
  <c r="AM8" i="5" s="1"/>
  <c r="N13" i="5"/>
  <c r="N82" i="5" s="1"/>
  <c r="C6" i="7"/>
  <c r="K2" i="11"/>
  <c r="M2" i="11" s="1"/>
  <c r="AK28" i="5"/>
  <c r="AO27" i="5"/>
  <c r="AP27" i="5" s="1"/>
  <c r="V24" i="5"/>
  <c r="W23" i="5"/>
  <c r="U11" i="5"/>
  <c r="AX14" i="5"/>
  <c r="AY15" i="5"/>
  <c r="BE15" i="5" s="1"/>
  <c r="K13" i="5"/>
  <c r="AQ12" i="5"/>
  <c r="AR12" i="5" s="1"/>
  <c r="AL13" i="5"/>
  <c r="T9" i="5"/>
  <c r="Y9" i="5" s="1"/>
  <c r="U9" i="5"/>
  <c r="X9" i="5"/>
  <c r="K81" i="5"/>
  <c r="AC12" i="5"/>
  <c r="P12" i="5"/>
  <c r="Q12" i="5" s="1"/>
  <c r="R11" i="5"/>
  <c r="Q80" i="5"/>
  <c r="AN9" i="5"/>
  <c r="AV9" i="5" s="1"/>
  <c r="AU9" i="5"/>
  <c r="T10" i="5"/>
  <c r="Y10" i="5" s="1"/>
  <c r="X10" i="5"/>
  <c r="U10" i="5"/>
  <c r="D5" i="7"/>
  <c r="AI10" i="5"/>
  <c r="AM10" i="5" s="1"/>
  <c r="E10" i="7"/>
  <c r="B7" i="11" s="1"/>
  <c r="J7" i="11" s="1"/>
  <c r="BA16" i="5"/>
  <c r="AZ15" i="5"/>
  <c r="AT35" i="5"/>
  <c r="AS36" i="5"/>
  <c r="AS13" i="5"/>
  <c r="AT12" i="5"/>
  <c r="BD14" i="5"/>
  <c r="O57" i="5"/>
  <c r="H5" i="19" l="1"/>
  <c r="B5" i="19"/>
  <c r="I5" i="19" s="1"/>
  <c r="H5" i="23"/>
  <c r="B5" i="23"/>
  <c r="I5" i="23" s="1"/>
  <c r="B5" i="24"/>
  <c r="I5" i="24" s="1"/>
  <c r="H5" i="24"/>
  <c r="C7" i="25"/>
  <c r="C7" i="24"/>
  <c r="C7" i="23"/>
  <c r="C7" i="19"/>
  <c r="E106" i="24"/>
  <c r="E107" i="24" s="1"/>
  <c r="E99" i="23"/>
  <c r="E101" i="23" s="1"/>
  <c r="E50" i="19"/>
  <c r="AN8" i="5"/>
  <c r="AV8" i="5" s="1"/>
  <c r="AU8" i="5"/>
  <c r="U8" i="5"/>
  <c r="T8" i="5"/>
  <c r="Y8" i="5" s="1"/>
  <c r="X8" i="5"/>
  <c r="N14" i="5"/>
  <c r="C7" i="7"/>
  <c r="C4" i="11"/>
  <c r="C2" i="11"/>
  <c r="C3" i="11"/>
  <c r="V25" i="5"/>
  <c r="W24" i="5"/>
  <c r="AK29" i="5"/>
  <c r="AO28" i="5"/>
  <c r="AP28" i="5" s="1"/>
  <c r="U12" i="5"/>
  <c r="AY16" i="5"/>
  <c r="AX15" i="5"/>
  <c r="AL14" i="5"/>
  <c r="AQ13" i="5"/>
  <c r="AR13" i="5" s="1"/>
  <c r="BF9" i="5"/>
  <c r="AA9" i="5"/>
  <c r="AD11" i="5"/>
  <c r="S11" i="5"/>
  <c r="K82" i="5"/>
  <c r="P13" i="5"/>
  <c r="Q13" i="5" s="1"/>
  <c r="AC13" i="5"/>
  <c r="Q81" i="5"/>
  <c r="R12" i="5"/>
  <c r="K14" i="5"/>
  <c r="B5" i="7"/>
  <c r="H5" i="7"/>
  <c r="AN10" i="5"/>
  <c r="AV10" i="5" s="1"/>
  <c r="AU10" i="5"/>
  <c r="AA10" i="5"/>
  <c r="BF10" i="5"/>
  <c r="E11" i="7"/>
  <c r="B8" i="11" s="1"/>
  <c r="J8" i="11" s="1"/>
  <c r="BD15" i="5"/>
  <c r="AZ16" i="5"/>
  <c r="BA17" i="5"/>
  <c r="BE16" i="5"/>
  <c r="O58" i="5"/>
  <c r="AS14" i="5"/>
  <c r="AT13" i="5"/>
  <c r="AS37" i="5"/>
  <c r="AT36" i="5"/>
  <c r="C8" i="25" l="1"/>
  <c r="C8" i="24"/>
  <c r="C8" i="23"/>
  <c r="C8" i="19"/>
  <c r="D6" i="25"/>
  <c r="D6" i="24"/>
  <c r="D6" i="23"/>
  <c r="D6" i="19"/>
  <c r="E108" i="24"/>
  <c r="E109" i="24" s="1"/>
  <c r="E51" i="19"/>
  <c r="AA8" i="5"/>
  <c r="BF8" i="5"/>
  <c r="N15" i="5"/>
  <c r="C8" i="7"/>
  <c r="L3" i="11"/>
  <c r="N3" i="11" s="1"/>
  <c r="L2" i="11"/>
  <c r="N2" i="11" s="1"/>
  <c r="K3" i="11"/>
  <c r="M3" i="11" s="1"/>
  <c r="I5" i="7"/>
  <c r="W25" i="5"/>
  <c r="V26" i="5"/>
  <c r="AO29" i="5"/>
  <c r="AP29" i="5" s="1"/>
  <c r="AK30" i="5"/>
  <c r="AX16" i="5"/>
  <c r="AY17" i="5"/>
  <c r="BE17" i="5" s="1"/>
  <c r="U13" i="5"/>
  <c r="K15" i="5"/>
  <c r="Q82" i="5"/>
  <c r="R13" i="5"/>
  <c r="X11" i="5"/>
  <c r="T11" i="5"/>
  <c r="Y11" i="5" s="1"/>
  <c r="AD12" i="5"/>
  <c r="S12" i="5"/>
  <c r="D6" i="7"/>
  <c r="AI11" i="5"/>
  <c r="AM11" i="5" s="1"/>
  <c r="AQ14" i="5"/>
  <c r="AR14" i="5" s="1"/>
  <c r="AL15" i="5"/>
  <c r="E12" i="7"/>
  <c r="B9" i="11" s="1"/>
  <c r="J9" i="11" s="1"/>
  <c r="O59" i="5"/>
  <c r="BD16" i="5"/>
  <c r="AS38" i="5"/>
  <c r="AT37" i="5"/>
  <c r="AT14" i="5"/>
  <c r="AS15" i="5"/>
  <c r="BA18" i="5"/>
  <c r="AZ17" i="5"/>
  <c r="D7" i="25" l="1"/>
  <c r="D7" i="24"/>
  <c r="D7" i="23"/>
  <c r="D7" i="19"/>
  <c r="B6" i="19"/>
  <c r="I6" i="19" s="1"/>
  <c r="H6" i="19"/>
  <c r="H6" i="23"/>
  <c r="B6" i="23"/>
  <c r="I6" i="23" s="1"/>
  <c r="B6" i="24"/>
  <c r="I6" i="24" s="1"/>
  <c r="H6" i="24"/>
  <c r="B6" i="25"/>
  <c r="I6" i="25" s="1"/>
  <c r="H6" i="25"/>
  <c r="E110" i="24"/>
  <c r="E111" i="24" s="1"/>
  <c r="E103" i="23"/>
  <c r="E52" i="19"/>
  <c r="N16" i="5"/>
  <c r="K4" i="11"/>
  <c r="M4" i="11" s="1"/>
  <c r="L4" i="11"/>
  <c r="N4" i="11" s="1"/>
  <c r="D2" i="11"/>
  <c r="D3" i="11"/>
  <c r="D4" i="11"/>
  <c r="AK31" i="5"/>
  <c r="AO30" i="5"/>
  <c r="AP30" i="5" s="1"/>
  <c r="V27" i="5"/>
  <c r="W26" i="5"/>
  <c r="AX17" i="5"/>
  <c r="AY18" i="5"/>
  <c r="BE18" i="5" s="1"/>
  <c r="AN11" i="5"/>
  <c r="AV11" i="5" s="1"/>
  <c r="AU11" i="5"/>
  <c r="B6" i="7"/>
  <c r="I6" i="7" s="1"/>
  <c r="H6" i="7"/>
  <c r="BF11" i="5"/>
  <c r="AA11" i="5"/>
  <c r="K16" i="5"/>
  <c r="AQ15" i="5"/>
  <c r="AR15" i="5" s="1"/>
  <c r="AL16" i="5"/>
  <c r="T12" i="5"/>
  <c r="Y12" i="5" s="1"/>
  <c r="X12" i="5"/>
  <c r="AI12" i="5"/>
  <c r="AM12" i="5" s="1"/>
  <c r="D7" i="7"/>
  <c r="S13" i="5"/>
  <c r="AD13" i="5"/>
  <c r="E13" i="7"/>
  <c r="B10" i="11" s="1"/>
  <c r="J10" i="11" s="1"/>
  <c r="BD17" i="5"/>
  <c r="BA19" i="5"/>
  <c r="AZ18" i="5"/>
  <c r="AS39" i="5"/>
  <c r="AT38" i="5"/>
  <c r="O60" i="5"/>
  <c r="AT15" i="5"/>
  <c r="AS16" i="5"/>
  <c r="B7" i="19" l="1"/>
  <c r="I7" i="19" s="1"/>
  <c r="H7" i="19"/>
  <c r="B7" i="23"/>
  <c r="I7" i="23" s="1"/>
  <c r="H7" i="23"/>
  <c r="B7" i="24"/>
  <c r="I7" i="24" s="1"/>
  <c r="H7" i="24"/>
  <c r="D8" i="25"/>
  <c r="D8" i="24"/>
  <c r="D8" i="23"/>
  <c r="D8" i="19"/>
  <c r="B7" i="25"/>
  <c r="I7" i="25" s="1"/>
  <c r="H7" i="25"/>
  <c r="E112" i="24"/>
  <c r="E113" i="24" s="1"/>
  <c r="E105" i="23"/>
  <c r="E53" i="19"/>
  <c r="N17" i="5"/>
  <c r="L5" i="11"/>
  <c r="N5" i="11" s="1"/>
  <c r="D5" i="11" s="1"/>
  <c r="K5" i="11"/>
  <c r="M5" i="11" s="1"/>
  <c r="C5" i="11" s="1"/>
  <c r="V28" i="5"/>
  <c r="W27" i="5"/>
  <c r="AK32" i="5"/>
  <c r="AO31" i="5"/>
  <c r="AP31" i="5" s="1"/>
  <c r="AY19" i="5"/>
  <c r="BE19" i="5" s="1"/>
  <c r="AX18" i="5"/>
  <c r="B7" i="7"/>
  <c r="I7" i="7" s="1"/>
  <c r="H7" i="7"/>
  <c r="AU12" i="5"/>
  <c r="AN12" i="5"/>
  <c r="AV12" i="5" s="1"/>
  <c r="AA12" i="5"/>
  <c r="BF12" i="5"/>
  <c r="K17" i="5"/>
  <c r="AI13" i="5"/>
  <c r="AM13" i="5" s="1"/>
  <c r="D8" i="7"/>
  <c r="X13" i="5"/>
  <c r="T13" i="5"/>
  <c r="Y13" i="5" s="1"/>
  <c r="AQ16" i="5"/>
  <c r="AR16" i="5" s="1"/>
  <c r="AL17" i="5"/>
  <c r="E14" i="7"/>
  <c r="B11" i="11" s="1"/>
  <c r="J11" i="11" s="1"/>
  <c r="AT16" i="5"/>
  <c r="AS17" i="5"/>
  <c r="O61" i="5"/>
  <c r="AT39" i="5"/>
  <c r="AS40" i="5"/>
  <c r="BD18" i="5"/>
  <c r="AZ19" i="5"/>
  <c r="BA20" i="5"/>
  <c r="B8" i="24" l="1"/>
  <c r="I8" i="24" s="1"/>
  <c r="H8" i="24"/>
  <c r="B8" i="25"/>
  <c r="I8" i="25" s="1"/>
  <c r="H8" i="25"/>
  <c r="B8" i="19"/>
  <c r="I8" i="19" s="1"/>
  <c r="H8" i="19"/>
  <c r="B8" i="23"/>
  <c r="I8" i="23" s="1"/>
  <c r="H8" i="23"/>
  <c r="E114" i="24"/>
  <c r="E115" i="24" s="1"/>
  <c r="E116" i="24" s="1"/>
  <c r="E117" i="24" s="1"/>
  <c r="E118" i="24" s="1"/>
  <c r="E119" i="24" s="1"/>
  <c r="E120" i="24" s="1"/>
  <c r="E107" i="23"/>
  <c r="E54" i="19"/>
  <c r="N18" i="5"/>
  <c r="AK33" i="5"/>
  <c r="AO32" i="5"/>
  <c r="AP32" i="5" s="1"/>
  <c r="V29" i="5"/>
  <c r="W28" i="5"/>
  <c r="AY20" i="5"/>
  <c r="AX19" i="5"/>
  <c r="AQ17" i="5"/>
  <c r="AR17" i="5" s="1"/>
  <c r="AL18" i="5"/>
  <c r="K18" i="5"/>
  <c r="B8" i="7"/>
  <c r="I8" i="7" s="1"/>
  <c r="H8" i="7"/>
  <c r="AA13" i="5"/>
  <c r="BF13" i="5"/>
  <c r="AN13" i="5"/>
  <c r="AV13" i="5" s="1"/>
  <c r="AU13" i="5"/>
  <c r="E15" i="7"/>
  <c r="B12" i="11" s="1"/>
  <c r="J12" i="11" s="1"/>
  <c r="AZ20" i="5"/>
  <c r="BA21" i="5"/>
  <c r="BE20" i="5"/>
  <c r="AS41" i="5"/>
  <c r="AT40" i="5"/>
  <c r="BD19" i="5"/>
  <c r="O62" i="5"/>
  <c r="AS18" i="5"/>
  <c r="AT17" i="5"/>
  <c r="E121" i="24" l="1"/>
  <c r="E109" i="23"/>
  <c r="E55" i="19"/>
  <c r="N19" i="5"/>
  <c r="AO33" i="5"/>
  <c r="AP33" i="5" s="1"/>
  <c r="AK34" i="5"/>
  <c r="W29" i="5"/>
  <c r="V30" i="5"/>
  <c r="AX20" i="5"/>
  <c r="AY21" i="5"/>
  <c r="BE21" i="5" s="1"/>
  <c r="K19" i="5"/>
  <c r="AQ18" i="5"/>
  <c r="AR18" i="5" s="1"/>
  <c r="AL19" i="5"/>
  <c r="E16" i="7"/>
  <c r="AS19" i="5"/>
  <c r="AT18" i="5"/>
  <c r="AS42" i="5"/>
  <c r="AT41" i="5"/>
  <c r="AZ21" i="5"/>
  <c r="BA22" i="5"/>
  <c r="O63" i="5"/>
  <c r="BD20" i="5"/>
  <c r="E122" i="24" l="1"/>
  <c r="I121" i="24"/>
  <c r="E111" i="23"/>
  <c r="E56" i="19"/>
  <c r="N20" i="5"/>
  <c r="E17" i="7"/>
  <c r="B14" i="11" s="1"/>
  <c r="J14" i="11" s="1"/>
  <c r="B13" i="11"/>
  <c r="J13" i="11" s="1"/>
  <c r="W30" i="5"/>
  <c r="V31" i="5"/>
  <c r="AO34" i="5"/>
  <c r="AP34" i="5" s="1"/>
  <c r="AK35" i="5"/>
  <c r="AX21" i="5"/>
  <c r="AY22" i="5"/>
  <c r="BE22" i="5" s="1"/>
  <c r="K20" i="5"/>
  <c r="AQ19" i="5"/>
  <c r="AR19" i="5" s="1"/>
  <c r="AL20" i="5"/>
  <c r="BD21" i="5"/>
  <c r="AS43" i="5"/>
  <c r="AT42" i="5"/>
  <c r="AZ22" i="5"/>
  <c r="BA23" i="5"/>
  <c r="AS20" i="5"/>
  <c r="AT19" i="5"/>
  <c r="E123" i="24" l="1"/>
  <c r="E113" i="23"/>
  <c r="E57" i="19"/>
  <c r="N21" i="5"/>
  <c r="AK36" i="5"/>
  <c r="AO35" i="5"/>
  <c r="AP35" i="5" s="1"/>
  <c r="W31" i="5"/>
  <c r="V32" i="5"/>
  <c r="AX22" i="5"/>
  <c r="AY23" i="5"/>
  <c r="BE23" i="5" s="1"/>
  <c r="K21" i="5"/>
  <c r="AL21" i="5"/>
  <c r="AQ20" i="5"/>
  <c r="AR20" i="5" s="1"/>
  <c r="E18" i="7"/>
  <c r="B15" i="11" s="1"/>
  <c r="J15" i="11" s="1"/>
  <c r="AT20" i="5"/>
  <c r="AS21" i="5"/>
  <c r="BD22" i="5"/>
  <c r="BA24" i="5"/>
  <c r="AZ23" i="5"/>
  <c r="AS44" i="5"/>
  <c r="AT43" i="5"/>
  <c r="E124" i="24" l="1"/>
  <c r="I123" i="24"/>
  <c r="E120" i="23"/>
  <c r="E58" i="19"/>
  <c r="N22" i="5"/>
  <c r="V33" i="5"/>
  <c r="W32" i="5"/>
  <c r="AO36" i="5"/>
  <c r="AP36" i="5" s="1"/>
  <c r="AK37" i="5"/>
  <c r="AY24" i="5"/>
  <c r="BE24" i="5" s="1"/>
  <c r="AX23" i="5"/>
  <c r="AQ21" i="5"/>
  <c r="AR21" i="5" s="1"/>
  <c r="AL22" i="5"/>
  <c r="K22" i="5"/>
  <c r="E19" i="7"/>
  <c r="B16" i="11" s="1"/>
  <c r="J16" i="11" s="1"/>
  <c r="BD23" i="5"/>
  <c r="AT44" i="5"/>
  <c r="AS45" i="5"/>
  <c r="AT21" i="5"/>
  <c r="AS22" i="5"/>
  <c r="AT22" i="5" s="1"/>
  <c r="AZ24" i="5"/>
  <c r="BA25" i="5"/>
  <c r="E125" i="24" l="1"/>
  <c r="I124" i="24"/>
  <c r="E121" i="23"/>
  <c r="E59" i="19"/>
  <c r="N23" i="5"/>
  <c r="AO37" i="5"/>
  <c r="AP37" i="5" s="1"/>
  <c r="AK38" i="5"/>
  <c r="V34" i="5"/>
  <c r="W33" i="5"/>
  <c r="AX24" i="5"/>
  <c r="AY25" i="5"/>
  <c r="BE25" i="5" s="1"/>
  <c r="AL23" i="5"/>
  <c r="AQ22" i="5"/>
  <c r="AR22" i="5" s="1"/>
  <c r="K23" i="5"/>
  <c r="E20" i="7"/>
  <c r="B17" i="11" s="1"/>
  <c r="J17" i="11" s="1"/>
  <c r="AZ25" i="5"/>
  <c r="BA26" i="5"/>
  <c r="BD24" i="5"/>
  <c r="AS46" i="5"/>
  <c r="AT45" i="5"/>
  <c r="I125" i="24" l="1"/>
  <c r="E122" i="23"/>
  <c r="I121" i="23"/>
  <c r="E60" i="19"/>
  <c r="I59" i="19"/>
  <c r="N24" i="5"/>
  <c r="V35" i="5"/>
  <c r="W34" i="5"/>
  <c r="AK39" i="5"/>
  <c r="AO38" i="5"/>
  <c r="AP38" i="5" s="1"/>
  <c r="AY26" i="5"/>
  <c r="BE26" i="5" s="1"/>
  <c r="AX25" i="5"/>
  <c r="K24" i="5"/>
  <c r="AQ23" i="5"/>
  <c r="AR23" i="5" s="1"/>
  <c r="AL24" i="5"/>
  <c r="E21" i="7"/>
  <c r="B18" i="11" s="1"/>
  <c r="J18" i="11" s="1"/>
  <c r="AT46" i="5"/>
  <c r="AS47" i="5"/>
  <c r="BA27" i="5"/>
  <c r="AZ26" i="5"/>
  <c r="BD25" i="5"/>
  <c r="E123" i="23" l="1"/>
  <c r="E61" i="19"/>
  <c r="N25" i="5"/>
  <c r="AO39" i="5"/>
  <c r="AP39" i="5" s="1"/>
  <c r="AK40" i="5"/>
  <c r="V36" i="5"/>
  <c r="W35" i="5"/>
  <c r="AX26" i="5"/>
  <c r="AY27" i="5"/>
  <c r="BE27" i="5" s="1"/>
  <c r="AQ24" i="5"/>
  <c r="AR24" i="5" s="1"/>
  <c r="AL25" i="5"/>
  <c r="K25" i="5"/>
  <c r="E22" i="7"/>
  <c r="B19" i="11" s="1"/>
  <c r="J19" i="11" s="1"/>
  <c r="BD26" i="5"/>
  <c r="BA28" i="5"/>
  <c r="AZ27" i="5"/>
  <c r="AT47" i="5"/>
  <c r="AS48" i="5"/>
  <c r="I123" i="23" l="1"/>
  <c r="E124" i="23"/>
  <c r="E62" i="19"/>
  <c r="I61" i="19"/>
  <c r="N26" i="5"/>
  <c r="W36" i="5"/>
  <c r="V37" i="5"/>
  <c r="AO40" i="5"/>
  <c r="AP40" i="5" s="1"/>
  <c r="AK41" i="5"/>
  <c r="AY28" i="5"/>
  <c r="BE28" i="5" s="1"/>
  <c r="AX27" i="5"/>
  <c r="AQ25" i="5"/>
  <c r="AR25" i="5" s="1"/>
  <c r="AL26" i="5"/>
  <c r="K26" i="5"/>
  <c r="E23" i="7"/>
  <c r="B20" i="11" s="1"/>
  <c r="J20" i="11" s="1"/>
  <c r="BD27" i="5"/>
  <c r="AZ28" i="5"/>
  <c r="BA29" i="5"/>
  <c r="AS49" i="5"/>
  <c r="AT48" i="5"/>
  <c r="E125" i="23" l="1"/>
  <c r="I124" i="23"/>
  <c r="I62" i="19"/>
  <c r="E63" i="19"/>
  <c r="N27" i="5"/>
  <c r="AO41" i="5"/>
  <c r="AP41" i="5" s="1"/>
  <c r="AK42" i="5"/>
  <c r="W37" i="5"/>
  <c r="V38" i="5"/>
  <c r="AY29" i="5"/>
  <c r="BE29" i="5" s="1"/>
  <c r="AX28" i="5"/>
  <c r="AL27" i="5"/>
  <c r="AQ26" i="5"/>
  <c r="AR26" i="5" s="1"/>
  <c r="K27" i="5"/>
  <c r="E24" i="7"/>
  <c r="AS50" i="5"/>
  <c r="AT49" i="5"/>
  <c r="BA30" i="5"/>
  <c r="AZ29" i="5"/>
  <c r="BD28" i="5"/>
  <c r="I125" i="23" l="1"/>
  <c r="I63" i="19"/>
  <c r="N28" i="5"/>
  <c r="E25" i="7"/>
  <c r="B22" i="11" s="1"/>
  <c r="J22" i="11" s="1"/>
  <c r="B21" i="11"/>
  <c r="J21" i="11" s="1"/>
  <c r="AK43" i="5"/>
  <c r="AO42" i="5"/>
  <c r="AP42" i="5" s="1"/>
  <c r="W38" i="5"/>
  <c r="V39" i="5"/>
  <c r="AY30" i="5"/>
  <c r="BE30" i="5" s="1"/>
  <c r="AX29" i="5"/>
  <c r="AQ27" i="5"/>
  <c r="AR27" i="5" s="1"/>
  <c r="AL28" i="5"/>
  <c r="K28" i="5"/>
  <c r="BD29" i="5"/>
  <c r="AZ30" i="5"/>
  <c r="BA31" i="5"/>
  <c r="AS51" i="5"/>
  <c r="AT50" i="5"/>
  <c r="N29" i="5" l="1"/>
  <c r="V40" i="5"/>
  <c r="W39" i="5"/>
  <c r="AO43" i="5"/>
  <c r="AP43" i="5" s="1"/>
  <c r="AK44" i="5"/>
  <c r="AX30" i="5"/>
  <c r="AY31" i="5"/>
  <c r="BE31" i="5" s="1"/>
  <c r="AQ28" i="5"/>
  <c r="AR28" i="5" s="1"/>
  <c r="AL29" i="5"/>
  <c r="K29" i="5"/>
  <c r="E26" i="7"/>
  <c r="BA32" i="5"/>
  <c r="AZ31" i="5"/>
  <c r="AT51" i="5"/>
  <c r="AS52" i="5"/>
  <c r="BD30" i="5"/>
  <c r="N30" i="5" l="1"/>
  <c r="E27" i="7"/>
  <c r="B24" i="11" s="1"/>
  <c r="J24" i="11" s="1"/>
  <c r="B23" i="11"/>
  <c r="J23" i="11" s="1"/>
  <c r="AK45" i="5"/>
  <c r="AO44" i="5"/>
  <c r="AP44" i="5" s="1"/>
  <c r="W40" i="5"/>
  <c r="V41" i="5"/>
  <c r="AX31" i="5"/>
  <c r="AY32" i="5"/>
  <c r="BE32" i="5" s="1"/>
  <c r="AQ29" i="5"/>
  <c r="AR29" i="5" s="1"/>
  <c r="AL30" i="5"/>
  <c r="K30" i="5"/>
  <c r="AS53" i="5"/>
  <c r="AT53" i="5" s="1"/>
  <c r="AT52" i="5"/>
  <c r="BD31" i="5"/>
  <c r="BA33" i="5"/>
  <c r="AZ32" i="5"/>
  <c r="N31" i="5" l="1"/>
  <c r="AO45" i="5"/>
  <c r="AP45" i="5" s="1"/>
  <c r="AK46" i="5"/>
  <c r="V42" i="5"/>
  <c r="W41" i="5"/>
  <c r="AX32" i="5"/>
  <c r="AY33" i="5"/>
  <c r="BE33" i="5" s="1"/>
  <c r="K31" i="5"/>
  <c r="AL31" i="5"/>
  <c r="AQ30" i="5"/>
  <c r="AR30" i="5" s="1"/>
  <c r="E28" i="7"/>
  <c r="AZ33" i="5"/>
  <c r="BA34" i="5"/>
  <c r="BD32" i="5"/>
  <c r="N32" i="5" l="1"/>
  <c r="E29" i="7"/>
  <c r="B26" i="11" s="1"/>
  <c r="J26" i="11" s="1"/>
  <c r="B25" i="11"/>
  <c r="J25" i="11" s="1"/>
  <c r="W42" i="5"/>
  <c r="V43" i="5"/>
  <c r="AO46" i="5"/>
  <c r="AP46" i="5" s="1"/>
  <c r="AK47" i="5"/>
  <c r="AY34" i="5"/>
  <c r="BE34" i="5" s="1"/>
  <c r="AX33" i="5"/>
  <c r="AL32" i="5"/>
  <c r="AQ31" i="5"/>
  <c r="AR31" i="5" s="1"/>
  <c r="K32" i="5"/>
  <c r="AZ34" i="5"/>
  <c r="BA35" i="5"/>
  <c r="BD33" i="5"/>
  <c r="N33" i="5" l="1"/>
  <c r="AO47" i="5"/>
  <c r="AP47" i="5" s="1"/>
  <c r="AK48" i="5"/>
  <c r="W43" i="5"/>
  <c r="V44" i="5"/>
  <c r="AX34" i="5"/>
  <c r="AY35" i="5"/>
  <c r="BE35" i="5" s="1"/>
  <c r="K33" i="5"/>
  <c r="AL33" i="5"/>
  <c r="AQ32" i="5"/>
  <c r="AR32" i="5" s="1"/>
  <c r="E30" i="7"/>
  <c r="BD34" i="5"/>
  <c r="BA36" i="5"/>
  <c r="AZ35" i="5"/>
  <c r="N34" i="5" l="1"/>
  <c r="E31" i="7"/>
  <c r="B28" i="11" s="1"/>
  <c r="J28" i="11" s="1"/>
  <c r="B27" i="11"/>
  <c r="J27" i="11" s="1"/>
  <c r="AO48" i="5"/>
  <c r="AP48" i="5" s="1"/>
  <c r="AK49" i="5"/>
  <c r="W44" i="5"/>
  <c r="V45" i="5"/>
  <c r="AX35" i="5"/>
  <c r="AY36" i="5"/>
  <c r="BE36" i="5" s="1"/>
  <c r="AL34" i="5"/>
  <c r="AQ33" i="5"/>
  <c r="AR33" i="5" s="1"/>
  <c r="K34" i="5"/>
  <c r="BD35" i="5"/>
  <c r="AZ36" i="5"/>
  <c r="BA37" i="5"/>
  <c r="N35" i="5" l="1"/>
  <c r="W45" i="5"/>
  <c r="V46" i="5"/>
  <c r="AO49" i="5"/>
  <c r="AP49" i="5" s="1"/>
  <c r="AK50" i="5"/>
  <c r="AX36" i="5"/>
  <c r="AY37" i="5"/>
  <c r="BE37" i="5" s="1"/>
  <c r="K35" i="5"/>
  <c r="AL35" i="5"/>
  <c r="AQ34" i="5"/>
  <c r="AR34" i="5" s="1"/>
  <c r="E32" i="7"/>
  <c r="B29" i="11" s="1"/>
  <c r="J29" i="11" s="1"/>
  <c r="BD36" i="5"/>
  <c r="AZ37" i="5"/>
  <c r="BA38" i="5"/>
  <c r="N36" i="5" l="1"/>
  <c r="W46" i="5"/>
  <c r="V47" i="5"/>
  <c r="W47" i="5" s="1"/>
  <c r="AK51" i="5"/>
  <c r="AO50" i="5"/>
  <c r="AP50" i="5" s="1"/>
  <c r="AX37" i="5"/>
  <c r="AY38" i="5"/>
  <c r="BE38" i="5" s="1"/>
  <c r="AL36" i="5"/>
  <c r="AQ35" i="5"/>
  <c r="AR35" i="5" s="1"/>
  <c r="K36" i="5"/>
  <c r="E33" i="7"/>
  <c r="B30" i="11" s="1"/>
  <c r="J30" i="11" s="1"/>
  <c r="BA39" i="5"/>
  <c r="AZ38" i="5"/>
  <c r="BD37" i="5"/>
  <c r="N37" i="5" l="1"/>
  <c r="AO51" i="5"/>
  <c r="AP51" i="5" s="1"/>
  <c r="AK52" i="5"/>
  <c r="AY39" i="5"/>
  <c r="BE39" i="5" s="1"/>
  <c r="AX38" i="5"/>
  <c r="K37" i="5"/>
  <c r="AL37" i="5"/>
  <c r="AQ36" i="5"/>
  <c r="AR36" i="5" s="1"/>
  <c r="E34" i="7"/>
  <c r="B31" i="11" s="1"/>
  <c r="J31" i="11" s="1"/>
  <c r="BD38" i="5"/>
  <c r="BA40" i="5"/>
  <c r="AZ39" i="5"/>
  <c r="N38" i="5" l="1"/>
  <c r="AK53" i="5"/>
  <c r="AO53" i="5" s="1"/>
  <c r="AP53" i="5" s="1"/>
  <c r="AO52" i="5"/>
  <c r="AP52" i="5" s="1"/>
  <c r="AX39" i="5"/>
  <c r="AY40" i="5"/>
  <c r="AQ37" i="5"/>
  <c r="AR37" i="5" s="1"/>
  <c r="AL38" i="5"/>
  <c r="K38" i="5"/>
  <c r="E35" i="7"/>
  <c r="B32" i="11" s="1"/>
  <c r="J32" i="11" s="1"/>
  <c r="BD39" i="5"/>
  <c r="AZ40" i="5"/>
  <c r="BA41" i="5"/>
  <c r="BE40" i="5"/>
  <c r="N39" i="5" l="1"/>
  <c r="AY41" i="5"/>
  <c r="BE41" i="5" s="1"/>
  <c r="AX40" i="5"/>
  <c r="AL39" i="5"/>
  <c r="AQ38" i="5"/>
  <c r="AR38" i="5" s="1"/>
  <c r="K39" i="5"/>
  <c r="E36" i="7"/>
  <c r="B33" i="11" s="1"/>
  <c r="J33" i="11" s="1"/>
  <c r="AZ41" i="5"/>
  <c r="BA42" i="5"/>
  <c r="BD40" i="5"/>
  <c r="N40" i="5" l="1"/>
  <c r="AY42" i="5"/>
  <c r="AX41" i="5"/>
  <c r="K40" i="5"/>
  <c r="AL40" i="5"/>
  <c r="AQ39" i="5"/>
  <c r="AR39" i="5" s="1"/>
  <c r="E37" i="7"/>
  <c r="B34" i="11" s="1"/>
  <c r="J34" i="11" s="1"/>
  <c r="BA43" i="5"/>
  <c r="AZ42" i="5"/>
  <c r="BE42" i="5"/>
  <c r="BD41" i="5"/>
  <c r="N41" i="5" l="1"/>
  <c r="AX42" i="5"/>
  <c r="AY43" i="5"/>
  <c r="BE43" i="5" s="1"/>
  <c r="K41" i="5"/>
  <c r="AQ40" i="5"/>
  <c r="AR40" i="5" s="1"/>
  <c r="AL41" i="5"/>
  <c r="E38" i="7"/>
  <c r="B35" i="11" s="1"/>
  <c r="J35" i="11" s="1"/>
  <c r="BD42" i="5"/>
  <c r="BA44" i="5"/>
  <c r="AZ43" i="5"/>
  <c r="N42" i="5" l="1"/>
  <c r="AY44" i="5"/>
  <c r="BE44" i="5" s="1"/>
  <c r="AX43" i="5"/>
  <c r="AQ41" i="5"/>
  <c r="AR41" i="5" s="1"/>
  <c r="AL42" i="5"/>
  <c r="K42" i="5"/>
  <c r="E39" i="7"/>
  <c r="B36" i="11" s="1"/>
  <c r="J36" i="11" s="1"/>
  <c r="BD43" i="5"/>
  <c r="BA45" i="5"/>
  <c r="AZ44" i="5"/>
  <c r="N43" i="5" l="1"/>
  <c r="AX44" i="5"/>
  <c r="AY45" i="5"/>
  <c r="BE45" i="5" s="1"/>
  <c r="K43" i="5"/>
  <c r="AL43" i="5"/>
  <c r="AQ42" i="5"/>
  <c r="AR42" i="5" s="1"/>
  <c r="E40" i="7"/>
  <c r="B37" i="11" s="1"/>
  <c r="J37" i="11" s="1"/>
  <c r="BD44" i="5"/>
  <c r="AZ45" i="5"/>
  <c r="BA46" i="5"/>
  <c r="N44" i="5" l="1"/>
  <c r="AX45" i="5"/>
  <c r="AY46" i="5"/>
  <c r="BE46" i="5" s="1"/>
  <c r="K44" i="5"/>
  <c r="AL44" i="5"/>
  <c r="AQ43" i="5"/>
  <c r="AR43" i="5" s="1"/>
  <c r="E41" i="7"/>
  <c r="B38" i="11" s="1"/>
  <c r="J38" i="11" s="1"/>
  <c r="BD45" i="5"/>
  <c r="AZ46" i="5"/>
  <c r="BA47" i="5"/>
  <c r="N45" i="5" l="1"/>
  <c r="AY47" i="5"/>
  <c r="BE47" i="5" s="1"/>
  <c r="AX46" i="5"/>
  <c r="K45" i="5"/>
  <c r="AQ44" i="5"/>
  <c r="AR44" i="5" s="1"/>
  <c r="AL45" i="5"/>
  <c r="E42" i="7"/>
  <c r="B39" i="11" s="1"/>
  <c r="J39" i="11" s="1"/>
  <c r="BD46" i="5"/>
  <c r="AZ47" i="5"/>
  <c r="N46" i="5" l="1"/>
  <c r="AX47" i="5"/>
  <c r="AY48" i="5"/>
  <c r="K46" i="5"/>
  <c r="AL46" i="5"/>
  <c r="AQ45" i="5"/>
  <c r="AR45" i="5" s="1"/>
  <c r="E43" i="7"/>
  <c r="B40" i="11" s="1"/>
  <c r="J40" i="11" s="1"/>
  <c r="BD47" i="5"/>
  <c r="N47" i="5" l="1"/>
  <c r="AX48" i="5"/>
  <c r="AY49" i="5"/>
  <c r="BE48" i="5"/>
  <c r="BD48" i="5" s="1"/>
  <c r="AQ46" i="5"/>
  <c r="AR46" i="5" s="1"/>
  <c r="AL47" i="5"/>
  <c r="K47" i="5"/>
  <c r="E44" i="7"/>
  <c r="B41" i="11" s="1"/>
  <c r="J41" i="11" s="1"/>
  <c r="N48" i="5" l="1"/>
  <c r="AX49" i="5"/>
  <c r="AY50" i="5"/>
  <c r="BE49" i="5"/>
  <c r="BD49" i="5" s="1"/>
  <c r="K48" i="5"/>
  <c r="AQ47" i="5"/>
  <c r="AR47" i="5" s="1"/>
  <c r="AL48" i="5"/>
  <c r="E45" i="7"/>
  <c r="B42" i="11" s="1"/>
  <c r="J42" i="11" s="1"/>
  <c r="N49" i="5" l="1"/>
  <c r="AX50" i="5"/>
  <c r="AY51" i="5"/>
  <c r="BE50" i="5"/>
  <c r="BD50" i="5" s="1"/>
  <c r="AQ48" i="5"/>
  <c r="AR48" i="5" s="1"/>
  <c r="AL49" i="5"/>
  <c r="K49" i="5"/>
  <c r="E46" i="7"/>
  <c r="B43" i="11" s="1"/>
  <c r="J43" i="11" s="1"/>
  <c r="N50" i="5" l="1"/>
  <c r="AY52" i="5"/>
  <c r="BE51" i="5"/>
  <c r="BD51" i="5" s="1"/>
  <c r="AX51" i="5"/>
  <c r="K50" i="5"/>
  <c r="AL50" i="5"/>
  <c r="AQ49" i="5"/>
  <c r="AR49" i="5" s="1"/>
  <c r="E47" i="7"/>
  <c r="B44" i="11" s="1"/>
  <c r="J44" i="11" s="1"/>
  <c r="N52" i="5" l="1"/>
  <c r="N51" i="5"/>
  <c r="BE52" i="5"/>
  <c r="BD52" i="5" s="1"/>
  <c r="AX52" i="5"/>
  <c r="AY53" i="5"/>
  <c r="AL51" i="5"/>
  <c r="AQ50" i="5"/>
  <c r="AR50" i="5" s="1"/>
  <c r="K51" i="5"/>
  <c r="K52" i="5"/>
  <c r="E48" i="7"/>
  <c r="B45" i="11" s="1"/>
  <c r="J45" i="11" s="1"/>
  <c r="AX53" i="5" l="1"/>
  <c r="BE53" i="5"/>
  <c r="AQ51" i="5"/>
  <c r="AR51" i="5" s="1"/>
  <c r="AL52" i="5"/>
  <c r="E49" i="7"/>
  <c r="B46" i="11" s="1"/>
  <c r="J46" i="11" s="1"/>
  <c r="BD53" i="5" l="1"/>
  <c r="AL53" i="5"/>
  <c r="AQ53" i="5" s="1"/>
  <c r="AQ52" i="5"/>
  <c r="AR52" i="5" s="1"/>
  <c r="E50" i="7"/>
  <c r="B47" i="11" s="1"/>
  <c r="J47" i="11" s="1"/>
  <c r="AR53" i="5" l="1"/>
  <c r="E51" i="7"/>
  <c r="B48" i="11" s="1"/>
  <c r="J48" i="11" s="1"/>
  <c r="E52" i="7" l="1"/>
  <c r="B49" i="11" s="1"/>
  <c r="J49" i="11" s="1"/>
  <c r="E53" i="7" l="1"/>
  <c r="B50" i="11" s="1"/>
  <c r="J50" i="11" s="1"/>
  <c r="E54" i="7" l="1"/>
  <c r="B51" i="11" s="1"/>
  <c r="J51" i="11" s="1"/>
  <c r="E55" i="7" l="1"/>
  <c r="B52" i="11" s="1"/>
  <c r="J52" i="11" s="1"/>
  <c r="E56" i="7" l="1"/>
  <c r="E57" i="7" l="1"/>
  <c r="E58" i="7" l="1"/>
  <c r="E59" i="7" s="1"/>
  <c r="E63" i="5"/>
  <c r="F63" i="5"/>
  <c r="H63" i="5" s="1"/>
  <c r="H14" i="5"/>
  <c r="E60" i="7" l="1"/>
  <c r="I59" i="7"/>
  <c r="AC14" i="5"/>
  <c r="P14" i="5"/>
  <c r="Q14" i="5" s="1"/>
  <c r="AC63" i="5"/>
  <c r="P63" i="5"/>
  <c r="Q63" i="5" s="1"/>
  <c r="R63" i="5" s="1"/>
  <c r="J9" i="7"/>
  <c r="K9" i="7" s="1"/>
  <c r="E14" i="5"/>
  <c r="H83" i="5" s="1"/>
  <c r="A14" i="5"/>
  <c r="C61" i="25" l="1"/>
  <c r="C62" i="25"/>
  <c r="C59" i="25"/>
  <c r="C58" i="25"/>
  <c r="C63" i="25"/>
  <c r="C60" i="25"/>
  <c r="C123" i="24"/>
  <c r="C123" i="23"/>
  <c r="C124" i="24"/>
  <c r="C120" i="24"/>
  <c r="C124" i="23"/>
  <c r="C120" i="23"/>
  <c r="C125" i="24"/>
  <c r="C121" i="24"/>
  <c r="C125" i="23"/>
  <c r="C121" i="23"/>
  <c r="C122" i="24"/>
  <c r="C122" i="23"/>
  <c r="C62" i="19"/>
  <c r="C58" i="19"/>
  <c r="C63" i="19"/>
  <c r="C59" i="19"/>
  <c r="C60" i="19"/>
  <c r="C61" i="19"/>
  <c r="C9" i="25"/>
  <c r="C11" i="24"/>
  <c r="C9" i="24" s="1"/>
  <c r="C10" i="24" s="1"/>
  <c r="C11" i="23"/>
  <c r="C9" i="23" s="1"/>
  <c r="C10" i="23" s="1"/>
  <c r="C9" i="19"/>
  <c r="E61" i="7"/>
  <c r="C63" i="7"/>
  <c r="C60" i="7"/>
  <c r="C61" i="7"/>
  <c r="C59" i="7"/>
  <c r="C62" i="7"/>
  <c r="C58" i="7"/>
  <c r="C9" i="7"/>
  <c r="A15" i="5"/>
  <c r="E15" i="5"/>
  <c r="K10" i="7"/>
  <c r="F15" i="5"/>
  <c r="H15" i="5" s="1"/>
  <c r="U63" i="5"/>
  <c r="Q83" i="5"/>
  <c r="R14" i="5"/>
  <c r="K83" i="5"/>
  <c r="N83" i="5"/>
  <c r="BL14" i="5"/>
  <c r="S63" i="5"/>
  <c r="AD63" i="5"/>
  <c r="U14" i="5"/>
  <c r="D62" i="25" l="1"/>
  <c r="H62" i="25" s="1"/>
  <c r="D59" i="25"/>
  <c r="H59" i="25" s="1"/>
  <c r="D58" i="25"/>
  <c r="D63" i="25"/>
  <c r="H63" i="25" s="1"/>
  <c r="D60" i="25"/>
  <c r="D61" i="25"/>
  <c r="H61" i="25" s="1"/>
  <c r="D124" i="24"/>
  <c r="H124" i="24" s="1"/>
  <c r="D120" i="24"/>
  <c r="D124" i="23"/>
  <c r="H124" i="23" s="1"/>
  <c r="D120" i="23"/>
  <c r="D125" i="24"/>
  <c r="H125" i="24" s="1"/>
  <c r="D121" i="24"/>
  <c r="H121" i="24" s="1"/>
  <c r="D125" i="23"/>
  <c r="H125" i="23" s="1"/>
  <c r="D121" i="23"/>
  <c r="H121" i="23" s="1"/>
  <c r="D122" i="24"/>
  <c r="D122" i="23"/>
  <c r="D123" i="24"/>
  <c r="H123" i="24" s="1"/>
  <c r="D123" i="23"/>
  <c r="H123" i="23" s="1"/>
  <c r="D63" i="19"/>
  <c r="H63" i="19" s="1"/>
  <c r="D59" i="19"/>
  <c r="H59" i="19" s="1"/>
  <c r="D60" i="19"/>
  <c r="D61" i="19"/>
  <c r="H61" i="19" s="1"/>
  <c r="D62" i="19"/>
  <c r="H62" i="19" s="1"/>
  <c r="D58" i="19"/>
  <c r="E62" i="7"/>
  <c r="I61" i="7"/>
  <c r="D63" i="7"/>
  <c r="D61" i="7"/>
  <c r="H61" i="7" s="1"/>
  <c r="D62" i="7"/>
  <c r="D59" i="7"/>
  <c r="H59" i="7" s="1"/>
  <c r="D58" i="7"/>
  <c r="D60" i="7"/>
  <c r="E16" i="5"/>
  <c r="A16" i="5"/>
  <c r="F16" i="5"/>
  <c r="H16" i="5" s="1"/>
  <c r="K11" i="7"/>
  <c r="X63" i="5"/>
  <c r="T63" i="5"/>
  <c r="Y63" i="5" s="1"/>
  <c r="S14" i="5"/>
  <c r="AD14" i="5"/>
  <c r="K84" i="5"/>
  <c r="N84" i="5"/>
  <c r="BL15" i="5"/>
  <c r="H84" i="5"/>
  <c r="AC15" i="5"/>
  <c r="P15" i="5"/>
  <c r="Q15" i="5" s="1"/>
  <c r="B60" i="19" l="1"/>
  <c r="I60" i="19" s="1"/>
  <c r="H60" i="19"/>
  <c r="B60" i="25"/>
  <c r="I60" i="25" s="1"/>
  <c r="H60" i="25"/>
  <c r="B58" i="19"/>
  <c r="I58" i="19" s="1"/>
  <c r="H58" i="19"/>
  <c r="B122" i="23"/>
  <c r="I122" i="23" s="1"/>
  <c r="H122" i="23"/>
  <c r="B120" i="24"/>
  <c r="I120" i="24" s="1"/>
  <c r="H120" i="24"/>
  <c r="B122" i="24"/>
  <c r="I122" i="24" s="1"/>
  <c r="H122" i="24"/>
  <c r="B58" i="25"/>
  <c r="I58" i="25" s="1"/>
  <c r="H58" i="25"/>
  <c r="D9" i="25"/>
  <c r="D11" i="24"/>
  <c r="D11" i="23"/>
  <c r="D9" i="19"/>
  <c r="B120" i="23"/>
  <c r="I120" i="23" s="1"/>
  <c r="H120" i="23"/>
  <c r="C10" i="25"/>
  <c r="C15" i="24"/>
  <c r="C15" i="23"/>
  <c r="C10" i="19"/>
  <c r="B60" i="7"/>
  <c r="I60" i="7" s="1"/>
  <c r="H60" i="7"/>
  <c r="E63" i="7"/>
  <c r="H62" i="7"/>
  <c r="I62" i="7"/>
  <c r="K6" i="11"/>
  <c r="M6" i="11" s="1"/>
  <c r="C6" i="11" s="1"/>
  <c r="L6" i="11"/>
  <c r="N6" i="11" s="1"/>
  <c r="C10" i="7"/>
  <c r="Q84" i="5"/>
  <c r="R15" i="5"/>
  <c r="T14" i="5"/>
  <c r="Y14" i="5" s="1"/>
  <c r="X14" i="5"/>
  <c r="U15" i="5"/>
  <c r="AC16" i="5"/>
  <c r="H85" i="5"/>
  <c r="P16" i="5"/>
  <c r="Q16" i="5" s="1"/>
  <c r="A17" i="5"/>
  <c r="E17" i="5"/>
  <c r="F17" i="5"/>
  <c r="H17" i="5" s="1"/>
  <c r="H58" i="7"/>
  <c r="B58" i="7"/>
  <c r="I58" i="7" s="1"/>
  <c r="N85" i="5"/>
  <c r="K85" i="5"/>
  <c r="BL16" i="5"/>
  <c r="D9" i="7"/>
  <c r="AI14" i="5"/>
  <c r="AM14" i="5" s="1"/>
  <c r="B11" i="24" l="1"/>
  <c r="I11" i="24" s="1"/>
  <c r="H11" i="24"/>
  <c r="D9" i="24"/>
  <c r="B9" i="25"/>
  <c r="I9" i="25" s="1"/>
  <c r="H9" i="25"/>
  <c r="B9" i="19"/>
  <c r="I9" i="19" s="1"/>
  <c r="H9" i="19"/>
  <c r="B11" i="23"/>
  <c r="I11" i="23" s="1"/>
  <c r="H11" i="23"/>
  <c r="D9" i="23"/>
  <c r="C12" i="23"/>
  <c r="C13" i="23" s="1"/>
  <c r="C14" i="23" s="1"/>
  <c r="C11" i="25"/>
  <c r="C19" i="24"/>
  <c r="C19" i="23"/>
  <c r="C11" i="19"/>
  <c r="C12" i="24"/>
  <c r="C13" i="24" s="1"/>
  <c r="C14" i="24" s="1"/>
  <c r="C16" i="24"/>
  <c r="C17" i="24" s="1"/>
  <c r="C18" i="24" s="1"/>
  <c r="I63" i="7"/>
  <c r="H63" i="7"/>
  <c r="D7" i="11"/>
  <c r="D6" i="11"/>
  <c r="C11" i="7"/>
  <c r="U16" i="5"/>
  <c r="AU14" i="5"/>
  <c r="AN14" i="5"/>
  <c r="AV14" i="5" s="1"/>
  <c r="H86" i="5"/>
  <c r="AC17" i="5"/>
  <c r="P17" i="5"/>
  <c r="Q17" i="5" s="1"/>
  <c r="S15" i="5"/>
  <c r="AD15" i="5"/>
  <c r="H9" i="7"/>
  <c r="B9" i="7"/>
  <c r="I9" i="7" s="1"/>
  <c r="N86" i="5"/>
  <c r="K86" i="5"/>
  <c r="BL17" i="5"/>
  <c r="Q85" i="5"/>
  <c r="R16" i="5"/>
  <c r="BF14" i="5"/>
  <c r="AA14" i="5"/>
  <c r="D10" i="24" l="1"/>
  <c r="B10" i="24" s="1"/>
  <c r="B9" i="24"/>
  <c r="D10" i="23"/>
  <c r="B10" i="23" s="1"/>
  <c r="B9" i="23"/>
  <c r="D10" i="25"/>
  <c r="D15" i="23"/>
  <c r="D15" i="24"/>
  <c r="D10" i="19"/>
  <c r="C12" i="25"/>
  <c r="C23" i="23"/>
  <c r="C23" i="24"/>
  <c r="C12" i="19"/>
  <c r="C16" i="23"/>
  <c r="C17" i="23" s="1"/>
  <c r="C18" i="23" s="1"/>
  <c r="L7" i="11"/>
  <c r="N7" i="11" s="1"/>
  <c r="K7" i="11"/>
  <c r="M7" i="11" s="1"/>
  <c r="C7" i="11" s="1"/>
  <c r="C12" i="7"/>
  <c r="U17" i="5"/>
  <c r="Q86" i="5"/>
  <c r="R17" i="5"/>
  <c r="D10" i="7"/>
  <c r="AI15" i="5"/>
  <c r="AM15" i="5" s="1"/>
  <c r="S16" i="5"/>
  <c r="AD16" i="5"/>
  <c r="X15" i="5"/>
  <c r="T15" i="5"/>
  <c r="Y15" i="5" s="1"/>
  <c r="C20" i="23" l="1"/>
  <c r="C21" i="23" s="1"/>
  <c r="C22" i="23" s="1"/>
  <c r="D12" i="24"/>
  <c r="B15" i="24"/>
  <c r="H15" i="24"/>
  <c r="D12" i="23"/>
  <c r="B15" i="23"/>
  <c r="H15" i="23"/>
  <c r="D11" i="25"/>
  <c r="D19" i="24"/>
  <c r="D16" i="24" s="1"/>
  <c r="D17" i="24" s="1"/>
  <c r="D18" i="24" s="1"/>
  <c r="D19" i="23"/>
  <c r="D11" i="19"/>
  <c r="B10" i="25"/>
  <c r="I10" i="25" s="1"/>
  <c r="H10" i="25"/>
  <c r="B10" i="19"/>
  <c r="I10" i="19" s="1"/>
  <c r="H10" i="19"/>
  <c r="C20" i="24"/>
  <c r="C21" i="24" s="1"/>
  <c r="C22" i="24" s="1"/>
  <c r="K8" i="11"/>
  <c r="M8" i="11" s="1"/>
  <c r="L8" i="11"/>
  <c r="N8" i="11" s="1"/>
  <c r="AN15" i="5"/>
  <c r="AV15" i="5" s="1"/>
  <c r="AU15" i="5"/>
  <c r="X16" i="5"/>
  <c r="T16" i="5"/>
  <c r="Y16" i="5" s="1"/>
  <c r="AA15" i="5"/>
  <c r="BF15" i="5"/>
  <c r="S17" i="5"/>
  <c r="AD17" i="5"/>
  <c r="AI16" i="5"/>
  <c r="AM16" i="5" s="1"/>
  <c r="D11" i="7"/>
  <c r="H10" i="7"/>
  <c r="B10" i="7"/>
  <c r="I10" i="7" s="1"/>
  <c r="B11" i="19" l="1"/>
  <c r="I11" i="19" s="1"/>
  <c r="H11" i="19"/>
  <c r="B19" i="23"/>
  <c r="H19" i="23"/>
  <c r="I15" i="23"/>
  <c r="B19" i="24"/>
  <c r="H19" i="24"/>
  <c r="B12" i="23"/>
  <c r="D13" i="23"/>
  <c r="B16" i="24"/>
  <c r="B17" i="24" s="1"/>
  <c r="B18" i="24" s="1"/>
  <c r="I15" i="24"/>
  <c r="D12" i="25"/>
  <c r="D23" i="24"/>
  <c r="D23" i="23"/>
  <c r="D20" i="23" s="1"/>
  <c r="D21" i="23" s="1"/>
  <c r="D22" i="23" s="1"/>
  <c r="D12" i="19"/>
  <c r="B11" i="25"/>
  <c r="I11" i="25" s="1"/>
  <c r="H11" i="25"/>
  <c r="D16" i="23"/>
  <c r="D17" i="23" s="1"/>
  <c r="D18" i="23" s="1"/>
  <c r="B12" i="24"/>
  <c r="D13" i="24"/>
  <c r="D12" i="11"/>
  <c r="D14" i="11"/>
  <c r="D8" i="11"/>
  <c r="D10" i="11"/>
  <c r="D15" i="11"/>
  <c r="D13" i="11"/>
  <c r="D11" i="11"/>
  <c r="D9" i="11"/>
  <c r="L9" i="11"/>
  <c r="N9" i="11" s="1"/>
  <c r="K9" i="11"/>
  <c r="M9" i="11" s="1"/>
  <c r="C15" i="11"/>
  <c r="C13" i="11"/>
  <c r="C11" i="11"/>
  <c r="C9" i="11"/>
  <c r="C12" i="11"/>
  <c r="C14" i="11"/>
  <c r="C8" i="11"/>
  <c r="C10" i="11"/>
  <c r="B11" i="7"/>
  <c r="H11" i="7"/>
  <c r="AA16" i="5"/>
  <c r="BF16" i="5"/>
  <c r="X17" i="5"/>
  <c r="T17" i="5"/>
  <c r="Y17" i="5" s="1"/>
  <c r="D12" i="7"/>
  <c r="AI17" i="5"/>
  <c r="AM17" i="5" s="1"/>
  <c r="AN16" i="5"/>
  <c r="AV16" i="5" s="1"/>
  <c r="AU16" i="5"/>
  <c r="B23" i="24" l="1"/>
  <c r="H23" i="24"/>
  <c r="D14" i="23"/>
  <c r="B14" i="23" s="1"/>
  <c r="B13" i="23"/>
  <c r="D20" i="24"/>
  <c r="D21" i="24" s="1"/>
  <c r="D22" i="24" s="1"/>
  <c r="I19" i="23"/>
  <c r="B13" i="24"/>
  <c r="D14" i="24"/>
  <c r="B14" i="24" s="1"/>
  <c r="H12" i="25"/>
  <c r="B12" i="25"/>
  <c r="I12" i="25" s="1"/>
  <c r="B12" i="19"/>
  <c r="I12" i="19" s="1"/>
  <c r="H12" i="19"/>
  <c r="B16" i="23"/>
  <c r="B17" i="23" s="1"/>
  <c r="B18" i="23" s="1"/>
  <c r="B23" i="23"/>
  <c r="B20" i="23" s="1"/>
  <c r="B21" i="23" s="1"/>
  <c r="B22" i="23" s="1"/>
  <c r="H23" i="23"/>
  <c r="B20" i="24"/>
  <c r="B21" i="24" s="1"/>
  <c r="B22" i="24" s="1"/>
  <c r="I19" i="24"/>
  <c r="I11" i="7"/>
  <c r="H12" i="7"/>
  <c r="B12" i="7"/>
  <c r="I12" i="7" s="1"/>
  <c r="AA17" i="5"/>
  <c r="BF17" i="5"/>
  <c r="AN17" i="5"/>
  <c r="AV17" i="5" s="1"/>
  <c r="AU17" i="5"/>
  <c r="I23" i="23" l="1"/>
  <c r="I23" i="24"/>
  <c r="K27" i="24"/>
  <c r="J13" i="25"/>
  <c r="K13" i="25" s="1"/>
  <c r="J27" i="24"/>
  <c r="J13" i="7"/>
  <c r="K13" i="7" s="1"/>
  <c r="A18" i="5"/>
  <c r="J13" i="19"/>
  <c r="K13" i="19"/>
  <c r="J27" i="23"/>
  <c r="K27" i="23"/>
  <c r="E18" i="5"/>
  <c r="N87" i="5" s="1"/>
  <c r="F18" i="5"/>
  <c r="H18" i="5"/>
  <c r="P18" i="5" s="1"/>
  <c r="Q18" i="5" s="1"/>
  <c r="Q87" i="5" l="1"/>
  <c r="R18" i="5"/>
  <c r="U18" i="5"/>
  <c r="H87" i="5"/>
  <c r="AC18" i="5"/>
  <c r="K87" i="5"/>
  <c r="BL18" i="5"/>
  <c r="C13" i="7" l="1"/>
  <c r="C13" i="25"/>
  <c r="C13" i="19"/>
  <c r="C27" i="24"/>
  <c r="C24" i="24" s="1"/>
  <c r="C25" i="24" s="1"/>
  <c r="C26" i="24" s="1"/>
  <c r="C27" i="23"/>
  <c r="C24" i="23" s="1"/>
  <c r="C25" i="23" s="1"/>
  <c r="C26" i="23" s="1"/>
  <c r="S18" i="5"/>
  <c r="AD18" i="5"/>
  <c r="D13" i="25" l="1"/>
  <c r="D13" i="7"/>
  <c r="D27" i="23"/>
  <c r="D13" i="19"/>
  <c r="K10" i="11"/>
  <c r="M10" i="11" s="1"/>
  <c r="AI18" i="5"/>
  <c r="AM18" i="5" s="1"/>
  <c r="L10" i="11"/>
  <c r="N10" i="11" s="1"/>
  <c r="D27" i="24"/>
  <c r="X18" i="5"/>
  <c r="T18" i="5"/>
  <c r="Y18" i="5" s="1"/>
  <c r="BF18" i="5" l="1"/>
  <c r="AA18" i="5"/>
  <c r="AU18" i="5"/>
  <c r="AN18" i="5"/>
  <c r="AV18" i="5" s="1"/>
  <c r="B13" i="25"/>
  <c r="I13" i="25" s="1"/>
  <c r="H13" i="25"/>
  <c r="H27" i="23"/>
  <c r="D24" i="23"/>
  <c r="D25" i="23" s="1"/>
  <c r="D26" i="23" s="1"/>
  <c r="B27" i="23"/>
  <c r="B13" i="7"/>
  <c r="I13" i="7" s="1"/>
  <c r="H13" i="7"/>
  <c r="D24" i="24"/>
  <c r="D25" i="24" s="1"/>
  <c r="D26" i="24" s="1"/>
  <c r="H27" i="24"/>
  <c r="B27" i="24"/>
  <c r="H13" i="19"/>
  <c r="B13" i="19"/>
  <c r="I13" i="19" s="1"/>
  <c r="I27" i="23" l="1"/>
  <c r="B24" i="23"/>
  <c r="B25" i="23" s="1"/>
  <c r="B26" i="23" s="1"/>
  <c r="B24" i="24"/>
  <c r="B25" i="24" s="1"/>
  <c r="B26" i="24" s="1"/>
  <c r="I27" i="24"/>
  <c r="F19" i="5"/>
  <c r="H19" i="5"/>
  <c r="P19" i="5" s="1"/>
  <c r="Q19" i="5" s="1"/>
  <c r="E19" i="5"/>
  <c r="K88" i="5" s="1"/>
  <c r="J15" i="25"/>
  <c r="K15" i="25" s="1"/>
  <c r="J30" i="23"/>
  <c r="K30" i="23" s="1"/>
  <c r="K31" i="23" s="1"/>
  <c r="J30" i="24"/>
  <c r="K30" i="24" s="1"/>
  <c r="K31" i="24" s="1"/>
  <c r="J14" i="7"/>
  <c r="K14" i="7" s="1"/>
  <c r="J14" i="19"/>
  <c r="K14" i="19" s="1"/>
  <c r="A19" i="5"/>
  <c r="J28" i="23"/>
  <c r="K28" i="23" s="1"/>
  <c r="K29" i="23" s="1"/>
  <c r="J14" i="25"/>
  <c r="K14" i="25" s="1"/>
  <c r="J28" i="24"/>
  <c r="K28" i="24" s="1"/>
  <c r="K29" i="24" s="1"/>
  <c r="H88" i="5" l="1"/>
  <c r="N88" i="5"/>
  <c r="R19" i="5"/>
  <c r="Q88" i="5"/>
  <c r="E20" i="5"/>
  <c r="A20" i="5"/>
  <c r="J15" i="19"/>
  <c r="K15" i="19" s="1"/>
  <c r="BL19" i="5"/>
  <c r="F20" i="5"/>
  <c r="H20" i="5" s="1"/>
  <c r="U19" i="5"/>
  <c r="J15" i="7"/>
  <c r="K15" i="7" s="1"/>
  <c r="AC19" i="5"/>
  <c r="C14" i="25" l="1"/>
  <c r="C14" i="19"/>
  <c r="C28" i="24"/>
  <c r="C14" i="7"/>
  <c r="AC20" i="5"/>
  <c r="H89" i="5"/>
  <c r="P20" i="5"/>
  <c r="Q20" i="5" s="1"/>
  <c r="K89" i="5"/>
  <c r="N89" i="5"/>
  <c r="BL20" i="5"/>
  <c r="J16" i="19"/>
  <c r="K16" i="19" s="1"/>
  <c r="E21" i="5"/>
  <c r="F21" i="5"/>
  <c r="H21" i="5" s="1"/>
  <c r="J16" i="7"/>
  <c r="K16" i="7" s="1"/>
  <c r="A21" i="5"/>
  <c r="J16" i="25"/>
  <c r="K16" i="25" s="1"/>
  <c r="J32" i="23"/>
  <c r="K32" i="23" s="1"/>
  <c r="K33" i="23" s="1"/>
  <c r="J32" i="24"/>
  <c r="K32" i="24" s="1"/>
  <c r="K33" i="24" s="1"/>
  <c r="S19" i="5"/>
  <c r="AD19" i="5"/>
  <c r="U20" i="5" l="1"/>
  <c r="D28" i="24"/>
  <c r="L11" i="11"/>
  <c r="N11" i="11" s="1"/>
  <c r="D14" i="19"/>
  <c r="D14" i="7"/>
  <c r="D14" i="25"/>
  <c r="K11" i="11"/>
  <c r="M11" i="11" s="1"/>
  <c r="AI19" i="5"/>
  <c r="AM19" i="5" s="1"/>
  <c r="P21" i="5"/>
  <c r="Q21" i="5" s="1"/>
  <c r="H90" i="5"/>
  <c r="AC21" i="5"/>
  <c r="X19" i="5"/>
  <c r="T19" i="5"/>
  <c r="Y19" i="5" s="1"/>
  <c r="F22" i="5"/>
  <c r="H22" i="5" s="1"/>
  <c r="J34" i="24"/>
  <c r="K34" i="24" s="1"/>
  <c r="K35" i="24" s="1"/>
  <c r="J17" i="19"/>
  <c r="K17" i="19" s="1"/>
  <c r="A22" i="5"/>
  <c r="J17" i="7"/>
  <c r="K17" i="7" s="1"/>
  <c r="E22" i="5"/>
  <c r="J34" i="23"/>
  <c r="K34" i="23" s="1"/>
  <c r="K35" i="23" s="1"/>
  <c r="J17" i="25"/>
  <c r="K17" i="25" s="1"/>
  <c r="K90" i="5"/>
  <c r="N90" i="5"/>
  <c r="BL21" i="5"/>
  <c r="C30" i="23"/>
  <c r="C15" i="25"/>
  <c r="C15" i="7"/>
  <c r="C15" i="19"/>
  <c r="C30" i="24"/>
  <c r="Q89" i="5"/>
  <c r="R20" i="5"/>
  <c r="U21" i="5" l="1"/>
  <c r="AU19" i="5"/>
  <c r="AN19" i="5"/>
  <c r="AV19" i="5" s="1"/>
  <c r="H91" i="5"/>
  <c r="AC22" i="5"/>
  <c r="P22" i="5"/>
  <c r="Q22" i="5" s="1"/>
  <c r="B14" i="19"/>
  <c r="I14" i="19" s="1"/>
  <c r="H14" i="19"/>
  <c r="BF19" i="5"/>
  <c r="AA19" i="5"/>
  <c r="AD20" i="5"/>
  <c r="S20" i="5"/>
  <c r="BL22" i="5"/>
  <c r="N91" i="5"/>
  <c r="K91" i="5"/>
  <c r="B14" i="25"/>
  <c r="I14" i="25" s="1"/>
  <c r="H14" i="25"/>
  <c r="H28" i="24"/>
  <c r="B28" i="24"/>
  <c r="I28" i="24" s="1"/>
  <c r="C16" i="25"/>
  <c r="C32" i="24"/>
  <c r="C31" i="24" s="1"/>
  <c r="C16" i="7"/>
  <c r="C16" i="19"/>
  <c r="C32" i="23"/>
  <c r="J18" i="25"/>
  <c r="K18" i="25" s="1"/>
  <c r="J36" i="23"/>
  <c r="K36" i="23" s="1"/>
  <c r="K37" i="23" s="1"/>
  <c r="A23" i="5"/>
  <c r="F23" i="5"/>
  <c r="H23" i="5" s="1"/>
  <c r="E23" i="5"/>
  <c r="J18" i="7"/>
  <c r="K18" i="7" s="1"/>
  <c r="J18" i="19"/>
  <c r="K18" i="19" s="1"/>
  <c r="J36" i="24"/>
  <c r="K36" i="24" s="1"/>
  <c r="K37" i="24" s="1"/>
  <c r="C29" i="24"/>
  <c r="Q90" i="5"/>
  <c r="R21" i="5"/>
  <c r="B14" i="7"/>
  <c r="I14" i="7" s="1"/>
  <c r="H14" i="7"/>
  <c r="U22" i="5" l="1"/>
  <c r="AD21" i="5"/>
  <c r="S21" i="5"/>
  <c r="T20" i="5"/>
  <c r="Y20" i="5" s="1"/>
  <c r="X20" i="5"/>
  <c r="K92" i="5"/>
  <c r="N92" i="5"/>
  <c r="BL23" i="5"/>
  <c r="D30" i="23"/>
  <c r="K12" i="11"/>
  <c r="M12" i="11" s="1"/>
  <c r="L12" i="11"/>
  <c r="N12" i="11" s="1"/>
  <c r="D15" i="25"/>
  <c r="D15" i="19"/>
  <c r="D30" i="24"/>
  <c r="AI20" i="5"/>
  <c r="AM20" i="5" s="1"/>
  <c r="D15" i="7"/>
  <c r="C17" i="7"/>
  <c r="C34" i="24"/>
  <c r="C33" i="24" s="1"/>
  <c r="C17" i="25"/>
  <c r="C34" i="23"/>
  <c r="C17" i="19"/>
  <c r="P23" i="5"/>
  <c r="Q23" i="5" s="1"/>
  <c r="AC23" i="5"/>
  <c r="H92" i="5"/>
  <c r="J38" i="24"/>
  <c r="K38" i="24" s="1"/>
  <c r="K39" i="24" s="1"/>
  <c r="J19" i="19"/>
  <c r="K19" i="19" s="1"/>
  <c r="J19" i="7"/>
  <c r="K19" i="7" s="1"/>
  <c r="E24" i="5"/>
  <c r="BL24" i="5" s="1"/>
  <c r="F24" i="5"/>
  <c r="H24" i="5" s="1"/>
  <c r="A24" i="5"/>
  <c r="J19" i="25"/>
  <c r="K19" i="25" s="1"/>
  <c r="J38" i="23"/>
  <c r="K38" i="23" s="1"/>
  <c r="K39" i="23" s="1"/>
  <c r="Q91" i="5"/>
  <c r="R22" i="5"/>
  <c r="C31" i="23"/>
  <c r="H15" i="25" l="1"/>
  <c r="B15" i="25"/>
  <c r="I15" i="25" s="1"/>
  <c r="BF20" i="5"/>
  <c r="AA20" i="5"/>
  <c r="C36" i="23"/>
  <c r="C35" i="23" s="1"/>
  <c r="C18" i="19"/>
  <c r="C18" i="25"/>
  <c r="C36" i="24"/>
  <c r="C35" i="24" s="1"/>
  <c r="C18" i="7"/>
  <c r="H15" i="7"/>
  <c r="B15" i="7"/>
  <c r="I15" i="7" s="1"/>
  <c r="AU20" i="5"/>
  <c r="AN20" i="5"/>
  <c r="AV20" i="5" s="1"/>
  <c r="C33" i="23"/>
  <c r="A25" i="5"/>
  <c r="J20" i="7"/>
  <c r="K20" i="7" s="1"/>
  <c r="F25" i="5"/>
  <c r="H25" i="5" s="1"/>
  <c r="J40" i="23"/>
  <c r="K40" i="23" s="1"/>
  <c r="K41" i="23" s="1"/>
  <c r="E25" i="5"/>
  <c r="BL25" i="5" s="1"/>
  <c r="J20" i="19"/>
  <c r="K20" i="19" s="1"/>
  <c r="J20" i="25"/>
  <c r="K20" i="25" s="1"/>
  <c r="J40" i="24"/>
  <c r="K40" i="24" s="1"/>
  <c r="K41" i="24" s="1"/>
  <c r="AC24" i="5"/>
  <c r="P24" i="5"/>
  <c r="Q24" i="5" s="1"/>
  <c r="R24" i="5" s="1"/>
  <c r="R23" i="5"/>
  <c r="Q92" i="5"/>
  <c r="B30" i="24"/>
  <c r="I30" i="24" s="1"/>
  <c r="H30" i="24"/>
  <c r="D29" i="24"/>
  <c r="B29" i="24" s="1"/>
  <c r="X21" i="5"/>
  <c r="T21" i="5"/>
  <c r="Y21" i="5" s="1"/>
  <c r="AD22" i="5"/>
  <c r="S22" i="5"/>
  <c r="U23" i="5"/>
  <c r="H15" i="19"/>
  <c r="B15" i="19"/>
  <c r="I15" i="19" s="1"/>
  <c r="B30" i="23"/>
  <c r="I30" i="23" s="1"/>
  <c r="H30" i="23"/>
  <c r="D32" i="24"/>
  <c r="D16" i="25"/>
  <c r="D32" i="23"/>
  <c r="K13" i="11"/>
  <c r="M13" i="11" s="1"/>
  <c r="D16" i="7"/>
  <c r="D16" i="19"/>
  <c r="AI21" i="5"/>
  <c r="AM21" i="5" s="1"/>
  <c r="L13" i="11"/>
  <c r="N13" i="11" s="1"/>
  <c r="B32" i="24" l="1"/>
  <c r="I32" i="24" s="1"/>
  <c r="H32" i="24"/>
  <c r="BF21" i="5"/>
  <c r="AA21" i="5"/>
  <c r="D31" i="24"/>
  <c r="B31" i="24" s="1"/>
  <c r="S23" i="5"/>
  <c r="AD23" i="5"/>
  <c r="AU21" i="5"/>
  <c r="AN21" i="5"/>
  <c r="AV21" i="5" s="1"/>
  <c r="B32" i="23"/>
  <c r="I32" i="23" s="1"/>
  <c r="H32" i="23"/>
  <c r="AD24" i="5"/>
  <c r="S24" i="5"/>
  <c r="B16" i="19"/>
  <c r="I16" i="19" s="1"/>
  <c r="H16" i="19"/>
  <c r="B16" i="25"/>
  <c r="I16" i="25" s="1"/>
  <c r="H16" i="25"/>
  <c r="D31" i="23"/>
  <c r="B31" i="23" s="1"/>
  <c r="X22" i="5"/>
  <c r="T22" i="5"/>
  <c r="Y22" i="5" s="1"/>
  <c r="U24" i="5"/>
  <c r="F26" i="5"/>
  <c r="H26" i="5" s="1"/>
  <c r="A26" i="5"/>
  <c r="J21" i="25"/>
  <c r="K21" i="25" s="1"/>
  <c r="J42" i="23"/>
  <c r="K42" i="23" s="1"/>
  <c r="K43" i="23" s="1"/>
  <c r="J21" i="19"/>
  <c r="K21" i="19" s="1"/>
  <c r="E26" i="5"/>
  <c r="BL26" i="5" s="1"/>
  <c r="J21" i="7"/>
  <c r="K21" i="7" s="1"/>
  <c r="J42" i="24"/>
  <c r="K42" i="24" s="1"/>
  <c r="K43" i="24" s="1"/>
  <c r="AC25" i="5"/>
  <c r="P25" i="5"/>
  <c r="Q25" i="5" s="1"/>
  <c r="R25" i="5" s="1"/>
  <c r="B16" i="7"/>
  <c r="I16" i="7" s="1"/>
  <c r="H16" i="7"/>
  <c r="D17" i="7"/>
  <c r="AI22" i="5"/>
  <c r="AM22" i="5" s="1"/>
  <c r="D34" i="24"/>
  <c r="D17" i="19"/>
  <c r="D34" i="23"/>
  <c r="D17" i="25"/>
  <c r="L14" i="11"/>
  <c r="N14" i="11" s="1"/>
  <c r="K14" i="11"/>
  <c r="M14" i="11" s="1"/>
  <c r="C38" i="24"/>
  <c r="C37" i="24" s="1"/>
  <c r="C38" i="23"/>
  <c r="C37" i="23" s="1"/>
  <c r="C19" i="19"/>
  <c r="C19" i="7"/>
  <c r="C19" i="25"/>
  <c r="AN22" i="5" l="1"/>
  <c r="AV22" i="5" s="1"/>
  <c r="AU22" i="5"/>
  <c r="B34" i="23"/>
  <c r="I34" i="23" s="1"/>
  <c r="H34" i="23"/>
  <c r="B17" i="7"/>
  <c r="I17" i="7" s="1"/>
  <c r="H17" i="7"/>
  <c r="X23" i="5"/>
  <c r="T23" i="5"/>
  <c r="Y23" i="5" s="1"/>
  <c r="C20" i="7"/>
  <c r="C20" i="25"/>
  <c r="C40" i="23"/>
  <c r="C39" i="23" s="1"/>
  <c r="C40" i="24"/>
  <c r="C39" i="24" s="1"/>
  <c r="C20" i="19"/>
  <c r="BF22" i="5"/>
  <c r="AA22" i="5"/>
  <c r="D19" i="19"/>
  <c r="D19" i="25"/>
  <c r="AI24" i="5"/>
  <c r="AM24" i="5" s="1"/>
  <c r="L16" i="11"/>
  <c r="N16" i="11" s="1"/>
  <c r="D38" i="23"/>
  <c r="D38" i="24"/>
  <c r="K16" i="11"/>
  <c r="M16" i="11" s="1"/>
  <c r="D19" i="7"/>
  <c r="B17" i="25"/>
  <c r="I17" i="25" s="1"/>
  <c r="H17" i="25"/>
  <c r="AC26" i="5"/>
  <c r="P26" i="5"/>
  <c r="Q26" i="5" s="1"/>
  <c r="R26" i="5" s="1"/>
  <c r="D36" i="23"/>
  <c r="D18" i="19"/>
  <c r="AI23" i="5"/>
  <c r="AM23" i="5" s="1"/>
  <c r="D18" i="7"/>
  <c r="D18" i="25"/>
  <c r="D36" i="24"/>
  <c r="D35" i="24" s="1"/>
  <c r="B35" i="24" s="1"/>
  <c r="L15" i="11"/>
  <c r="N15" i="11" s="1"/>
  <c r="K15" i="11"/>
  <c r="M15" i="11" s="1"/>
  <c r="S25" i="5"/>
  <c r="AD25" i="5"/>
  <c r="T24" i="5"/>
  <c r="Y24" i="5" s="1"/>
  <c r="X24" i="5"/>
  <c r="D33" i="23"/>
  <c r="B33" i="23" s="1"/>
  <c r="B17" i="19"/>
  <c r="I17" i="19" s="1"/>
  <c r="H17" i="19"/>
  <c r="J22" i="19"/>
  <c r="K22" i="19" s="1"/>
  <c r="J44" i="24"/>
  <c r="K44" i="24" s="1"/>
  <c r="K45" i="24" s="1"/>
  <c r="J22" i="25"/>
  <c r="K22" i="25" s="1"/>
  <c r="A27" i="5"/>
  <c r="J44" i="23"/>
  <c r="K44" i="23" s="1"/>
  <c r="K45" i="23" s="1"/>
  <c r="J22" i="7"/>
  <c r="K22" i="7" s="1"/>
  <c r="F27" i="5"/>
  <c r="H27" i="5" s="1"/>
  <c r="E27" i="5"/>
  <c r="BL27" i="5" s="1"/>
  <c r="B34" i="24"/>
  <c r="I34" i="24" s="1"/>
  <c r="H34" i="24"/>
  <c r="U25" i="5"/>
  <c r="D33" i="24"/>
  <c r="B33" i="24" s="1"/>
  <c r="U26" i="5" l="1"/>
  <c r="H18" i="25"/>
  <c r="B18" i="25"/>
  <c r="I18" i="25" s="1"/>
  <c r="AU24" i="5"/>
  <c r="AN24" i="5"/>
  <c r="AV24" i="5" s="1"/>
  <c r="F28" i="5"/>
  <c r="H28" i="5" s="1"/>
  <c r="E28" i="5"/>
  <c r="BL28" i="5" s="1"/>
  <c r="J23" i="25"/>
  <c r="K23" i="25" s="1"/>
  <c r="J46" i="23"/>
  <c r="K46" i="23" s="1"/>
  <c r="K47" i="23" s="1"/>
  <c r="J23" i="19"/>
  <c r="K23" i="19" s="1"/>
  <c r="A28" i="5"/>
  <c r="J46" i="24"/>
  <c r="K46" i="24" s="1"/>
  <c r="K47" i="24" s="1"/>
  <c r="J23" i="7"/>
  <c r="K23" i="7" s="1"/>
  <c r="B18" i="7"/>
  <c r="I18" i="7" s="1"/>
  <c r="H18" i="7"/>
  <c r="H19" i="25"/>
  <c r="B19" i="25"/>
  <c r="I19" i="25" s="1"/>
  <c r="P27" i="5"/>
  <c r="Q27" i="5" s="1"/>
  <c r="R27" i="5" s="1"/>
  <c r="U27" i="5"/>
  <c r="AC27" i="5"/>
  <c r="AU23" i="5"/>
  <c r="AN23" i="5"/>
  <c r="AV23" i="5" s="1"/>
  <c r="AD26" i="5"/>
  <c r="S26" i="5"/>
  <c r="H38" i="23"/>
  <c r="B38" i="23"/>
  <c r="I38" i="23" s="1"/>
  <c r="H19" i="19"/>
  <c r="B19" i="19"/>
  <c r="I19" i="19" s="1"/>
  <c r="AA23" i="5"/>
  <c r="BF23" i="5"/>
  <c r="X25" i="5"/>
  <c r="T25" i="5"/>
  <c r="Y25" i="5" s="1"/>
  <c r="D37" i="23"/>
  <c r="B37" i="23" s="1"/>
  <c r="H36" i="23"/>
  <c r="B36" i="23"/>
  <c r="I36" i="23" s="1"/>
  <c r="C16" i="11"/>
  <c r="C18" i="11"/>
  <c r="C17" i="11"/>
  <c r="C20" i="11"/>
  <c r="C19" i="11"/>
  <c r="D35" i="23"/>
  <c r="B35" i="23" s="1"/>
  <c r="H38" i="24"/>
  <c r="B38" i="24"/>
  <c r="I38" i="24" s="1"/>
  <c r="AA24" i="5"/>
  <c r="BF24" i="5"/>
  <c r="D20" i="25"/>
  <c r="D40" i="23"/>
  <c r="D39" i="23" s="1"/>
  <c r="B39" i="23" s="1"/>
  <c r="K17" i="11"/>
  <c r="M17" i="11" s="1"/>
  <c r="D40" i="24"/>
  <c r="L17" i="11"/>
  <c r="N17" i="11" s="1"/>
  <c r="D20" i="19"/>
  <c r="AI25" i="5"/>
  <c r="AM25" i="5" s="1"/>
  <c r="D20" i="7"/>
  <c r="B36" i="24"/>
  <c r="I36" i="24" s="1"/>
  <c r="D37" i="24"/>
  <c r="B37" i="24" s="1"/>
  <c r="H36" i="24"/>
  <c r="H18" i="19"/>
  <c r="B18" i="19"/>
  <c r="I18" i="19" s="1"/>
  <c r="C42" i="23"/>
  <c r="C21" i="25"/>
  <c r="C42" i="24"/>
  <c r="C41" i="24" s="1"/>
  <c r="C21" i="7"/>
  <c r="C21" i="19"/>
  <c r="B19" i="7"/>
  <c r="I19" i="7" s="1"/>
  <c r="H19" i="7"/>
  <c r="D19" i="11"/>
  <c r="D16" i="11"/>
  <c r="D18" i="11"/>
  <c r="D20" i="11"/>
  <c r="D17" i="11"/>
  <c r="C41" i="23"/>
  <c r="C44" i="23" l="1"/>
  <c r="C43" i="23" s="1"/>
  <c r="C22" i="7"/>
  <c r="C44" i="24"/>
  <c r="C43" i="24" s="1"/>
  <c r="C22" i="19"/>
  <c r="C22" i="25"/>
  <c r="AU25" i="5"/>
  <c r="AN25" i="5"/>
  <c r="AV25" i="5" s="1"/>
  <c r="D42" i="24"/>
  <c r="D41" i="24" s="1"/>
  <c r="B41" i="24" s="1"/>
  <c r="AI26" i="5"/>
  <c r="AM26" i="5" s="1"/>
  <c r="D21" i="19"/>
  <c r="D21" i="25"/>
  <c r="K18" i="11"/>
  <c r="M18" i="11" s="1"/>
  <c r="D21" i="7"/>
  <c r="L18" i="11"/>
  <c r="N18" i="11" s="1"/>
  <c r="D42" i="23"/>
  <c r="J24" i="25"/>
  <c r="K24" i="25" s="1"/>
  <c r="J24" i="7"/>
  <c r="K24" i="7" s="1"/>
  <c r="E29" i="5"/>
  <c r="BL29" i="5" s="1"/>
  <c r="J48" i="23"/>
  <c r="K48" i="23" s="1"/>
  <c r="K49" i="23" s="1"/>
  <c r="F29" i="5"/>
  <c r="H29" i="5" s="1"/>
  <c r="A29" i="5"/>
  <c r="J24" i="19"/>
  <c r="K24" i="19" s="1"/>
  <c r="J48" i="24"/>
  <c r="K48" i="24" s="1"/>
  <c r="K49" i="24" s="1"/>
  <c r="H20" i="19"/>
  <c r="B20" i="19"/>
  <c r="I20" i="19" s="1"/>
  <c r="B40" i="23"/>
  <c r="I40" i="23" s="1"/>
  <c r="H40" i="23"/>
  <c r="BF25" i="5"/>
  <c r="AA25" i="5"/>
  <c r="S27" i="5"/>
  <c r="AD27" i="5"/>
  <c r="H20" i="7"/>
  <c r="B20" i="7"/>
  <c r="I20" i="7" s="1"/>
  <c r="B40" i="24"/>
  <c r="I40" i="24" s="1"/>
  <c r="H40" i="24"/>
  <c r="D39" i="24"/>
  <c r="B39" i="24" s="1"/>
  <c r="X26" i="5"/>
  <c r="T26" i="5"/>
  <c r="Y26" i="5" s="1"/>
  <c r="H20" i="25"/>
  <c r="B20" i="25"/>
  <c r="I20" i="25" s="1"/>
  <c r="P28" i="5"/>
  <c r="Q28" i="5" s="1"/>
  <c r="R28" i="5" s="1"/>
  <c r="AC28" i="5"/>
  <c r="C46" i="24" l="1"/>
  <c r="C45" i="24" s="1"/>
  <c r="C23" i="19"/>
  <c r="C23" i="7"/>
  <c r="C46" i="23"/>
  <c r="C23" i="25"/>
  <c r="AA26" i="5"/>
  <c r="BF26" i="5"/>
  <c r="H42" i="23"/>
  <c r="B42" i="23"/>
  <c r="I42" i="23" s="1"/>
  <c r="H21" i="25"/>
  <c r="B21" i="25"/>
  <c r="I21" i="25" s="1"/>
  <c r="S28" i="5"/>
  <c r="AD28" i="5"/>
  <c r="D22" i="7"/>
  <c r="D22" i="19"/>
  <c r="D44" i="23"/>
  <c r="K19" i="11"/>
  <c r="M19" i="11" s="1"/>
  <c r="D44" i="24"/>
  <c r="AI27" i="5"/>
  <c r="AM27" i="5" s="1"/>
  <c r="L19" i="11"/>
  <c r="N19" i="11" s="1"/>
  <c r="D22" i="25"/>
  <c r="B21" i="19"/>
  <c r="I21" i="19" s="1"/>
  <c r="H21" i="19"/>
  <c r="X27" i="5"/>
  <c r="T27" i="5"/>
  <c r="Y27" i="5" s="1"/>
  <c r="P29" i="5"/>
  <c r="Q29" i="5" s="1"/>
  <c r="R29" i="5" s="1"/>
  <c r="AC29" i="5"/>
  <c r="B21" i="7"/>
  <c r="I21" i="7" s="1"/>
  <c r="H21" i="7"/>
  <c r="AN26" i="5"/>
  <c r="AV26" i="5" s="1"/>
  <c r="AU26" i="5"/>
  <c r="U28" i="5"/>
  <c r="D41" i="23"/>
  <c r="B41" i="23" s="1"/>
  <c r="J25" i="19"/>
  <c r="K25" i="19" s="1"/>
  <c r="A30" i="5"/>
  <c r="J50" i="23"/>
  <c r="K50" i="23" s="1"/>
  <c r="K51" i="23" s="1"/>
  <c r="J50" i="24"/>
  <c r="K50" i="24" s="1"/>
  <c r="K51" i="24" s="1"/>
  <c r="J25" i="7"/>
  <c r="K25" i="7" s="1"/>
  <c r="F30" i="5"/>
  <c r="H30" i="5" s="1"/>
  <c r="E30" i="5"/>
  <c r="BL30" i="5" s="1"/>
  <c r="J25" i="25"/>
  <c r="K25" i="25" s="1"/>
  <c r="H42" i="24"/>
  <c r="B42" i="24"/>
  <c r="I42" i="24" s="1"/>
  <c r="P30" i="5" l="1"/>
  <c r="Q30" i="5" s="1"/>
  <c r="R30" i="5" s="1"/>
  <c r="AC30" i="5"/>
  <c r="E31" i="5"/>
  <c r="BL31" i="5" s="1"/>
  <c r="F31" i="5"/>
  <c r="H31" i="5" s="1"/>
  <c r="J26" i="19"/>
  <c r="K26" i="19" s="1"/>
  <c r="J52" i="23"/>
  <c r="K52" i="23" s="1"/>
  <c r="K53" i="23" s="1"/>
  <c r="J26" i="7"/>
  <c r="K26" i="7" s="1"/>
  <c r="J26" i="25"/>
  <c r="K26" i="25" s="1"/>
  <c r="A31" i="5"/>
  <c r="J52" i="24"/>
  <c r="K52" i="24" s="1"/>
  <c r="K53" i="24" s="1"/>
  <c r="S29" i="5"/>
  <c r="AD29" i="5"/>
  <c r="H44" i="24"/>
  <c r="B44" i="24"/>
  <c r="I44" i="24" s="1"/>
  <c r="B22" i="7"/>
  <c r="I22" i="7" s="1"/>
  <c r="H22" i="7"/>
  <c r="D43" i="24"/>
  <c r="B43" i="24" s="1"/>
  <c r="C45" i="23"/>
  <c r="BF27" i="5"/>
  <c r="AA27" i="5"/>
  <c r="B22" i="25"/>
  <c r="I22" i="25" s="1"/>
  <c r="H22" i="25"/>
  <c r="D46" i="24"/>
  <c r="D23" i="7"/>
  <c r="L20" i="11"/>
  <c r="N20" i="11" s="1"/>
  <c r="D23" i="19"/>
  <c r="D46" i="23"/>
  <c r="AI28" i="5"/>
  <c r="AM28" i="5" s="1"/>
  <c r="D23" i="25"/>
  <c r="K20" i="11"/>
  <c r="M20" i="11" s="1"/>
  <c r="C24" i="25"/>
  <c r="C48" i="23"/>
  <c r="C24" i="19"/>
  <c r="C24" i="7"/>
  <c r="C48" i="24"/>
  <c r="C47" i="24" s="1"/>
  <c r="B44" i="23"/>
  <c r="I44" i="23" s="1"/>
  <c r="H44" i="23"/>
  <c r="T28" i="5"/>
  <c r="Y28" i="5" s="1"/>
  <c r="X28" i="5"/>
  <c r="D43" i="23"/>
  <c r="B43" i="23" s="1"/>
  <c r="U29" i="5"/>
  <c r="AU27" i="5"/>
  <c r="AN27" i="5"/>
  <c r="AV27" i="5" s="1"/>
  <c r="B22" i="19"/>
  <c r="I22" i="19" s="1"/>
  <c r="H22" i="19"/>
  <c r="BF28" i="5" l="1"/>
  <c r="AA28" i="5"/>
  <c r="H46" i="23"/>
  <c r="B46" i="23"/>
  <c r="I46" i="23" s="1"/>
  <c r="H46" i="24"/>
  <c r="B46" i="24"/>
  <c r="I46" i="24" s="1"/>
  <c r="J54" i="24"/>
  <c r="K54" i="24" s="1"/>
  <c r="K55" i="24" s="1"/>
  <c r="E32" i="5"/>
  <c r="BL32" i="5" s="1"/>
  <c r="J27" i="25"/>
  <c r="K27" i="25" s="1"/>
  <c r="A32" i="5"/>
  <c r="F32" i="5"/>
  <c r="H32" i="5" s="1"/>
  <c r="J54" i="23"/>
  <c r="K54" i="23" s="1"/>
  <c r="K55" i="23" s="1"/>
  <c r="J27" i="19"/>
  <c r="K27" i="19" s="1"/>
  <c r="J27" i="7"/>
  <c r="K27" i="7" s="1"/>
  <c r="C25" i="19"/>
  <c r="C50" i="23"/>
  <c r="C49" i="23" s="1"/>
  <c r="C50" i="24"/>
  <c r="C25" i="25"/>
  <c r="C25" i="7"/>
  <c r="H23" i="19"/>
  <c r="B23" i="19"/>
  <c r="I23" i="19" s="1"/>
  <c r="D24" i="7"/>
  <c r="D24" i="19"/>
  <c r="AI29" i="5"/>
  <c r="AM29" i="5" s="1"/>
  <c r="L21" i="11"/>
  <c r="N21" i="11" s="1"/>
  <c r="D21" i="11" s="1"/>
  <c r="D48" i="23"/>
  <c r="K21" i="11"/>
  <c r="M21" i="11" s="1"/>
  <c r="C21" i="11" s="1"/>
  <c r="D24" i="25"/>
  <c r="D48" i="24"/>
  <c r="S30" i="5"/>
  <c r="AD30" i="5"/>
  <c r="B23" i="25"/>
  <c r="I23" i="25" s="1"/>
  <c r="H23" i="25"/>
  <c r="T29" i="5"/>
  <c r="Y29" i="5" s="1"/>
  <c r="X29" i="5"/>
  <c r="AC31" i="5"/>
  <c r="P31" i="5"/>
  <c r="Q31" i="5" s="1"/>
  <c r="R31" i="5" s="1"/>
  <c r="U31" i="5"/>
  <c r="U30" i="5"/>
  <c r="D45" i="23"/>
  <c r="B45" i="23" s="1"/>
  <c r="AU28" i="5"/>
  <c r="AN28" i="5"/>
  <c r="AV28" i="5" s="1"/>
  <c r="H23" i="7"/>
  <c r="B23" i="7"/>
  <c r="I23" i="7" s="1"/>
  <c r="C47" i="23"/>
  <c r="D45" i="24"/>
  <c r="B45" i="24" s="1"/>
  <c r="AA29" i="5" l="1"/>
  <c r="BF29" i="5"/>
  <c r="T30" i="5"/>
  <c r="Y30" i="5" s="1"/>
  <c r="X30" i="5"/>
  <c r="H48" i="23"/>
  <c r="B48" i="23"/>
  <c r="I48" i="23" s="1"/>
  <c r="H24" i="7"/>
  <c r="B24" i="7"/>
  <c r="I24" i="7" s="1"/>
  <c r="AC32" i="5"/>
  <c r="P32" i="5"/>
  <c r="Q32" i="5" s="1"/>
  <c r="R32" i="5" s="1"/>
  <c r="S31" i="5"/>
  <c r="AD31" i="5"/>
  <c r="B48" i="24"/>
  <c r="I48" i="24" s="1"/>
  <c r="H48" i="24"/>
  <c r="D47" i="23"/>
  <c r="B47" i="23" s="1"/>
  <c r="C26" i="25"/>
  <c r="C26" i="19"/>
  <c r="C52" i="24"/>
  <c r="C52" i="23"/>
  <c r="C26" i="7"/>
  <c r="B24" i="25"/>
  <c r="I24" i="25" s="1"/>
  <c r="H24" i="25"/>
  <c r="AU29" i="5"/>
  <c r="AN29" i="5"/>
  <c r="AV29" i="5" s="1"/>
  <c r="F33" i="5"/>
  <c r="H33" i="5" s="1"/>
  <c r="J56" i="23"/>
  <c r="K56" i="23" s="1"/>
  <c r="K57" i="23" s="1"/>
  <c r="J28" i="25"/>
  <c r="K28" i="25" s="1"/>
  <c r="E33" i="5"/>
  <c r="BL33" i="5" s="1"/>
  <c r="A33" i="5"/>
  <c r="J56" i="24"/>
  <c r="K56" i="24" s="1"/>
  <c r="K57" i="24" s="1"/>
  <c r="J28" i="19"/>
  <c r="K28" i="19" s="1"/>
  <c r="J28" i="7"/>
  <c r="K28" i="7" s="1"/>
  <c r="D50" i="23"/>
  <c r="K22" i="11"/>
  <c r="M22" i="11" s="1"/>
  <c r="L22" i="11"/>
  <c r="N22" i="11" s="1"/>
  <c r="AI30" i="5"/>
  <c r="AM30" i="5" s="1"/>
  <c r="D25" i="7"/>
  <c r="D25" i="19"/>
  <c r="D25" i="25"/>
  <c r="D50" i="24"/>
  <c r="D49" i="24" s="1"/>
  <c r="B24" i="19"/>
  <c r="I24" i="19" s="1"/>
  <c r="H24" i="19"/>
  <c r="D47" i="24"/>
  <c r="B47" i="24" s="1"/>
  <c r="C49" i="24"/>
  <c r="B49" i="24" l="1"/>
  <c r="B25" i="7"/>
  <c r="I25" i="7" s="1"/>
  <c r="H25" i="7"/>
  <c r="B50" i="23"/>
  <c r="I50" i="23" s="1"/>
  <c r="H50" i="23"/>
  <c r="AC33" i="5"/>
  <c r="P33" i="5"/>
  <c r="Q33" i="5" s="1"/>
  <c r="R33" i="5" s="1"/>
  <c r="AD32" i="5"/>
  <c r="S32" i="5"/>
  <c r="AA30" i="5"/>
  <c r="BF30" i="5"/>
  <c r="H50" i="24"/>
  <c r="B50" i="24"/>
  <c r="I50" i="24" s="1"/>
  <c r="AN30" i="5"/>
  <c r="AV30" i="5" s="1"/>
  <c r="AU30" i="5"/>
  <c r="A34" i="5"/>
  <c r="J29" i="25"/>
  <c r="K29" i="25" s="1"/>
  <c r="J58" i="23"/>
  <c r="K58" i="23" s="1"/>
  <c r="K59" i="23" s="1"/>
  <c r="F34" i="5"/>
  <c r="H34" i="5" s="1"/>
  <c r="J29" i="19"/>
  <c r="K29" i="19" s="1"/>
  <c r="J29" i="7"/>
  <c r="K29" i="7" s="1"/>
  <c r="E34" i="5"/>
  <c r="BL34" i="5" s="1"/>
  <c r="J58" i="24"/>
  <c r="K58" i="24" s="1"/>
  <c r="K59" i="24" s="1"/>
  <c r="C51" i="24"/>
  <c r="D26" i="7"/>
  <c r="L23" i="11"/>
  <c r="N23" i="11" s="1"/>
  <c r="D52" i="24"/>
  <c r="D51" i="24" s="1"/>
  <c r="D26" i="25"/>
  <c r="D26" i="19"/>
  <c r="D52" i="23"/>
  <c r="K23" i="11"/>
  <c r="M23" i="11" s="1"/>
  <c r="AI31" i="5"/>
  <c r="AM31" i="5" s="1"/>
  <c r="C54" i="23"/>
  <c r="C54" i="24"/>
  <c r="C53" i="24" s="1"/>
  <c r="C27" i="19"/>
  <c r="C27" i="7"/>
  <c r="C27" i="25"/>
  <c r="D49" i="23"/>
  <c r="B49" i="23" s="1"/>
  <c r="B25" i="25"/>
  <c r="I25" i="25" s="1"/>
  <c r="H25" i="25"/>
  <c r="D22" i="11"/>
  <c r="D23" i="11"/>
  <c r="C51" i="23"/>
  <c r="T31" i="5"/>
  <c r="Y31" i="5" s="1"/>
  <c r="X31" i="5"/>
  <c r="H25" i="19"/>
  <c r="B25" i="19"/>
  <c r="I25" i="19" s="1"/>
  <c r="C23" i="11"/>
  <c r="C22" i="11"/>
  <c r="U32" i="5"/>
  <c r="B51" i="24" l="1"/>
  <c r="H26" i="19"/>
  <c r="B26" i="19"/>
  <c r="I26" i="19" s="1"/>
  <c r="B26" i="7"/>
  <c r="I26" i="7" s="1"/>
  <c r="H26" i="7"/>
  <c r="AI32" i="5"/>
  <c r="AM32" i="5" s="1"/>
  <c r="D27" i="25"/>
  <c r="D54" i="24"/>
  <c r="D53" i="24" s="1"/>
  <c r="B53" i="24" s="1"/>
  <c r="L24" i="11"/>
  <c r="N24" i="11" s="1"/>
  <c r="D27" i="7"/>
  <c r="D27" i="19"/>
  <c r="D54" i="23"/>
  <c r="D53" i="23" s="1"/>
  <c r="K24" i="11"/>
  <c r="M24" i="11" s="1"/>
  <c r="C28" i="7"/>
  <c r="C56" i="24"/>
  <c r="C55" i="24" s="1"/>
  <c r="C28" i="19"/>
  <c r="C56" i="23"/>
  <c r="C28" i="25"/>
  <c r="BF31" i="5"/>
  <c r="AA31" i="5"/>
  <c r="AU31" i="5"/>
  <c r="AN31" i="5"/>
  <c r="AV31" i="5" s="1"/>
  <c r="B26" i="25"/>
  <c r="I26" i="25" s="1"/>
  <c r="H26" i="25"/>
  <c r="C53" i="23"/>
  <c r="H52" i="24"/>
  <c r="B52" i="24"/>
  <c r="I52" i="24" s="1"/>
  <c r="S33" i="5"/>
  <c r="AD33" i="5"/>
  <c r="B52" i="23"/>
  <c r="I52" i="23" s="1"/>
  <c r="H52" i="23"/>
  <c r="AC34" i="5"/>
  <c r="P34" i="5"/>
  <c r="Q34" i="5" s="1"/>
  <c r="R34" i="5" s="1"/>
  <c r="J60" i="24"/>
  <c r="K60" i="24" s="1"/>
  <c r="K61" i="24" s="1"/>
  <c r="J30" i="25"/>
  <c r="K30" i="25" s="1"/>
  <c r="J30" i="19"/>
  <c r="K30" i="19" s="1"/>
  <c r="J60" i="23"/>
  <c r="K60" i="23" s="1"/>
  <c r="K61" i="23" s="1"/>
  <c r="F35" i="5"/>
  <c r="H35" i="5" s="1"/>
  <c r="A35" i="5"/>
  <c r="J30" i="7"/>
  <c r="K30" i="7" s="1"/>
  <c r="E35" i="5"/>
  <c r="BL35" i="5" s="1"/>
  <c r="T32" i="5"/>
  <c r="Y32" i="5" s="1"/>
  <c r="X32" i="5"/>
  <c r="U33" i="5"/>
  <c r="D51" i="23"/>
  <c r="B51" i="23" s="1"/>
  <c r="BF32" i="5" l="1"/>
  <c r="AA32" i="5"/>
  <c r="C58" i="23"/>
  <c r="C57" i="23" s="1"/>
  <c r="C29" i="25"/>
  <c r="C29" i="7"/>
  <c r="C29" i="19"/>
  <c r="C58" i="24"/>
  <c r="C57" i="24" s="1"/>
  <c r="H27" i="19"/>
  <c r="B27" i="19"/>
  <c r="I27" i="19" s="1"/>
  <c r="H27" i="25"/>
  <c r="B27" i="25"/>
  <c r="I27" i="25" s="1"/>
  <c r="AC35" i="5"/>
  <c r="P35" i="5"/>
  <c r="Q35" i="5" s="1"/>
  <c r="R35" i="5" s="1"/>
  <c r="D56" i="23"/>
  <c r="D55" i="23" s="1"/>
  <c r="D56" i="24"/>
  <c r="D55" i="24" s="1"/>
  <c r="B55" i="24" s="1"/>
  <c r="D28" i="7"/>
  <c r="D28" i="25"/>
  <c r="K25" i="11"/>
  <c r="M25" i="11" s="1"/>
  <c r="D28" i="19"/>
  <c r="L25" i="11"/>
  <c r="N25" i="11" s="1"/>
  <c r="AI33" i="5"/>
  <c r="AM33" i="5" s="1"/>
  <c r="B27" i="7"/>
  <c r="I27" i="7" s="1"/>
  <c r="H27" i="7"/>
  <c r="AU32" i="5"/>
  <c r="AN32" i="5"/>
  <c r="AV32" i="5" s="1"/>
  <c r="F36" i="5"/>
  <c r="H36" i="5" s="1"/>
  <c r="J31" i="7"/>
  <c r="K31" i="7" s="1"/>
  <c r="J62" i="24"/>
  <c r="K62" i="24" s="1"/>
  <c r="K63" i="24" s="1"/>
  <c r="J31" i="25"/>
  <c r="K31" i="25" s="1"/>
  <c r="J31" i="19"/>
  <c r="K31" i="19" s="1"/>
  <c r="J62" i="23"/>
  <c r="K62" i="23" s="1"/>
  <c r="K63" i="23" s="1"/>
  <c r="A36" i="5"/>
  <c r="E36" i="5"/>
  <c r="BL36" i="5" s="1"/>
  <c r="AD34" i="5"/>
  <c r="S34" i="5"/>
  <c r="X33" i="5"/>
  <c r="T33" i="5"/>
  <c r="Y33" i="5" s="1"/>
  <c r="C24" i="11"/>
  <c r="C26" i="11"/>
  <c r="C25" i="11"/>
  <c r="D25" i="11"/>
  <c r="D26" i="11"/>
  <c r="D24" i="11"/>
  <c r="C55" i="23"/>
  <c r="U34" i="5"/>
  <c r="B53" i="23"/>
  <c r="B54" i="23"/>
  <c r="I54" i="23" s="1"/>
  <c r="H54" i="23"/>
  <c r="B54" i="24"/>
  <c r="I54" i="24" s="1"/>
  <c r="H54" i="24"/>
  <c r="B55" i="23" l="1"/>
  <c r="U35" i="5"/>
  <c r="T34" i="5"/>
  <c r="Y34" i="5" s="1"/>
  <c r="X34" i="5"/>
  <c r="B28" i="7"/>
  <c r="I28" i="7" s="1"/>
  <c r="H28" i="7"/>
  <c r="C60" i="24"/>
  <c r="C59" i="24" s="1"/>
  <c r="C30" i="19"/>
  <c r="C30" i="25"/>
  <c r="C30" i="7"/>
  <c r="C60" i="23"/>
  <c r="C59" i="23" s="1"/>
  <c r="D29" i="25"/>
  <c r="D58" i="23"/>
  <c r="D29" i="7"/>
  <c r="D29" i="19"/>
  <c r="AI34" i="5"/>
  <c r="AM34" i="5" s="1"/>
  <c r="K26" i="11"/>
  <c r="M26" i="11" s="1"/>
  <c r="D58" i="24"/>
  <c r="L26" i="11"/>
  <c r="N26" i="11" s="1"/>
  <c r="F37" i="5"/>
  <c r="H37" i="5" s="1"/>
  <c r="J64" i="23"/>
  <c r="K64" i="23" s="1"/>
  <c r="K65" i="23" s="1"/>
  <c r="J32" i="7"/>
  <c r="K32" i="7" s="1"/>
  <c r="J64" i="24"/>
  <c r="K64" i="24" s="1"/>
  <c r="K65" i="24" s="1"/>
  <c r="E37" i="5"/>
  <c r="BL37" i="5" s="1"/>
  <c r="J32" i="25"/>
  <c r="K32" i="25" s="1"/>
  <c r="J32" i="19"/>
  <c r="K32" i="19" s="1"/>
  <c r="A37" i="5"/>
  <c r="B28" i="19"/>
  <c r="I28" i="19" s="1"/>
  <c r="H28" i="19"/>
  <c r="B56" i="24"/>
  <c r="I56" i="24" s="1"/>
  <c r="D57" i="24"/>
  <c r="B57" i="24" s="1"/>
  <c r="H56" i="24"/>
  <c r="BF33" i="5"/>
  <c r="AA33" i="5"/>
  <c r="AC36" i="5"/>
  <c r="P36" i="5"/>
  <c r="Q36" i="5" s="1"/>
  <c r="R36" i="5" s="1"/>
  <c r="B56" i="23"/>
  <c r="I56" i="23" s="1"/>
  <c r="H56" i="23"/>
  <c r="AU33" i="5"/>
  <c r="AN33" i="5"/>
  <c r="AV33" i="5" s="1"/>
  <c r="B28" i="25"/>
  <c r="I28" i="25" s="1"/>
  <c r="H28" i="25"/>
  <c r="AD35" i="5"/>
  <c r="S35" i="5"/>
  <c r="AD36" i="5" l="1"/>
  <c r="S36" i="5"/>
  <c r="P37" i="5"/>
  <c r="Q37" i="5" s="1"/>
  <c r="R37" i="5" s="1"/>
  <c r="AC37" i="5"/>
  <c r="H58" i="23"/>
  <c r="B58" i="23"/>
  <c r="I58" i="23" s="1"/>
  <c r="C62" i="24"/>
  <c r="C61" i="24" s="1"/>
  <c r="C31" i="25"/>
  <c r="C62" i="23"/>
  <c r="C31" i="19"/>
  <c r="C31" i="7"/>
  <c r="F38" i="5"/>
  <c r="H38" i="5" s="1"/>
  <c r="J33" i="19"/>
  <c r="K33" i="19" s="1"/>
  <c r="J66" i="24"/>
  <c r="K66" i="24" s="1"/>
  <c r="K67" i="24" s="1"/>
  <c r="J66" i="23"/>
  <c r="K66" i="23" s="1"/>
  <c r="K67" i="23" s="1"/>
  <c r="A38" i="5"/>
  <c r="J33" i="7"/>
  <c r="K33" i="7" s="1"/>
  <c r="J33" i="25"/>
  <c r="K33" i="25" s="1"/>
  <c r="E38" i="5"/>
  <c r="BL38" i="5" s="1"/>
  <c r="AU34" i="5"/>
  <c r="AN34" i="5"/>
  <c r="AV34" i="5" s="1"/>
  <c r="B29" i="25"/>
  <c r="I29" i="25" s="1"/>
  <c r="H29" i="25"/>
  <c r="T35" i="5"/>
  <c r="Y35" i="5" s="1"/>
  <c r="X35" i="5"/>
  <c r="D57" i="23"/>
  <c r="B57" i="23" s="1"/>
  <c r="B29" i="19"/>
  <c r="I29" i="19" s="1"/>
  <c r="H29" i="19"/>
  <c r="C61" i="23"/>
  <c r="BF34" i="5"/>
  <c r="AA34" i="5"/>
  <c r="AI35" i="5"/>
  <c r="AM35" i="5" s="1"/>
  <c r="D30" i="19"/>
  <c r="D60" i="23"/>
  <c r="D30" i="7"/>
  <c r="L27" i="11"/>
  <c r="N27" i="11" s="1"/>
  <c r="D27" i="11" s="1"/>
  <c r="K27" i="11"/>
  <c r="M27" i="11" s="1"/>
  <c r="C27" i="11" s="1"/>
  <c r="D30" i="25"/>
  <c r="D60" i="24"/>
  <c r="D59" i="24" s="1"/>
  <c r="B59" i="24" s="1"/>
  <c r="U36" i="5"/>
  <c r="H58" i="24"/>
  <c r="B58" i="24"/>
  <c r="I58" i="24" s="1"/>
  <c r="H29" i="7"/>
  <c r="B29" i="7"/>
  <c r="I29" i="7" s="1"/>
  <c r="H30" i="25" l="1"/>
  <c r="B30" i="25"/>
  <c r="I30" i="25" s="1"/>
  <c r="B60" i="23"/>
  <c r="I60" i="23" s="1"/>
  <c r="H60" i="23"/>
  <c r="P38" i="5"/>
  <c r="Q38" i="5" s="1"/>
  <c r="R38" i="5" s="1"/>
  <c r="AC38" i="5"/>
  <c r="D59" i="23"/>
  <c r="B59" i="23" s="1"/>
  <c r="T36" i="5"/>
  <c r="Y36" i="5" s="1"/>
  <c r="X36" i="5"/>
  <c r="H30" i="19"/>
  <c r="B30" i="19"/>
  <c r="I30" i="19" s="1"/>
  <c r="C32" i="25"/>
  <c r="C64" i="24"/>
  <c r="C63" i="24" s="1"/>
  <c r="C32" i="19"/>
  <c r="C64" i="23"/>
  <c r="C32" i="7"/>
  <c r="AI36" i="5"/>
  <c r="AM36" i="5" s="1"/>
  <c r="L28" i="11"/>
  <c r="N28" i="11" s="1"/>
  <c r="K28" i="11"/>
  <c r="M28" i="11" s="1"/>
  <c r="D31" i="25"/>
  <c r="D62" i="23"/>
  <c r="D61" i="23" s="1"/>
  <c r="B61" i="23" s="1"/>
  <c r="D31" i="19"/>
  <c r="D31" i="7"/>
  <c r="D62" i="24"/>
  <c r="AN35" i="5"/>
  <c r="AV35" i="5" s="1"/>
  <c r="AU35" i="5"/>
  <c r="E39" i="5"/>
  <c r="BL39" i="5" s="1"/>
  <c r="J68" i="24"/>
  <c r="K68" i="24" s="1"/>
  <c r="K69" i="24" s="1"/>
  <c r="F39" i="5"/>
  <c r="H39" i="5" s="1"/>
  <c r="A39" i="5"/>
  <c r="J34" i="7"/>
  <c r="K34" i="7" s="1"/>
  <c r="J34" i="19"/>
  <c r="K34" i="19" s="1"/>
  <c r="J34" i="25"/>
  <c r="K34" i="25" s="1"/>
  <c r="J68" i="23"/>
  <c r="K68" i="23" s="1"/>
  <c r="K69" i="23" s="1"/>
  <c r="AD37" i="5"/>
  <c r="S37" i="5"/>
  <c r="B60" i="24"/>
  <c r="I60" i="24" s="1"/>
  <c r="H60" i="24"/>
  <c r="B30" i="7"/>
  <c r="I30" i="7" s="1"/>
  <c r="H30" i="7"/>
  <c r="BF35" i="5"/>
  <c r="AA35" i="5"/>
  <c r="U37" i="5"/>
  <c r="D32" i="7" l="1"/>
  <c r="D32" i="19"/>
  <c r="D32" i="25"/>
  <c r="K29" i="11"/>
  <c r="M29" i="11" s="1"/>
  <c r="D64" i="24"/>
  <c r="AI37" i="5"/>
  <c r="AM37" i="5" s="1"/>
  <c r="D64" i="23"/>
  <c r="D63" i="23" s="1"/>
  <c r="L29" i="11"/>
  <c r="N29" i="11" s="1"/>
  <c r="H62" i="24"/>
  <c r="D63" i="24"/>
  <c r="B63" i="24" s="1"/>
  <c r="B62" i="24"/>
  <c r="I62" i="24" s="1"/>
  <c r="H31" i="25"/>
  <c r="B31" i="25"/>
  <c r="I31" i="25" s="1"/>
  <c r="C66" i="23"/>
  <c r="C33" i="7"/>
  <c r="C33" i="19"/>
  <c r="C33" i="25"/>
  <c r="C66" i="24"/>
  <c r="D61" i="24"/>
  <c r="B61" i="24" s="1"/>
  <c r="H31" i="7"/>
  <c r="B31" i="7"/>
  <c r="I31" i="7" s="1"/>
  <c r="C29" i="11"/>
  <c r="C28" i="11"/>
  <c r="BF36" i="5"/>
  <c r="AA36" i="5"/>
  <c r="AD38" i="5"/>
  <c r="S38" i="5"/>
  <c r="E40" i="5"/>
  <c r="BL40" i="5" s="1"/>
  <c r="J35" i="19"/>
  <c r="K35" i="19" s="1"/>
  <c r="J70" i="24"/>
  <c r="K70" i="24" s="1"/>
  <c r="K71" i="24" s="1"/>
  <c r="J70" i="23"/>
  <c r="K70" i="23" s="1"/>
  <c r="K71" i="23" s="1"/>
  <c r="J35" i="25"/>
  <c r="K35" i="25" s="1"/>
  <c r="F40" i="5"/>
  <c r="H40" i="5" s="1"/>
  <c r="J35" i="7"/>
  <c r="K35" i="7" s="1"/>
  <c r="A40" i="5"/>
  <c r="B31" i="19"/>
  <c r="I31" i="19" s="1"/>
  <c r="H31" i="19"/>
  <c r="D29" i="11"/>
  <c r="D28" i="11"/>
  <c r="C63" i="23"/>
  <c r="X37" i="5"/>
  <c r="T37" i="5"/>
  <c r="Y37" i="5" s="1"/>
  <c r="P39" i="5"/>
  <c r="Q39" i="5" s="1"/>
  <c r="R39" i="5" s="1"/>
  <c r="AC39" i="5"/>
  <c r="B62" i="23"/>
  <c r="I62" i="23" s="1"/>
  <c r="H62" i="23"/>
  <c r="AU36" i="5"/>
  <c r="AN36" i="5"/>
  <c r="AV36" i="5" s="1"/>
  <c r="U38" i="5"/>
  <c r="C34" i="25" l="1"/>
  <c r="C68" i="24"/>
  <c r="C34" i="7"/>
  <c r="C68" i="23"/>
  <c r="C67" i="23" s="1"/>
  <c r="C34" i="19"/>
  <c r="C67" i="24"/>
  <c r="AN37" i="5"/>
  <c r="AV37" i="5" s="1"/>
  <c r="AU37" i="5"/>
  <c r="B32" i="19"/>
  <c r="I32" i="19" s="1"/>
  <c r="H32" i="19"/>
  <c r="C65" i="24"/>
  <c r="B63" i="23"/>
  <c r="S39" i="5"/>
  <c r="AD39" i="5"/>
  <c r="B64" i="24"/>
  <c r="I64" i="24" s="1"/>
  <c r="H64" i="24"/>
  <c r="H32" i="7"/>
  <c r="B32" i="7"/>
  <c r="I32" i="7" s="1"/>
  <c r="AA37" i="5"/>
  <c r="BF37" i="5"/>
  <c r="J36" i="25"/>
  <c r="K36" i="25" s="1"/>
  <c r="J72" i="23"/>
  <c r="K72" i="23" s="1"/>
  <c r="F41" i="5"/>
  <c r="H41" i="5" s="1"/>
  <c r="E41" i="5"/>
  <c r="BL41" i="5" s="1"/>
  <c r="J36" i="19"/>
  <c r="K36" i="19" s="1"/>
  <c r="J36" i="7"/>
  <c r="K36" i="7" s="1"/>
  <c r="A41" i="5"/>
  <c r="J72" i="24"/>
  <c r="K72" i="24" s="1"/>
  <c r="X38" i="5"/>
  <c r="T38" i="5"/>
  <c r="Y38" i="5" s="1"/>
  <c r="C65" i="23"/>
  <c r="U39" i="5"/>
  <c r="P40" i="5"/>
  <c r="Q40" i="5" s="1"/>
  <c r="R40" i="5" s="1"/>
  <c r="AC40" i="5"/>
  <c r="L30" i="11"/>
  <c r="N30" i="11" s="1"/>
  <c r="AI38" i="5"/>
  <c r="AM38" i="5" s="1"/>
  <c r="K30" i="11"/>
  <c r="M30" i="11" s="1"/>
  <c r="D33" i="25"/>
  <c r="D33" i="19"/>
  <c r="D66" i="24"/>
  <c r="D65" i="24" s="1"/>
  <c r="D66" i="23"/>
  <c r="D65" i="23" s="1"/>
  <c r="D33" i="7"/>
  <c r="B64" i="23"/>
  <c r="I64" i="23" s="1"/>
  <c r="H64" i="23"/>
  <c r="H32" i="25"/>
  <c r="B32" i="25"/>
  <c r="I32" i="25" s="1"/>
  <c r="B65" i="23" l="1"/>
  <c r="B65" i="24"/>
  <c r="B33" i="19"/>
  <c r="I33" i="19" s="1"/>
  <c r="H33" i="19"/>
  <c r="D31" i="11"/>
  <c r="D32" i="11"/>
  <c r="D30" i="11"/>
  <c r="D33" i="11"/>
  <c r="D68" i="23"/>
  <c r="D34" i="25"/>
  <c r="AI39" i="5"/>
  <c r="AM39" i="5" s="1"/>
  <c r="D68" i="24"/>
  <c r="D67" i="24" s="1"/>
  <c r="B67" i="24" s="1"/>
  <c r="K31" i="11"/>
  <c r="M31" i="11" s="1"/>
  <c r="D34" i="19"/>
  <c r="D34" i="7"/>
  <c r="L31" i="11"/>
  <c r="N31" i="11" s="1"/>
  <c r="H33" i="7"/>
  <c r="B33" i="7"/>
  <c r="I33" i="7" s="1"/>
  <c r="B33" i="25"/>
  <c r="I33" i="25" s="1"/>
  <c r="H33" i="25"/>
  <c r="C35" i="25"/>
  <c r="C35" i="19"/>
  <c r="C70" i="23"/>
  <c r="C70" i="24"/>
  <c r="C35" i="7"/>
  <c r="P41" i="5"/>
  <c r="Q41" i="5" s="1"/>
  <c r="R41" i="5" s="1"/>
  <c r="AC41" i="5"/>
  <c r="X39" i="5"/>
  <c r="T39" i="5"/>
  <c r="Y39" i="5" s="1"/>
  <c r="B66" i="23"/>
  <c r="I66" i="23" s="1"/>
  <c r="H66" i="23"/>
  <c r="D67" i="23"/>
  <c r="B67" i="23" s="1"/>
  <c r="C30" i="11"/>
  <c r="C32" i="11"/>
  <c r="C33" i="11"/>
  <c r="C31" i="11"/>
  <c r="AD40" i="5"/>
  <c r="S40" i="5"/>
  <c r="BF38" i="5"/>
  <c r="AA38" i="5"/>
  <c r="B66" i="24"/>
  <c r="I66" i="24" s="1"/>
  <c r="H66" i="24"/>
  <c r="AU38" i="5"/>
  <c r="AN38" i="5"/>
  <c r="AV38" i="5" s="1"/>
  <c r="U40" i="5"/>
  <c r="F42" i="5"/>
  <c r="H42" i="5" s="1"/>
  <c r="E42" i="5"/>
  <c r="BL42" i="5" s="1"/>
  <c r="J73" i="24"/>
  <c r="K73" i="24" s="1"/>
  <c r="K74" i="24" s="1"/>
  <c r="J37" i="19"/>
  <c r="K37" i="19" s="1"/>
  <c r="J73" i="23"/>
  <c r="K73" i="23" s="1"/>
  <c r="K74" i="23" s="1"/>
  <c r="A42" i="5"/>
  <c r="J37" i="25"/>
  <c r="K37" i="25" s="1"/>
  <c r="J37" i="7"/>
  <c r="K37" i="7" s="1"/>
  <c r="U41" i="5" l="1"/>
  <c r="X40" i="5"/>
  <c r="T40" i="5"/>
  <c r="Y40" i="5" s="1"/>
  <c r="C36" i="7"/>
  <c r="C36" i="19"/>
  <c r="C72" i="23"/>
  <c r="C71" i="23" s="1"/>
  <c r="C36" i="25"/>
  <c r="C72" i="24"/>
  <c r="C71" i="24" s="1"/>
  <c r="B68" i="24"/>
  <c r="I68" i="24" s="1"/>
  <c r="H68" i="24"/>
  <c r="D70" i="23"/>
  <c r="D69" i="23" s="1"/>
  <c r="D35" i="7"/>
  <c r="D35" i="19"/>
  <c r="L32" i="11"/>
  <c r="N32" i="11" s="1"/>
  <c r="D35" i="25"/>
  <c r="K32" i="11"/>
  <c r="M32" i="11" s="1"/>
  <c r="AI40" i="5"/>
  <c r="AM40" i="5" s="1"/>
  <c r="D70" i="24"/>
  <c r="C69" i="24"/>
  <c r="B34" i="7"/>
  <c r="I34" i="7" s="1"/>
  <c r="H34" i="7"/>
  <c r="AN39" i="5"/>
  <c r="AV39" i="5" s="1"/>
  <c r="AU39" i="5"/>
  <c r="C69" i="23"/>
  <c r="BF39" i="5"/>
  <c r="AA39" i="5"/>
  <c r="S41" i="5"/>
  <c r="AD41" i="5"/>
  <c r="H34" i="19"/>
  <c r="B34" i="19"/>
  <c r="I34" i="19" s="1"/>
  <c r="B34" i="25"/>
  <c r="I34" i="25" s="1"/>
  <c r="H34" i="25"/>
  <c r="F43" i="5"/>
  <c r="H43" i="5" s="1"/>
  <c r="J38" i="25"/>
  <c r="K38" i="25" s="1"/>
  <c r="J38" i="19"/>
  <c r="K38" i="19" s="1"/>
  <c r="A43" i="5"/>
  <c r="J75" i="24"/>
  <c r="K75" i="24" s="1"/>
  <c r="K76" i="24" s="1"/>
  <c r="J75" i="23"/>
  <c r="K75" i="23" s="1"/>
  <c r="K76" i="23" s="1"/>
  <c r="J38" i="7"/>
  <c r="K38" i="7" s="1"/>
  <c r="E43" i="5"/>
  <c r="BL43" i="5" s="1"/>
  <c r="P42" i="5"/>
  <c r="Q42" i="5" s="1"/>
  <c r="R42" i="5" s="1"/>
  <c r="AC42" i="5"/>
  <c r="B68" i="23"/>
  <c r="I68" i="23" s="1"/>
  <c r="H68" i="23"/>
  <c r="U42" i="5" l="1"/>
  <c r="B69" i="23"/>
  <c r="P43" i="5"/>
  <c r="Q43" i="5" s="1"/>
  <c r="R43" i="5" s="1"/>
  <c r="AC43" i="5"/>
  <c r="H70" i="24"/>
  <c r="B70" i="24"/>
  <c r="I70" i="24" s="1"/>
  <c r="D72" i="24"/>
  <c r="AI41" i="5"/>
  <c r="AM41" i="5" s="1"/>
  <c r="L33" i="11"/>
  <c r="N33" i="11" s="1"/>
  <c r="D36" i="19"/>
  <c r="D36" i="25"/>
  <c r="K33" i="11"/>
  <c r="M33" i="11" s="1"/>
  <c r="D72" i="23"/>
  <c r="D36" i="7"/>
  <c r="AU40" i="5"/>
  <c r="AN40" i="5"/>
  <c r="AV40" i="5" s="1"/>
  <c r="H35" i="19"/>
  <c r="B35" i="19"/>
  <c r="I35" i="19" s="1"/>
  <c r="AA40" i="5"/>
  <c r="BF40" i="5"/>
  <c r="C73" i="23"/>
  <c r="C73" i="24"/>
  <c r="C37" i="19"/>
  <c r="C37" i="25"/>
  <c r="C37" i="7"/>
  <c r="T41" i="5"/>
  <c r="Y41" i="5" s="1"/>
  <c r="X41" i="5"/>
  <c r="B35" i="7"/>
  <c r="I35" i="7" s="1"/>
  <c r="H35" i="7"/>
  <c r="D69" i="24"/>
  <c r="B69" i="24" s="1"/>
  <c r="AD42" i="5"/>
  <c r="S42" i="5"/>
  <c r="F44" i="5"/>
  <c r="H44" i="5" s="1"/>
  <c r="J77" i="23"/>
  <c r="K77" i="23" s="1"/>
  <c r="K78" i="23" s="1"/>
  <c r="E44" i="5"/>
  <c r="BL44" i="5" s="1"/>
  <c r="J39" i="7"/>
  <c r="K39" i="7" s="1"/>
  <c r="A44" i="5"/>
  <c r="J39" i="19"/>
  <c r="K39" i="19" s="1"/>
  <c r="J77" i="24"/>
  <c r="K77" i="24" s="1"/>
  <c r="K78" i="24" s="1"/>
  <c r="J39" i="25"/>
  <c r="K39" i="25" s="1"/>
  <c r="B35" i="25"/>
  <c r="I35" i="25" s="1"/>
  <c r="H35" i="25"/>
  <c r="B70" i="23"/>
  <c r="I70" i="23" s="1"/>
  <c r="H70" i="23"/>
  <c r="U43" i="5" l="1"/>
  <c r="D37" i="19"/>
  <c r="D37" i="25"/>
  <c r="AI42" i="5"/>
  <c r="AM42" i="5" s="1"/>
  <c r="D73" i="24"/>
  <c r="D37" i="7"/>
  <c r="D73" i="23"/>
  <c r="L34" i="11"/>
  <c r="N34" i="11" s="1"/>
  <c r="K34" i="11"/>
  <c r="M34" i="11" s="1"/>
  <c r="B36" i="25"/>
  <c r="I36" i="25" s="1"/>
  <c r="H36" i="25"/>
  <c r="B72" i="24"/>
  <c r="I72" i="24" s="1"/>
  <c r="H72" i="24"/>
  <c r="AA41" i="5"/>
  <c r="BF41" i="5"/>
  <c r="H36" i="7"/>
  <c r="B36" i="7"/>
  <c r="I36" i="7" s="1"/>
  <c r="B36" i="19"/>
  <c r="I36" i="19" s="1"/>
  <c r="H36" i="19"/>
  <c r="C38" i="25"/>
  <c r="C38" i="7"/>
  <c r="C75" i="24"/>
  <c r="C75" i="23"/>
  <c r="C38" i="19"/>
  <c r="J79" i="23"/>
  <c r="K79" i="23" s="1"/>
  <c r="K80" i="23" s="1"/>
  <c r="E45" i="5"/>
  <c r="BL45" i="5" s="1"/>
  <c r="J40" i="19"/>
  <c r="K40" i="19" s="1"/>
  <c r="A45" i="5"/>
  <c r="J79" i="24"/>
  <c r="K79" i="24" s="1"/>
  <c r="K80" i="24" s="1"/>
  <c r="F45" i="5"/>
  <c r="H45" i="5" s="1"/>
  <c r="J40" i="7"/>
  <c r="K40" i="7" s="1"/>
  <c r="J40" i="25"/>
  <c r="K40" i="25" s="1"/>
  <c r="AC44" i="5"/>
  <c r="P44" i="5"/>
  <c r="Q44" i="5" s="1"/>
  <c r="R44" i="5" s="1"/>
  <c r="C74" i="23"/>
  <c r="B72" i="23"/>
  <c r="I72" i="23" s="1"/>
  <c r="H72" i="23"/>
  <c r="AD43" i="5"/>
  <c r="S43" i="5"/>
  <c r="D71" i="23"/>
  <c r="B71" i="23" s="1"/>
  <c r="X42" i="5"/>
  <c r="T42" i="5"/>
  <c r="Y42" i="5" s="1"/>
  <c r="AN41" i="5"/>
  <c r="AV41" i="5" s="1"/>
  <c r="AU41" i="5"/>
  <c r="D71" i="24"/>
  <c r="B71" i="24" s="1"/>
  <c r="C39" i="25" l="1"/>
  <c r="C39" i="19"/>
  <c r="C77" i="24"/>
  <c r="C76" i="24" s="1"/>
  <c r="C77" i="23"/>
  <c r="C39" i="7"/>
  <c r="A46" i="5"/>
  <c r="E46" i="5"/>
  <c r="BL46" i="5" s="1"/>
  <c r="J41" i="25"/>
  <c r="K41" i="25" s="1"/>
  <c r="J81" i="24"/>
  <c r="K81" i="24" s="1"/>
  <c r="K82" i="24" s="1"/>
  <c r="F46" i="5"/>
  <c r="H46" i="5" s="1"/>
  <c r="J81" i="23"/>
  <c r="K81" i="23" s="1"/>
  <c r="K82" i="23" s="1"/>
  <c r="J41" i="19"/>
  <c r="K41" i="19" s="1"/>
  <c r="J41" i="7"/>
  <c r="K41" i="7" s="1"/>
  <c r="B73" i="23"/>
  <c r="I73" i="23" s="1"/>
  <c r="H73" i="23"/>
  <c r="H37" i="25"/>
  <c r="B37" i="25"/>
  <c r="I37" i="25" s="1"/>
  <c r="T43" i="5"/>
  <c r="Y43" i="5" s="1"/>
  <c r="X43" i="5"/>
  <c r="B37" i="7"/>
  <c r="I37" i="7" s="1"/>
  <c r="H37" i="7"/>
  <c r="B37" i="19"/>
  <c r="I37" i="19" s="1"/>
  <c r="H37" i="19"/>
  <c r="BF42" i="5"/>
  <c r="AA42" i="5"/>
  <c r="D38" i="19"/>
  <c r="D38" i="25"/>
  <c r="D38" i="7"/>
  <c r="D75" i="23"/>
  <c r="D74" i="23" s="1"/>
  <c r="B74" i="23" s="1"/>
  <c r="D75" i="24"/>
  <c r="K35" i="11"/>
  <c r="M35" i="11" s="1"/>
  <c r="L35" i="11"/>
  <c r="N35" i="11" s="1"/>
  <c r="AI43" i="5"/>
  <c r="AM43" i="5" s="1"/>
  <c r="S44" i="5"/>
  <c r="AD44" i="5"/>
  <c r="C43" i="11"/>
  <c r="C46" i="11"/>
  <c r="C34" i="11"/>
  <c r="C35" i="11"/>
  <c r="C42" i="11"/>
  <c r="C38" i="11"/>
  <c r="C41" i="11"/>
  <c r="C40" i="11"/>
  <c r="C39" i="11"/>
  <c r="C45" i="11"/>
  <c r="C37" i="11"/>
  <c r="C44" i="11"/>
  <c r="C36" i="11"/>
  <c r="B73" i="24"/>
  <c r="I73" i="24" s="1"/>
  <c r="H73" i="24"/>
  <c r="D74" i="24"/>
  <c r="U44" i="5"/>
  <c r="AC45" i="5"/>
  <c r="P45" i="5"/>
  <c r="Q45" i="5" s="1"/>
  <c r="R45" i="5" s="1"/>
  <c r="U45" i="5"/>
  <c r="C76" i="23"/>
  <c r="C74" i="24"/>
  <c r="D41" i="11"/>
  <c r="D36" i="11"/>
  <c r="D44" i="11"/>
  <c r="D42" i="11"/>
  <c r="D45" i="11"/>
  <c r="D39" i="11"/>
  <c r="D46" i="11"/>
  <c r="D35" i="11"/>
  <c r="D38" i="11"/>
  <c r="D40" i="11"/>
  <c r="D43" i="11"/>
  <c r="D37" i="11"/>
  <c r="D34" i="11"/>
  <c r="AU42" i="5"/>
  <c r="AN42" i="5"/>
  <c r="AV42" i="5" s="1"/>
  <c r="B74" i="24" l="1"/>
  <c r="B38" i="7"/>
  <c r="I38" i="7" s="1"/>
  <c r="H38" i="7"/>
  <c r="AC46" i="5"/>
  <c r="P46" i="5"/>
  <c r="Q46" i="5" s="1"/>
  <c r="R46" i="5" s="1"/>
  <c r="D77" i="23"/>
  <c r="D76" i="23" s="1"/>
  <c r="B76" i="23" s="1"/>
  <c r="D39" i="19"/>
  <c r="K36" i="11"/>
  <c r="M36" i="11" s="1"/>
  <c r="D39" i="25"/>
  <c r="D39" i="7"/>
  <c r="D77" i="24"/>
  <c r="D76" i="24" s="1"/>
  <c r="B76" i="24" s="1"/>
  <c r="AI44" i="5"/>
  <c r="AM44" i="5" s="1"/>
  <c r="L36" i="11"/>
  <c r="N36" i="11" s="1"/>
  <c r="H38" i="25"/>
  <c r="B38" i="25"/>
  <c r="I38" i="25" s="1"/>
  <c r="J83" i="23"/>
  <c r="K83" i="23" s="1"/>
  <c r="K84" i="23" s="1"/>
  <c r="E47" i="5"/>
  <c r="BL47" i="5" s="1"/>
  <c r="J42" i="19"/>
  <c r="K42" i="19" s="1"/>
  <c r="J42" i="25"/>
  <c r="K42" i="25" s="1"/>
  <c r="F47" i="5"/>
  <c r="H47" i="5" s="1"/>
  <c r="J83" i="24"/>
  <c r="K83" i="24" s="1"/>
  <c r="K84" i="24" s="1"/>
  <c r="A47" i="5"/>
  <c r="J42" i="7"/>
  <c r="K42" i="7" s="1"/>
  <c r="S45" i="5"/>
  <c r="AD45" i="5"/>
  <c r="X44" i="5"/>
  <c r="T44" i="5"/>
  <c r="Y44" i="5" s="1"/>
  <c r="B75" i="24"/>
  <c r="I75" i="24" s="1"/>
  <c r="H75" i="24"/>
  <c r="H38" i="19"/>
  <c r="B38" i="19"/>
  <c r="I38" i="19" s="1"/>
  <c r="AA43" i="5"/>
  <c r="BF43" i="5"/>
  <c r="C40" i="25"/>
  <c r="C79" i="24"/>
  <c r="C40" i="7"/>
  <c r="C79" i="23"/>
  <c r="C40" i="19"/>
  <c r="AU43" i="5"/>
  <c r="AN43" i="5"/>
  <c r="AV43" i="5" s="1"/>
  <c r="B75" i="23"/>
  <c r="I75" i="23" s="1"/>
  <c r="H75" i="23"/>
  <c r="T45" i="5" l="1"/>
  <c r="Y45" i="5" s="1"/>
  <c r="X45" i="5"/>
  <c r="P47" i="5"/>
  <c r="Q47" i="5" s="1"/>
  <c r="R47" i="5" s="1"/>
  <c r="AC47" i="5"/>
  <c r="H39" i="25"/>
  <c r="B39" i="25"/>
  <c r="I39" i="25" s="1"/>
  <c r="C78" i="24"/>
  <c r="BF44" i="5"/>
  <c r="AA44" i="5"/>
  <c r="F48" i="5"/>
  <c r="H48" i="5" s="1"/>
  <c r="J43" i="25"/>
  <c r="K43" i="25" s="1"/>
  <c r="J43" i="7"/>
  <c r="K43" i="7" s="1"/>
  <c r="A48" i="5"/>
  <c r="J85" i="24"/>
  <c r="K85" i="24" s="1"/>
  <c r="K86" i="24" s="1"/>
  <c r="E48" i="5"/>
  <c r="BL48" i="5" s="1"/>
  <c r="J43" i="19"/>
  <c r="K43" i="19" s="1"/>
  <c r="J85" i="23"/>
  <c r="K85" i="23" s="1"/>
  <c r="K86" i="23" s="1"/>
  <c r="AU44" i="5"/>
  <c r="AN44" i="5"/>
  <c r="AV44" i="5" s="1"/>
  <c r="S46" i="5"/>
  <c r="AD46" i="5"/>
  <c r="B77" i="24"/>
  <c r="I77" i="24" s="1"/>
  <c r="D78" i="24"/>
  <c r="B78" i="24" s="1"/>
  <c r="H77" i="24"/>
  <c r="H39" i="19"/>
  <c r="B39" i="19"/>
  <c r="I39" i="19" s="1"/>
  <c r="C81" i="23"/>
  <c r="C41" i="25"/>
  <c r="C41" i="7"/>
  <c r="C41" i="19"/>
  <c r="C81" i="24"/>
  <c r="C78" i="23"/>
  <c r="D79" i="23"/>
  <c r="D79" i="24"/>
  <c r="AI45" i="5"/>
  <c r="AM45" i="5" s="1"/>
  <c r="K37" i="11"/>
  <c r="M37" i="11" s="1"/>
  <c r="D40" i="19"/>
  <c r="D40" i="7"/>
  <c r="D40" i="25"/>
  <c r="L37" i="11"/>
  <c r="N37" i="11" s="1"/>
  <c r="H39" i="7"/>
  <c r="B39" i="7"/>
  <c r="I39" i="7" s="1"/>
  <c r="B77" i="23"/>
  <c r="I77" i="23" s="1"/>
  <c r="H77" i="23"/>
  <c r="D78" i="23"/>
  <c r="U46" i="5"/>
  <c r="B78" i="23" l="1"/>
  <c r="B40" i="25"/>
  <c r="I40" i="25" s="1"/>
  <c r="H40" i="25"/>
  <c r="AU45" i="5"/>
  <c r="AN45" i="5"/>
  <c r="AV45" i="5" s="1"/>
  <c r="T46" i="5"/>
  <c r="Y46" i="5" s="1"/>
  <c r="X46" i="5"/>
  <c r="H40" i="7"/>
  <c r="B40" i="7"/>
  <c r="I40" i="7" s="1"/>
  <c r="B79" i="24"/>
  <c r="I79" i="24" s="1"/>
  <c r="H79" i="24"/>
  <c r="C83" i="24"/>
  <c r="C83" i="23"/>
  <c r="C82" i="23" s="1"/>
  <c r="C42" i="25"/>
  <c r="C42" i="19"/>
  <c r="C42" i="7"/>
  <c r="BF45" i="5"/>
  <c r="AA45" i="5"/>
  <c r="H40" i="19"/>
  <c r="B40" i="19"/>
  <c r="I40" i="19" s="1"/>
  <c r="B79" i="23"/>
  <c r="I79" i="23" s="1"/>
  <c r="H79" i="23"/>
  <c r="C80" i="23"/>
  <c r="J44" i="19"/>
  <c r="K44" i="19" s="1"/>
  <c r="A49" i="5"/>
  <c r="J44" i="7"/>
  <c r="K44" i="7" s="1"/>
  <c r="F49" i="5"/>
  <c r="H49" i="5" s="1"/>
  <c r="J87" i="23"/>
  <c r="K87" i="23" s="1"/>
  <c r="K88" i="23" s="1"/>
  <c r="J87" i="24"/>
  <c r="K87" i="24" s="1"/>
  <c r="K88" i="24" s="1"/>
  <c r="J44" i="25"/>
  <c r="K44" i="25" s="1"/>
  <c r="E49" i="5"/>
  <c r="BL49" i="5" s="1"/>
  <c r="S47" i="5"/>
  <c r="AD47" i="5"/>
  <c r="C80" i="24"/>
  <c r="D41" i="7"/>
  <c r="D41" i="25"/>
  <c r="D41" i="19"/>
  <c r="D81" i="23"/>
  <c r="K38" i="11"/>
  <c r="M38" i="11" s="1"/>
  <c r="AI46" i="5"/>
  <c r="AM46" i="5" s="1"/>
  <c r="D81" i="24"/>
  <c r="L38" i="11"/>
  <c r="N38" i="11" s="1"/>
  <c r="P48" i="5"/>
  <c r="Q48" i="5" s="1"/>
  <c r="R48" i="5" s="1"/>
  <c r="AC48" i="5"/>
  <c r="U47" i="5"/>
  <c r="U48" i="5" l="1"/>
  <c r="H81" i="23"/>
  <c r="B81" i="23"/>
  <c r="I81" i="23" s="1"/>
  <c r="P49" i="5"/>
  <c r="Q49" i="5" s="1"/>
  <c r="R49" i="5" s="1"/>
  <c r="AC49" i="5"/>
  <c r="B81" i="24"/>
  <c r="I81" i="24" s="1"/>
  <c r="H81" i="24"/>
  <c r="H41" i="19"/>
  <c r="B41" i="19"/>
  <c r="I41" i="19" s="1"/>
  <c r="D83" i="24"/>
  <c r="D83" i="23"/>
  <c r="AI47" i="5"/>
  <c r="AM47" i="5" s="1"/>
  <c r="K39" i="11"/>
  <c r="M39" i="11" s="1"/>
  <c r="D42" i="25"/>
  <c r="D42" i="19"/>
  <c r="D42" i="7"/>
  <c r="L39" i="11"/>
  <c r="N39" i="11" s="1"/>
  <c r="C82" i="24"/>
  <c r="C85" i="23"/>
  <c r="C85" i="24"/>
  <c r="C43" i="25"/>
  <c r="C43" i="19"/>
  <c r="C43" i="7"/>
  <c r="AU46" i="5"/>
  <c r="AN46" i="5"/>
  <c r="AV46" i="5" s="1"/>
  <c r="B41" i="25"/>
  <c r="I41" i="25" s="1"/>
  <c r="H41" i="25"/>
  <c r="T47" i="5"/>
  <c r="Y47" i="5" s="1"/>
  <c r="X47" i="5"/>
  <c r="AD48" i="5"/>
  <c r="S48" i="5"/>
  <c r="B41" i="7"/>
  <c r="I41" i="7" s="1"/>
  <c r="H41" i="7"/>
  <c r="F50" i="5"/>
  <c r="H50" i="5" s="1"/>
  <c r="J45" i="25"/>
  <c r="K45" i="25" s="1"/>
  <c r="J45" i="19"/>
  <c r="K45" i="19" s="1"/>
  <c r="J89" i="24"/>
  <c r="K89" i="24" s="1"/>
  <c r="K90" i="24" s="1"/>
  <c r="J45" i="7"/>
  <c r="K45" i="7" s="1"/>
  <c r="A50" i="5"/>
  <c r="J89" i="23"/>
  <c r="K89" i="23" s="1"/>
  <c r="K90" i="23" s="1"/>
  <c r="E50" i="5"/>
  <c r="BL50" i="5" s="1"/>
  <c r="D80" i="23"/>
  <c r="B80" i="23" s="1"/>
  <c r="C84" i="23"/>
  <c r="D80" i="24"/>
  <c r="B80" i="24" s="1"/>
  <c r="AA46" i="5"/>
  <c r="BF46" i="5"/>
  <c r="AA47" i="5" l="1"/>
  <c r="BF47" i="5"/>
  <c r="B42" i="7"/>
  <c r="I42" i="7" s="1"/>
  <c r="H42" i="7"/>
  <c r="AN47" i="5"/>
  <c r="AV47" i="5" s="1"/>
  <c r="AU47" i="5"/>
  <c r="C84" i="24"/>
  <c r="J46" i="19"/>
  <c r="K46" i="19" s="1"/>
  <c r="J91" i="23"/>
  <c r="K91" i="23" s="1"/>
  <c r="K92" i="23" s="1"/>
  <c r="J46" i="7"/>
  <c r="K46" i="7" s="1"/>
  <c r="F51" i="5"/>
  <c r="H51" i="5" s="1"/>
  <c r="A51" i="5"/>
  <c r="J91" i="24"/>
  <c r="K91" i="24" s="1"/>
  <c r="K92" i="24" s="1"/>
  <c r="E51" i="5"/>
  <c r="BL51" i="5" s="1"/>
  <c r="J46" i="25"/>
  <c r="K46" i="25" s="1"/>
  <c r="T48" i="5"/>
  <c r="Y48" i="5" s="1"/>
  <c r="X48" i="5"/>
  <c r="H42" i="19"/>
  <c r="B42" i="19"/>
  <c r="I42" i="19" s="1"/>
  <c r="H83" i="23"/>
  <c r="B83" i="23"/>
  <c r="I83" i="23" s="1"/>
  <c r="C87" i="24"/>
  <c r="C86" i="24" s="1"/>
  <c r="C44" i="7"/>
  <c r="C44" i="25"/>
  <c r="C44" i="19"/>
  <c r="C87" i="23"/>
  <c r="C86" i="23" s="1"/>
  <c r="D82" i="23"/>
  <c r="B82" i="23" s="1"/>
  <c r="P50" i="5"/>
  <c r="Q50" i="5" s="1"/>
  <c r="R50" i="5" s="1"/>
  <c r="AC50" i="5"/>
  <c r="D43" i="25"/>
  <c r="AI48" i="5"/>
  <c r="AM48" i="5" s="1"/>
  <c r="D85" i="24"/>
  <c r="D43" i="7"/>
  <c r="D85" i="23"/>
  <c r="D43" i="19"/>
  <c r="K40" i="11"/>
  <c r="M40" i="11" s="1"/>
  <c r="L40" i="11"/>
  <c r="N40" i="11" s="1"/>
  <c r="H42" i="25"/>
  <c r="B42" i="25"/>
  <c r="I42" i="25" s="1"/>
  <c r="D84" i="24"/>
  <c r="B83" i="24"/>
  <c r="I83" i="24" s="1"/>
  <c r="H83" i="24"/>
  <c r="S49" i="5"/>
  <c r="AD49" i="5"/>
  <c r="D82" i="24"/>
  <c r="B82" i="24" s="1"/>
  <c r="U49" i="5"/>
  <c r="T49" i="5" l="1"/>
  <c r="Y49" i="5" s="1"/>
  <c r="X49" i="5"/>
  <c r="B43" i="19"/>
  <c r="I43" i="19" s="1"/>
  <c r="H43" i="19"/>
  <c r="AN48" i="5"/>
  <c r="AV48" i="5" s="1"/>
  <c r="AU48" i="5"/>
  <c r="S50" i="5"/>
  <c r="AD50" i="5"/>
  <c r="P51" i="5"/>
  <c r="Q51" i="5" s="1"/>
  <c r="R51" i="5" s="1"/>
  <c r="AC51" i="5"/>
  <c r="H85" i="23"/>
  <c r="B85" i="23"/>
  <c r="I85" i="23" s="1"/>
  <c r="B43" i="25"/>
  <c r="I43" i="25" s="1"/>
  <c r="H43" i="25"/>
  <c r="D84" i="23"/>
  <c r="B84" i="23" s="1"/>
  <c r="J47" i="19"/>
  <c r="K47" i="19" s="1"/>
  <c r="J93" i="23"/>
  <c r="K93" i="23" s="1"/>
  <c r="K94" i="23" s="1"/>
  <c r="J93" i="24"/>
  <c r="K93" i="24" s="1"/>
  <c r="K94" i="24" s="1"/>
  <c r="J47" i="25"/>
  <c r="K47" i="25" s="1"/>
  <c r="J47" i="7"/>
  <c r="K47" i="7" s="1"/>
  <c r="E52" i="5"/>
  <c r="BL52" i="5" s="1"/>
  <c r="A52" i="5"/>
  <c r="F52" i="5"/>
  <c r="H52" i="5" s="1"/>
  <c r="H43" i="7"/>
  <c r="B43" i="7"/>
  <c r="I43" i="7" s="1"/>
  <c r="U50" i="5"/>
  <c r="BF48" i="5"/>
  <c r="AA48" i="5"/>
  <c r="D44" i="19"/>
  <c r="D44" i="25"/>
  <c r="D44" i="7"/>
  <c r="D87" i="24"/>
  <c r="D86" i="24" s="1"/>
  <c r="B86" i="24" s="1"/>
  <c r="AI49" i="5"/>
  <c r="AM49" i="5" s="1"/>
  <c r="L41" i="11"/>
  <c r="N41" i="11" s="1"/>
  <c r="D87" i="23"/>
  <c r="K41" i="11"/>
  <c r="M41" i="11" s="1"/>
  <c r="B84" i="24"/>
  <c r="B85" i="24"/>
  <c r="I85" i="24" s="1"/>
  <c r="H85" i="24"/>
  <c r="C45" i="7"/>
  <c r="C45" i="19"/>
  <c r="C89" i="24"/>
  <c r="C45" i="25"/>
  <c r="C89" i="23"/>
  <c r="B87" i="23" l="1"/>
  <c r="I87" i="23" s="1"/>
  <c r="H87" i="23"/>
  <c r="H44" i="7"/>
  <c r="B44" i="7"/>
  <c r="I44" i="7" s="1"/>
  <c r="D89" i="23"/>
  <c r="K42" i="11"/>
  <c r="M42" i="11" s="1"/>
  <c r="AI50" i="5"/>
  <c r="AM50" i="5" s="1"/>
  <c r="D45" i="19"/>
  <c r="D45" i="25"/>
  <c r="D89" i="24"/>
  <c r="D88" i="24" s="1"/>
  <c r="L42" i="11"/>
  <c r="N42" i="11" s="1"/>
  <c r="D45" i="7"/>
  <c r="B44" i="25"/>
  <c r="I44" i="25" s="1"/>
  <c r="H44" i="25"/>
  <c r="C88" i="24"/>
  <c r="C91" i="24"/>
  <c r="C46" i="7"/>
  <c r="C91" i="23"/>
  <c r="C90" i="23" s="1"/>
  <c r="C46" i="25"/>
  <c r="C46" i="19"/>
  <c r="T50" i="5"/>
  <c r="Y50" i="5" s="1"/>
  <c r="X50" i="5"/>
  <c r="AU49" i="5"/>
  <c r="AN49" i="5"/>
  <c r="AV49" i="5" s="1"/>
  <c r="B44" i="19"/>
  <c r="I44" i="19" s="1"/>
  <c r="H44" i="19"/>
  <c r="C88" i="23"/>
  <c r="P52" i="5"/>
  <c r="Q52" i="5" s="1"/>
  <c r="R52" i="5" s="1"/>
  <c r="AC52" i="5"/>
  <c r="F53" i="5"/>
  <c r="H53" i="5" s="1"/>
  <c r="J48" i="25"/>
  <c r="K48" i="25" s="1"/>
  <c r="E53" i="5"/>
  <c r="BL53" i="5" s="1"/>
  <c r="J48" i="7"/>
  <c r="K48" i="7" s="1"/>
  <c r="A53" i="5"/>
  <c r="J95" i="23"/>
  <c r="K95" i="23" s="1"/>
  <c r="K96" i="23" s="1"/>
  <c r="J95" i="24"/>
  <c r="K95" i="24" s="1"/>
  <c r="K96" i="24" s="1"/>
  <c r="J48" i="19"/>
  <c r="K48" i="19" s="1"/>
  <c r="D86" i="23"/>
  <c r="B86" i="23" s="1"/>
  <c r="AD51" i="5"/>
  <c r="S51" i="5"/>
  <c r="B87" i="24"/>
  <c r="I87" i="24" s="1"/>
  <c r="H87" i="24"/>
  <c r="U51" i="5"/>
  <c r="BF49" i="5"/>
  <c r="AA49" i="5"/>
  <c r="B88" i="24" l="1"/>
  <c r="A54" i="5"/>
  <c r="F54" i="5"/>
  <c r="H54" i="5" s="1"/>
  <c r="J97" i="23"/>
  <c r="K97" i="23" s="1"/>
  <c r="K98" i="23" s="1"/>
  <c r="E54" i="5"/>
  <c r="J97" i="24"/>
  <c r="K97" i="24" s="1"/>
  <c r="K98" i="24" s="1"/>
  <c r="J49" i="19"/>
  <c r="K49" i="19" s="1"/>
  <c r="J49" i="7"/>
  <c r="K49" i="7" s="1"/>
  <c r="J49" i="25"/>
  <c r="K49" i="25" s="1"/>
  <c r="S52" i="5"/>
  <c r="AD52" i="5"/>
  <c r="BF50" i="5"/>
  <c r="AA50" i="5"/>
  <c r="B45" i="25"/>
  <c r="I45" i="25" s="1"/>
  <c r="H45" i="25"/>
  <c r="H89" i="23"/>
  <c r="B89" i="23"/>
  <c r="I89" i="23" s="1"/>
  <c r="D88" i="23"/>
  <c r="B88" i="23" s="1"/>
  <c r="P53" i="5"/>
  <c r="Q53" i="5" s="1"/>
  <c r="R53" i="5" s="1"/>
  <c r="AC53" i="5"/>
  <c r="B45" i="7"/>
  <c r="I45" i="7" s="1"/>
  <c r="H45" i="7"/>
  <c r="H45" i="19"/>
  <c r="B45" i="19"/>
  <c r="I45" i="19" s="1"/>
  <c r="T51" i="5"/>
  <c r="Y51" i="5" s="1"/>
  <c r="X51" i="5"/>
  <c r="U52" i="5"/>
  <c r="AU50" i="5"/>
  <c r="AN50" i="5"/>
  <c r="AV50" i="5" s="1"/>
  <c r="C90" i="24"/>
  <c r="D46" i="25"/>
  <c r="L43" i="11"/>
  <c r="N43" i="11" s="1"/>
  <c r="AI51" i="5"/>
  <c r="AM51" i="5" s="1"/>
  <c r="D91" i="24"/>
  <c r="D90" i="24" s="1"/>
  <c r="B90" i="24" s="1"/>
  <c r="D91" i="23"/>
  <c r="D46" i="19"/>
  <c r="D46" i="7"/>
  <c r="K43" i="11"/>
  <c r="M43" i="11" s="1"/>
  <c r="C93" i="24"/>
  <c r="C92" i="24" s="1"/>
  <c r="C93" i="23"/>
  <c r="C47" i="19"/>
  <c r="C47" i="7"/>
  <c r="C47" i="25"/>
  <c r="C92" i="23"/>
  <c r="H89" i="24"/>
  <c r="B89" i="24"/>
  <c r="I89" i="24" s="1"/>
  <c r="U53" i="5" l="1"/>
  <c r="B91" i="23"/>
  <c r="I91" i="23" s="1"/>
  <c r="H91" i="23"/>
  <c r="X52" i="5"/>
  <c r="T52" i="5"/>
  <c r="Y52" i="5" s="1"/>
  <c r="B46" i="7"/>
  <c r="I46" i="7" s="1"/>
  <c r="H46" i="7"/>
  <c r="AN51" i="5"/>
  <c r="AV51" i="5" s="1"/>
  <c r="AU51" i="5"/>
  <c r="AA51" i="5"/>
  <c r="BF51" i="5"/>
  <c r="S53" i="5"/>
  <c r="AD53" i="5"/>
  <c r="H46" i="19"/>
  <c r="B46" i="19"/>
  <c r="I46" i="19" s="1"/>
  <c r="D47" i="7"/>
  <c r="D93" i="23"/>
  <c r="D47" i="25"/>
  <c r="D47" i="19"/>
  <c r="D93" i="24"/>
  <c r="D92" i="24" s="1"/>
  <c r="B92" i="24" s="1"/>
  <c r="AI52" i="5"/>
  <c r="AM52" i="5" s="1"/>
  <c r="L44" i="11"/>
  <c r="N44" i="11" s="1"/>
  <c r="K44" i="11"/>
  <c r="M44" i="11" s="1"/>
  <c r="F55" i="5"/>
  <c r="H55" i="5" s="1"/>
  <c r="E55" i="5"/>
  <c r="A55" i="5"/>
  <c r="J50" i="7"/>
  <c r="K50" i="7" s="1"/>
  <c r="J99" i="24"/>
  <c r="K99" i="24" s="1"/>
  <c r="K100" i="24" s="1"/>
  <c r="J50" i="25"/>
  <c r="K50" i="25" s="1"/>
  <c r="J50" i="19"/>
  <c r="K50" i="19" s="1"/>
  <c r="J99" i="23"/>
  <c r="K99" i="23" s="1"/>
  <c r="K100" i="23" s="1"/>
  <c r="H46" i="25"/>
  <c r="B46" i="25"/>
  <c r="I46" i="25" s="1"/>
  <c r="AC54" i="5"/>
  <c r="P54" i="5"/>
  <c r="Q54" i="5" s="1"/>
  <c r="R54" i="5" s="1"/>
  <c r="H91" i="24"/>
  <c r="B91" i="24"/>
  <c r="I91" i="24" s="1"/>
  <c r="C48" i="25"/>
  <c r="C48" i="19"/>
  <c r="C95" i="23"/>
  <c r="C94" i="23" s="1"/>
  <c r="C48" i="7"/>
  <c r="C95" i="24"/>
  <c r="D90" i="23"/>
  <c r="B90" i="23" s="1"/>
  <c r="A56" i="5" l="1"/>
  <c r="J51" i="25"/>
  <c r="K51" i="25" s="1"/>
  <c r="F56" i="5"/>
  <c r="H56" i="5" s="1"/>
  <c r="E56" i="5"/>
  <c r="J51" i="19"/>
  <c r="K51" i="19" s="1"/>
  <c r="J101" i="24"/>
  <c r="K101" i="24" s="1"/>
  <c r="K102" i="24" s="1"/>
  <c r="J51" i="7"/>
  <c r="K51" i="7" s="1"/>
  <c r="J101" i="23"/>
  <c r="K101" i="23" s="1"/>
  <c r="K102" i="23" s="1"/>
  <c r="H47" i="25"/>
  <c r="B47" i="25"/>
  <c r="I47" i="25" s="1"/>
  <c r="AN52" i="5"/>
  <c r="AV52" i="5" s="1"/>
  <c r="AU52" i="5"/>
  <c r="B93" i="23"/>
  <c r="I93" i="23" s="1"/>
  <c r="H93" i="23"/>
  <c r="D92" i="23"/>
  <c r="B92" i="23" s="1"/>
  <c r="H47" i="19"/>
  <c r="B47" i="19"/>
  <c r="I47" i="19" s="1"/>
  <c r="X53" i="5"/>
  <c r="T53" i="5"/>
  <c r="Y53" i="5" s="1"/>
  <c r="S54" i="5"/>
  <c r="AD54" i="5"/>
  <c r="C97" i="24"/>
  <c r="C49" i="19"/>
  <c r="C49" i="25"/>
  <c r="C49" i="7"/>
  <c r="C97" i="23"/>
  <c r="C96" i="23" s="1"/>
  <c r="C94" i="24"/>
  <c r="U54" i="5"/>
  <c r="P55" i="5"/>
  <c r="Q55" i="5" s="1"/>
  <c r="R55" i="5" s="1"/>
  <c r="AC55" i="5"/>
  <c r="B93" i="24"/>
  <c r="I93" i="24" s="1"/>
  <c r="H93" i="24"/>
  <c r="B47" i="7"/>
  <c r="I47" i="7" s="1"/>
  <c r="H47" i="7"/>
  <c r="D48" i="19"/>
  <c r="D95" i="24"/>
  <c r="L45" i="11"/>
  <c r="N45" i="11" s="1"/>
  <c r="AI53" i="5"/>
  <c r="AM53" i="5" s="1"/>
  <c r="D48" i="25"/>
  <c r="K45" i="11"/>
  <c r="M45" i="11" s="1"/>
  <c r="D48" i="7"/>
  <c r="D95" i="23"/>
  <c r="D94" i="23" s="1"/>
  <c r="B94" i="23" s="1"/>
  <c r="AA52" i="5"/>
  <c r="BF52" i="5"/>
  <c r="U55" i="5" l="1"/>
  <c r="AU53" i="5"/>
  <c r="AN53" i="5"/>
  <c r="AV53" i="5" s="1"/>
  <c r="X54" i="5"/>
  <c r="T54" i="5"/>
  <c r="Y54" i="5" s="1"/>
  <c r="C99" i="23"/>
  <c r="C98" i="23" s="1"/>
  <c r="C50" i="19"/>
  <c r="C50" i="25"/>
  <c r="C99" i="24"/>
  <c r="C50" i="7"/>
  <c r="J103" i="24"/>
  <c r="K103" i="24" s="1"/>
  <c r="K104" i="24" s="1"/>
  <c r="F57" i="5"/>
  <c r="H57" i="5" s="1"/>
  <c r="J52" i="7"/>
  <c r="K52" i="7" s="1"/>
  <c r="J52" i="19"/>
  <c r="K52" i="19" s="1"/>
  <c r="E57" i="5"/>
  <c r="J103" i="23"/>
  <c r="K103" i="23" s="1"/>
  <c r="K104" i="23" s="1"/>
  <c r="J52" i="25"/>
  <c r="K52" i="25" s="1"/>
  <c r="A57" i="5"/>
  <c r="H95" i="23"/>
  <c r="B95" i="23"/>
  <c r="I95" i="23" s="1"/>
  <c r="D49" i="25"/>
  <c r="D49" i="19"/>
  <c r="L46" i="11"/>
  <c r="N46" i="11" s="1"/>
  <c r="K46" i="11"/>
  <c r="M46" i="11" s="1"/>
  <c r="D97" i="23"/>
  <c r="D49" i="7"/>
  <c r="D97" i="24"/>
  <c r="B48" i="7"/>
  <c r="I48" i="7" s="1"/>
  <c r="H48" i="7"/>
  <c r="B95" i="24"/>
  <c r="I95" i="24" s="1"/>
  <c r="H95" i="24"/>
  <c r="BF53" i="5"/>
  <c r="AA53" i="5"/>
  <c r="B48" i="25"/>
  <c r="I48" i="25" s="1"/>
  <c r="H48" i="25"/>
  <c r="H48" i="19"/>
  <c r="B48" i="19"/>
  <c r="I48" i="19" s="1"/>
  <c r="D94" i="24"/>
  <c r="B94" i="24" s="1"/>
  <c r="AD55" i="5"/>
  <c r="S55" i="5"/>
  <c r="C98" i="24"/>
  <c r="AC56" i="5"/>
  <c r="P56" i="5"/>
  <c r="Q56" i="5" s="1"/>
  <c r="R56" i="5" s="1"/>
  <c r="C96" i="24"/>
  <c r="B97" i="24" l="1"/>
  <c r="I97" i="24" s="1"/>
  <c r="H97" i="24"/>
  <c r="D96" i="24"/>
  <c r="B96" i="24" s="1"/>
  <c r="P57" i="5"/>
  <c r="Q57" i="5" s="1"/>
  <c r="R57" i="5" s="1"/>
  <c r="AC57" i="5"/>
  <c r="C101" i="24"/>
  <c r="C100" i="24" s="1"/>
  <c r="C51" i="25"/>
  <c r="C51" i="19"/>
  <c r="C101" i="23"/>
  <c r="C51" i="7"/>
  <c r="S56" i="5"/>
  <c r="AD56" i="5"/>
  <c r="H49" i="7"/>
  <c r="B49" i="7"/>
  <c r="I49" i="7" s="1"/>
  <c r="B49" i="19"/>
  <c r="I49" i="19" s="1"/>
  <c r="H49" i="19"/>
  <c r="T55" i="5"/>
  <c r="Y55" i="5" s="1"/>
  <c r="X55" i="5"/>
  <c r="H97" i="23"/>
  <c r="B97" i="23"/>
  <c r="I97" i="23" s="1"/>
  <c r="H49" i="25"/>
  <c r="B49" i="25"/>
  <c r="I49" i="25" s="1"/>
  <c r="F58" i="5"/>
  <c r="H58" i="5" s="1"/>
  <c r="J105" i="24"/>
  <c r="K105" i="24" s="1"/>
  <c r="K106" i="24" s="1"/>
  <c r="J53" i="25"/>
  <c r="K53" i="25" s="1"/>
  <c r="A58" i="5"/>
  <c r="J105" i="23"/>
  <c r="K105" i="23" s="1"/>
  <c r="K106" i="23" s="1"/>
  <c r="J53" i="7"/>
  <c r="K53" i="7" s="1"/>
  <c r="J53" i="19"/>
  <c r="K53" i="19" s="1"/>
  <c r="E58" i="5"/>
  <c r="U56" i="5"/>
  <c r="D50" i="19"/>
  <c r="D50" i="25"/>
  <c r="D99" i="24"/>
  <c r="K47" i="11"/>
  <c r="M47" i="11" s="1"/>
  <c r="D50" i="7"/>
  <c r="L47" i="11"/>
  <c r="N47" i="11" s="1"/>
  <c r="D99" i="23"/>
  <c r="D96" i="23"/>
  <c r="B96" i="23" s="1"/>
  <c r="U57" i="5" l="1"/>
  <c r="B99" i="24"/>
  <c r="I99" i="24" s="1"/>
  <c r="H99" i="24"/>
  <c r="AC58" i="5"/>
  <c r="P58" i="5"/>
  <c r="Q58" i="5" s="1"/>
  <c r="R58" i="5" s="1"/>
  <c r="U58" i="5"/>
  <c r="C103" i="23"/>
  <c r="C102" i="23" s="1"/>
  <c r="C52" i="19"/>
  <c r="C103" i="24"/>
  <c r="C102" i="24" s="1"/>
  <c r="C52" i="25"/>
  <c r="C52" i="7"/>
  <c r="X56" i="5"/>
  <c r="T56" i="5"/>
  <c r="Y56" i="5" s="1"/>
  <c r="AD57" i="5"/>
  <c r="S57" i="5"/>
  <c r="C49" i="11"/>
  <c r="C47" i="11"/>
  <c r="C51" i="11"/>
  <c r="C48" i="11"/>
  <c r="C50" i="11"/>
  <c r="B99" i="23"/>
  <c r="I99" i="23" s="1"/>
  <c r="H99" i="23"/>
  <c r="D98" i="23"/>
  <c r="B98" i="23" s="1"/>
  <c r="D51" i="19"/>
  <c r="D101" i="23"/>
  <c r="D51" i="7"/>
  <c r="L48" i="11"/>
  <c r="N48" i="11" s="1"/>
  <c r="D51" i="25"/>
  <c r="D101" i="24"/>
  <c r="K48" i="11"/>
  <c r="M48" i="11" s="1"/>
  <c r="D98" i="24"/>
  <c r="B98" i="24" s="1"/>
  <c r="D47" i="11"/>
  <c r="D48" i="11"/>
  <c r="D50" i="11"/>
  <c r="D51" i="11"/>
  <c r="D49" i="11"/>
  <c r="B50" i="25"/>
  <c r="I50" i="25" s="1"/>
  <c r="H50" i="25"/>
  <c r="J107" i="24"/>
  <c r="K107" i="24" s="1"/>
  <c r="K108" i="24" s="1"/>
  <c r="E59" i="5"/>
  <c r="J54" i="7"/>
  <c r="K54" i="7" s="1"/>
  <c r="J107" i="23"/>
  <c r="K107" i="23" s="1"/>
  <c r="K108" i="23" s="1"/>
  <c r="A59" i="5"/>
  <c r="F59" i="5"/>
  <c r="H59" i="5" s="1"/>
  <c r="J54" i="19"/>
  <c r="K54" i="19" s="1"/>
  <c r="J54" i="25"/>
  <c r="K54" i="25" s="1"/>
  <c r="C100" i="23"/>
  <c r="H50" i="7"/>
  <c r="B50" i="7"/>
  <c r="I50" i="7" s="1"/>
  <c r="H50" i="19"/>
  <c r="B50" i="19"/>
  <c r="I50" i="19" s="1"/>
  <c r="B101" i="23" l="1"/>
  <c r="I101" i="23" s="1"/>
  <c r="H101" i="23"/>
  <c r="B51" i="25"/>
  <c r="I51" i="25" s="1"/>
  <c r="H51" i="25"/>
  <c r="J55" i="25"/>
  <c r="K55" i="25" s="1"/>
  <c r="A60" i="5"/>
  <c r="J109" i="24"/>
  <c r="K109" i="24" s="1"/>
  <c r="K110" i="24" s="1"/>
  <c r="J109" i="23"/>
  <c r="K109" i="23" s="1"/>
  <c r="K110" i="23" s="1"/>
  <c r="J55" i="19"/>
  <c r="K55" i="19" s="1"/>
  <c r="F60" i="5"/>
  <c r="H60" i="5" s="1"/>
  <c r="J55" i="7"/>
  <c r="K55" i="7" s="1"/>
  <c r="E60" i="5"/>
  <c r="H51" i="7"/>
  <c r="B51" i="7"/>
  <c r="I51" i="7" s="1"/>
  <c r="T57" i="5"/>
  <c r="Y57" i="5" s="1"/>
  <c r="X57" i="5"/>
  <c r="P59" i="5"/>
  <c r="Q59" i="5" s="1"/>
  <c r="R59" i="5" s="1"/>
  <c r="AC59" i="5"/>
  <c r="H101" i="24"/>
  <c r="B101" i="24"/>
  <c r="I101" i="24" s="1"/>
  <c r="D100" i="23"/>
  <c r="B100" i="23" s="1"/>
  <c r="D52" i="25"/>
  <c r="D52" i="19"/>
  <c r="D52" i="7"/>
  <c r="D103" i="24"/>
  <c r="D102" i="24" s="1"/>
  <c r="B102" i="24" s="1"/>
  <c r="D103" i="23"/>
  <c r="D102" i="23" s="1"/>
  <c r="B102" i="23" s="1"/>
  <c r="L49" i="11"/>
  <c r="N49" i="11" s="1"/>
  <c r="K49" i="11"/>
  <c r="M49" i="11" s="1"/>
  <c r="H51" i="19"/>
  <c r="B51" i="19"/>
  <c r="I51" i="19" s="1"/>
  <c r="S58" i="5"/>
  <c r="AD58" i="5"/>
  <c r="D100" i="24"/>
  <c r="B100" i="24" s="1"/>
  <c r="C105" i="24"/>
  <c r="C104" i="24" s="1"/>
  <c r="C105" i="23"/>
  <c r="C104" i="23" s="1"/>
  <c r="C53" i="19"/>
  <c r="C53" i="7"/>
  <c r="C53" i="25"/>
  <c r="B52" i="25" l="1"/>
  <c r="I52" i="25" s="1"/>
  <c r="H52" i="25"/>
  <c r="C107" i="24"/>
  <c r="C54" i="25"/>
  <c r="C54" i="19"/>
  <c r="C107" i="23"/>
  <c r="C54" i="7"/>
  <c r="D53" i="7"/>
  <c r="D105" i="23"/>
  <c r="D104" i="23" s="1"/>
  <c r="B104" i="23" s="1"/>
  <c r="D53" i="19"/>
  <c r="L50" i="11"/>
  <c r="N50" i="11" s="1"/>
  <c r="K50" i="11"/>
  <c r="M50" i="11" s="1"/>
  <c r="D53" i="25"/>
  <c r="D105" i="24"/>
  <c r="D104" i="24" s="1"/>
  <c r="B104" i="24" s="1"/>
  <c r="H52" i="7"/>
  <c r="B52" i="7"/>
  <c r="I52" i="7" s="1"/>
  <c r="S59" i="5"/>
  <c r="AD59" i="5"/>
  <c r="C106" i="24"/>
  <c r="H103" i="23"/>
  <c r="B103" i="23"/>
  <c r="I103" i="23" s="1"/>
  <c r="H103" i="24"/>
  <c r="B103" i="24"/>
  <c r="I103" i="24" s="1"/>
  <c r="J111" i="23"/>
  <c r="K111" i="23" s="1"/>
  <c r="K112" i="23" s="1"/>
  <c r="A61" i="5"/>
  <c r="J56" i="25"/>
  <c r="K56" i="25" s="1"/>
  <c r="J56" i="7"/>
  <c r="K56" i="7" s="1"/>
  <c r="F61" i="5"/>
  <c r="H61" i="5" s="1"/>
  <c r="E61" i="5"/>
  <c r="J111" i="24"/>
  <c r="K111" i="24" s="1"/>
  <c r="K112" i="24" s="1"/>
  <c r="J56" i="19"/>
  <c r="K56" i="19" s="1"/>
  <c r="C106" i="23"/>
  <c r="T58" i="5"/>
  <c r="Y58" i="5" s="1"/>
  <c r="X58" i="5"/>
  <c r="H52" i="19"/>
  <c r="B52" i="19"/>
  <c r="I52" i="19" s="1"/>
  <c r="U59" i="5"/>
  <c r="P60" i="5"/>
  <c r="Q60" i="5" s="1"/>
  <c r="R60" i="5" s="1"/>
  <c r="AC60" i="5"/>
  <c r="U60" i="5" l="1"/>
  <c r="H53" i="7"/>
  <c r="B53" i="7"/>
  <c r="I53" i="7" s="1"/>
  <c r="P61" i="5"/>
  <c r="Q61" i="5" s="1"/>
  <c r="R61" i="5" s="1"/>
  <c r="AC61" i="5"/>
  <c r="C109" i="24"/>
  <c r="C108" i="24" s="1"/>
  <c r="C55" i="19"/>
  <c r="C55" i="25"/>
  <c r="C55" i="7"/>
  <c r="C109" i="23"/>
  <c r="C108" i="23" s="1"/>
  <c r="F62" i="5"/>
  <c r="H62" i="5" s="1"/>
  <c r="A63" i="5"/>
  <c r="J57" i="19"/>
  <c r="K57" i="19" s="1"/>
  <c r="J113" i="24"/>
  <c r="K113" i="24" s="1"/>
  <c r="K114" i="24" s="1"/>
  <c r="K115" i="24" s="1"/>
  <c r="K116" i="24" s="1"/>
  <c r="K117" i="24" s="1"/>
  <c r="K118" i="24" s="1"/>
  <c r="K119" i="24" s="1"/>
  <c r="J113" i="23"/>
  <c r="K113" i="23" s="1"/>
  <c r="K114" i="23" s="1"/>
  <c r="K115" i="23" s="1"/>
  <c r="K116" i="23" s="1"/>
  <c r="K117" i="23" s="1"/>
  <c r="K118" i="23" s="1"/>
  <c r="K119" i="23" s="1"/>
  <c r="A62" i="5"/>
  <c r="J57" i="25"/>
  <c r="K57" i="25" s="1"/>
  <c r="J57" i="7"/>
  <c r="K57" i="7" s="1"/>
  <c r="E62" i="5"/>
  <c r="D107" i="23"/>
  <c r="D54" i="7"/>
  <c r="D54" i="25"/>
  <c r="D107" i="24"/>
  <c r="D54" i="19"/>
  <c r="L51" i="11"/>
  <c r="N51" i="11" s="1"/>
  <c r="K51" i="11"/>
  <c r="M51" i="11" s="1"/>
  <c r="D106" i="24"/>
  <c r="B106" i="24" s="1"/>
  <c r="B105" i="24"/>
  <c r="I105" i="24" s="1"/>
  <c r="H105" i="24"/>
  <c r="B53" i="19"/>
  <c r="I53" i="19" s="1"/>
  <c r="H53" i="19"/>
  <c r="S60" i="5"/>
  <c r="AD60" i="5"/>
  <c r="X59" i="5"/>
  <c r="T59" i="5"/>
  <c r="Y59" i="5" s="1"/>
  <c r="B53" i="25"/>
  <c r="I53" i="25" s="1"/>
  <c r="H53" i="25"/>
  <c r="H105" i="23"/>
  <c r="B105" i="23"/>
  <c r="I105" i="23" s="1"/>
  <c r="B54" i="19" l="1"/>
  <c r="I54" i="19" s="1"/>
  <c r="H54" i="19"/>
  <c r="B107" i="23"/>
  <c r="I107" i="23" s="1"/>
  <c r="H107" i="23"/>
  <c r="C111" i="23"/>
  <c r="C110" i="23" s="1"/>
  <c r="C56" i="19"/>
  <c r="C56" i="25"/>
  <c r="C111" i="24"/>
  <c r="C110" i="24" s="1"/>
  <c r="C56" i="7"/>
  <c r="D109" i="23"/>
  <c r="L52" i="11"/>
  <c r="N52" i="11" s="1"/>
  <c r="D52" i="11" s="1"/>
  <c r="D55" i="19"/>
  <c r="D55" i="25"/>
  <c r="D55" i="7"/>
  <c r="K52" i="11"/>
  <c r="M52" i="11" s="1"/>
  <c r="C52" i="11" s="1"/>
  <c r="D109" i="24"/>
  <c r="D108" i="24" s="1"/>
  <c r="B108" i="24" s="1"/>
  <c r="H107" i="24"/>
  <c r="B107" i="24"/>
  <c r="I107" i="24" s="1"/>
  <c r="AC62" i="5"/>
  <c r="P62" i="5"/>
  <c r="Q62" i="5" s="1"/>
  <c r="R62" i="5" s="1"/>
  <c r="AD61" i="5"/>
  <c r="S61" i="5"/>
  <c r="D106" i="23"/>
  <c r="B106" i="23" s="1"/>
  <c r="T60" i="5"/>
  <c r="Y60" i="5" s="1"/>
  <c r="X60" i="5"/>
  <c r="B54" i="25"/>
  <c r="I54" i="25" s="1"/>
  <c r="H54" i="25"/>
  <c r="B54" i="7"/>
  <c r="I54" i="7" s="1"/>
  <c r="H54" i="7"/>
  <c r="U61" i="5"/>
  <c r="AD62" i="5" l="1"/>
  <c r="S62" i="5"/>
  <c r="B109" i="23"/>
  <c r="I109" i="23" s="1"/>
  <c r="H109" i="23"/>
  <c r="U62" i="5"/>
  <c r="U76" i="5" s="1"/>
  <c r="B55" i="25"/>
  <c r="I55" i="25" s="1"/>
  <c r="H55" i="25"/>
  <c r="T61" i="5"/>
  <c r="Y61" i="5" s="1"/>
  <c r="X61" i="5"/>
  <c r="B55" i="7"/>
  <c r="I55" i="7" s="1"/>
  <c r="H55" i="7"/>
  <c r="D108" i="23"/>
  <c r="B108" i="23" s="1"/>
  <c r="D111" i="23"/>
  <c r="D56" i="7"/>
  <c r="D111" i="24"/>
  <c r="D56" i="19"/>
  <c r="D56" i="25"/>
  <c r="C57" i="19"/>
  <c r="C113" i="23"/>
  <c r="C114" i="23" s="1"/>
  <c r="C115" i="23" s="1"/>
  <c r="C116" i="23" s="1"/>
  <c r="C117" i="23" s="1"/>
  <c r="C118" i="23" s="1"/>
  <c r="C119" i="23" s="1"/>
  <c r="C57" i="7"/>
  <c r="C113" i="24"/>
  <c r="C114" i="24" s="1"/>
  <c r="C115" i="24" s="1"/>
  <c r="C116" i="24" s="1"/>
  <c r="C117" i="24" s="1"/>
  <c r="C118" i="24" s="1"/>
  <c r="C119" i="24" s="1"/>
  <c r="C57" i="25"/>
  <c r="B109" i="24"/>
  <c r="I109" i="24" s="1"/>
  <c r="H109" i="24"/>
  <c r="D110" i="24"/>
  <c r="B110" i="24" s="1"/>
  <c r="B55" i="19"/>
  <c r="I55" i="19" s="1"/>
  <c r="H55" i="19"/>
  <c r="H56" i="7" l="1"/>
  <c r="B56" i="7"/>
  <c r="I56" i="7" s="1"/>
  <c r="H56" i="25"/>
  <c r="B56" i="25"/>
  <c r="I56" i="25" s="1"/>
  <c r="B111" i="23"/>
  <c r="I111" i="23" s="1"/>
  <c r="H111" i="23"/>
  <c r="D110" i="23"/>
  <c r="B110" i="23" s="1"/>
  <c r="C112" i="24"/>
  <c r="B56" i="19"/>
  <c r="I56" i="19" s="1"/>
  <c r="H56" i="19"/>
  <c r="X62" i="5"/>
  <c r="T62" i="5"/>
  <c r="Y62" i="5" s="1"/>
  <c r="H111" i="24"/>
  <c r="B111" i="24"/>
  <c r="I111" i="24" s="1"/>
  <c r="C112" i="23"/>
  <c r="D57" i="19"/>
  <c r="D57" i="25"/>
  <c r="D57" i="7"/>
  <c r="D113" i="24"/>
  <c r="D112" i="24" s="1"/>
  <c r="D113" i="23"/>
  <c r="B112" i="24" l="1"/>
  <c r="B57" i="25"/>
  <c r="I57" i="25" s="1"/>
  <c r="H57" i="25"/>
  <c r="D114" i="23"/>
  <c r="D115" i="23" s="1"/>
  <c r="D116" i="23" s="1"/>
  <c r="D117" i="23" s="1"/>
  <c r="D118" i="23" s="1"/>
  <c r="D119" i="23" s="1"/>
  <c r="H113" i="23"/>
  <c r="B113" i="23"/>
  <c r="B57" i="19"/>
  <c r="I57" i="19" s="1"/>
  <c r="H57" i="19"/>
  <c r="D114" i="24"/>
  <c r="D115" i="24" s="1"/>
  <c r="D116" i="24" s="1"/>
  <c r="D117" i="24" s="1"/>
  <c r="D118" i="24" s="1"/>
  <c r="D119" i="24" s="1"/>
  <c r="B113" i="24"/>
  <c r="H113" i="24"/>
  <c r="D112" i="23"/>
  <c r="B112" i="23" s="1"/>
  <c r="H57" i="7"/>
  <c r="B57" i="7"/>
  <c r="I57" i="7" s="1"/>
  <c r="I113" i="24" l="1"/>
  <c r="B114" i="24"/>
  <c r="B115" i="24" s="1"/>
  <c r="B116" i="24" s="1"/>
  <c r="B117" i="24" s="1"/>
  <c r="B118" i="24" s="1"/>
  <c r="B119" i="24" s="1"/>
  <c r="B114" i="23"/>
  <c r="B115" i="23" s="1"/>
  <c r="B116" i="23" s="1"/>
  <c r="B117" i="23" s="1"/>
  <c r="B118" i="23" s="1"/>
  <c r="B119" i="23" s="1"/>
  <c r="I113"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jpierce</author>
    <author>mkoleber</author>
  </authors>
  <commentList>
    <comment ref="H5" authorId="0" shapeId="0" xr:uid="{00000000-0006-0000-0100-000001000000}">
      <text>
        <r>
          <rPr>
            <b/>
            <sz val="12"/>
            <color indexed="81"/>
            <rFont val="Tahoma"/>
            <family val="2"/>
          </rPr>
          <t>Includes conservation</t>
        </r>
        <r>
          <rPr>
            <sz val="8"/>
            <color indexed="81"/>
            <rFont val="Tahoma"/>
            <family val="2"/>
          </rPr>
          <t xml:space="preserve">
</t>
        </r>
      </text>
    </comment>
    <comment ref="AK15" authorId="1" shapeId="0" xr:uid="{00000000-0006-0000-0100-000002000000}">
      <text>
        <r>
          <rPr>
            <b/>
            <sz val="8"/>
            <color indexed="81"/>
            <rFont val="Tahoma"/>
            <family val="2"/>
          </rPr>
          <t>mkoleber:</t>
        </r>
        <r>
          <rPr>
            <sz val="8"/>
            <color indexed="81"/>
            <rFont val="Tahoma"/>
            <family val="2"/>
          </rPr>
          <t xml:space="preserve">
Additional Change Case
</t>
        </r>
      </text>
    </comment>
    <comment ref="AL15" authorId="1" shapeId="0" xr:uid="{00000000-0006-0000-0100-000003000000}">
      <text>
        <r>
          <rPr>
            <b/>
            <sz val="8"/>
            <color indexed="81"/>
            <rFont val="Tahoma"/>
            <family val="2"/>
          </rPr>
          <t>mkoleber:</t>
        </r>
        <r>
          <rPr>
            <sz val="8"/>
            <color indexed="81"/>
            <rFont val="Tahoma"/>
            <family val="2"/>
          </rPr>
          <t xml:space="preserve">
Additional  Change
</t>
        </r>
      </text>
    </comment>
    <comment ref="AK23" authorId="1" shapeId="0" xr:uid="{00000000-0006-0000-0100-000004000000}">
      <text>
        <r>
          <rPr>
            <b/>
            <sz val="8"/>
            <color indexed="81"/>
            <rFont val="Tahoma"/>
            <family val="2"/>
          </rPr>
          <t>mkoleber:</t>
        </r>
        <r>
          <rPr>
            <sz val="8"/>
            <color indexed="81"/>
            <rFont val="Tahoma"/>
            <family val="2"/>
          </rPr>
          <t xml:space="preserve">
Increased  Use of UCC with TNP Backup
</t>
        </r>
      </text>
    </comment>
  </commentList>
</comments>
</file>

<file path=xl/sharedStrings.xml><?xml version="1.0" encoding="utf-8"?>
<sst xmlns="http://schemas.openxmlformats.org/spreadsheetml/2006/main" count="478" uniqueCount="171">
  <si>
    <t>Thornton</t>
  </si>
  <si>
    <t>ESA</t>
  </si>
  <si>
    <t>Population</t>
  </si>
  <si>
    <t>Residential</t>
  </si>
  <si>
    <t>Commercial</t>
  </si>
  <si>
    <t>Irrigation</t>
  </si>
  <si>
    <t>Total</t>
  </si>
  <si>
    <t>Other</t>
  </si>
  <si>
    <t>Treated Water Demand</t>
  </si>
  <si>
    <t>Unmetered</t>
  </si>
  <si>
    <t>Raw Water</t>
  </si>
  <si>
    <t>Safety Factor</t>
  </si>
  <si>
    <t>TOTAL</t>
  </si>
  <si>
    <t>South</t>
  </si>
  <si>
    <t>Platte</t>
  </si>
  <si>
    <t>Upper</t>
  </si>
  <si>
    <t>Clear</t>
  </si>
  <si>
    <t>Creek</t>
  </si>
  <si>
    <t>Lower</t>
  </si>
  <si>
    <t>Cache la</t>
  </si>
  <si>
    <t>Poudre</t>
  </si>
  <si>
    <t>Treatment Plant Capacity</t>
  </si>
  <si>
    <t>Northern</t>
  </si>
  <si>
    <t>AF</t>
  </si>
  <si>
    <t>MGD</t>
  </si>
  <si>
    <t>Demand</t>
  </si>
  <si>
    <t>CFS</t>
  </si>
  <si>
    <t>Budget Information</t>
  </si>
  <si>
    <t>Capital</t>
  </si>
  <si>
    <t>Operations</t>
  </si>
  <si>
    <t>Rates</t>
  </si>
  <si>
    <t>Tap Fees</t>
  </si>
  <si>
    <t>Average</t>
  </si>
  <si>
    <t xml:space="preserve">Water </t>
  </si>
  <si>
    <t>Bill</t>
  </si>
  <si>
    <t>SFE</t>
  </si>
  <si>
    <t>Million $</t>
  </si>
  <si>
    <t>/1000 gal</t>
  </si>
  <si>
    <t xml:space="preserve">Day </t>
  </si>
  <si>
    <t>mgd</t>
  </si>
  <si>
    <t>Day</t>
  </si>
  <si>
    <t>Storage</t>
  </si>
  <si>
    <t>Hi-Yield</t>
  </si>
  <si>
    <t>Lo-Yield</t>
  </si>
  <si>
    <t>Adds</t>
  </si>
  <si>
    <t>Yield Adds</t>
  </si>
  <si>
    <t>From</t>
  </si>
  <si>
    <t>Firm Yield Water Sources</t>
  </si>
  <si>
    <t>Other Yield Additions</t>
  </si>
  <si>
    <t>Link to Budget Sheet</t>
  </si>
  <si>
    <t>O&amp;M Costs</t>
  </si>
  <si>
    <t>x 1e06</t>
  </si>
  <si>
    <t>Capital Project Costs</t>
  </si>
  <si>
    <t xml:space="preserve">Average </t>
  </si>
  <si>
    <t>gpd</t>
  </si>
  <si>
    <t xml:space="preserve">per </t>
  </si>
  <si>
    <t>person</t>
  </si>
  <si>
    <t>Avg:</t>
  </si>
  <si>
    <t>Diff</t>
  </si>
  <si>
    <t>Wes Brown</t>
  </si>
  <si>
    <t>Non-potable</t>
  </si>
  <si>
    <t>Reduction</t>
  </si>
  <si>
    <t xml:space="preserve">Adjusted </t>
  </si>
  <si>
    <t>Max</t>
  </si>
  <si>
    <t>MDD</t>
  </si>
  <si>
    <t>Conservation</t>
  </si>
  <si>
    <t>Water</t>
  </si>
  <si>
    <t>Delivery</t>
  </si>
  <si>
    <t>Adjusted</t>
  </si>
  <si>
    <t>Day Demand</t>
  </si>
  <si>
    <t>Max Day</t>
  </si>
  <si>
    <t>Totals</t>
  </si>
  <si>
    <t>Adjusted Totals</t>
  </si>
  <si>
    <t>Year</t>
  </si>
  <si>
    <t>Northern Option</t>
  </si>
  <si>
    <t>Westy</t>
  </si>
  <si>
    <t>Pop</t>
  </si>
  <si>
    <t xml:space="preserve">Growth </t>
  </si>
  <si>
    <t>%</t>
  </si>
  <si>
    <t>YEAR</t>
  </si>
  <si>
    <t>DEMAND</t>
  </si>
  <si>
    <t xml:space="preserve">SAFETY </t>
  </si>
  <si>
    <t>FACTOR</t>
  </si>
  <si>
    <t>W/ SF</t>
  </si>
  <si>
    <t>W/O SF</t>
  </si>
  <si>
    <t>SUPPLY</t>
  </si>
  <si>
    <t>ADDITIONS</t>
  </si>
  <si>
    <t>Rogers</t>
  </si>
  <si>
    <t>SURPLUS/</t>
  </si>
  <si>
    <t xml:space="preserve">DEFICIT </t>
  </si>
  <si>
    <t>Cooley East</t>
  </si>
  <si>
    <t>105 gpcd</t>
  </si>
  <si>
    <t xml:space="preserve">THORNTON </t>
  </si>
  <si>
    <t>POPULATION</t>
  </si>
  <si>
    <t>Zadel</t>
  </si>
  <si>
    <t>Exchange Storage</t>
  </si>
  <si>
    <t>Ditch Exchange II</t>
  </si>
  <si>
    <t>Buildout</t>
  </si>
  <si>
    <t>Water Supply Project</t>
  </si>
  <si>
    <t>Thornton Population Firm Yield can support (w/o safety factor)</t>
  </si>
  <si>
    <t xml:space="preserve"> </t>
  </si>
  <si>
    <t>Ditch Exchange I</t>
  </si>
  <si>
    <t>Ditch Exchange III</t>
  </si>
  <si>
    <t>Ditch Exchange IV</t>
  </si>
  <si>
    <t>Hammer</t>
  </si>
  <si>
    <t xml:space="preserve">WSP </t>
  </si>
  <si>
    <t>Firm Yield Addition (af)</t>
  </si>
  <si>
    <t>Firm Yield (af)</t>
  </si>
  <si>
    <t>Thornton Population Firm Yield can support (w safety factor)</t>
  </si>
  <si>
    <t>METHOD</t>
  </si>
  <si>
    <t>af/person - w/o safety factor</t>
  </si>
  <si>
    <t>af/person - w safety factor</t>
  </si>
  <si>
    <t xml:space="preserve">Rounded for </t>
  </si>
  <si>
    <t>Graph</t>
  </si>
  <si>
    <t>FIRM YIELD</t>
  </si>
  <si>
    <t>SUPPY /</t>
  </si>
  <si>
    <t xml:space="preserve">SUPPLY </t>
  </si>
  <si>
    <t>PROJECT</t>
  </si>
  <si>
    <t>TWP</t>
  </si>
  <si>
    <t>Thornton     (1)</t>
  </si>
  <si>
    <t>Notes:</t>
  </si>
  <si>
    <t>ESA        (2)</t>
  </si>
  <si>
    <t>Thornton  (3)</t>
  </si>
  <si>
    <t>ESA    (3)</t>
  </si>
  <si>
    <t>Distribution Center, Hotels, and Outlets Annualized Usage Estimates</t>
  </si>
  <si>
    <t>Gallons per day</t>
  </si>
  <si>
    <t>Gallons per year</t>
  </si>
  <si>
    <t>Acre-feet per year</t>
  </si>
  <si>
    <t>Notes</t>
  </si>
  <si>
    <t>Distribution Center</t>
  </si>
  <si>
    <t>2600 Employees times 30 gallons per day times 365 days equals annualized estimate</t>
  </si>
  <si>
    <t>Outlets</t>
  </si>
  <si>
    <t>350,000 square feet times . 05 gallons per square foot times 365 days equals annualized estimate</t>
  </si>
  <si>
    <t>Hotels</t>
  </si>
  <si>
    <t>NA</t>
  </si>
  <si>
    <t>2016 usage for hotel sample via Utility Billing Records</t>
  </si>
  <si>
    <t>Total:</t>
  </si>
  <si>
    <t>Thornton Hotel Sample - Based on 2016 Utility Billing Records</t>
  </si>
  <si>
    <t>Mean (GAL)</t>
  </si>
  <si>
    <t>Stone Castle Corp</t>
  </si>
  <si>
    <t xml:space="preserve">Banner Hospitality </t>
  </si>
  <si>
    <t xml:space="preserve">Little Colorado </t>
  </si>
  <si>
    <t xml:space="preserve">G6 Hospitality </t>
  </si>
  <si>
    <t xml:space="preserve">Holiday Inn Express </t>
  </si>
  <si>
    <t>Average:</t>
  </si>
  <si>
    <t>Reuse</t>
  </si>
  <si>
    <t>Cooley East Exchange</t>
  </si>
  <si>
    <t>Zadel Exchange</t>
  </si>
  <si>
    <t>Assumptions:</t>
  </si>
  <si>
    <t>150,000 population in 2020</t>
  </si>
  <si>
    <t>Cooley East accelerated and direct adds 2500 af of yield in 2020</t>
  </si>
  <si>
    <t>Zadel by exchange adds 1000 af of yield in 2031</t>
  </si>
  <si>
    <t>Used to build "June 2017 Chart by Year+CE"</t>
  </si>
  <si>
    <t>Last edit date 6/30/2017 by EPH</t>
  </si>
  <si>
    <t>Cooley East by exhange adds 1000 af of yield in 2030</t>
  </si>
  <si>
    <t>Used to build "No TWP Chart by Pop"</t>
  </si>
  <si>
    <t xml:space="preserve">Cooley East by exhange adds 1000 af of yield in 2030 </t>
  </si>
  <si>
    <t>Used to build "Chart by Year"</t>
  </si>
  <si>
    <t>Used to build "Chart by Pop"</t>
  </si>
  <si>
    <t>Updates to workbook</t>
  </si>
  <si>
    <t>1. Obtain fourth quarter COT Population and Housing Report</t>
  </si>
  <si>
    <t>2. Updates are made on the "Data" worksheet</t>
  </si>
  <si>
    <t>3. Enter fourth quarter population into cell corresponding to prior year</t>
  </si>
  <si>
    <t>1. Thornton future population is the result of the Build-out population minus the current year population divided by the number of years to build-out plus prior year population. Recent growth projections from City Development indicate that COT population could reach 150k by 2020. Hard coded in data. Column then is allocated proportionally by expected population in 2065.</t>
  </si>
  <si>
    <t>2. Extended Service Area population is assumed to be constant due to being at build-out.</t>
  </si>
  <si>
    <t>3. Per capita residential use is assumed to 105 gpd. This number comes from distribution.</t>
  </si>
  <si>
    <t>Thornton     (4)</t>
  </si>
  <si>
    <t>Thornton   (4)</t>
  </si>
  <si>
    <r>
      <rPr>
        <b/>
        <sz val="8"/>
        <rFont val="Arial"/>
        <family val="2"/>
      </rPr>
      <t>Note:</t>
    </r>
    <r>
      <rPr>
        <sz val="10"/>
        <rFont val="Arial"/>
        <family val="2"/>
      </rPr>
      <t xml:space="preserve">  Commercial and Irrigation amounts do not increase after 2055 and in anticipation of build out (Emily Hunt).</t>
    </r>
  </si>
  <si>
    <t>4.  2017 Commercial and Irrigation data from 2017 Tier Consumption Report from Heather Waters (02/27/2018)</t>
  </si>
  <si>
    <t>4. Re-create the formula to distribute expected population growth. 2065 population is constant. The formula distributes the difference between 2065 and the last year, divided by the number of years between them, and adds that total to the current year to get the increase for a particular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</si>
</sst>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00"/>
    <numFmt numFmtId="165" formatCode="#,##0.0"/>
    <numFmt numFmtId="166" formatCode="0.0"/>
    <numFmt numFmtId="167" formatCode="0.0%"/>
    <numFmt numFmtId="168" formatCode="#,##0;[Red]#,##0"/>
    <numFmt numFmtId="169" formatCode="#,##0.0000"/>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2"/>
      <name val="Arial Black"/>
      <family val="2"/>
    </font>
    <font>
      <b/>
      <sz val="10"/>
      <name val="Arial"/>
      <family val="2"/>
    </font>
    <font>
      <sz val="10"/>
      <name val="Arial"/>
      <family val="2"/>
    </font>
    <font>
      <sz val="8"/>
      <color indexed="81"/>
      <name val="Tahoma"/>
      <family val="2"/>
    </font>
    <font>
      <b/>
      <sz val="8"/>
      <color indexed="81"/>
      <name val="Tahoma"/>
      <family val="2"/>
    </font>
    <font>
      <b/>
      <sz val="12"/>
      <color indexed="81"/>
      <name val="Tahoma"/>
      <family val="2"/>
    </font>
    <font>
      <sz val="10"/>
      <name val="Calibri"/>
      <family val="2"/>
      <scheme val="minor"/>
    </font>
    <font>
      <sz val="10"/>
      <color rgb="FFFF0000"/>
      <name val="Calibri"/>
      <family val="2"/>
      <scheme val="minor"/>
    </font>
    <font>
      <sz val="10"/>
      <color theme="0"/>
      <name val="Calibri"/>
      <family val="2"/>
      <scheme val="minor"/>
    </font>
    <font>
      <sz val="10"/>
      <name val="Arial"/>
      <family val="2"/>
    </font>
    <font>
      <sz val="10"/>
      <color theme="1"/>
      <name val="Calibri"/>
      <family val="2"/>
      <scheme val="minor"/>
    </font>
    <font>
      <b/>
      <sz val="10"/>
      <color theme="1"/>
      <name val="Calibri"/>
      <family val="2"/>
      <scheme val="minor"/>
    </font>
    <font>
      <sz val="10"/>
      <color theme="4" tint="0.79998168889431442"/>
      <name val="Calibri"/>
      <family val="2"/>
      <scheme val="minor"/>
    </font>
    <font>
      <b/>
      <sz val="10"/>
      <color theme="8" tint="0.59999389629810485"/>
      <name val="Calibri"/>
      <family val="2"/>
      <scheme val="minor"/>
    </font>
    <font>
      <sz val="10"/>
      <color theme="8" tint="0.59999389629810485"/>
      <name val="Calibri"/>
      <family val="2"/>
      <scheme val="minor"/>
    </font>
    <font>
      <b/>
      <sz val="28"/>
      <color theme="8" tint="0.59999389629810485"/>
      <name val="Calibri"/>
      <family val="2"/>
      <scheme val="minor"/>
    </font>
    <font>
      <sz val="10"/>
      <color theme="8" tint="0.79998168889431442"/>
      <name val="Calibri"/>
      <family val="2"/>
      <scheme val="minor"/>
    </font>
    <font>
      <b/>
      <sz val="11"/>
      <color theme="1"/>
      <name val="Calibri"/>
      <family val="2"/>
      <scheme val="minor"/>
    </font>
    <font>
      <b/>
      <sz val="14"/>
      <color theme="1"/>
      <name val="Calibri"/>
      <family val="2"/>
      <scheme val="minor"/>
    </font>
    <font>
      <b/>
      <sz val="11"/>
      <name val="Calibri"/>
      <family val="2"/>
      <scheme val="minor"/>
    </font>
    <font>
      <b/>
      <sz val="8"/>
      <name val="Arial"/>
      <family val="2"/>
    </font>
  </fonts>
  <fills count="1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4"/>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5"/>
      </patternFill>
    </fill>
    <fill>
      <patternFill patternType="solid">
        <fgColor theme="3" tint="0.79998168889431442"/>
        <bgColor indexed="64"/>
      </patternFill>
    </fill>
    <fill>
      <patternFill patternType="solid">
        <fgColor rgb="FF6699FF"/>
        <bgColor indexed="64"/>
      </patternFill>
    </fill>
    <fill>
      <patternFill patternType="solid">
        <fgColor theme="8" tint="-0.499984740745262"/>
        <bgColor indexed="64"/>
      </patternFill>
    </fill>
    <fill>
      <patternFill patternType="solid">
        <fgColor rgb="FFFFFF66"/>
        <bgColor indexed="64"/>
      </patternFill>
    </fill>
  </fills>
  <borders count="26">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auto="1"/>
      </top>
      <bottom style="double">
        <color auto="1"/>
      </bottom>
      <diagonal/>
    </border>
    <border>
      <left/>
      <right/>
      <top style="double">
        <color auto="1"/>
      </top>
      <bottom/>
      <diagonal/>
    </border>
  </borders>
  <cellStyleXfs count="7">
    <xf numFmtId="0" fontId="0"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0" fontId="2" fillId="11" borderId="0" applyNumberFormat="0" applyBorder="0" applyAlignment="0" applyProtection="0"/>
    <xf numFmtId="43" fontId="15" fillId="0" borderId="0" applyFont="0" applyFill="0" applyBorder="0" applyAlignment="0" applyProtection="0"/>
    <xf numFmtId="0" fontId="1" fillId="0" borderId="0"/>
  </cellStyleXfs>
  <cellXfs count="241">
    <xf numFmtId="0" fontId="0" fillId="0" borderId="0" xfId="0"/>
    <xf numFmtId="3" fontId="0" fillId="0" borderId="0" xfId="0" applyNumberFormat="1" applyAlignment="1">
      <alignment horizontal="center"/>
    </xf>
    <xf numFmtId="0" fontId="0" fillId="0" borderId="0" xfId="0" applyAlignment="1">
      <alignment horizontal="center"/>
    </xf>
    <xf numFmtId="0" fontId="6"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1" xfId="0" applyBorder="1"/>
    <xf numFmtId="0" fontId="0" fillId="0" borderId="0" xfId="0" applyBorder="1"/>
    <xf numFmtId="0" fontId="0" fillId="0" borderId="2" xfId="0" applyBorder="1"/>
    <xf numFmtId="0" fontId="0" fillId="0" borderId="0" xfId="0"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3" fontId="0" fillId="0" borderId="0" xfId="0" applyNumberFormat="1" applyFill="1" applyBorder="1" applyAlignment="1">
      <alignment horizontal="center"/>
    </xf>
    <xf numFmtId="1" fontId="0" fillId="0" borderId="2" xfId="0" applyNumberFormat="1" applyFill="1" applyBorder="1" applyAlignment="1">
      <alignment horizontal="center"/>
    </xf>
    <xf numFmtId="165" fontId="0" fillId="0" borderId="0" xfId="0" applyNumberFormat="1" applyFill="1" applyBorder="1" applyAlignment="1">
      <alignment horizontal="center"/>
    </xf>
    <xf numFmtId="0" fontId="0" fillId="2" borderId="0" xfId="0" applyFill="1" applyAlignment="1">
      <alignment horizontal="center"/>
    </xf>
    <xf numFmtId="3" fontId="0" fillId="2" borderId="0" xfId="0" applyNumberFormat="1" applyFill="1" applyAlignment="1">
      <alignment horizontal="center"/>
    </xf>
    <xf numFmtId="0" fontId="0" fillId="2" borderId="0" xfId="0" applyFill="1"/>
    <xf numFmtId="2" fontId="0" fillId="2" borderId="0" xfId="0" applyNumberFormat="1" applyFill="1" applyAlignment="1">
      <alignment horizontal="center"/>
    </xf>
    <xf numFmtId="164" fontId="0" fillId="2" borderId="0" xfId="0" applyNumberFormat="1" applyFill="1" applyAlignment="1">
      <alignment horizontal="center"/>
    </xf>
    <xf numFmtId="166" fontId="0" fillId="0" borderId="0" xfId="0" applyNumberFormat="1" applyAlignment="1">
      <alignment horizontal="center"/>
    </xf>
    <xf numFmtId="3" fontId="0" fillId="0" borderId="0" xfId="0" applyNumberFormat="1" applyAlignment="1">
      <alignment horizontal="left"/>
    </xf>
    <xf numFmtId="0" fontId="0" fillId="0" borderId="0" xfId="0" applyAlignment="1">
      <alignment horizontal="left"/>
    </xf>
    <xf numFmtId="3" fontId="0" fillId="0" borderId="1" xfId="0" applyNumberFormat="1" applyFill="1" applyBorder="1" applyAlignment="1">
      <alignment horizontal="center"/>
    </xf>
    <xf numFmtId="165" fontId="0" fillId="0" borderId="2" xfId="0" applyNumberFormat="1" applyFill="1" applyBorder="1" applyAlignment="1">
      <alignment horizontal="center"/>
    </xf>
    <xf numFmtId="165" fontId="0" fillId="0" borderId="0" xfId="0" applyNumberFormat="1" applyAlignment="1">
      <alignment horizontal="center"/>
    </xf>
    <xf numFmtId="3" fontId="0" fillId="0" borderId="2" xfId="0" applyNumberFormat="1" applyFill="1" applyBorder="1" applyAlignment="1">
      <alignment horizontal="center"/>
    </xf>
    <xf numFmtId="1" fontId="0" fillId="0" borderId="1" xfId="0" applyNumberFormat="1" applyFill="1" applyBorder="1" applyAlignment="1">
      <alignment horizontal="center"/>
    </xf>
    <xf numFmtId="166" fontId="0" fillId="0" borderId="2" xfId="0" applyNumberForma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1" xfId="0" applyFill="1" applyBorder="1" applyAlignment="1">
      <alignment horizontal="center"/>
    </xf>
    <xf numFmtId="0" fontId="0" fillId="0" borderId="0" xfId="0" applyFill="1" applyBorder="1"/>
    <xf numFmtId="0" fontId="0" fillId="0" borderId="8" xfId="0" applyFill="1" applyBorder="1" applyAlignment="1">
      <alignment horizontal="center"/>
    </xf>
    <xf numFmtId="0" fontId="0" fillId="0" borderId="5" xfId="0" applyBorder="1" applyAlignment="1">
      <alignment horizontal="center"/>
    </xf>
    <xf numFmtId="166" fontId="0" fillId="0" borderId="0" xfId="0" applyNumberFormat="1" applyBorder="1" applyAlignment="1">
      <alignment horizontal="center"/>
    </xf>
    <xf numFmtId="0" fontId="0" fillId="0" borderId="10" xfId="0" applyFill="1" applyBorder="1" applyAlignment="1">
      <alignment horizontal="center"/>
    </xf>
    <xf numFmtId="0" fontId="0" fillId="3" borderId="1" xfId="0" applyFill="1" applyBorder="1" applyAlignment="1">
      <alignment horizontal="center"/>
    </xf>
    <xf numFmtId="0" fontId="0" fillId="3" borderId="0" xfId="0" applyFill="1" applyAlignment="1">
      <alignment horizontal="center"/>
    </xf>
    <xf numFmtId="0" fontId="0" fillId="3" borderId="0" xfId="0" applyFill="1" applyBorder="1" applyAlignment="1">
      <alignment horizontal="center"/>
    </xf>
    <xf numFmtId="3" fontId="0" fillId="3" borderId="0" xfId="0" applyNumberFormat="1" applyFill="1" applyBorder="1" applyAlignment="1">
      <alignment horizontal="center"/>
    </xf>
    <xf numFmtId="0" fontId="0" fillId="3" borderId="0" xfId="0" applyFill="1" applyBorder="1"/>
    <xf numFmtId="3" fontId="0" fillId="3" borderId="1" xfId="0" applyNumberFormat="1" applyFill="1" applyBorder="1" applyAlignment="1">
      <alignment horizontal="center"/>
    </xf>
    <xf numFmtId="3" fontId="0" fillId="3" borderId="2" xfId="0" applyNumberFormat="1" applyFill="1" applyBorder="1" applyAlignment="1">
      <alignment horizontal="center"/>
    </xf>
    <xf numFmtId="165" fontId="0" fillId="3" borderId="0" xfId="0" applyNumberFormat="1" applyFill="1" applyBorder="1" applyAlignment="1">
      <alignment horizontal="center"/>
    </xf>
    <xf numFmtId="165" fontId="0" fillId="3" borderId="2" xfId="0" applyNumberFormat="1" applyFill="1" applyBorder="1" applyAlignment="1">
      <alignment horizontal="center"/>
    </xf>
    <xf numFmtId="166" fontId="0" fillId="3" borderId="0" xfId="0" applyNumberFormat="1" applyFill="1" applyBorder="1" applyAlignment="1">
      <alignment horizontal="center"/>
    </xf>
    <xf numFmtId="2" fontId="0" fillId="3" borderId="0" xfId="0" applyNumberFormat="1" applyFill="1" applyAlignment="1">
      <alignment horizontal="center"/>
    </xf>
    <xf numFmtId="3" fontId="0" fillId="3" borderId="0" xfId="0" applyNumberFormat="1" applyFill="1" applyAlignment="1">
      <alignment horizontal="center"/>
    </xf>
    <xf numFmtId="0" fontId="0" fillId="3" borderId="0" xfId="0" applyFill="1"/>
    <xf numFmtId="164" fontId="0" fillId="3" borderId="0" xfId="0" applyNumberFormat="1" applyFill="1" applyAlignment="1">
      <alignment horizontal="center"/>
    </xf>
    <xf numFmtId="166" fontId="0" fillId="3" borderId="0" xfId="0" applyNumberFormat="1" applyFill="1" applyAlignment="1">
      <alignment horizontal="center"/>
    </xf>
    <xf numFmtId="165" fontId="0" fillId="3" borderId="1" xfId="0" applyNumberFormat="1" applyFill="1" applyBorder="1" applyAlignment="1">
      <alignment horizontal="center"/>
    </xf>
    <xf numFmtId="165" fontId="0" fillId="0" borderId="1" xfId="0" applyNumberForma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3" borderId="13" xfId="0" applyFill="1" applyBorder="1" applyAlignment="1">
      <alignment horizontal="center"/>
    </xf>
    <xf numFmtId="3" fontId="0" fillId="3" borderId="3" xfId="0" applyNumberFormat="1" applyFill="1" applyBorder="1" applyAlignment="1">
      <alignment horizontal="center"/>
    </xf>
    <xf numFmtId="3" fontId="0" fillId="3" borderId="13" xfId="0" applyNumberFormat="1" applyFill="1" applyBorder="1" applyAlignment="1">
      <alignment horizontal="center"/>
    </xf>
    <xf numFmtId="3" fontId="0" fillId="3" borderId="7" xfId="0" applyNumberFormat="1" applyFill="1" applyBorder="1" applyAlignment="1">
      <alignment horizontal="center"/>
    </xf>
    <xf numFmtId="0" fontId="0" fillId="3" borderId="3" xfId="0" applyFill="1" applyBorder="1" applyAlignment="1">
      <alignment horizontal="center"/>
    </xf>
    <xf numFmtId="165" fontId="0" fillId="3" borderId="3" xfId="0" applyNumberFormat="1" applyFill="1" applyBorder="1" applyAlignment="1">
      <alignment horizontal="center"/>
    </xf>
    <xf numFmtId="0" fontId="0" fillId="0" borderId="2" xfId="0" applyFill="1" applyBorder="1" applyAlignment="1">
      <alignment horizontal="center"/>
    </xf>
    <xf numFmtId="3" fontId="0" fillId="5" borderId="1" xfId="0" applyNumberFormat="1" applyFill="1" applyBorder="1" applyAlignment="1">
      <alignment horizontal="center"/>
    </xf>
    <xf numFmtId="0" fontId="0" fillId="0" borderId="17" xfId="0" applyFill="1" applyBorder="1" applyAlignment="1">
      <alignment horizontal="center"/>
    </xf>
    <xf numFmtId="0" fontId="0" fillId="3" borderId="17" xfId="0" applyFill="1" applyBorder="1" applyAlignment="1">
      <alignment horizontal="center"/>
    </xf>
    <xf numFmtId="166" fontId="0" fillId="0" borderId="0" xfId="0" applyNumberFormat="1"/>
    <xf numFmtId="0" fontId="12" fillId="0" borderId="0" xfId="0" applyFont="1" applyAlignment="1">
      <alignment horizontal="left"/>
    </xf>
    <xf numFmtId="3" fontId="12" fillId="0" borderId="0" xfId="0" applyNumberFormat="1" applyFont="1" applyAlignment="1">
      <alignment horizontal="left"/>
    </xf>
    <xf numFmtId="0" fontId="12" fillId="0" borderId="0" xfId="0" applyFont="1"/>
    <xf numFmtId="168" fontId="12" fillId="0" borderId="0" xfId="0" applyNumberFormat="1" applyFont="1" applyAlignment="1">
      <alignment horizontal="left"/>
    </xf>
    <xf numFmtId="0" fontId="12" fillId="6" borderId="18" xfId="0" applyFont="1" applyFill="1" applyBorder="1" applyAlignment="1">
      <alignment horizontal="left"/>
    </xf>
    <xf numFmtId="3" fontId="12" fillId="6" borderId="18" xfId="0" applyNumberFormat="1" applyFont="1" applyFill="1" applyBorder="1" applyAlignment="1">
      <alignment horizontal="left"/>
    </xf>
    <xf numFmtId="0" fontId="12" fillId="6" borderId="18" xfId="0" applyFont="1" applyFill="1" applyBorder="1"/>
    <xf numFmtId="168" fontId="12" fillId="6" borderId="18" xfId="0" applyNumberFormat="1" applyFont="1" applyFill="1" applyBorder="1" applyAlignment="1">
      <alignment horizontal="left"/>
    </xf>
    <xf numFmtId="0" fontId="12" fillId="6" borderId="10" xfId="0" applyFont="1" applyFill="1" applyBorder="1" applyAlignment="1">
      <alignment horizontal="left"/>
    </xf>
    <xf numFmtId="3" fontId="12" fillId="6" borderId="10" xfId="0" applyNumberFormat="1" applyFont="1" applyFill="1" applyBorder="1" applyAlignment="1">
      <alignment horizontal="left"/>
    </xf>
    <xf numFmtId="0" fontId="12" fillId="6" borderId="10" xfId="0" applyFont="1" applyFill="1" applyBorder="1"/>
    <xf numFmtId="0" fontId="12" fillId="6" borderId="19" xfId="0" applyFont="1" applyFill="1" applyBorder="1" applyAlignment="1">
      <alignment horizontal="left"/>
    </xf>
    <xf numFmtId="3" fontId="12" fillId="6" borderId="19" xfId="0" applyNumberFormat="1" applyFont="1" applyFill="1" applyBorder="1" applyAlignment="1">
      <alignment horizontal="left"/>
    </xf>
    <xf numFmtId="168" fontId="12" fillId="6" borderId="19" xfId="0" applyNumberFormat="1" applyFont="1" applyFill="1" applyBorder="1" applyAlignment="1">
      <alignment horizontal="left"/>
    </xf>
    <xf numFmtId="168" fontId="13" fillId="6" borderId="10" xfId="0" applyNumberFormat="1" applyFont="1" applyFill="1" applyBorder="1" applyAlignment="1">
      <alignment horizontal="left"/>
    </xf>
    <xf numFmtId="0" fontId="12" fillId="7" borderId="20" xfId="0" applyFont="1" applyFill="1" applyBorder="1" applyAlignment="1">
      <alignment horizontal="left"/>
    </xf>
    <xf numFmtId="3" fontId="12" fillId="7" borderId="20" xfId="0" applyNumberFormat="1" applyFont="1" applyFill="1" applyBorder="1" applyAlignment="1">
      <alignment horizontal="left"/>
    </xf>
    <xf numFmtId="0" fontId="12" fillId="7" borderId="20" xfId="0" applyFont="1" applyFill="1" applyBorder="1"/>
    <xf numFmtId="168" fontId="12" fillId="7" borderId="20" xfId="0" applyNumberFormat="1" applyFont="1" applyFill="1" applyBorder="1" applyAlignment="1">
      <alignment horizontal="left"/>
    </xf>
    <xf numFmtId="0" fontId="12" fillId="0" borderId="20" xfId="0" applyFont="1" applyFill="1" applyBorder="1" applyAlignment="1">
      <alignment horizontal="left"/>
    </xf>
    <xf numFmtId="3" fontId="12" fillId="0" borderId="20" xfId="0" applyNumberFormat="1" applyFont="1" applyFill="1" applyBorder="1" applyAlignment="1">
      <alignment horizontal="left"/>
    </xf>
    <xf numFmtId="3" fontId="12" fillId="0" borderId="20" xfId="0" applyNumberFormat="1" applyFont="1" applyBorder="1" applyAlignment="1">
      <alignment horizontal="left"/>
    </xf>
    <xf numFmtId="0" fontId="12" fillId="0" borderId="20" xfId="0" applyFont="1" applyBorder="1"/>
    <xf numFmtId="168" fontId="12" fillId="0" borderId="20" xfId="0" applyNumberFormat="1" applyFont="1" applyBorder="1" applyAlignment="1">
      <alignment horizontal="left"/>
    </xf>
    <xf numFmtId="0" fontId="14" fillId="8" borderId="20" xfId="0" applyFont="1" applyFill="1" applyBorder="1" applyAlignment="1">
      <alignment horizontal="left"/>
    </xf>
    <xf numFmtId="3" fontId="14" fillId="8" borderId="20" xfId="0" applyNumberFormat="1" applyFont="1" applyFill="1" applyBorder="1" applyAlignment="1">
      <alignment horizontal="left"/>
    </xf>
    <xf numFmtId="0" fontId="14" fillId="8" borderId="20" xfId="0" applyFont="1" applyFill="1" applyBorder="1"/>
    <xf numFmtId="168" fontId="14" fillId="8" borderId="20" xfId="0" applyNumberFormat="1" applyFont="1" applyFill="1" applyBorder="1" applyAlignment="1">
      <alignment horizontal="left"/>
    </xf>
    <xf numFmtId="3" fontId="12" fillId="7" borderId="20" xfId="0" applyNumberFormat="1" applyFont="1" applyFill="1" applyBorder="1" applyAlignment="1" applyProtection="1">
      <alignment horizontal="left"/>
      <protection locked="0"/>
    </xf>
    <xf numFmtId="0" fontId="12" fillId="7" borderId="20" xfId="0" applyFont="1" applyFill="1" applyBorder="1" applyProtection="1">
      <protection locked="0"/>
    </xf>
    <xf numFmtId="0" fontId="3" fillId="0" borderId="0" xfId="2"/>
    <xf numFmtId="0" fontId="3" fillId="0" borderId="0" xfId="2" applyFont="1" applyAlignment="1">
      <alignment horizontal="center"/>
    </xf>
    <xf numFmtId="0" fontId="3" fillId="0" borderId="0" xfId="2" applyFont="1"/>
    <xf numFmtId="3" fontId="3" fillId="0" borderId="0" xfId="2" applyNumberFormat="1" applyFont="1" applyAlignment="1">
      <alignment horizontal="left"/>
    </xf>
    <xf numFmtId="3" fontId="3" fillId="0" borderId="0" xfId="2" applyNumberFormat="1" applyFont="1"/>
    <xf numFmtId="3" fontId="12" fillId="0" borderId="20" xfId="3" applyNumberFormat="1" applyFont="1" applyBorder="1" applyAlignment="1">
      <alignment horizontal="center"/>
    </xf>
    <xf numFmtId="3" fontId="12" fillId="9" borderId="20" xfId="0" applyNumberFormat="1" applyFont="1" applyFill="1" applyBorder="1" applyAlignment="1">
      <alignment horizontal="left"/>
    </xf>
    <xf numFmtId="0" fontId="12" fillId="10" borderId="20" xfId="0" applyFont="1" applyFill="1" applyBorder="1" applyAlignment="1">
      <alignment horizontal="left"/>
    </xf>
    <xf numFmtId="3" fontId="12" fillId="10" borderId="20" xfId="0" applyNumberFormat="1" applyFont="1" applyFill="1" applyBorder="1" applyAlignment="1">
      <alignment horizontal="left"/>
    </xf>
    <xf numFmtId="0" fontId="12" fillId="10" borderId="20" xfId="0" applyFont="1" applyFill="1" applyBorder="1" applyProtection="1">
      <protection locked="0"/>
    </xf>
    <xf numFmtId="0" fontId="0" fillId="0" borderId="0" xfId="0" applyFill="1"/>
    <xf numFmtId="0" fontId="0" fillId="0" borderId="8" xfId="0" applyFill="1" applyBorder="1"/>
    <xf numFmtId="0" fontId="0" fillId="0" borderId="10" xfId="0" applyFill="1" applyBorder="1"/>
    <xf numFmtId="0" fontId="7" fillId="0" borderId="12" xfId="0" applyFont="1" applyFill="1" applyBorder="1" applyAlignment="1">
      <alignment horizontal="center"/>
    </xf>
    <xf numFmtId="0" fontId="0" fillId="0" borderId="2" xfId="0" applyFill="1" applyBorder="1"/>
    <xf numFmtId="0" fontId="8" fillId="0" borderId="1" xfId="0" applyFont="1" applyFill="1" applyBorder="1" applyAlignment="1">
      <alignment horizontal="center"/>
    </xf>
    <xf numFmtId="0" fontId="8" fillId="0" borderId="0" xfId="0" applyFont="1" applyFill="1" applyBorder="1" applyAlignment="1">
      <alignment horizontal="center"/>
    </xf>
    <xf numFmtId="0" fontId="8" fillId="0" borderId="2" xfId="0" applyFont="1" applyFill="1" applyBorder="1" applyAlignment="1">
      <alignment horizontal="center"/>
    </xf>
    <xf numFmtId="0" fontId="7" fillId="0" borderId="0" xfId="0" applyFont="1" applyFill="1"/>
    <xf numFmtId="0" fontId="8" fillId="0" borderId="2" xfId="0" applyFont="1" applyFill="1" applyBorder="1"/>
    <xf numFmtId="0" fontId="7" fillId="0" borderId="2" xfId="0" applyFont="1" applyFill="1" applyBorder="1" applyAlignment="1">
      <alignment horizontal="center"/>
    </xf>
    <xf numFmtId="0" fontId="7" fillId="0" borderId="14" xfId="0" applyFont="1" applyFill="1" applyBorder="1" applyAlignment="1">
      <alignment horizontal="center"/>
    </xf>
    <xf numFmtId="0" fontId="0" fillId="0" borderId="1" xfId="0" applyFill="1" applyBorder="1"/>
    <xf numFmtId="0" fontId="0" fillId="0" borderId="15" xfId="0" applyFill="1" applyBorder="1" applyAlignment="1">
      <alignment horizontal="center"/>
    </xf>
    <xf numFmtId="0" fontId="0" fillId="0" borderId="7" xfId="0" applyFill="1" applyBorder="1"/>
    <xf numFmtId="0" fontId="0" fillId="0" borderId="9" xfId="0" applyFill="1" applyBorder="1" applyAlignment="1">
      <alignment horizontal="center"/>
    </xf>
    <xf numFmtId="0" fontId="0" fillId="0" borderId="5" xfId="0" applyFill="1" applyBorder="1"/>
    <xf numFmtId="0" fontId="0" fillId="0" borderId="4" xfId="0" applyFill="1" applyBorder="1"/>
    <xf numFmtId="0" fontId="0" fillId="0" borderId="6" xfId="0" applyFill="1" applyBorder="1"/>
    <xf numFmtId="166" fontId="0" fillId="0" borderId="0" xfId="0" applyNumberFormat="1" applyFill="1" applyBorder="1" applyAlignment="1">
      <alignment horizontal="center"/>
    </xf>
    <xf numFmtId="167" fontId="0" fillId="0" borderId="10" xfId="1" applyNumberFormat="1" applyFont="1" applyFill="1" applyBorder="1" applyAlignment="1">
      <alignment horizontal="center"/>
    </xf>
    <xf numFmtId="0" fontId="0" fillId="0" borderId="13" xfId="0" applyFill="1" applyBorder="1"/>
    <xf numFmtId="0" fontId="0" fillId="0" borderId="3" xfId="0" applyFill="1" applyBorder="1"/>
    <xf numFmtId="0" fontId="0" fillId="5" borderId="17" xfId="0" applyFill="1" applyBorder="1" applyAlignment="1">
      <alignment horizontal="center"/>
    </xf>
    <xf numFmtId="3" fontId="0" fillId="5" borderId="0" xfId="0" applyNumberFormat="1" applyFill="1" applyBorder="1" applyAlignment="1">
      <alignment horizontal="center"/>
    </xf>
    <xf numFmtId="3" fontId="0" fillId="5" borderId="2" xfId="0" applyNumberFormat="1" applyFill="1" applyBorder="1" applyAlignment="1">
      <alignment horizontal="center"/>
    </xf>
    <xf numFmtId="165" fontId="0" fillId="5" borderId="0" xfId="0" applyNumberFormat="1" applyFill="1" applyBorder="1" applyAlignment="1">
      <alignment horizontal="center"/>
    </xf>
    <xf numFmtId="165" fontId="0" fillId="5" borderId="2" xfId="0" applyNumberFormat="1" applyFill="1" applyBorder="1" applyAlignment="1">
      <alignment horizontal="center"/>
    </xf>
    <xf numFmtId="165" fontId="0" fillId="5" borderId="1" xfId="0" applyNumberFormat="1" applyFill="1" applyBorder="1" applyAlignment="1">
      <alignment horizontal="center"/>
    </xf>
    <xf numFmtId="0" fontId="0" fillId="5" borderId="1" xfId="0" applyFill="1" applyBorder="1" applyAlignment="1">
      <alignment horizontal="center"/>
    </xf>
    <xf numFmtId="0" fontId="0" fillId="5" borderId="0" xfId="0" applyFill="1" applyAlignment="1">
      <alignment horizontal="center"/>
    </xf>
    <xf numFmtId="3" fontId="0" fillId="5" borderId="13" xfId="0" applyNumberFormat="1" applyFill="1" applyBorder="1" applyAlignment="1">
      <alignment horizontal="center"/>
    </xf>
    <xf numFmtId="165" fontId="0" fillId="5" borderId="7" xfId="0" applyNumberFormat="1" applyFill="1" applyBorder="1" applyAlignment="1">
      <alignment horizontal="center"/>
    </xf>
    <xf numFmtId="165" fontId="0" fillId="5" borderId="3" xfId="0" applyNumberFormat="1" applyFill="1" applyBorder="1" applyAlignment="1">
      <alignment horizontal="center"/>
    </xf>
    <xf numFmtId="0" fontId="0" fillId="5" borderId="3" xfId="0" applyFill="1" applyBorder="1" applyAlignment="1">
      <alignment horizontal="center"/>
    </xf>
    <xf numFmtId="0" fontId="7" fillId="13" borderId="11" xfId="0" applyFont="1" applyFill="1" applyBorder="1" applyAlignment="1">
      <alignment horizontal="center"/>
    </xf>
    <xf numFmtId="0" fontId="7" fillId="13" borderId="16" xfId="0" applyFont="1" applyFill="1" applyBorder="1"/>
    <xf numFmtId="0" fontId="7" fillId="13" borderId="12" xfId="0" applyFont="1" applyFill="1" applyBorder="1"/>
    <xf numFmtId="3" fontId="12" fillId="12" borderId="20" xfId="0" applyNumberFormat="1" applyFont="1" applyFill="1" applyBorder="1" applyAlignment="1">
      <alignment horizontal="left"/>
    </xf>
    <xf numFmtId="0" fontId="12" fillId="0" borderId="20" xfId="0" applyFont="1" applyFill="1" applyBorder="1"/>
    <xf numFmtId="0" fontId="2" fillId="0" borderId="0" xfId="4" applyFill="1" applyBorder="1" applyAlignment="1">
      <alignment horizontal="left"/>
    </xf>
    <xf numFmtId="3" fontId="12" fillId="0" borderId="0" xfId="0" applyNumberFormat="1" applyFont="1" applyFill="1" applyBorder="1" applyAlignment="1">
      <alignment horizontal="left"/>
    </xf>
    <xf numFmtId="0" fontId="17" fillId="6" borderId="20" xfId="2" applyFont="1" applyFill="1" applyBorder="1" applyAlignment="1">
      <alignment horizontal="center" wrapText="1"/>
    </xf>
    <xf numFmtId="3" fontId="17" fillId="6" borderId="20" xfId="2" applyNumberFormat="1" applyFont="1" applyFill="1" applyBorder="1" applyAlignment="1">
      <alignment horizontal="left" wrapText="1"/>
    </xf>
    <xf numFmtId="0" fontId="17" fillId="6" borderId="20" xfId="2" applyFont="1" applyFill="1" applyBorder="1" applyAlignment="1">
      <alignment horizontal="left" wrapText="1"/>
    </xf>
    <xf numFmtId="0" fontId="17" fillId="0" borderId="0" xfId="2" applyFont="1" applyAlignment="1">
      <alignment horizontal="center" wrapText="1"/>
    </xf>
    <xf numFmtId="0" fontId="16" fillId="0" borderId="20" xfId="2" applyFont="1" applyBorder="1" applyAlignment="1">
      <alignment horizontal="center"/>
    </xf>
    <xf numFmtId="3" fontId="16" fillId="0" borderId="20" xfId="2" applyNumberFormat="1" applyFont="1" applyBorder="1" applyAlignment="1">
      <alignment horizontal="center"/>
    </xf>
    <xf numFmtId="0" fontId="16" fillId="0" borderId="20" xfId="2" applyFont="1" applyBorder="1" applyAlignment="1">
      <alignment horizontal="left"/>
    </xf>
    <xf numFmtId="0" fontId="16" fillId="0" borderId="0" xfId="2" applyFont="1"/>
    <xf numFmtId="0" fontId="16" fillId="7" borderId="20" xfId="2" applyFont="1" applyFill="1" applyBorder="1" applyAlignment="1">
      <alignment horizontal="center"/>
    </xf>
    <xf numFmtId="3" fontId="16" fillId="7" borderId="20" xfId="2" applyNumberFormat="1" applyFont="1" applyFill="1" applyBorder="1" applyAlignment="1">
      <alignment horizontal="center"/>
    </xf>
    <xf numFmtId="0" fontId="16" fillId="7" borderId="20" xfId="2" applyFont="1" applyFill="1" applyBorder="1"/>
    <xf numFmtId="3" fontId="16" fillId="7" borderId="20" xfId="2" applyNumberFormat="1" applyFont="1" applyFill="1" applyBorder="1" applyAlignment="1">
      <alignment horizontal="left"/>
    </xf>
    <xf numFmtId="0" fontId="16" fillId="0" borderId="20" xfId="2" applyFont="1" applyBorder="1"/>
    <xf numFmtId="169" fontId="12" fillId="0" borderId="0" xfId="0" applyNumberFormat="1" applyFont="1" applyAlignment="1">
      <alignment horizontal="left"/>
    </xf>
    <xf numFmtId="169" fontId="3" fillId="0" borderId="0" xfId="2" applyNumberFormat="1"/>
    <xf numFmtId="0" fontId="3" fillId="0" borderId="0" xfId="2" applyAlignment="1">
      <alignment horizontal="center"/>
    </xf>
    <xf numFmtId="0" fontId="18" fillId="0" borderId="0" xfId="2" applyFont="1" applyFill="1"/>
    <xf numFmtId="0" fontId="16" fillId="0" borderId="0" xfId="2" applyFont="1" applyFill="1"/>
    <xf numFmtId="0" fontId="3" fillId="0" borderId="0" xfId="2" applyFill="1"/>
    <xf numFmtId="3" fontId="16" fillId="0" borderId="0" xfId="2" applyNumberFormat="1" applyFont="1" applyFill="1" applyBorder="1" applyAlignment="1">
      <alignment horizontal="center"/>
    </xf>
    <xf numFmtId="3" fontId="17" fillId="0" borderId="21" xfId="2" applyNumberFormat="1" applyFont="1" applyFill="1" applyBorder="1" applyAlignment="1">
      <alignment horizontal="left" wrapText="1"/>
    </xf>
    <xf numFmtId="3" fontId="17" fillId="0" borderId="0" xfId="2" applyNumberFormat="1" applyFont="1" applyFill="1" applyBorder="1" applyAlignment="1">
      <alignment horizontal="left" wrapText="1"/>
    </xf>
    <xf numFmtId="3" fontId="12" fillId="0" borderId="21" xfId="3" applyNumberFormat="1" applyFont="1" applyFill="1" applyBorder="1" applyAlignment="1">
      <alignment horizontal="center"/>
    </xf>
    <xf numFmtId="3" fontId="12" fillId="0" borderId="0" xfId="3" applyNumberFormat="1" applyFont="1" applyFill="1" applyBorder="1" applyAlignment="1">
      <alignment horizontal="center"/>
    </xf>
    <xf numFmtId="3" fontId="16" fillId="0" borderId="21" xfId="2" applyNumberFormat="1" applyFont="1" applyFill="1" applyBorder="1" applyAlignment="1">
      <alignment horizontal="left"/>
    </xf>
    <xf numFmtId="3" fontId="16" fillId="0" borderId="0" xfId="2" applyNumberFormat="1" applyFont="1" applyFill="1" applyBorder="1" applyAlignment="1">
      <alignment horizontal="left"/>
    </xf>
    <xf numFmtId="3" fontId="12" fillId="0" borderId="21" xfId="0" applyNumberFormat="1" applyFont="1" applyFill="1" applyBorder="1" applyAlignment="1">
      <alignment horizontal="left"/>
    </xf>
    <xf numFmtId="3" fontId="12" fillId="0" borderId="21" xfId="0" applyNumberFormat="1" applyFont="1" applyFill="1" applyBorder="1" applyAlignment="1" applyProtection="1">
      <alignment horizontal="left"/>
      <protection locked="0"/>
    </xf>
    <xf numFmtId="3" fontId="12" fillId="0" borderId="0" xfId="0" applyNumberFormat="1" applyFont="1" applyFill="1" applyBorder="1" applyAlignment="1" applyProtection="1">
      <alignment horizontal="left"/>
      <protection locked="0"/>
    </xf>
    <xf numFmtId="3" fontId="16" fillId="0" borderId="21" xfId="2" applyNumberFormat="1" applyFont="1" applyFill="1" applyBorder="1" applyAlignment="1">
      <alignment horizontal="center"/>
    </xf>
    <xf numFmtId="3" fontId="19" fillId="14" borderId="20" xfId="2" applyNumberFormat="1" applyFont="1" applyFill="1" applyBorder="1" applyAlignment="1">
      <alignment horizontal="left" wrapText="1"/>
    </xf>
    <xf numFmtId="169" fontId="19" fillId="14" borderId="20" xfId="2" applyNumberFormat="1" applyFont="1" applyFill="1" applyBorder="1" applyAlignment="1">
      <alignment horizontal="left" wrapText="1"/>
    </xf>
    <xf numFmtId="3" fontId="19" fillId="14" borderId="20" xfId="2" applyNumberFormat="1" applyFont="1" applyFill="1" applyBorder="1" applyAlignment="1">
      <alignment horizontal="center" wrapText="1"/>
    </xf>
    <xf numFmtId="3" fontId="20" fillId="14" borderId="20" xfId="2" applyNumberFormat="1" applyFont="1" applyFill="1" applyBorder="1"/>
    <xf numFmtId="169" fontId="20" fillId="14" borderId="20" xfId="2" applyNumberFormat="1" applyFont="1" applyFill="1" applyBorder="1"/>
    <xf numFmtId="3" fontId="20" fillId="14" borderId="20" xfId="5" applyNumberFormat="1" applyFont="1" applyFill="1" applyBorder="1" applyAlignment="1">
      <alignment horizontal="center"/>
    </xf>
    <xf numFmtId="0" fontId="22" fillId="14" borderId="18" xfId="0" applyFont="1" applyFill="1" applyBorder="1" applyAlignment="1">
      <alignment horizontal="left"/>
    </xf>
    <xf numFmtId="0" fontId="22" fillId="14" borderId="10" xfId="0" applyFont="1" applyFill="1" applyBorder="1" applyAlignment="1">
      <alignment horizontal="left"/>
    </xf>
    <xf numFmtId="0" fontId="22" fillId="14" borderId="19" xfId="0" applyFont="1" applyFill="1" applyBorder="1" applyAlignment="1">
      <alignment horizontal="left"/>
    </xf>
    <xf numFmtId="0" fontId="22" fillId="14" borderId="20" xfId="0" applyFont="1" applyFill="1" applyBorder="1" applyAlignment="1">
      <alignment horizontal="left"/>
    </xf>
    <xf numFmtId="3" fontId="22" fillId="14" borderId="20" xfId="4" applyNumberFormat="1" applyFont="1" applyFill="1" applyBorder="1" applyAlignment="1">
      <alignment horizontal="left"/>
    </xf>
    <xf numFmtId="0" fontId="4" fillId="0" borderId="0" xfId="0" applyFont="1" applyBorder="1" applyAlignment="1">
      <alignment horizontal="center"/>
    </xf>
    <xf numFmtId="0" fontId="0" fillId="0" borderId="0" xfId="0" applyFill="1" applyAlignment="1">
      <alignment horizontal="center"/>
    </xf>
    <xf numFmtId="0" fontId="0" fillId="0" borderId="0" xfId="0" applyBorder="1" applyAlignment="1">
      <alignment horizontal="center" wrapText="1"/>
    </xf>
    <xf numFmtId="3" fontId="0" fillId="0" borderId="0" xfId="0" applyNumberFormat="1" applyFill="1" applyAlignment="1">
      <alignment horizontal="center"/>
    </xf>
    <xf numFmtId="3" fontId="0" fillId="5" borderId="3" xfId="0" applyNumberFormat="1" applyFill="1" applyBorder="1" applyAlignment="1">
      <alignment horizontal="center"/>
    </xf>
    <xf numFmtId="0" fontId="0" fillId="0" borderId="22" xfId="0" applyFill="1" applyBorder="1"/>
    <xf numFmtId="167" fontId="0" fillId="0" borderId="23" xfId="1" applyNumberFormat="1" applyFont="1" applyFill="1" applyBorder="1" applyAlignment="1">
      <alignment horizontal="center"/>
    </xf>
    <xf numFmtId="0" fontId="4" fillId="0" borderId="0" xfId="0" applyFont="1"/>
    <xf numFmtId="0" fontId="4" fillId="0" borderId="0" xfId="0" applyFont="1" applyBorder="1" applyAlignment="1">
      <alignment horizontal="center" wrapText="1"/>
    </xf>
    <xf numFmtId="0" fontId="0" fillId="0" borderId="1" xfId="0" applyBorder="1" applyAlignment="1">
      <alignment horizontal="center" wrapText="1"/>
    </xf>
    <xf numFmtId="0" fontId="4" fillId="0" borderId="0" xfId="0" applyFont="1" applyFill="1"/>
    <xf numFmtId="0" fontId="24" fillId="0" borderId="0" xfId="6" applyFont="1"/>
    <xf numFmtId="0" fontId="1" fillId="0" borderId="0" xfId="6"/>
    <xf numFmtId="14" fontId="23" fillId="0" borderId="0" xfId="6" applyNumberFormat="1" applyFont="1" applyAlignment="1">
      <alignment horizontal="left"/>
    </xf>
    <xf numFmtId="0" fontId="23" fillId="0" borderId="0" xfId="6" applyFont="1" applyAlignment="1">
      <alignment horizontal="center" wrapText="1"/>
    </xf>
    <xf numFmtId="0" fontId="23" fillId="0" borderId="0" xfId="6" applyFont="1" applyAlignment="1">
      <alignment horizontal="left" wrapText="1"/>
    </xf>
    <xf numFmtId="0" fontId="23" fillId="0" borderId="0" xfId="6" applyFont="1"/>
    <xf numFmtId="3" fontId="1" fillId="0" borderId="0" xfId="6" applyNumberFormat="1"/>
    <xf numFmtId="3" fontId="1" fillId="0" borderId="0" xfId="6" applyNumberFormat="1" applyAlignment="1">
      <alignment horizontal="right"/>
    </xf>
    <xf numFmtId="3" fontId="1" fillId="0" borderId="24" xfId="6" applyNumberFormat="1" applyBorder="1"/>
    <xf numFmtId="3" fontId="1" fillId="0" borderId="25" xfId="6" applyNumberFormat="1" applyBorder="1"/>
    <xf numFmtId="3" fontId="23" fillId="0" borderId="0" xfId="6" applyNumberFormat="1" applyFont="1" applyAlignment="1">
      <alignment horizontal="center" wrapText="1"/>
    </xf>
    <xf numFmtId="0" fontId="25" fillId="0" borderId="0" xfId="6" applyFont="1"/>
    <xf numFmtId="0" fontId="25" fillId="0" borderId="0" xfId="6" applyFont="1" applyAlignment="1">
      <alignment horizontal="right"/>
    </xf>
    <xf numFmtId="0" fontId="23" fillId="0" borderId="0" xfId="6" applyFont="1" applyAlignment="1">
      <alignment horizontal="right"/>
    </xf>
    <xf numFmtId="168" fontId="12" fillId="0" borderId="20" xfId="0" applyNumberFormat="1" applyFont="1" applyFill="1" applyBorder="1" applyAlignment="1">
      <alignment horizontal="left"/>
    </xf>
    <xf numFmtId="3" fontId="12" fillId="0" borderId="20" xfId="0" applyNumberFormat="1" applyFont="1" applyFill="1" applyBorder="1" applyAlignment="1" applyProtection="1">
      <alignment horizontal="left"/>
      <protection locked="0"/>
    </xf>
    <xf numFmtId="0" fontId="12" fillId="0" borderId="20" xfId="0" applyFont="1" applyFill="1" applyBorder="1" applyProtection="1">
      <protection locked="0"/>
    </xf>
    <xf numFmtId="3" fontId="0" fillId="0" borderId="0" xfId="0" applyNumberFormat="1" applyFill="1"/>
    <xf numFmtId="0" fontId="7" fillId="0" borderId="11" xfId="0" applyFont="1" applyFill="1" applyBorder="1" applyAlignment="1">
      <alignment horizontal="center"/>
    </xf>
    <xf numFmtId="0" fontId="7" fillId="0" borderId="16" xfId="0" applyFont="1" applyFill="1" applyBorder="1" applyAlignment="1">
      <alignment horizontal="center"/>
    </xf>
    <xf numFmtId="0" fontId="7" fillId="0" borderId="12" xfId="0" applyFont="1" applyFill="1" applyBorder="1" applyAlignment="1">
      <alignment horizontal="center"/>
    </xf>
    <xf numFmtId="0" fontId="0" fillId="13" borderId="0" xfId="0" applyFill="1" applyAlignment="1">
      <alignment horizontal="center"/>
    </xf>
    <xf numFmtId="0" fontId="7" fillId="13" borderId="11" xfId="0" applyFont="1" applyFill="1" applyBorder="1" applyAlignment="1">
      <alignment horizontal="center"/>
    </xf>
    <xf numFmtId="0" fontId="7" fillId="13" borderId="12" xfId="0" applyFont="1" applyFill="1" applyBorder="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0" xfId="0" applyFill="1" applyAlignment="1">
      <alignment horizontal="center"/>
    </xf>
    <xf numFmtId="0" fontId="4" fillId="0" borderId="0" xfId="0" applyFont="1" applyFill="1" applyAlignment="1">
      <alignment wrapText="1"/>
    </xf>
    <xf numFmtId="0" fontId="7" fillId="13" borderId="16"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1" fillId="14" borderId="18" xfId="2" applyFont="1" applyFill="1" applyBorder="1" applyAlignment="1">
      <alignment horizontal="center" vertical="center" textRotation="90"/>
    </xf>
    <xf numFmtId="0" fontId="21" fillId="14" borderId="10" xfId="2" applyFont="1" applyFill="1" applyBorder="1" applyAlignment="1">
      <alignment horizontal="center" vertical="center" textRotation="90"/>
    </xf>
    <xf numFmtId="0" fontId="21" fillId="14" borderId="19" xfId="2" applyFont="1" applyFill="1" applyBorder="1" applyAlignment="1">
      <alignment horizontal="center" vertical="center" textRotation="90"/>
    </xf>
    <xf numFmtId="3" fontId="0" fillId="15" borderId="0" xfId="0" applyNumberFormat="1" applyFill="1" applyBorder="1" applyAlignment="1">
      <alignment horizontal="center"/>
    </xf>
  </cellXfs>
  <cellStyles count="7">
    <cellStyle name="20% - Accent1" xfId="4" builtinId="30"/>
    <cellStyle name="Comma" xfId="5" builtinId="3"/>
    <cellStyle name="Comma 2" xfId="3" xr:uid="{00000000-0005-0000-0000-000002000000}"/>
    <cellStyle name="Normal" xfId="0" builtinId="0"/>
    <cellStyle name="Normal 2" xfId="2" xr:uid="{00000000-0005-0000-0000-000004000000}"/>
    <cellStyle name="Normal 3" xfId="6" xr:uid="{00000000-0005-0000-0000-000005000000}"/>
    <cellStyle name="Percent" xfId="1" builtinId="5"/>
  </cellStyles>
  <dxfs count="0"/>
  <tableStyles count="0" defaultTableStyle="TableStyleMedium9" defaultPivotStyle="PivotStyleLight16"/>
  <colors>
    <mruColors>
      <color rgb="FFFFFF66"/>
      <color rgb="FFFFFF99"/>
      <color rgb="FF943634"/>
      <color rgb="FFDFBC27"/>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hartsheet" Target="chartsheets/sheet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1.xml"/><Relationship Id="rId12" Type="http://schemas.openxmlformats.org/officeDocument/2006/relationships/worksheet" Target="worksheets/sheet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 No TWP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a:p>
        </c:rich>
      </c:tx>
      <c:overlay val="0"/>
    </c:title>
    <c:autoTitleDeleted val="0"/>
    <c:plotArea>
      <c:layout>
        <c:manualLayout>
          <c:layoutTarget val="inner"/>
          <c:xMode val="edge"/>
          <c:yMode val="edge"/>
          <c:x val="0.10661417322834646"/>
          <c:y val="0.16565112523453149"/>
          <c:w val="0.85752441868520102"/>
          <c:h val="0.72077037763325835"/>
        </c:manualLayout>
      </c:layout>
      <c:lineChart>
        <c:grouping val="standard"/>
        <c:varyColors val="0"/>
        <c:ser>
          <c:idx val="1"/>
          <c:order val="0"/>
          <c:tx>
            <c:v>Demand Without Safety Factor</c:v>
          </c:tx>
          <c:spPr>
            <a:ln w="44450"/>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Pop'!$B$11:$B$29</c:f>
              <c:numCache>
                <c:formatCode>#,##0</c:formatCode>
                <c:ptCount val="19"/>
                <c:pt idx="0">
                  <c:v>28493.89737785796</c:v>
                </c:pt>
                <c:pt idx="1">
                  <c:v>28516.966863191112</c:v>
                </c:pt>
                <c:pt idx="2">
                  <c:v>28540.036348524263</c:v>
                </c:pt>
                <c:pt idx="3">
                  <c:v>28563.105833857415</c:v>
                </c:pt>
                <c:pt idx="4">
                  <c:v>28586.175319190566</c:v>
                </c:pt>
                <c:pt idx="5">
                  <c:v>28717.32378383839</c:v>
                </c:pt>
                <c:pt idx="6">
                  <c:v>28848.472248486214</c:v>
                </c:pt>
                <c:pt idx="7">
                  <c:v>28979.620713134038</c:v>
                </c:pt>
                <c:pt idx="8">
                  <c:v>29110.769177781862</c:v>
                </c:pt>
                <c:pt idx="9">
                  <c:v>29248.140525416798</c:v>
                </c:pt>
                <c:pt idx="10">
                  <c:v>29385.511873051735</c:v>
                </c:pt>
                <c:pt idx="11">
                  <c:v>29522.883220686672</c:v>
                </c:pt>
                <c:pt idx="12">
                  <c:v>29660.254568321601</c:v>
                </c:pt>
                <c:pt idx="13">
                  <c:v>29778.928051582108</c:v>
                </c:pt>
                <c:pt idx="14">
                  <c:v>29897.601534842615</c:v>
                </c:pt>
                <c:pt idx="15">
                  <c:v>30016.275018103122</c:v>
                </c:pt>
                <c:pt idx="16">
                  <c:v>30134.948501363629</c:v>
                </c:pt>
                <c:pt idx="17">
                  <c:v>31110</c:v>
                </c:pt>
                <c:pt idx="18">
                  <c:v>31110</c:v>
                </c:pt>
              </c:numCache>
            </c:numRef>
          </c:val>
          <c:smooth val="0"/>
          <c:extLst>
            <c:ext xmlns:c16="http://schemas.microsoft.com/office/drawing/2014/chart" uri="{C3380CC4-5D6E-409C-BE32-E72D297353CC}">
              <c16:uniqueId val="{00000000-4851-4C5C-9780-6B61680C8F9D}"/>
            </c:ext>
          </c:extLst>
        </c:ser>
        <c:ser>
          <c:idx val="0"/>
          <c:order val="1"/>
          <c:tx>
            <c:v>Demand with Safety Factor</c:v>
          </c:tx>
          <c:spPr>
            <a:ln w="31750">
              <a:solidFill>
                <a:schemeClr val="accent2"/>
              </a:solidFill>
              <a:prstDash val="sysDot"/>
            </a:ln>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Pop'!$D$11:$D$29</c:f>
              <c:numCache>
                <c:formatCode>#,##0</c:formatCode>
                <c:ptCount val="19"/>
                <c:pt idx="0">
                  <c:v>30647.03602395592</c:v>
                </c:pt>
                <c:pt idx="1">
                  <c:v>30672.241572745843</c:v>
                </c:pt>
                <c:pt idx="2">
                  <c:v>30697.44712153577</c:v>
                </c:pt>
                <c:pt idx="3">
                  <c:v>30722.652670325697</c:v>
                </c:pt>
                <c:pt idx="4">
                  <c:v>30747.85821911562</c:v>
                </c:pt>
                <c:pt idx="5">
                  <c:v>30891.150060119722</c:v>
                </c:pt>
                <c:pt idx="6">
                  <c:v>31034.441901123824</c:v>
                </c:pt>
                <c:pt idx="7">
                  <c:v>31177.733742127926</c:v>
                </c:pt>
                <c:pt idx="8">
                  <c:v>31321.025583132032</c:v>
                </c:pt>
                <c:pt idx="9">
                  <c:v>31471.116499992422</c:v>
                </c:pt>
                <c:pt idx="10">
                  <c:v>31621.207416852812</c:v>
                </c:pt>
                <c:pt idx="11">
                  <c:v>31771.298333713203</c:v>
                </c:pt>
                <c:pt idx="12">
                  <c:v>31921.3892505736</c:v>
                </c:pt>
                <c:pt idx="13">
                  <c:v>32051.051019321192</c:v>
                </c:pt>
                <c:pt idx="14">
                  <c:v>32180.712788068784</c:v>
                </c:pt>
                <c:pt idx="15">
                  <c:v>32310.374556816376</c:v>
                </c:pt>
                <c:pt idx="16">
                  <c:v>32440.036325563968</c:v>
                </c:pt>
                <c:pt idx="17">
                  <c:v>33505</c:v>
                </c:pt>
                <c:pt idx="18">
                  <c:v>33505</c:v>
                </c:pt>
              </c:numCache>
            </c:numRef>
          </c:val>
          <c:smooth val="0"/>
          <c:extLst>
            <c:ext xmlns:c16="http://schemas.microsoft.com/office/drawing/2014/chart" uri="{C3380CC4-5D6E-409C-BE32-E72D297353CC}">
              <c16:uniqueId val="{00000001-4851-4C5C-9780-6B61680C8F9D}"/>
            </c:ext>
          </c:extLst>
        </c:ser>
        <c:ser>
          <c:idx val="2"/>
          <c:order val="2"/>
          <c:tx>
            <c:v>Supply</c:v>
          </c:tx>
          <c:spPr>
            <a:ln w="38100">
              <a:solidFill>
                <a:schemeClr val="tx2"/>
              </a:solidFill>
            </a:ln>
          </c:spPr>
          <c:marker>
            <c:symbol val="none"/>
          </c:marker>
          <c:cat>
            <c:numRef>
              <c:f>'No TWP Data by Pop'!$K$11:$K$29</c:f>
              <c:numCache>
                <c:formatCode>#,##0</c:formatCode>
                <c:ptCount val="19"/>
                <c:pt idx="0">
                  <c:v>134000</c:v>
                </c:pt>
                <c:pt idx="1">
                  <c:v>135000</c:v>
                </c:pt>
                <c:pt idx="2">
                  <c:v>136000</c:v>
                </c:pt>
                <c:pt idx="3">
                  <c:v>137000</c:v>
                </c:pt>
                <c:pt idx="4">
                  <c:v>137000</c:v>
                </c:pt>
                <c:pt idx="5">
                  <c:v>138000</c:v>
                </c:pt>
                <c:pt idx="6">
                  <c:v>139000</c:v>
                </c:pt>
                <c:pt idx="7">
                  <c:v>140000</c:v>
                </c:pt>
                <c:pt idx="8">
                  <c:v>140000</c:v>
                </c:pt>
                <c:pt idx="9">
                  <c:v>141000</c:v>
                </c:pt>
                <c:pt idx="10">
                  <c:v>142000</c:v>
                </c:pt>
                <c:pt idx="11">
                  <c:v>143000</c:v>
                </c:pt>
                <c:pt idx="12">
                  <c:v>143000</c:v>
                </c:pt>
                <c:pt idx="13">
                  <c:v>144000</c:v>
                </c:pt>
                <c:pt idx="14">
                  <c:v>145000</c:v>
                </c:pt>
                <c:pt idx="15">
                  <c:v>146000</c:v>
                </c:pt>
                <c:pt idx="16">
                  <c:v>146000</c:v>
                </c:pt>
                <c:pt idx="17">
                  <c:v>148000</c:v>
                </c:pt>
                <c:pt idx="18">
                  <c:v>149000</c:v>
                </c:pt>
              </c:numCache>
            </c:numRef>
          </c:cat>
          <c:val>
            <c:numRef>
              <c:f>'No TWP Data by Pop'!$E$11:$E$29</c:f>
              <c:numCache>
                <c:formatCode>#,##0</c:formatCode>
                <c:ptCount val="19"/>
                <c:pt idx="0">
                  <c:v>28700</c:v>
                </c:pt>
                <c:pt idx="1">
                  <c:v>28700</c:v>
                </c:pt>
                <c:pt idx="2">
                  <c:v>28700</c:v>
                </c:pt>
                <c:pt idx="3">
                  <c:v>28700</c:v>
                </c:pt>
                <c:pt idx="4">
                  <c:v>28700</c:v>
                </c:pt>
                <c:pt idx="5">
                  <c:v>28700</c:v>
                </c:pt>
                <c:pt idx="6">
                  <c:v>28700</c:v>
                </c:pt>
                <c:pt idx="7">
                  <c:v>28700</c:v>
                </c:pt>
                <c:pt idx="8">
                  <c:v>28700</c:v>
                </c:pt>
                <c:pt idx="9">
                  <c:v>28700</c:v>
                </c:pt>
                <c:pt idx="10">
                  <c:v>28700</c:v>
                </c:pt>
                <c:pt idx="11">
                  <c:v>28700</c:v>
                </c:pt>
                <c:pt idx="12">
                  <c:v>28700</c:v>
                </c:pt>
                <c:pt idx="13">
                  <c:v>30000</c:v>
                </c:pt>
                <c:pt idx="14">
                  <c:v>30000</c:v>
                </c:pt>
                <c:pt idx="15">
                  <c:v>31000</c:v>
                </c:pt>
                <c:pt idx="16">
                  <c:v>32000</c:v>
                </c:pt>
                <c:pt idx="17">
                  <c:v>32000</c:v>
                </c:pt>
                <c:pt idx="18">
                  <c:v>32000</c:v>
                </c:pt>
              </c:numCache>
            </c:numRef>
          </c:val>
          <c:smooth val="0"/>
          <c:extLst>
            <c:ext xmlns:c16="http://schemas.microsoft.com/office/drawing/2014/chart" uri="{C3380CC4-5D6E-409C-BE32-E72D297353CC}">
              <c16:uniqueId val="{00000002-4851-4C5C-9780-6B61680C8F9D}"/>
            </c:ext>
          </c:extLst>
        </c:ser>
        <c:dLbls>
          <c:showLegendKey val="0"/>
          <c:showVal val="0"/>
          <c:showCatName val="0"/>
          <c:showSerName val="0"/>
          <c:showPercent val="0"/>
          <c:showBubbleSize val="0"/>
        </c:dLbls>
        <c:smooth val="0"/>
        <c:axId val="1718717392"/>
        <c:axId val="1718719568"/>
      </c:lineChart>
      <c:catAx>
        <c:axId val="171871739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sz="1400"/>
                  <a:t>Thornton Population</a:t>
                </a:r>
              </a:p>
            </c:rich>
          </c:tx>
          <c:overlay val="0"/>
        </c:title>
        <c:numFmt formatCode="#,##0" sourceLinked="0"/>
        <c:majorTickMark val="cross"/>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1718719568"/>
        <c:crosses val="autoZero"/>
        <c:auto val="1"/>
        <c:lblAlgn val="ctr"/>
        <c:lblOffset val="100"/>
        <c:tickLblSkip val="4"/>
        <c:tickMarkSkip val="1"/>
        <c:noMultiLvlLbl val="0"/>
      </c:catAx>
      <c:valAx>
        <c:axId val="1718719568"/>
        <c:scaling>
          <c:orientation val="minMax"/>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7392"/>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a:p>
        </c:rich>
      </c:tx>
      <c:overlay val="0"/>
    </c:title>
    <c:autoTitleDeleted val="0"/>
    <c:plotArea>
      <c:layout>
        <c:manualLayout>
          <c:layoutTarget val="inner"/>
          <c:xMode val="edge"/>
          <c:yMode val="edge"/>
          <c:x val="0.10221534624887432"/>
          <c:y val="0.12527427248939035"/>
          <c:w val="0.85752441868520102"/>
          <c:h val="0.72077037763325835"/>
        </c:manualLayout>
      </c:layout>
      <c:lineChart>
        <c:grouping val="standard"/>
        <c:varyColors val="0"/>
        <c:ser>
          <c:idx val="1"/>
          <c:order val="0"/>
          <c:tx>
            <c:v>Demand Without Safety Factor</c:v>
          </c:tx>
          <c:spPr>
            <a:ln w="44450"/>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Pop'!$B$10:$B$120</c:f>
              <c:numCache>
                <c:formatCode>#,##0</c:formatCode>
                <c:ptCount val="111"/>
                <c:pt idx="0">
                  <c:v>28242.568048355959</c:v>
                </c:pt>
                <c:pt idx="1">
                  <c:v>28493.89737785796</c:v>
                </c:pt>
                <c:pt idx="2">
                  <c:v>28516.966863191112</c:v>
                </c:pt>
                <c:pt idx="3">
                  <c:v>28540.036348524263</c:v>
                </c:pt>
                <c:pt idx="4">
                  <c:v>28563.105833857415</c:v>
                </c:pt>
                <c:pt idx="5">
                  <c:v>28586.175319190566</c:v>
                </c:pt>
                <c:pt idx="6">
                  <c:v>28717.32378383839</c:v>
                </c:pt>
                <c:pt idx="7">
                  <c:v>28848.472248486214</c:v>
                </c:pt>
                <c:pt idx="8">
                  <c:v>28979.620713134038</c:v>
                </c:pt>
                <c:pt idx="9">
                  <c:v>29110.769177781862</c:v>
                </c:pt>
                <c:pt idx="10">
                  <c:v>29248.140525416798</c:v>
                </c:pt>
                <c:pt idx="11">
                  <c:v>29385.511873051735</c:v>
                </c:pt>
                <c:pt idx="12">
                  <c:v>29522.883220686672</c:v>
                </c:pt>
                <c:pt idx="13">
                  <c:v>29660.254568321601</c:v>
                </c:pt>
                <c:pt idx="14">
                  <c:v>29778.928051582108</c:v>
                </c:pt>
                <c:pt idx="15">
                  <c:v>29897.601534842615</c:v>
                </c:pt>
                <c:pt idx="16">
                  <c:v>30016.275018103122</c:v>
                </c:pt>
                <c:pt idx="17">
                  <c:v>30134.948501363629</c:v>
                </c:pt>
                <c:pt idx="18">
                  <c:v>30549.440504971233</c:v>
                </c:pt>
                <c:pt idx="19">
                  <c:v>30756.686506775033</c:v>
                </c:pt>
                <c:pt idx="20">
                  <c:v>30963.932508578837</c:v>
                </c:pt>
                <c:pt idx="21">
                  <c:v>31171.17851038263</c:v>
                </c:pt>
                <c:pt idx="22">
                  <c:v>31378.42451218643</c:v>
                </c:pt>
                <c:pt idx="23">
                  <c:v>31585.67051399023</c:v>
                </c:pt>
                <c:pt idx="24">
                  <c:v>31792.91651579403</c:v>
                </c:pt>
                <c:pt idx="25">
                  <c:v>32000.162517597833</c:v>
                </c:pt>
                <c:pt idx="26">
                  <c:v>32207.408519401626</c:v>
                </c:pt>
                <c:pt idx="27">
                  <c:v>32414.654521205419</c:v>
                </c:pt>
                <c:pt idx="28">
                  <c:v>32621.900523009223</c:v>
                </c:pt>
                <c:pt idx="29">
                  <c:v>32829.146524813019</c:v>
                </c:pt>
                <c:pt idx="30">
                  <c:v>33036.392526616823</c:v>
                </c:pt>
                <c:pt idx="31">
                  <c:v>33243.638528420626</c:v>
                </c:pt>
                <c:pt idx="32">
                  <c:v>33450.884530224415</c:v>
                </c:pt>
                <c:pt idx="33">
                  <c:v>33658.130532028212</c:v>
                </c:pt>
                <c:pt idx="34">
                  <c:v>33865.376533832015</c:v>
                </c:pt>
                <c:pt idx="35">
                  <c:v>34072.622535635812</c:v>
                </c:pt>
                <c:pt idx="36">
                  <c:v>34279.868537439608</c:v>
                </c:pt>
                <c:pt idx="37">
                  <c:v>34487.114539243412</c:v>
                </c:pt>
                <c:pt idx="38">
                  <c:v>34694.360541047208</c:v>
                </c:pt>
                <c:pt idx="39">
                  <c:v>34901.606542851005</c:v>
                </c:pt>
                <c:pt idx="40">
                  <c:v>35108.852544654801</c:v>
                </c:pt>
                <c:pt idx="41">
                  <c:v>35316.098546458605</c:v>
                </c:pt>
                <c:pt idx="42">
                  <c:v>35523.344548262408</c:v>
                </c:pt>
                <c:pt idx="43">
                  <c:v>35730.590550066205</c:v>
                </c:pt>
                <c:pt idx="44">
                  <c:v>35937.836551870001</c:v>
                </c:pt>
                <c:pt idx="45">
                  <c:v>36145.082553673798</c:v>
                </c:pt>
                <c:pt idx="46">
                  <c:v>36352.328555477594</c:v>
                </c:pt>
                <c:pt idx="47">
                  <c:v>36559.574557281398</c:v>
                </c:pt>
                <c:pt idx="48">
                  <c:v>36766.820559085194</c:v>
                </c:pt>
                <c:pt idx="49">
                  <c:v>36974.06656088899</c:v>
                </c:pt>
                <c:pt idx="50">
                  <c:v>37181.312562692794</c:v>
                </c:pt>
                <c:pt idx="51">
                  <c:v>37388.55856449659</c:v>
                </c:pt>
                <c:pt idx="52">
                  <c:v>37595.804566300387</c:v>
                </c:pt>
                <c:pt idx="53">
                  <c:v>37803.05056810419</c:v>
                </c:pt>
                <c:pt idx="54">
                  <c:v>38010.29656990798</c:v>
                </c:pt>
                <c:pt idx="55">
                  <c:v>38217.542571711776</c:v>
                </c:pt>
                <c:pt idx="56">
                  <c:v>38424.78857351558</c:v>
                </c:pt>
                <c:pt idx="57">
                  <c:v>38632.034575319376</c:v>
                </c:pt>
                <c:pt idx="58">
                  <c:v>38839.28057712318</c:v>
                </c:pt>
                <c:pt idx="59">
                  <c:v>39046.526578926983</c:v>
                </c:pt>
                <c:pt idx="60">
                  <c:v>39253.772580730772</c:v>
                </c:pt>
                <c:pt idx="61">
                  <c:v>39461.018582534576</c:v>
                </c:pt>
                <c:pt idx="62">
                  <c:v>39668.26458433838</c:v>
                </c:pt>
                <c:pt idx="63">
                  <c:v>40082.756587945973</c:v>
                </c:pt>
                <c:pt idx="64">
                  <c:v>40290.002589749769</c:v>
                </c:pt>
                <c:pt idx="65">
                  <c:v>40497.248591553565</c:v>
                </c:pt>
                <c:pt idx="66">
                  <c:v>40704.494593357362</c:v>
                </c:pt>
                <c:pt idx="67">
                  <c:v>40911.740595161158</c:v>
                </c:pt>
                <c:pt idx="68">
                  <c:v>41118.986596964962</c:v>
                </c:pt>
                <c:pt idx="69">
                  <c:v>41326.232598768765</c:v>
                </c:pt>
                <c:pt idx="70">
                  <c:v>41533.478600572562</c:v>
                </c:pt>
                <c:pt idx="71">
                  <c:v>41740.724602376358</c:v>
                </c:pt>
                <c:pt idx="72">
                  <c:v>41947.970604180155</c:v>
                </c:pt>
                <c:pt idx="73">
                  <c:v>42155.216605983951</c:v>
                </c:pt>
                <c:pt idx="74">
                  <c:v>42362.462607787755</c:v>
                </c:pt>
                <c:pt idx="75">
                  <c:v>42569.708609591558</c:v>
                </c:pt>
                <c:pt idx="76">
                  <c:v>42776.954611395355</c:v>
                </c:pt>
                <c:pt idx="77">
                  <c:v>42984.200613199151</c:v>
                </c:pt>
                <c:pt idx="78">
                  <c:v>43191.44661500294</c:v>
                </c:pt>
                <c:pt idx="79">
                  <c:v>43398.692616806744</c:v>
                </c:pt>
                <c:pt idx="80">
                  <c:v>43605.938618610548</c:v>
                </c:pt>
                <c:pt idx="81">
                  <c:v>43813.184620414344</c:v>
                </c:pt>
                <c:pt idx="82">
                  <c:v>44020.430622218148</c:v>
                </c:pt>
                <c:pt idx="83">
                  <c:v>44227.676624021944</c:v>
                </c:pt>
                <c:pt idx="84">
                  <c:v>44466.329194157188</c:v>
                </c:pt>
                <c:pt idx="85">
                  <c:v>44704.981764292446</c:v>
                </c:pt>
                <c:pt idx="86">
                  <c:v>44829.079749838078</c:v>
                </c:pt>
                <c:pt idx="87">
                  <c:v>44953.177735383702</c:v>
                </c:pt>
                <c:pt idx="88">
                  <c:v>45077.275720929327</c:v>
                </c:pt>
                <c:pt idx="89">
                  <c:v>45201.373706474958</c:v>
                </c:pt>
                <c:pt idx="90">
                  <c:v>45325.471692020583</c:v>
                </c:pt>
                <c:pt idx="91">
                  <c:v>45449.569677566215</c:v>
                </c:pt>
                <c:pt idx="92">
                  <c:v>45573.667663111839</c:v>
                </c:pt>
                <c:pt idx="93">
                  <c:v>45697.765648657471</c:v>
                </c:pt>
                <c:pt idx="94">
                  <c:v>45821.863634203102</c:v>
                </c:pt>
                <c:pt idx="95">
                  <c:v>45945.961619748734</c:v>
                </c:pt>
                <c:pt idx="96">
                  <c:v>46070.059605294358</c:v>
                </c:pt>
                <c:pt idx="97">
                  <c:v>46194.157590839983</c:v>
                </c:pt>
                <c:pt idx="98">
                  <c:v>46318.255576385614</c:v>
                </c:pt>
                <c:pt idx="99">
                  <c:v>46442.353561931239</c:v>
                </c:pt>
                <c:pt idx="100">
                  <c:v>46566.45154747687</c:v>
                </c:pt>
                <c:pt idx="101">
                  <c:v>46690.549533022502</c:v>
                </c:pt>
                <c:pt idx="102">
                  <c:v>46814.647518568127</c:v>
                </c:pt>
                <c:pt idx="103">
                  <c:v>46938.745504113758</c:v>
                </c:pt>
                <c:pt idx="104">
                  <c:v>46974.202071412517</c:v>
                </c:pt>
                <c:pt idx="105">
                  <c:v>47009.658638711277</c:v>
                </c:pt>
                <c:pt idx="106">
                  <c:v>47045.115206010036</c:v>
                </c:pt>
                <c:pt idx="107">
                  <c:v>47080.571773308795</c:v>
                </c:pt>
                <c:pt idx="108">
                  <c:v>47116.028340607554</c:v>
                </c:pt>
                <c:pt idx="109">
                  <c:v>47151.484907906313</c:v>
                </c:pt>
                <c:pt idx="110">
                  <c:v>47186.94147520508</c:v>
                </c:pt>
              </c:numCache>
            </c:numRef>
          </c:val>
          <c:smooth val="0"/>
          <c:extLst>
            <c:ext xmlns:c16="http://schemas.microsoft.com/office/drawing/2014/chart" uri="{C3380CC4-5D6E-409C-BE32-E72D297353CC}">
              <c16:uniqueId val="{00000000-991C-4C8B-A93C-1701A718832A}"/>
            </c:ext>
          </c:extLst>
        </c:ser>
        <c:ser>
          <c:idx val="0"/>
          <c:order val="1"/>
          <c:tx>
            <c:v>Demand with Safety Factor</c:v>
          </c:tx>
          <c:spPr>
            <a:ln w="31750">
              <a:solidFill>
                <a:schemeClr val="accent2"/>
              </a:solidFill>
              <a:prstDash val="sysDot"/>
            </a:ln>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Pop'!$D$10:$D$120</c:f>
              <c:numCache>
                <c:formatCode>#,##0</c:formatCode>
                <c:ptCount val="111"/>
                <c:pt idx="0">
                  <c:v>30372.435460240769</c:v>
                </c:pt>
                <c:pt idx="1">
                  <c:v>30647.03602395592</c:v>
                </c:pt>
                <c:pt idx="2">
                  <c:v>30672.241572745843</c:v>
                </c:pt>
                <c:pt idx="3">
                  <c:v>30697.44712153577</c:v>
                </c:pt>
                <c:pt idx="4">
                  <c:v>30722.652670325697</c:v>
                </c:pt>
                <c:pt idx="5">
                  <c:v>30747.85821911562</c:v>
                </c:pt>
                <c:pt idx="6">
                  <c:v>30891.150060119722</c:v>
                </c:pt>
                <c:pt idx="7">
                  <c:v>31034.441901123824</c:v>
                </c:pt>
                <c:pt idx="8">
                  <c:v>31177.733742127926</c:v>
                </c:pt>
                <c:pt idx="9">
                  <c:v>31321.025583132032</c:v>
                </c:pt>
                <c:pt idx="10">
                  <c:v>31471.116499992422</c:v>
                </c:pt>
                <c:pt idx="11">
                  <c:v>31621.207416852812</c:v>
                </c:pt>
                <c:pt idx="12">
                  <c:v>31771.298333713203</c:v>
                </c:pt>
                <c:pt idx="13">
                  <c:v>31921.3892505736</c:v>
                </c:pt>
                <c:pt idx="14">
                  <c:v>32051.051019321192</c:v>
                </c:pt>
                <c:pt idx="15">
                  <c:v>32180.712788068784</c:v>
                </c:pt>
                <c:pt idx="16">
                  <c:v>32310.374556816376</c:v>
                </c:pt>
                <c:pt idx="17">
                  <c:v>32440.036325563968</c:v>
                </c:pt>
                <c:pt idx="18">
                  <c:v>32892.907218394495</c:v>
                </c:pt>
                <c:pt idx="19">
                  <c:v>33119.342664809759</c:v>
                </c:pt>
                <c:pt idx="20">
                  <c:v>33345.778111225023</c:v>
                </c:pt>
                <c:pt idx="21">
                  <c:v>33572.21355764028</c:v>
                </c:pt>
                <c:pt idx="22">
                  <c:v>33798.649004055544</c:v>
                </c:pt>
                <c:pt idx="23">
                  <c:v>34025.084450470807</c:v>
                </c:pt>
                <c:pt idx="24">
                  <c:v>34251.519896886071</c:v>
                </c:pt>
                <c:pt idx="25">
                  <c:v>34477.955343301335</c:v>
                </c:pt>
                <c:pt idx="26">
                  <c:v>34704.390789716592</c:v>
                </c:pt>
                <c:pt idx="27">
                  <c:v>34930.826236131848</c:v>
                </c:pt>
                <c:pt idx="28">
                  <c:v>35157.261682547112</c:v>
                </c:pt>
                <c:pt idx="29">
                  <c:v>35383.697128962376</c:v>
                </c:pt>
                <c:pt idx="30">
                  <c:v>35610.13257537764</c:v>
                </c:pt>
                <c:pt idx="31">
                  <c:v>35836.568021792904</c:v>
                </c:pt>
                <c:pt idx="32">
                  <c:v>36063.00346820816</c:v>
                </c:pt>
                <c:pt idx="33">
                  <c:v>36289.438914623417</c:v>
                </c:pt>
                <c:pt idx="34">
                  <c:v>36515.874361038681</c:v>
                </c:pt>
                <c:pt idx="35">
                  <c:v>36742.309807453945</c:v>
                </c:pt>
                <c:pt idx="36">
                  <c:v>36968.745253869201</c:v>
                </c:pt>
                <c:pt idx="37">
                  <c:v>37195.180700284465</c:v>
                </c:pt>
                <c:pt idx="38">
                  <c:v>37421.616146699729</c:v>
                </c:pt>
                <c:pt idx="39">
                  <c:v>37648.051593114986</c:v>
                </c:pt>
                <c:pt idx="40">
                  <c:v>37874.487039530242</c:v>
                </c:pt>
                <c:pt idx="41">
                  <c:v>38100.922485945513</c:v>
                </c:pt>
                <c:pt idx="42">
                  <c:v>38327.357932360777</c:v>
                </c:pt>
                <c:pt idx="43">
                  <c:v>38553.793378776041</c:v>
                </c:pt>
                <c:pt idx="44">
                  <c:v>38780.228825191298</c:v>
                </c:pt>
                <c:pt idx="45">
                  <c:v>39006.664271606554</c:v>
                </c:pt>
                <c:pt idx="46">
                  <c:v>39233.099718021818</c:v>
                </c:pt>
                <c:pt idx="47">
                  <c:v>39459.535164437082</c:v>
                </c:pt>
                <c:pt idx="48">
                  <c:v>39685.970610852339</c:v>
                </c:pt>
                <c:pt idx="49">
                  <c:v>39912.406057267603</c:v>
                </c:pt>
                <c:pt idx="50">
                  <c:v>40138.841503682866</c:v>
                </c:pt>
                <c:pt idx="51">
                  <c:v>40365.276950098123</c:v>
                </c:pt>
                <c:pt idx="52">
                  <c:v>40591.712396513387</c:v>
                </c:pt>
                <c:pt idx="53">
                  <c:v>40818.147842928651</c:v>
                </c:pt>
                <c:pt idx="54">
                  <c:v>41044.583289343907</c:v>
                </c:pt>
                <c:pt idx="55">
                  <c:v>41271.018735759164</c:v>
                </c:pt>
                <c:pt idx="56">
                  <c:v>41497.454182174428</c:v>
                </c:pt>
                <c:pt idx="57">
                  <c:v>41723.889628589692</c:v>
                </c:pt>
                <c:pt idx="58">
                  <c:v>41950.325075004956</c:v>
                </c:pt>
                <c:pt idx="59">
                  <c:v>42176.760521420219</c:v>
                </c:pt>
                <c:pt idx="60">
                  <c:v>42403.195967835476</c:v>
                </c:pt>
                <c:pt idx="61">
                  <c:v>42629.63141425074</c:v>
                </c:pt>
                <c:pt idx="62">
                  <c:v>42856.066860666004</c:v>
                </c:pt>
                <c:pt idx="63">
                  <c:v>43308.937753496524</c:v>
                </c:pt>
                <c:pt idx="64">
                  <c:v>43535.373199911788</c:v>
                </c:pt>
                <c:pt idx="65">
                  <c:v>43761.808646327045</c:v>
                </c:pt>
                <c:pt idx="66">
                  <c:v>43988.244092742301</c:v>
                </c:pt>
                <c:pt idx="67">
                  <c:v>44214.679539157565</c:v>
                </c:pt>
                <c:pt idx="68">
                  <c:v>44441.114985572829</c:v>
                </c:pt>
                <c:pt idx="69">
                  <c:v>44667.550431988093</c:v>
                </c:pt>
                <c:pt idx="70">
                  <c:v>44893.985878403357</c:v>
                </c:pt>
                <c:pt idx="71">
                  <c:v>45120.421324818613</c:v>
                </c:pt>
                <c:pt idx="72">
                  <c:v>45346.85677123387</c:v>
                </c:pt>
                <c:pt idx="73">
                  <c:v>45573.292217649134</c:v>
                </c:pt>
                <c:pt idx="74">
                  <c:v>45799.727664064398</c:v>
                </c:pt>
                <c:pt idx="75">
                  <c:v>46026.163110479669</c:v>
                </c:pt>
                <c:pt idx="76">
                  <c:v>46252.598556894925</c:v>
                </c:pt>
                <c:pt idx="77">
                  <c:v>46479.034003310182</c:v>
                </c:pt>
                <c:pt idx="78">
                  <c:v>46705.469449725439</c:v>
                </c:pt>
                <c:pt idx="79">
                  <c:v>46931.904896140702</c:v>
                </c:pt>
                <c:pt idx="80">
                  <c:v>47158.340342555966</c:v>
                </c:pt>
                <c:pt idx="81">
                  <c:v>47384.77578897123</c:v>
                </c:pt>
                <c:pt idx="82">
                  <c:v>47611.211235386494</c:v>
                </c:pt>
                <c:pt idx="83">
                  <c:v>47837.646681801751</c:v>
                </c:pt>
                <c:pt idx="84">
                  <c:v>48098.396712134709</c:v>
                </c:pt>
                <c:pt idx="85">
                  <c:v>48359.146742467674</c:v>
                </c:pt>
                <c:pt idx="86">
                  <c:v>48494.735282230489</c:v>
                </c:pt>
                <c:pt idx="87">
                  <c:v>48630.323821993305</c:v>
                </c:pt>
                <c:pt idx="88">
                  <c:v>48765.91236175612</c:v>
                </c:pt>
                <c:pt idx="89">
                  <c:v>48901.500901518935</c:v>
                </c:pt>
                <c:pt idx="90">
                  <c:v>49037.089441281751</c:v>
                </c:pt>
                <c:pt idx="91">
                  <c:v>49172.677981044566</c:v>
                </c:pt>
                <c:pt idx="92">
                  <c:v>49308.266520807381</c:v>
                </c:pt>
                <c:pt idx="93">
                  <c:v>49443.855060570197</c:v>
                </c:pt>
                <c:pt idx="94">
                  <c:v>49579.443600333019</c:v>
                </c:pt>
                <c:pt idx="95">
                  <c:v>49715.032140095842</c:v>
                </c:pt>
                <c:pt idx="96">
                  <c:v>49850.62067985865</c:v>
                </c:pt>
                <c:pt idx="97">
                  <c:v>49986.209219621465</c:v>
                </c:pt>
                <c:pt idx="98">
                  <c:v>50121.797759384281</c:v>
                </c:pt>
                <c:pt idx="99">
                  <c:v>50257.386299147096</c:v>
                </c:pt>
                <c:pt idx="100">
                  <c:v>50392.974838909911</c:v>
                </c:pt>
                <c:pt idx="101">
                  <c:v>50528.563378672734</c:v>
                </c:pt>
                <c:pt idx="102">
                  <c:v>50664.151918435549</c:v>
                </c:pt>
                <c:pt idx="103">
                  <c:v>50799.740458198365</c:v>
                </c:pt>
                <c:pt idx="104">
                  <c:v>50838.48004098775</c:v>
                </c:pt>
                <c:pt idx="105">
                  <c:v>50877.219623777135</c:v>
                </c:pt>
                <c:pt idx="106">
                  <c:v>50915.95920656652</c:v>
                </c:pt>
                <c:pt idx="107">
                  <c:v>50954.698789355905</c:v>
                </c:pt>
                <c:pt idx="108">
                  <c:v>50993.43837214529</c:v>
                </c:pt>
                <c:pt idx="109">
                  <c:v>51032.177954934676</c:v>
                </c:pt>
                <c:pt idx="110">
                  <c:v>51070.917537724068</c:v>
                </c:pt>
              </c:numCache>
            </c:numRef>
          </c:val>
          <c:smooth val="0"/>
          <c:extLst>
            <c:ext xmlns:c16="http://schemas.microsoft.com/office/drawing/2014/chart" uri="{C3380CC4-5D6E-409C-BE32-E72D297353CC}">
              <c16:uniqueId val="{00000001-991C-4C8B-A93C-1701A718832A}"/>
            </c:ext>
          </c:extLst>
        </c:ser>
        <c:ser>
          <c:idx val="2"/>
          <c:order val="2"/>
          <c:tx>
            <c:v>Supply</c:v>
          </c:tx>
          <c:spPr>
            <a:ln w="38100">
              <a:solidFill>
                <a:schemeClr val="tx2"/>
              </a:solidFill>
            </a:ln>
          </c:spPr>
          <c:marker>
            <c:symbol val="none"/>
          </c:marker>
          <c:cat>
            <c:numRef>
              <c:f>'Data by Pop'!$K$10:$K$120</c:f>
              <c:numCache>
                <c:formatCode>#,##0</c:formatCode>
                <c:ptCount val="111"/>
                <c:pt idx="0">
                  <c:v>133000</c:v>
                </c:pt>
                <c:pt idx="1">
                  <c:v>134000</c:v>
                </c:pt>
                <c:pt idx="2">
                  <c:v>135000</c:v>
                </c:pt>
                <c:pt idx="3">
                  <c:v>136000</c:v>
                </c:pt>
                <c:pt idx="4">
                  <c:v>137000</c:v>
                </c:pt>
                <c:pt idx="5">
                  <c:v>137000</c:v>
                </c:pt>
                <c:pt idx="6">
                  <c:v>138000</c:v>
                </c:pt>
                <c:pt idx="7">
                  <c:v>139000</c:v>
                </c:pt>
                <c:pt idx="8">
                  <c:v>140000</c:v>
                </c:pt>
                <c:pt idx="9">
                  <c:v>140000</c:v>
                </c:pt>
                <c:pt idx="10">
                  <c:v>141000</c:v>
                </c:pt>
                <c:pt idx="11">
                  <c:v>142000</c:v>
                </c:pt>
                <c:pt idx="12">
                  <c:v>143000</c:v>
                </c:pt>
                <c:pt idx="13">
                  <c:v>143000</c:v>
                </c:pt>
                <c:pt idx="14">
                  <c:v>144000</c:v>
                </c:pt>
                <c:pt idx="15">
                  <c:v>145000</c:v>
                </c:pt>
                <c:pt idx="16">
                  <c:v>146000</c:v>
                </c:pt>
                <c:pt idx="17">
                  <c:v>146000</c:v>
                </c:pt>
                <c:pt idx="18">
                  <c:v>148000</c:v>
                </c:pt>
                <c:pt idx="19">
                  <c:v>149000</c:v>
                </c:pt>
                <c:pt idx="20">
                  <c:v>150000</c:v>
                </c:pt>
                <c:pt idx="21">
                  <c:v>151000</c:v>
                </c:pt>
                <c:pt idx="22">
                  <c:v>152000</c:v>
                </c:pt>
                <c:pt idx="23">
                  <c:v>153000</c:v>
                </c:pt>
                <c:pt idx="24">
                  <c:v>154000</c:v>
                </c:pt>
                <c:pt idx="25">
                  <c:v>155000</c:v>
                </c:pt>
                <c:pt idx="26">
                  <c:v>157000</c:v>
                </c:pt>
                <c:pt idx="27">
                  <c:v>158000</c:v>
                </c:pt>
                <c:pt idx="28">
                  <c:v>159000</c:v>
                </c:pt>
                <c:pt idx="29">
                  <c:v>160000</c:v>
                </c:pt>
                <c:pt idx="30">
                  <c:v>161000</c:v>
                </c:pt>
                <c:pt idx="31">
                  <c:v>162000</c:v>
                </c:pt>
                <c:pt idx="32">
                  <c:v>163000</c:v>
                </c:pt>
                <c:pt idx="33">
                  <c:v>164000</c:v>
                </c:pt>
                <c:pt idx="34">
                  <c:v>165000</c:v>
                </c:pt>
                <c:pt idx="35">
                  <c:v>166000</c:v>
                </c:pt>
                <c:pt idx="36">
                  <c:v>167000</c:v>
                </c:pt>
                <c:pt idx="37">
                  <c:v>168000</c:v>
                </c:pt>
                <c:pt idx="38">
                  <c:v>169000</c:v>
                </c:pt>
                <c:pt idx="39">
                  <c:v>170000</c:v>
                </c:pt>
                <c:pt idx="40">
                  <c:v>171000</c:v>
                </c:pt>
                <c:pt idx="41">
                  <c:v>172000</c:v>
                </c:pt>
                <c:pt idx="42">
                  <c:v>174000</c:v>
                </c:pt>
                <c:pt idx="43">
                  <c:v>175000</c:v>
                </c:pt>
                <c:pt idx="44">
                  <c:v>176000</c:v>
                </c:pt>
                <c:pt idx="45">
                  <c:v>177000</c:v>
                </c:pt>
                <c:pt idx="46">
                  <c:v>178000</c:v>
                </c:pt>
                <c:pt idx="47">
                  <c:v>179000</c:v>
                </c:pt>
                <c:pt idx="48">
                  <c:v>180000</c:v>
                </c:pt>
                <c:pt idx="49">
                  <c:v>181000</c:v>
                </c:pt>
                <c:pt idx="50">
                  <c:v>182000</c:v>
                </c:pt>
                <c:pt idx="51">
                  <c:v>183000</c:v>
                </c:pt>
                <c:pt idx="52">
                  <c:v>184000</c:v>
                </c:pt>
                <c:pt idx="53">
                  <c:v>185000</c:v>
                </c:pt>
                <c:pt idx="54">
                  <c:v>186000</c:v>
                </c:pt>
                <c:pt idx="55">
                  <c:v>187000</c:v>
                </c:pt>
                <c:pt idx="56">
                  <c:v>188000</c:v>
                </c:pt>
                <c:pt idx="57">
                  <c:v>189000</c:v>
                </c:pt>
                <c:pt idx="58">
                  <c:v>191000</c:v>
                </c:pt>
                <c:pt idx="59">
                  <c:v>192000</c:v>
                </c:pt>
                <c:pt idx="60">
                  <c:v>193000</c:v>
                </c:pt>
                <c:pt idx="61">
                  <c:v>194000</c:v>
                </c:pt>
                <c:pt idx="62">
                  <c:v>195000</c:v>
                </c:pt>
                <c:pt idx="63">
                  <c:v>197000</c:v>
                </c:pt>
                <c:pt idx="64">
                  <c:v>198000</c:v>
                </c:pt>
                <c:pt idx="65">
                  <c:v>199000</c:v>
                </c:pt>
                <c:pt idx="66">
                  <c:v>200000</c:v>
                </c:pt>
                <c:pt idx="67">
                  <c:v>201000</c:v>
                </c:pt>
                <c:pt idx="68">
                  <c:v>202000</c:v>
                </c:pt>
                <c:pt idx="69">
                  <c:v>203000</c:v>
                </c:pt>
                <c:pt idx="70">
                  <c:v>204000</c:v>
                </c:pt>
                <c:pt idx="71">
                  <c:v>205000</c:v>
                </c:pt>
                <c:pt idx="72">
                  <c:v>206000</c:v>
                </c:pt>
                <c:pt idx="73">
                  <c:v>208000</c:v>
                </c:pt>
                <c:pt idx="74">
                  <c:v>209000</c:v>
                </c:pt>
                <c:pt idx="75">
                  <c:v>210000</c:v>
                </c:pt>
                <c:pt idx="76">
                  <c:v>211000</c:v>
                </c:pt>
                <c:pt idx="77">
                  <c:v>212000</c:v>
                </c:pt>
                <c:pt idx="78">
                  <c:v>213000</c:v>
                </c:pt>
                <c:pt idx="79">
                  <c:v>214000</c:v>
                </c:pt>
                <c:pt idx="80">
                  <c:v>215000</c:v>
                </c:pt>
                <c:pt idx="81">
                  <c:v>216000</c:v>
                </c:pt>
                <c:pt idx="82">
                  <c:v>217000</c:v>
                </c:pt>
                <c:pt idx="83">
                  <c:v>218000</c:v>
                </c:pt>
                <c:pt idx="84">
                  <c:v>219000</c:v>
                </c:pt>
                <c:pt idx="85">
                  <c:v>220000</c:v>
                </c:pt>
                <c:pt idx="86">
                  <c:v>221000</c:v>
                </c:pt>
                <c:pt idx="87">
                  <c:v>222000</c:v>
                </c:pt>
                <c:pt idx="88">
                  <c:v>223000</c:v>
                </c:pt>
                <c:pt idx="89">
                  <c:v>225000</c:v>
                </c:pt>
                <c:pt idx="90">
                  <c:v>226000</c:v>
                </c:pt>
                <c:pt idx="91">
                  <c:v>227000</c:v>
                </c:pt>
                <c:pt idx="92">
                  <c:v>228000</c:v>
                </c:pt>
                <c:pt idx="93">
                  <c:v>229000</c:v>
                </c:pt>
                <c:pt idx="94">
                  <c:v>230000</c:v>
                </c:pt>
                <c:pt idx="95">
                  <c:v>231000</c:v>
                </c:pt>
                <c:pt idx="96">
                  <c:v>232000</c:v>
                </c:pt>
                <c:pt idx="97">
                  <c:v>233000</c:v>
                </c:pt>
                <c:pt idx="98">
                  <c:v>234000</c:v>
                </c:pt>
                <c:pt idx="99">
                  <c:v>235000</c:v>
                </c:pt>
                <c:pt idx="100">
                  <c:v>236000</c:v>
                </c:pt>
                <c:pt idx="101">
                  <c:v>237000</c:v>
                </c:pt>
                <c:pt idx="102">
                  <c:v>238000</c:v>
                </c:pt>
                <c:pt idx="103">
                  <c:v>239000</c:v>
                </c:pt>
                <c:pt idx="104">
                  <c:v>240000</c:v>
                </c:pt>
                <c:pt idx="105">
                  <c:v>241000</c:v>
                </c:pt>
                <c:pt idx="106">
                  <c:v>242000</c:v>
                </c:pt>
                <c:pt idx="107">
                  <c:v>243000</c:v>
                </c:pt>
                <c:pt idx="108">
                  <c:v>244000</c:v>
                </c:pt>
                <c:pt idx="109">
                  <c:v>245000</c:v>
                </c:pt>
                <c:pt idx="110">
                  <c:v>242000</c:v>
                </c:pt>
              </c:numCache>
            </c:numRef>
          </c:cat>
          <c:val>
            <c:numRef>
              <c:f>'Data by Pop'!$E$10:$E$120</c:f>
              <c:numCache>
                <c:formatCode>#,##0</c:formatCode>
                <c:ptCount val="111"/>
                <c:pt idx="0">
                  <c:v>28700</c:v>
                </c:pt>
                <c:pt idx="1">
                  <c:v>28700</c:v>
                </c:pt>
                <c:pt idx="2">
                  <c:v>28700</c:v>
                </c:pt>
                <c:pt idx="3">
                  <c:v>28700</c:v>
                </c:pt>
                <c:pt idx="4">
                  <c:v>28700</c:v>
                </c:pt>
                <c:pt idx="5">
                  <c:v>28700</c:v>
                </c:pt>
                <c:pt idx="6">
                  <c:v>28700</c:v>
                </c:pt>
                <c:pt idx="7">
                  <c:v>28700</c:v>
                </c:pt>
                <c:pt idx="8">
                  <c:v>28700</c:v>
                </c:pt>
                <c:pt idx="9">
                  <c:v>28700</c:v>
                </c:pt>
                <c:pt idx="10">
                  <c:v>28700</c:v>
                </c:pt>
                <c:pt idx="11">
                  <c:v>28700</c:v>
                </c:pt>
                <c:pt idx="12">
                  <c:v>28700</c:v>
                </c:pt>
                <c:pt idx="13">
                  <c:v>28700</c:v>
                </c:pt>
                <c:pt idx="14">
                  <c:v>30000</c:v>
                </c:pt>
                <c:pt idx="15">
                  <c:v>30000</c:v>
                </c:pt>
                <c:pt idx="16">
                  <c:v>30000</c:v>
                </c:pt>
                <c:pt idx="17">
                  <c:v>30000</c:v>
                </c:pt>
                <c:pt idx="18">
                  <c:v>30000</c:v>
                </c:pt>
                <c:pt idx="19">
                  <c:v>30000</c:v>
                </c:pt>
                <c:pt idx="20">
                  <c:v>30000</c:v>
                </c:pt>
                <c:pt idx="21">
                  <c:v>30000</c:v>
                </c:pt>
                <c:pt idx="22">
                  <c:v>30000</c:v>
                </c:pt>
                <c:pt idx="23">
                  <c:v>30000</c:v>
                </c:pt>
                <c:pt idx="24">
                  <c:v>30000</c:v>
                </c:pt>
                <c:pt idx="25">
                  <c:v>30000</c:v>
                </c:pt>
                <c:pt idx="26">
                  <c:v>30000</c:v>
                </c:pt>
                <c:pt idx="27">
                  <c:v>30000</c:v>
                </c:pt>
                <c:pt idx="28">
                  <c:v>35000</c:v>
                </c:pt>
                <c:pt idx="29">
                  <c:v>35000</c:v>
                </c:pt>
                <c:pt idx="30">
                  <c:v>35000</c:v>
                </c:pt>
                <c:pt idx="31">
                  <c:v>35000</c:v>
                </c:pt>
                <c:pt idx="32">
                  <c:v>35000</c:v>
                </c:pt>
                <c:pt idx="33">
                  <c:v>35000</c:v>
                </c:pt>
                <c:pt idx="34">
                  <c:v>35000</c:v>
                </c:pt>
                <c:pt idx="35">
                  <c:v>35000</c:v>
                </c:pt>
                <c:pt idx="36">
                  <c:v>35000</c:v>
                </c:pt>
                <c:pt idx="37">
                  <c:v>36000</c:v>
                </c:pt>
                <c:pt idx="38">
                  <c:v>36000</c:v>
                </c:pt>
                <c:pt idx="39">
                  <c:v>37000</c:v>
                </c:pt>
                <c:pt idx="40">
                  <c:v>37000</c:v>
                </c:pt>
                <c:pt idx="41">
                  <c:v>37000</c:v>
                </c:pt>
                <c:pt idx="42">
                  <c:v>37000</c:v>
                </c:pt>
                <c:pt idx="43">
                  <c:v>42000</c:v>
                </c:pt>
                <c:pt idx="44">
                  <c:v>42000</c:v>
                </c:pt>
                <c:pt idx="45">
                  <c:v>42000</c:v>
                </c:pt>
                <c:pt idx="46">
                  <c:v>42000</c:v>
                </c:pt>
                <c:pt idx="47">
                  <c:v>42000</c:v>
                </c:pt>
                <c:pt idx="48">
                  <c:v>42000</c:v>
                </c:pt>
                <c:pt idx="49">
                  <c:v>42000</c:v>
                </c:pt>
                <c:pt idx="50">
                  <c:v>42000</c:v>
                </c:pt>
                <c:pt idx="51">
                  <c:v>42000</c:v>
                </c:pt>
                <c:pt idx="52">
                  <c:v>42000</c:v>
                </c:pt>
                <c:pt idx="53">
                  <c:v>42000</c:v>
                </c:pt>
                <c:pt idx="54">
                  <c:v>42000</c:v>
                </c:pt>
                <c:pt idx="55">
                  <c:v>42000</c:v>
                </c:pt>
                <c:pt idx="56">
                  <c:v>42000</c:v>
                </c:pt>
                <c:pt idx="57">
                  <c:v>42000</c:v>
                </c:pt>
                <c:pt idx="58">
                  <c:v>42000</c:v>
                </c:pt>
                <c:pt idx="59">
                  <c:v>42000</c:v>
                </c:pt>
                <c:pt idx="60">
                  <c:v>42000</c:v>
                </c:pt>
                <c:pt idx="61">
                  <c:v>42000</c:v>
                </c:pt>
                <c:pt idx="62">
                  <c:v>42000</c:v>
                </c:pt>
                <c:pt idx="63">
                  <c:v>46000</c:v>
                </c:pt>
                <c:pt idx="64">
                  <c:v>46000</c:v>
                </c:pt>
                <c:pt idx="65">
                  <c:v>46000</c:v>
                </c:pt>
                <c:pt idx="66">
                  <c:v>46000</c:v>
                </c:pt>
                <c:pt idx="67">
                  <c:v>46000</c:v>
                </c:pt>
                <c:pt idx="68">
                  <c:v>46000</c:v>
                </c:pt>
                <c:pt idx="69">
                  <c:v>46000</c:v>
                </c:pt>
                <c:pt idx="70">
                  <c:v>46000</c:v>
                </c:pt>
                <c:pt idx="71">
                  <c:v>46000</c:v>
                </c:pt>
                <c:pt idx="72">
                  <c:v>46000</c:v>
                </c:pt>
                <c:pt idx="73">
                  <c:v>46000</c:v>
                </c:pt>
                <c:pt idx="74">
                  <c:v>46000</c:v>
                </c:pt>
                <c:pt idx="75">
                  <c:v>46000</c:v>
                </c:pt>
                <c:pt idx="76">
                  <c:v>46000</c:v>
                </c:pt>
                <c:pt idx="77">
                  <c:v>46000</c:v>
                </c:pt>
                <c:pt idx="78">
                  <c:v>48000</c:v>
                </c:pt>
                <c:pt idx="79">
                  <c:v>48000</c:v>
                </c:pt>
                <c:pt idx="80">
                  <c:v>48000</c:v>
                </c:pt>
                <c:pt idx="81">
                  <c:v>48000</c:v>
                </c:pt>
                <c:pt idx="82">
                  <c:v>48000</c:v>
                </c:pt>
                <c:pt idx="83">
                  <c:v>48000</c:v>
                </c:pt>
                <c:pt idx="84">
                  <c:v>48000</c:v>
                </c:pt>
                <c:pt idx="85">
                  <c:v>48000</c:v>
                </c:pt>
                <c:pt idx="86">
                  <c:v>48000</c:v>
                </c:pt>
                <c:pt idx="87">
                  <c:v>48000</c:v>
                </c:pt>
                <c:pt idx="88">
                  <c:v>48000</c:v>
                </c:pt>
                <c:pt idx="89">
                  <c:v>48000</c:v>
                </c:pt>
                <c:pt idx="90">
                  <c:v>48000</c:v>
                </c:pt>
                <c:pt idx="91">
                  <c:v>48000</c:v>
                </c:pt>
                <c:pt idx="92">
                  <c:v>48000</c:v>
                </c:pt>
                <c:pt idx="93">
                  <c:v>48000</c:v>
                </c:pt>
                <c:pt idx="94">
                  <c:v>50000</c:v>
                </c:pt>
                <c:pt idx="95">
                  <c:v>50000</c:v>
                </c:pt>
                <c:pt idx="96">
                  <c:v>50000</c:v>
                </c:pt>
                <c:pt idx="97">
                  <c:v>50000</c:v>
                </c:pt>
                <c:pt idx="98">
                  <c:v>50000</c:v>
                </c:pt>
                <c:pt idx="99">
                  <c:v>50000</c:v>
                </c:pt>
                <c:pt idx="100">
                  <c:v>50000</c:v>
                </c:pt>
                <c:pt idx="101">
                  <c:v>50000</c:v>
                </c:pt>
                <c:pt idx="102">
                  <c:v>50000</c:v>
                </c:pt>
                <c:pt idx="103">
                  <c:v>50000</c:v>
                </c:pt>
                <c:pt idx="104">
                  <c:v>50000</c:v>
                </c:pt>
                <c:pt idx="105">
                  <c:v>50000</c:v>
                </c:pt>
                <c:pt idx="106">
                  <c:v>50000</c:v>
                </c:pt>
                <c:pt idx="107">
                  <c:v>50000</c:v>
                </c:pt>
                <c:pt idx="108">
                  <c:v>50000</c:v>
                </c:pt>
                <c:pt idx="109">
                  <c:v>50000</c:v>
                </c:pt>
                <c:pt idx="110">
                  <c:v>52000</c:v>
                </c:pt>
              </c:numCache>
            </c:numRef>
          </c:val>
          <c:smooth val="0"/>
          <c:extLst>
            <c:ext xmlns:c16="http://schemas.microsoft.com/office/drawing/2014/chart" uri="{C3380CC4-5D6E-409C-BE32-E72D297353CC}">
              <c16:uniqueId val="{00000002-991C-4C8B-A93C-1701A718832A}"/>
            </c:ext>
          </c:extLst>
        </c:ser>
        <c:dLbls>
          <c:showLegendKey val="0"/>
          <c:showVal val="0"/>
          <c:showCatName val="0"/>
          <c:showSerName val="0"/>
          <c:showPercent val="0"/>
          <c:showBubbleSize val="0"/>
        </c:dLbls>
        <c:smooth val="0"/>
        <c:axId val="1718707056"/>
        <c:axId val="1718714672"/>
      </c:lineChart>
      <c:catAx>
        <c:axId val="1718707056"/>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sz="1400"/>
                  <a:t>Thornton Population</a:t>
                </a:r>
              </a:p>
            </c:rich>
          </c:tx>
          <c:overlay val="0"/>
        </c:title>
        <c:numFmt formatCode="#,##0" sourceLinked="0"/>
        <c:majorTickMark val="cross"/>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1718714672"/>
        <c:crosses val="autoZero"/>
        <c:auto val="1"/>
        <c:lblAlgn val="ctr"/>
        <c:lblOffset val="100"/>
        <c:tickLblSkip val="10"/>
        <c:tickMarkSkip val="5"/>
        <c:noMultiLvlLbl val="0"/>
      </c:catAx>
      <c:valAx>
        <c:axId val="17187146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07056"/>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sz="1000" b="0" i="0" u="none" strike="noStrike" baseline="0">
              <a:solidFill>
                <a:srgbClr val="000000"/>
              </a:solidFill>
              <a:effectLst/>
              <a:latin typeface="Calibri"/>
              <a:cs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effectLst/>
                <a:latin typeface="Calibri"/>
              </a:rPr>
              <a:t>150,000 people by 2020</a:t>
            </a:r>
            <a:endParaRPr lang="en-US" sz="1000" b="0" i="0" u="none" strike="noStrike" baseline="0">
              <a:effectLst/>
            </a:endParaRPr>
          </a:p>
        </c:rich>
      </c:tx>
      <c:overlay val="0"/>
    </c:title>
    <c:autoTitleDeleted val="0"/>
    <c:plotArea>
      <c:layout/>
      <c:lineChart>
        <c:grouping val="standard"/>
        <c:varyColors val="0"/>
        <c:ser>
          <c:idx val="1"/>
          <c:order val="0"/>
          <c:tx>
            <c:v>Demand Without Safety Factor</c:v>
          </c:tx>
          <c:spPr>
            <a:ln w="44450"/>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Year'!$B$10:$B$61</c:f>
              <c:numCache>
                <c:formatCode>#,##0</c:formatCode>
                <c:ptCount val="52"/>
                <c:pt idx="0">
                  <c:v>28586.175319190566</c:v>
                </c:pt>
                <c:pt idx="1">
                  <c:v>29110.769177781862</c:v>
                </c:pt>
                <c:pt idx="2">
                  <c:v>29660.254568321601</c:v>
                </c:pt>
                <c:pt idx="3">
                  <c:v>30134.948501363629</c:v>
                </c:pt>
                <c:pt idx="4">
                  <c:v>30549.440504971233</c:v>
                </c:pt>
                <c:pt idx="5">
                  <c:v>30963.932508578837</c:v>
                </c:pt>
                <c:pt idx="6">
                  <c:v>31378.42451218643</c:v>
                </c:pt>
                <c:pt idx="7">
                  <c:v>31792.91651579403</c:v>
                </c:pt>
                <c:pt idx="8">
                  <c:v>32207.408519401626</c:v>
                </c:pt>
                <c:pt idx="9">
                  <c:v>32621.900523009223</c:v>
                </c:pt>
                <c:pt idx="10">
                  <c:v>33036.392526616823</c:v>
                </c:pt>
                <c:pt idx="11">
                  <c:v>33450.884530224415</c:v>
                </c:pt>
                <c:pt idx="12">
                  <c:v>33865.376533832015</c:v>
                </c:pt>
                <c:pt idx="13">
                  <c:v>34279.868537439608</c:v>
                </c:pt>
                <c:pt idx="14">
                  <c:v>34694.360541047208</c:v>
                </c:pt>
                <c:pt idx="15">
                  <c:v>35108.852544654801</c:v>
                </c:pt>
                <c:pt idx="16">
                  <c:v>35523.344548262408</c:v>
                </c:pt>
                <c:pt idx="17">
                  <c:v>35937.836551870001</c:v>
                </c:pt>
                <c:pt idx="18">
                  <c:v>36352.328555477594</c:v>
                </c:pt>
                <c:pt idx="19">
                  <c:v>36766.820559085194</c:v>
                </c:pt>
                <c:pt idx="20">
                  <c:v>37181.312562692794</c:v>
                </c:pt>
                <c:pt idx="21">
                  <c:v>37595.804566300387</c:v>
                </c:pt>
                <c:pt idx="22">
                  <c:v>38010.29656990798</c:v>
                </c:pt>
                <c:pt idx="23">
                  <c:v>38424.78857351558</c:v>
                </c:pt>
                <c:pt idx="24">
                  <c:v>38839.28057712318</c:v>
                </c:pt>
                <c:pt idx="25">
                  <c:v>39253.772580730772</c:v>
                </c:pt>
                <c:pt idx="26">
                  <c:v>39668.26458433838</c:v>
                </c:pt>
                <c:pt idx="27">
                  <c:v>40082.756587945973</c:v>
                </c:pt>
                <c:pt idx="28">
                  <c:v>40497.248591553565</c:v>
                </c:pt>
                <c:pt idx="29">
                  <c:v>40911.740595161158</c:v>
                </c:pt>
                <c:pt idx="30">
                  <c:v>41326.232598768765</c:v>
                </c:pt>
                <c:pt idx="31">
                  <c:v>41740.724602376358</c:v>
                </c:pt>
                <c:pt idx="32">
                  <c:v>42155.216605983951</c:v>
                </c:pt>
                <c:pt idx="33">
                  <c:v>42569.708609591558</c:v>
                </c:pt>
                <c:pt idx="34">
                  <c:v>42984.200613199151</c:v>
                </c:pt>
                <c:pt idx="35">
                  <c:v>43398.692616806744</c:v>
                </c:pt>
                <c:pt idx="36">
                  <c:v>43813.184620414344</c:v>
                </c:pt>
                <c:pt idx="37">
                  <c:v>44227.676624021944</c:v>
                </c:pt>
                <c:pt idx="38">
                  <c:v>44704.981764292446</c:v>
                </c:pt>
                <c:pt idx="39">
                  <c:v>44953.177735383702</c:v>
                </c:pt>
                <c:pt idx="40">
                  <c:v>45201.373706474958</c:v>
                </c:pt>
                <c:pt idx="41">
                  <c:v>45449.569677566215</c:v>
                </c:pt>
                <c:pt idx="42">
                  <c:v>45697.765648657471</c:v>
                </c:pt>
                <c:pt idx="43">
                  <c:v>45945.961619748734</c:v>
                </c:pt>
                <c:pt idx="44">
                  <c:v>46194.157590839983</c:v>
                </c:pt>
                <c:pt idx="45">
                  <c:v>46442.353561931239</c:v>
                </c:pt>
                <c:pt idx="46">
                  <c:v>46690.549533022502</c:v>
                </c:pt>
                <c:pt idx="47">
                  <c:v>46938.745504113758</c:v>
                </c:pt>
                <c:pt idx="48">
                  <c:v>47186.94147520508</c:v>
                </c:pt>
                <c:pt idx="49">
                  <c:v>47101.165022387395</c:v>
                </c:pt>
                <c:pt idx="50">
                  <c:v>47186.94147520508</c:v>
                </c:pt>
                <c:pt idx="51">
                  <c:v>47101.165022387395</c:v>
                </c:pt>
              </c:numCache>
            </c:numRef>
          </c:val>
          <c:smooth val="0"/>
          <c:extLst>
            <c:ext xmlns:c16="http://schemas.microsoft.com/office/drawing/2014/chart" uri="{C3380CC4-5D6E-409C-BE32-E72D297353CC}">
              <c16:uniqueId val="{00000000-3CF1-4AF0-9469-FF336088CA8E}"/>
            </c:ext>
          </c:extLst>
        </c:ser>
        <c:ser>
          <c:idx val="0"/>
          <c:order val="1"/>
          <c:tx>
            <c:v>Demand with Safety Factor</c:v>
          </c:tx>
          <c:spPr>
            <a:ln w="31750">
              <a:solidFill>
                <a:schemeClr val="accent2"/>
              </a:solidFill>
              <a:prstDash val="sysDot"/>
            </a:ln>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Year'!$D$10:$D$61</c:f>
              <c:numCache>
                <c:formatCode>#,##0</c:formatCode>
                <c:ptCount val="52"/>
                <c:pt idx="0">
                  <c:v>30747.85821911562</c:v>
                </c:pt>
                <c:pt idx="1">
                  <c:v>31321.025583132032</c:v>
                </c:pt>
                <c:pt idx="2">
                  <c:v>31921.3892505736</c:v>
                </c:pt>
                <c:pt idx="3">
                  <c:v>32440.036325563968</c:v>
                </c:pt>
                <c:pt idx="4">
                  <c:v>32892.907218394495</c:v>
                </c:pt>
                <c:pt idx="5">
                  <c:v>33345.778111225023</c:v>
                </c:pt>
                <c:pt idx="6">
                  <c:v>33798.649004055544</c:v>
                </c:pt>
                <c:pt idx="7">
                  <c:v>34251.519896886071</c:v>
                </c:pt>
                <c:pt idx="8">
                  <c:v>34704.390789716592</c:v>
                </c:pt>
                <c:pt idx="9">
                  <c:v>35157.261682547112</c:v>
                </c:pt>
                <c:pt idx="10">
                  <c:v>35610.13257537764</c:v>
                </c:pt>
                <c:pt idx="11">
                  <c:v>36063.00346820816</c:v>
                </c:pt>
                <c:pt idx="12">
                  <c:v>36515.874361038681</c:v>
                </c:pt>
                <c:pt idx="13">
                  <c:v>36968.745253869201</c:v>
                </c:pt>
                <c:pt idx="14">
                  <c:v>37421.616146699729</c:v>
                </c:pt>
                <c:pt idx="15">
                  <c:v>37874.487039530242</c:v>
                </c:pt>
                <c:pt idx="16">
                  <c:v>38327.357932360777</c:v>
                </c:pt>
                <c:pt idx="17">
                  <c:v>38780.228825191298</c:v>
                </c:pt>
                <c:pt idx="18">
                  <c:v>39233.099718021818</c:v>
                </c:pt>
                <c:pt idx="19">
                  <c:v>39685.970610852339</c:v>
                </c:pt>
                <c:pt idx="20">
                  <c:v>40138.841503682866</c:v>
                </c:pt>
                <c:pt idx="21">
                  <c:v>40591.712396513387</c:v>
                </c:pt>
                <c:pt idx="22">
                  <c:v>41044.583289343907</c:v>
                </c:pt>
                <c:pt idx="23">
                  <c:v>41497.454182174428</c:v>
                </c:pt>
                <c:pt idx="24">
                  <c:v>41950.325075004956</c:v>
                </c:pt>
                <c:pt idx="25">
                  <c:v>42403.195967835476</c:v>
                </c:pt>
                <c:pt idx="26">
                  <c:v>42856.066860666004</c:v>
                </c:pt>
                <c:pt idx="27">
                  <c:v>43308.937753496524</c:v>
                </c:pt>
                <c:pt idx="28">
                  <c:v>43761.808646327045</c:v>
                </c:pt>
                <c:pt idx="29">
                  <c:v>44214.679539157565</c:v>
                </c:pt>
                <c:pt idx="30">
                  <c:v>44667.550431988093</c:v>
                </c:pt>
                <c:pt idx="31">
                  <c:v>45120.421324818613</c:v>
                </c:pt>
                <c:pt idx="32">
                  <c:v>45573.292217649134</c:v>
                </c:pt>
                <c:pt idx="33">
                  <c:v>46026.163110479669</c:v>
                </c:pt>
                <c:pt idx="34">
                  <c:v>46479.034003310182</c:v>
                </c:pt>
                <c:pt idx="35">
                  <c:v>46931.904896140702</c:v>
                </c:pt>
                <c:pt idx="36">
                  <c:v>47384.77578897123</c:v>
                </c:pt>
                <c:pt idx="37">
                  <c:v>47837.646681801751</c:v>
                </c:pt>
                <c:pt idx="38">
                  <c:v>48359.146742467674</c:v>
                </c:pt>
                <c:pt idx="39">
                  <c:v>48630.323821993305</c:v>
                </c:pt>
                <c:pt idx="40">
                  <c:v>48901.500901518935</c:v>
                </c:pt>
                <c:pt idx="41">
                  <c:v>49172.677981044566</c:v>
                </c:pt>
                <c:pt idx="42">
                  <c:v>49443.855060570197</c:v>
                </c:pt>
                <c:pt idx="43">
                  <c:v>49715.032140095842</c:v>
                </c:pt>
                <c:pt idx="44">
                  <c:v>49986.209219621465</c:v>
                </c:pt>
                <c:pt idx="45">
                  <c:v>50257.386299147096</c:v>
                </c:pt>
                <c:pt idx="46">
                  <c:v>50528.563378672734</c:v>
                </c:pt>
                <c:pt idx="47">
                  <c:v>50799.740458198365</c:v>
                </c:pt>
                <c:pt idx="48">
                  <c:v>51070.917537724068</c:v>
                </c:pt>
                <c:pt idx="49">
                  <c:v>51070.917537724068</c:v>
                </c:pt>
                <c:pt idx="50">
                  <c:v>51070.917537724068</c:v>
                </c:pt>
                <c:pt idx="51">
                  <c:v>51070.917537724068</c:v>
                </c:pt>
              </c:numCache>
            </c:numRef>
          </c:val>
          <c:smooth val="0"/>
          <c:extLst>
            <c:ext xmlns:c16="http://schemas.microsoft.com/office/drawing/2014/chart" uri="{C3380CC4-5D6E-409C-BE32-E72D297353CC}">
              <c16:uniqueId val="{00000001-3CF1-4AF0-9469-FF336088CA8E}"/>
            </c:ext>
          </c:extLst>
        </c:ser>
        <c:ser>
          <c:idx val="2"/>
          <c:order val="2"/>
          <c:tx>
            <c:v>Supply</c:v>
          </c:tx>
          <c:spPr>
            <a:ln w="38100">
              <a:solidFill>
                <a:schemeClr val="tx2"/>
              </a:solidFill>
            </a:ln>
          </c:spPr>
          <c:marker>
            <c:symbol val="none"/>
          </c:marker>
          <c:cat>
            <c:numRef>
              <c:f>'Data by Year'!$A$10:$A$61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Year'!$E$10:$E$61</c:f>
              <c:numCache>
                <c:formatCode>#,##0</c:formatCode>
                <c:ptCount val="52"/>
                <c:pt idx="0">
                  <c:v>28700</c:v>
                </c:pt>
                <c:pt idx="1">
                  <c:v>28700</c:v>
                </c:pt>
                <c:pt idx="2">
                  <c:v>28700</c:v>
                </c:pt>
                <c:pt idx="3">
                  <c:v>30000</c:v>
                </c:pt>
                <c:pt idx="4">
                  <c:v>30000</c:v>
                </c:pt>
                <c:pt idx="5">
                  <c:v>30000</c:v>
                </c:pt>
                <c:pt idx="6">
                  <c:v>30000</c:v>
                </c:pt>
                <c:pt idx="7">
                  <c:v>30000</c:v>
                </c:pt>
                <c:pt idx="8">
                  <c:v>30000</c:v>
                </c:pt>
                <c:pt idx="9">
                  <c:v>35000</c:v>
                </c:pt>
                <c:pt idx="10">
                  <c:v>35000</c:v>
                </c:pt>
                <c:pt idx="11">
                  <c:v>35000</c:v>
                </c:pt>
                <c:pt idx="12">
                  <c:v>35000</c:v>
                </c:pt>
                <c:pt idx="13">
                  <c:v>35000</c:v>
                </c:pt>
                <c:pt idx="14">
                  <c:v>36000</c:v>
                </c:pt>
                <c:pt idx="15">
                  <c:v>36000</c:v>
                </c:pt>
                <c:pt idx="16">
                  <c:v>37000</c:v>
                </c:pt>
                <c:pt idx="17">
                  <c:v>37000</c:v>
                </c:pt>
                <c:pt idx="18">
                  <c:v>37000</c:v>
                </c:pt>
                <c:pt idx="19">
                  <c:v>42000</c:v>
                </c:pt>
                <c:pt idx="20">
                  <c:v>42000</c:v>
                </c:pt>
                <c:pt idx="21">
                  <c:v>42000</c:v>
                </c:pt>
                <c:pt idx="22">
                  <c:v>42000</c:v>
                </c:pt>
                <c:pt idx="23">
                  <c:v>42000</c:v>
                </c:pt>
                <c:pt idx="24">
                  <c:v>42000</c:v>
                </c:pt>
                <c:pt idx="25">
                  <c:v>42000</c:v>
                </c:pt>
                <c:pt idx="26">
                  <c:v>42000</c:v>
                </c:pt>
                <c:pt idx="27">
                  <c:v>46000</c:v>
                </c:pt>
                <c:pt idx="28">
                  <c:v>46000</c:v>
                </c:pt>
                <c:pt idx="29">
                  <c:v>46000</c:v>
                </c:pt>
                <c:pt idx="30">
                  <c:v>46000</c:v>
                </c:pt>
                <c:pt idx="31">
                  <c:v>46000</c:v>
                </c:pt>
                <c:pt idx="32">
                  <c:v>46000</c:v>
                </c:pt>
                <c:pt idx="33">
                  <c:v>46000</c:v>
                </c:pt>
                <c:pt idx="34">
                  <c:v>46000</c:v>
                </c:pt>
                <c:pt idx="35">
                  <c:v>48000</c:v>
                </c:pt>
                <c:pt idx="36">
                  <c:v>48000</c:v>
                </c:pt>
                <c:pt idx="37">
                  <c:v>48000</c:v>
                </c:pt>
                <c:pt idx="38">
                  <c:v>48000</c:v>
                </c:pt>
                <c:pt idx="39">
                  <c:v>48000</c:v>
                </c:pt>
                <c:pt idx="40">
                  <c:v>48000</c:v>
                </c:pt>
                <c:pt idx="41">
                  <c:v>48000</c:v>
                </c:pt>
                <c:pt idx="42">
                  <c:v>48000</c:v>
                </c:pt>
                <c:pt idx="43">
                  <c:v>50000</c:v>
                </c:pt>
                <c:pt idx="44">
                  <c:v>50000</c:v>
                </c:pt>
                <c:pt idx="45">
                  <c:v>50000</c:v>
                </c:pt>
                <c:pt idx="46">
                  <c:v>50000</c:v>
                </c:pt>
                <c:pt idx="47">
                  <c:v>50000</c:v>
                </c:pt>
                <c:pt idx="48">
                  <c:v>50000</c:v>
                </c:pt>
                <c:pt idx="49">
                  <c:v>52000</c:v>
                </c:pt>
                <c:pt idx="50">
                  <c:v>52000</c:v>
                </c:pt>
                <c:pt idx="51">
                  <c:v>52000</c:v>
                </c:pt>
              </c:numCache>
            </c:numRef>
          </c:val>
          <c:smooth val="0"/>
          <c:extLst>
            <c:ext xmlns:c16="http://schemas.microsoft.com/office/drawing/2014/chart" uri="{C3380CC4-5D6E-409C-BE32-E72D297353CC}">
              <c16:uniqueId val="{00000002-3CF1-4AF0-9469-FF336088CA8E}"/>
            </c:ext>
          </c:extLst>
        </c:ser>
        <c:dLbls>
          <c:showLegendKey val="0"/>
          <c:showVal val="0"/>
          <c:showCatName val="0"/>
          <c:showSerName val="0"/>
          <c:showPercent val="0"/>
          <c:showBubbleSize val="0"/>
        </c:dLbls>
        <c:smooth val="0"/>
        <c:axId val="1718715760"/>
        <c:axId val="1718716304"/>
      </c:lineChart>
      <c:catAx>
        <c:axId val="171871576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Year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6304"/>
        <c:crosses val="autoZero"/>
        <c:auto val="1"/>
        <c:lblAlgn val="ctr"/>
        <c:lblOffset val="100"/>
        <c:tickLblSkip val="5"/>
        <c:noMultiLvlLbl val="0"/>
      </c:catAx>
      <c:valAx>
        <c:axId val="1718716304"/>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8715760"/>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City of Thornton Water Supply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Firm Yield and Demand (AF)</a:t>
            </a:r>
            <a:endParaRPr lang="en-US" sz="1000" b="0" i="0" u="none" strike="noStrike" baseline="0">
              <a:solidFill>
                <a:srgbClr val="000000"/>
              </a:solidFill>
              <a:effectLst/>
              <a:latin typeface="Calibri"/>
              <a:cs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effectLst/>
                <a:latin typeface="Calibri"/>
              </a:rPr>
              <a:t>150,000 people by 2020, </a:t>
            </a:r>
            <a:r>
              <a:rPr lang="en-US" sz="1000" b="1" i="0" u="sng" strike="noStrike" baseline="0">
                <a:solidFill>
                  <a:srgbClr val="000000"/>
                </a:solidFill>
                <a:effectLst/>
                <a:latin typeface="Calibri"/>
              </a:rPr>
              <a:t>with accelerated Cooley East supply</a:t>
            </a:r>
            <a:endParaRPr lang="en-US" sz="1000" b="1" i="0" u="sng" strike="noStrike" baseline="0">
              <a:effectLst/>
            </a:endParaRPr>
          </a:p>
        </c:rich>
      </c:tx>
      <c:layout>
        <c:manualLayout>
          <c:xMode val="edge"/>
          <c:yMode val="edge"/>
          <c:x val="0.32683284457478007"/>
          <c:y val="1.2113055823542345E-2"/>
        </c:manualLayout>
      </c:layout>
      <c:overlay val="0"/>
    </c:title>
    <c:autoTitleDeleted val="0"/>
    <c:plotArea>
      <c:layout/>
      <c:lineChart>
        <c:grouping val="standard"/>
        <c:varyColors val="0"/>
        <c:ser>
          <c:idx val="1"/>
          <c:order val="0"/>
          <c:tx>
            <c:v>Demand Without Safety Factor</c:v>
          </c:tx>
          <c:spPr>
            <a:ln w="44450"/>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Accelerated'!$B$10:$B$61</c:f>
              <c:numCache>
                <c:formatCode>#,##0</c:formatCode>
                <c:ptCount val="52"/>
                <c:pt idx="0">
                  <c:v>28586.175319190566</c:v>
                </c:pt>
                <c:pt idx="1">
                  <c:v>29110.769177781862</c:v>
                </c:pt>
                <c:pt idx="2">
                  <c:v>29660.254568321601</c:v>
                </c:pt>
                <c:pt idx="3">
                  <c:v>30134.948501363629</c:v>
                </c:pt>
                <c:pt idx="4">
                  <c:v>30549.440504971233</c:v>
                </c:pt>
                <c:pt idx="5">
                  <c:v>30963.932508578837</c:v>
                </c:pt>
                <c:pt idx="6">
                  <c:v>31378.42451218643</c:v>
                </c:pt>
                <c:pt idx="7">
                  <c:v>31792.91651579403</c:v>
                </c:pt>
                <c:pt idx="8">
                  <c:v>32207.408519401626</c:v>
                </c:pt>
                <c:pt idx="9">
                  <c:v>32621.900523009223</c:v>
                </c:pt>
                <c:pt idx="10">
                  <c:v>33036.392526616823</c:v>
                </c:pt>
                <c:pt idx="11">
                  <c:v>33450.884530224415</c:v>
                </c:pt>
                <c:pt idx="12">
                  <c:v>33865.376533832015</c:v>
                </c:pt>
                <c:pt idx="13">
                  <c:v>34279.868537439608</c:v>
                </c:pt>
                <c:pt idx="14">
                  <c:v>34694.360541047208</c:v>
                </c:pt>
                <c:pt idx="15">
                  <c:v>35108.852544654801</c:v>
                </c:pt>
                <c:pt idx="16">
                  <c:v>35523.344548262408</c:v>
                </c:pt>
                <c:pt idx="17">
                  <c:v>35937.836551870001</c:v>
                </c:pt>
                <c:pt idx="18">
                  <c:v>36352.328555477594</c:v>
                </c:pt>
                <c:pt idx="19">
                  <c:v>36766.820559085194</c:v>
                </c:pt>
                <c:pt idx="20">
                  <c:v>37181.312562692794</c:v>
                </c:pt>
                <c:pt idx="21">
                  <c:v>37595.804566300387</c:v>
                </c:pt>
                <c:pt idx="22">
                  <c:v>38010.29656990798</c:v>
                </c:pt>
                <c:pt idx="23">
                  <c:v>38424.78857351558</c:v>
                </c:pt>
                <c:pt idx="24">
                  <c:v>38839.28057712318</c:v>
                </c:pt>
                <c:pt idx="25">
                  <c:v>39253.772580730772</c:v>
                </c:pt>
                <c:pt idx="26">
                  <c:v>39668.26458433838</c:v>
                </c:pt>
                <c:pt idx="27">
                  <c:v>40082.756587945973</c:v>
                </c:pt>
                <c:pt idx="28">
                  <c:v>40497.248591553565</c:v>
                </c:pt>
                <c:pt idx="29">
                  <c:v>40911.740595161158</c:v>
                </c:pt>
                <c:pt idx="30">
                  <c:v>41326.232598768765</c:v>
                </c:pt>
                <c:pt idx="31">
                  <c:v>41740.724602376358</c:v>
                </c:pt>
                <c:pt idx="32">
                  <c:v>42155.216605983951</c:v>
                </c:pt>
                <c:pt idx="33">
                  <c:v>42569.708609591558</c:v>
                </c:pt>
                <c:pt idx="34">
                  <c:v>42984.200613199151</c:v>
                </c:pt>
                <c:pt idx="35">
                  <c:v>43398.692616806744</c:v>
                </c:pt>
                <c:pt idx="36">
                  <c:v>43813.184620414344</c:v>
                </c:pt>
                <c:pt idx="37">
                  <c:v>44227.676624021944</c:v>
                </c:pt>
                <c:pt idx="38">
                  <c:v>44704.981764292446</c:v>
                </c:pt>
                <c:pt idx="39">
                  <c:v>44953.177735383702</c:v>
                </c:pt>
                <c:pt idx="40">
                  <c:v>45201.373706474958</c:v>
                </c:pt>
                <c:pt idx="41">
                  <c:v>45449.569677566215</c:v>
                </c:pt>
                <c:pt idx="42">
                  <c:v>45697.765648657471</c:v>
                </c:pt>
                <c:pt idx="43">
                  <c:v>45945.961619748734</c:v>
                </c:pt>
                <c:pt idx="44">
                  <c:v>46194.157590839983</c:v>
                </c:pt>
                <c:pt idx="45">
                  <c:v>46442.353561931239</c:v>
                </c:pt>
                <c:pt idx="46">
                  <c:v>46690.549533022502</c:v>
                </c:pt>
                <c:pt idx="47">
                  <c:v>46938.745504113758</c:v>
                </c:pt>
                <c:pt idx="48">
                  <c:v>47186.94147520508</c:v>
                </c:pt>
                <c:pt idx="49">
                  <c:v>47101.165022387395</c:v>
                </c:pt>
                <c:pt idx="50">
                  <c:v>47186.94147520508</c:v>
                </c:pt>
                <c:pt idx="51">
                  <c:v>47101.165022387395</c:v>
                </c:pt>
              </c:numCache>
            </c:numRef>
          </c:val>
          <c:smooth val="0"/>
          <c:extLst>
            <c:ext xmlns:c16="http://schemas.microsoft.com/office/drawing/2014/chart" uri="{C3380CC4-5D6E-409C-BE32-E72D297353CC}">
              <c16:uniqueId val="{00000000-369B-41A5-BD55-7280F4DC1841}"/>
            </c:ext>
          </c:extLst>
        </c:ser>
        <c:ser>
          <c:idx val="0"/>
          <c:order val="1"/>
          <c:tx>
            <c:v>Demand with Safety Factor</c:v>
          </c:tx>
          <c:spPr>
            <a:ln w="31750">
              <a:solidFill>
                <a:schemeClr val="accent2"/>
              </a:solidFill>
              <a:prstDash val="sysDot"/>
            </a:ln>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Accelerated'!$D$10:$D$61</c:f>
              <c:numCache>
                <c:formatCode>#,##0</c:formatCode>
                <c:ptCount val="52"/>
                <c:pt idx="0">
                  <c:v>30747.85821911562</c:v>
                </c:pt>
                <c:pt idx="1">
                  <c:v>31321.025583132032</c:v>
                </c:pt>
                <c:pt idx="2">
                  <c:v>31921.3892505736</c:v>
                </c:pt>
                <c:pt idx="3">
                  <c:v>32440.036325563968</c:v>
                </c:pt>
                <c:pt idx="4">
                  <c:v>32892.907218394495</c:v>
                </c:pt>
                <c:pt idx="5">
                  <c:v>33345.778111225023</c:v>
                </c:pt>
                <c:pt idx="6">
                  <c:v>33798.649004055544</c:v>
                </c:pt>
                <c:pt idx="7">
                  <c:v>34251.519896886071</c:v>
                </c:pt>
                <c:pt idx="8">
                  <c:v>34704.390789716592</c:v>
                </c:pt>
                <c:pt idx="9">
                  <c:v>35157.261682547112</c:v>
                </c:pt>
                <c:pt idx="10">
                  <c:v>35610.13257537764</c:v>
                </c:pt>
                <c:pt idx="11">
                  <c:v>36063.00346820816</c:v>
                </c:pt>
                <c:pt idx="12">
                  <c:v>36515.874361038681</c:v>
                </c:pt>
                <c:pt idx="13">
                  <c:v>36968.745253869201</c:v>
                </c:pt>
                <c:pt idx="14">
                  <c:v>37421.616146699729</c:v>
                </c:pt>
                <c:pt idx="15">
                  <c:v>37874.487039530242</c:v>
                </c:pt>
                <c:pt idx="16">
                  <c:v>38327.357932360777</c:v>
                </c:pt>
                <c:pt idx="17">
                  <c:v>38780.228825191298</c:v>
                </c:pt>
                <c:pt idx="18">
                  <c:v>39233.099718021818</c:v>
                </c:pt>
                <c:pt idx="19">
                  <c:v>39685.970610852339</c:v>
                </c:pt>
                <c:pt idx="20">
                  <c:v>40138.841503682866</c:v>
                </c:pt>
                <c:pt idx="21">
                  <c:v>40591.712396513387</c:v>
                </c:pt>
                <c:pt idx="22">
                  <c:v>41044.583289343907</c:v>
                </c:pt>
                <c:pt idx="23">
                  <c:v>41497.454182174428</c:v>
                </c:pt>
                <c:pt idx="24">
                  <c:v>41950.325075004956</c:v>
                </c:pt>
                <c:pt idx="25">
                  <c:v>42403.195967835476</c:v>
                </c:pt>
                <c:pt idx="26">
                  <c:v>42856.066860666004</c:v>
                </c:pt>
                <c:pt idx="27">
                  <c:v>43308.937753496524</c:v>
                </c:pt>
                <c:pt idx="28">
                  <c:v>43761.808646327045</c:v>
                </c:pt>
                <c:pt idx="29">
                  <c:v>44214.679539157565</c:v>
                </c:pt>
                <c:pt idx="30">
                  <c:v>44667.550431988093</c:v>
                </c:pt>
                <c:pt idx="31">
                  <c:v>45120.421324818613</c:v>
                </c:pt>
                <c:pt idx="32">
                  <c:v>45573.292217649134</c:v>
                </c:pt>
                <c:pt idx="33">
                  <c:v>46026.163110479669</c:v>
                </c:pt>
                <c:pt idx="34">
                  <c:v>46479.034003310182</c:v>
                </c:pt>
                <c:pt idx="35">
                  <c:v>46931.904896140702</c:v>
                </c:pt>
                <c:pt idx="36">
                  <c:v>47384.77578897123</c:v>
                </c:pt>
                <c:pt idx="37">
                  <c:v>47837.646681801751</c:v>
                </c:pt>
                <c:pt idx="38">
                  <c:v>48359.146742467674</c:v>
                </c:pt>
                <c:pt idx="39">
                  <c:v>48630.323821993305</c:v>
                </c:pt>
                <c:pt idx="40">
                  <c:v>48901.500901518935</c:v>
                </c:pt>
                <c:pt idx="41">
                  <c:v>49172.677981044566</c:v>
                </c:pt>
                <c:pt idx="42">
                  <c:v>49443.855060570197</c:v>
                </c:pt>
                <c:pt idx="43">
                  <c:v>49715.032140095842</c:v>
                </c:pt>
                <c:pt idx="44">
                  <c:v>49986.209219621465</c:v>
                </c:pt>
                <c:pt idx="45">
                  <c:v>50257.386299147096</c:v>
                </c:pt>
                <c:pt idx="46">
                  <c:v>50528.563378672734</c:v>
                </c:pt>
                <c:pt idx="47">
                  <c:v>50799.740458198365</c:v>
                </c:pt>
                <c:pt idx="48">
                  <c:v>51070.917537724068</c:v>
                </c:pt>
                <c:pt idx="49">
                  <c:v>51070.917537724068</c:v>
                </c:pt>
                <c:pt idx="50">
                  <c:v>51070.917537724068</c:v>
                </c:pt>
                <c:pt idx="51">
                  <c:v>51070.917537724068</c:v>
                </c:pt>
              </c:numCache>
            </c:numRef>
          </c:val>
          <c:smooth val="0"/>
          <c:extLst>
            <c:ext xmlns:c16="http://schemas.microsoft.com/office/drawing/2014/chart" uri="{C3380CC4-5D6E-409C-BE32-E72D297353CC}">
              <c16:uniqueId val="{00000001-369B-41A5-BD55-7280F4DC1841}"/>
            </c:ext>
          </c:extLst>
        </c:ser>
        <c:ser>
          <c:idx val="2"/>
          <c:order val="2"/>
          <c:tx>
            <c:v>Supply</c:v>
          </c:tx>
          <c:spPr>
            <a:ln w="38100">
              <a:solidFill>
                <a:schemeClr val="tx2"/>
              </a:solidFill>
            </a:ln>
          </c:spPr>
          <c:marker>
            <c:symbol val="none"/>
          </c:marker>
          <c:cat>
            <c:numRef>
              <c:f>'Data by Year CE Accelerated'!$A$10:$A$61</c:f>
              <c:numCache>
                <c:formatCode>General</c:formatCode>
                <c:ptCount val="52"/>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pt idx="34">
                  <c:v>2051</c:v>
                </c:pt>
                <c:pt idx="35">
                  <c:v>2052</c:v>
                </c:pt>
                <c:pt idx="36">
                  <c:v>2053</c:v>
                </c:pt>
                <c:pt idx="37">
                  <c:v>2054</c:v>
                </c:pt>
                <c:pt idx="38">
                  <c:v>2055</c:v>
                </c:pt>
                <c:pt idx="39">
                  <c:v>2056</c:v>
                </c:pt>
                <c:pt idx="40">
                  <c:v>2057</c:v>
                </c:pt>
                <c:pt idx="41">
                  <c:v>2058</c:v>
                </c:pt>
                <c:pt idx="42">
                  <c:v>2059</c:v>
                </c:pt>
                <c:pt idx="43">
                  <c:v>2060</c:v>
                </c:pt>
                <c:pt idx="44">
                  <c:v>2061</c:v>
                </c:pt>
                <c:pt idx="45">
                  <c:v>2062</c:v>
                </c:pt>
                <c:pt idx="46">
                  <c:v>2063</c:v>
                </c:pt>
                <c:pt idx="47">
                  <c:v>2064</c:v>
                </c:pt>
                <c:pt idx="48">
                  <c:v>2065</c:v>
                </c:pt>
                <c:pt idx="49">
                  <c:v>2066</c:v>
                </c:pt>
                <c:pt idx="50">
                  <c:v>2067</c:v>
                </c:pt>
                <c:pt idx="51">
                  <c:v>2068</c:v>
                </c:pt>
              </c:numCache>
            </c:numRef>
          </c:cat>
          <c:val>
            <c:numRef>
              <c:f>'Data by Year CE Accelerated'!$E$10:$E$61</c:f>
              <c:numCache>
                <c:formatCode>#,##0</c:formatCode>
                <c:ptCount val="52"/>
                <c:pt idx="0">
                  <c:v>28700</c:v>
                </c:pt>
                <c:pt idx="1">
                  <c:v>28700</c:v>
                </c:pt>
                <c:pt idx="2">
                  <c:v>28700</c:v>
                </c:pt>
                <c:pt idx="3">
                  <c:v>30000</c:v>
                </c:pt>
                <c:pt idx="4">
                  <c:v>32500</c:v>
                </c:pt>
                <c:pt idx="5">
                  <c:v>32500</c:v>
                </c:pt>
                <c:pt idx="6">
                  <c:v>32500</c:v>
                </c:pt>
                <c:pt idx="7">
                  <c:v>32500</c:v>
                </c:pt>
                <c:pt idx="8">
                  <c:v>32500</c:v>
                </c:pt>
                <c:pt idx="9">
                  <c:v>37500</c:v>
                </c:pt>
                <c:pt idx="10">
                  <c:v>37500</c:v>
                </c:pt>
                <c:pt idx="11">
                  <c:v>37500</c:v>
                </c:pt>
                <c:pt idx="12">
                  <c:v>37500</c:v>
                </c:pt>
                <c:pt idx="13">
                  <c:v>37500</c:v>
                </c:pt>
                <c:pt idx="14">
                  <c:v>37500</c:v>
                </c:pt>
                <c:pt idx="15">
                  <c:v>38500</c:v>
                </c:pt>
                <c:pt idx="16">
                  <c:v>38500</c:v>
                </c:pt>
                <c:pt idx="17">
                  <c:v>43500</c:v>
                </c:pt>
                <c:pt idx="18">
                  <c:v>43500</c:v>
                </c:pt>
                <c:pt idx="19">
                  <c:v>43500</c:v>
                </c:pt>
                <c:pt idx="20">
                  <c:v>43500</c:v>
                </c:pt>
                <c:pt idx="21">
                  <c:v>43500</c:v>
                </c:pt>
                <c:pt idx="22">
                  <c:v>43500</c:v>
                </c:pt>
                <c:pt idx="23">
                  <c:v>43500</c:v>
                </c:pt>
                <c:pt idx="24">
                  <c:v>43500</c:v>
                </c:pt>
                <c:pt idx="25">
                  <c:v>43500</c:v>
                </c:pt>
                <c:pt idx="26">
                  <c:v>43500</c:v>
                </c:pt>
                <c:pt idx="27">
                  <c:v>47500</c:v>
                </c:pt>
                <c:pt idx="28">
                  <c:v>47500</c:v>
                </c:pt>
                <c:pt idx="29">
                  <c:v>47500</c:v>
                </c:pt>
                <c:pt idx="30">
                  <c:v>47500</c:v>
                </c:pt>
                <c:pt idx="31">
                  <c:v>47500</c:v>
                </c:pt>
                <c:pt idx="32">
                  <c:v>47500</c:v>
                </c:pt>
                <c:pt idx="33">
                  <c:v>47500</c:v>
                </c:pt>
                <c:pt idx="34">
                  <c:v>47500</c:v>
                </c:pt>
                <c:pt idx="35">
                  <c:v>49500</c:v>
                </c:pt>
                <c:pt idx="36">
                  <c:v>49500</c:v>
                </c:pt>
                <c:pt idx="37">
                  <c:v>49500</c:v>
                </c:pt>
                <c:pt idx="38">
                  <c:v>49500</c:v>
                </c:pt>
                <c:pt idx="39">
                  <c:v>49500</c:v>
                </c:pt>
                <c:pt idx="40">
                  <c:v>49500</c:v>
                </c:pt>
                <c:pt idx="41">
                  <c:v>49500</c:v>
                </c:pt>
                <c:pt idx="42">
                  <c:v>49500</c:v>
                </c:pt>
                <c:pt idx="43">
                  <c:v>51500</c:v>
                </c:pt>
                <c:pt idx="44">
                  <c:v>51500</c:v>
                </c:pt>
                <c:pt idx="45">
                  <c:v>51500</c:v>
                </c:pt>
                <c:pt idx="46">
                  <c:v>51500</c:v>
                </c:pt>
                <c:pt idx="47">
                  <c:v>51500</c:v>
                </c:pt>
                <c:pt idx="48">
                  <c:v>51500</c:v>
                </c:pt>
                <c:pt idx="49">
                  <c:v>53500</c:v>
                </c:pt>
                <c:pt idx="50">
                  <c:v>53500</c:v>
                </c:pt>
                <c:pt idx="51">
                  <c:v>53500</c:v>
                </c:pt>
              </c:numCache>
            </c:numRef>
          </c:val>
          <c:smooth val="0"/>
          <c:extLst>
            <c:ext xmlns:c16="http://schemas.microsoft.com/office/drawing/2014/chart" uri="{C3380CC4-5D6E-409C-BE32-E72D297353CC}">
              <c16:uniqueId val="{00000002-369B-41A5-BD55-7280F4DC1841}"/>
            </c:ext>
          </c:extLst>
        </c:ser>
        <c:dLbls>
          <c:showLegendKey val="0"/>
          <c:showVal val="0"/>
          <c:showCatName val="0"/>
          <c:showSerName val="0"/>
          <c:showPercent val="0"/>
          <c:showBubbleSize val="0"/>
        </c:dLbls>
        <c:smooth val="0"/>
        <c:axId val="1716990928"/>
        <c:axId val="1688092640"/>
      </c:lineChart>
      <c:catAx>
        <c:axId val="171699092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Year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88092640"/>
        <c:crosses val="autoZero"/>
        <c:auto val="1"/>
        <c:lblAlgn val="ctr"/>
        <c:lblOffset val="100"/>
        <c:tickLblSkip val="5"/>
        <c:noMultiLvlLbl val="0"/>
      </c:catAx>
      <c:valAx>
        <c:axId val="168809264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Annual Firm Yield / Demand (AF)</a:t>
                </a:r>
              </a:p>
            </c:rich>
          </c:tx>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16990928"/>
        <c:crosses val="autoZero"/>
        <c:crossBetween val="midCat"/>
        <c:majorUnit val="50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b"/>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90" workbookViewId="0"/>
  </sheetViews>
  <pageMargins left="0.7" right="0.7" top="0.75" bottom="0.75" header="0.3" footer="0.3"/>
  <pageSetup orientation="landscape" r:id="rId1"/>
  <headerFooter>
    <oddFooter>&amp;L&amp;8&amp;Z&amp;F&amp;R&amp;8&amp;D</oddFooter>
  </headerFooter>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456557</xdr:colOff>
      <xdr:row>62</xdr:row>
      <xdr:rowOff>18218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1757" cy="10057568"/>
        </a:xfrm>
        <a:prstGeom prst="rect">
          <a:avLst/>
        </a:prstGeom>
      </xdr:spPr>
    </xdr:pic>
    <xdr:clientData/>
  </xdr:twoCellAnchor>
  <xdr:twoCellAnchor editAs="oneCell">
    <xdr:from>
      <xdr:col>13</xdr:col>
      <xdr:colOff>1</xdr:colOff>
      <xdr:row>0</xdr:row>
      <xdr:rowOff>0</xdr:rowOff>
    </xdr:from>
    <xdr:to>
      <xdr:col>26</xdr:col>
      <xdr:colOff>93</xdr:colOff>
      <xdr:row>19</xdr:row>
      <xdr:rowOff>85725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4801" y="0"/>
          <a:ext cx="7924892" cy="3162300"/>
        </a:xfrm>
        <a:prstGeom prst="rect">
          <a:avLst/>
        </a:prstGeom>
      </xdr:spPr>
    </xdr:pic>
    <xdr:clientData/>
  </xdr:twoCellAnchor>
  <xdr:twoCellAnchor editAs="oneCell">
    <xdr:from>
      <xdr:col>12</xdr:col>
      <xdr:colOff>590551</xdr:colOff>
      <xdr:row>21</xdr:row>
      <xdr:rowOff>57151</xdr:rowOff>
    </xdr:from>
    <xdr:to>
      <xdr:col>25</xdr:col>
      <xdr:colOff>590551</xdr:colOff>
      <xdr:row>43</xdr:row>
      <xdr:rowOff>123206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05751" y="3457576"/>
          <a:ext cx="7924800" cy="3628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0.67449</cdr:x>
      <cdr:y>0.36339</cdr:y>
    </cdr:from>
    <cdr:to>
      <cdr:x>0.69892</cdr:x>
      <cdr:y>0.45222</cdr:y>
    </cdr:to>
    <cdr:sp macro="" textlink="">
      <cdr:nvSpPr>
        <cdr:cNvPr id="23" name="Straight Arrow Connector 22"/>
        <cdr:cNvSpPr/>
      </cdr:nvSpPr>
      <cdr:spPr>
        <a:xfrm xmlns:a="http://schemas.openxmlformats.org/drawingml/2006/main" rot="10800000" flipH="1">
          <a:off x="5841998" y="2285999"/>
          <a:ext cx="211669" cy="558798"/>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0.61252</cdr:x>
      <cdr:y>0.45651</cdr:y>
    </cdr:from>
    <cdr:to>
      <cdr:x>0.75354</cdr:x>
      <cdr:y>0.49684</cdr:y>
    </cdr:to>
    <cdr:sp macro="" textlink="">
      <cdr:nvSpPr>
        <cdr:cNvPr id="24" name="TextBox 1"/>
        <cdr:cNvSpPr txBox="1"/>
      </cdr:nvSpPr>
      <cdr:spPr>
        <a:xfrm xmlns:a="http://schemas.openxmlformats.org/drawingml/2006/main">
          <a:off x="5305279" y="2871805"/>
          <a:ext cx="122143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0.79277</cdr:x>
      <cdr:y>0.34455</cdr:y>
    </cdr:from>
    <cdr:to>
      <cdr:x>0.81818</cdr:x>
      <cdr:y>0.44011</cdr:y>
    </cdr:to>
    <cdr:sp macro="" textlink="">
      <cdr:nvSpPr>
        <cdr:cNvPr id="27" name="Straight Arrow Connector 26"/>
        <cdr:cNvSpPr/>
      </cdr:nvSpPr>
      <cdr:spPr>
        <a:xfrm xmlns:a="http://schemas.openxmlformats.org/drawingml/2006/main" rot="10800000">
          <a:off x="6866467" y="2167465"/>
          <a:ext cx="220132" cy="60113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0.78068</cdr:x>
      <cdr:y>0.44599</cdr:y>
    </cdr:from>
    <cdr:to>
      <cdr:x>0.89057</cdr:x>
      <cdr:y>0.51952</cdr:y>
    </cdr:to>
    <cdr:sp macro="" textlink="">
      <cdr:nvSpPr>
        <cdr:cNvPr id="28" name="TextBox 1"/>
        <cdr:cNvSpPr txBox="1"/>
      </cdr:nvSpPr>
      <cdr:spPr>
        <a:xfrm xmlns:a="http://schemas.openxmlformats.org/drawingml/2006/main">
          <a:off x="6761815" y="2805627"/>
          <a:ext cx="951801" cy="4625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a:p xmlns:a="http://schemas.openxmlformats.org/drawingml/2006/main">
          <a:pPr algn="ctr"/>
          <a:r>
            <a:rPr lang="en-US" sz="1100"/>
            <a:t>Exchange</a:t>
          </a:r>
        </a:p>
      </cdr:txBody>
    </cdr:sp>
  </cdr:relSizeAnchor>
  <cdr:relSizeAnchor xmlns:cdr="http://schemas.openxmlformats.org/drawingml/2006/chartDrawing">
    <cdr:from>
      <cdr:x>0.89443</cdr:x>
      <cdr:y>0.42789</cdr:y>
    </cdr:from>
    <cdr:to>
      <cdr:x>0.95965</cdr:x>
      <cdr:y>0.5074</cdr:y>
    </cdr:to>
    <cdr:sp macro="" textlink="">
      <cdr:nvSpPr>
        <cdr:cNvPr id="54" name="TextBox 1"/>
        <cdr:cNvSpPr txBox="1"/>
      </cdr:nvSpPr>
      <cdr:spPr>
        <a:xfrm xmlns:a="http://schemas.openxmlformats.org/drawingml/2006/main">
          <a:off x="7747000" y="2691743"/>
          <a:ext cx="564931" cy="500190"/>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Zadel</a:t>
          </a:r>
        </a:p>
        <a:p xmlns:a="http://schemas.openxmlformats.org/drawingml/2006/main">
          <a:pPr algn="ctr"/>
          <a:r>
            <a:rPr lang="en-US" sz="1100"/>
            <a:t>Exchange</a:t>
          </a:r>
        </a:p>
      </cdr:txBody>
    </cdr:sp>
  </cdr:relSizeAnchor>
  <cdr:relSizeAnchor xmlns:cdr="http://schemas.openxmlformats.org/drawingml/2006/chartDrawing">
    <cdr:from>
      <cdr:x>0.84262</cdr:x>
      <cdr:y>0.32705</cdr:y>
    </cdr:from>
    <cdr:to>
      <cdr:x>0.93353</cdr:x>
      <cdr:y>0.43069</cdr:y>
    </cdr:to>
    <cdr:sp macro="" textlink="">
      <cdr:nvSpPr>
        <cdr:cNvPr id="55" name="Straight Arrow Connector 54"/>
        <cdr:cNvSpPr/>
      </cdr:nvSpPr>
      <cdr:spPr>
        <a:xfrm xmlns:a="http://schemas.openxmlformats.org/drawingml/2006/main" rot="10800000">
          <a:off x="7298267" y="2057400"/>
          <a:ext cx="787399" cy="651932"/>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0.21212</cdr:x>
      <cdr:y>0.46972</cdr:y>
    </cdr:from>
    <cdr:to>
      <cdr:x>0.24731</cdr:x>
      <cdr:y>0.53836</cdr:y>
    </cdr:to>
    <cdr:sp macro="" textlink="">
      <cdr:nvSpPr>
        <cdr:cNvPr id="23" name="Straight Arrow Connector 22"/>
        <cdr:cNvSpPr/>
      </cdr:nvSpPr>
      <cdr:spPr>
        <a:xfrm xmlns:a="http://schemas.openxmlformats.org/drawingml/2006/main" rot="10800000">
          <a:off x="1837288" y="2954857"/>
          <a:ext cx="304795" cy="43179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0.24302</cdr:x>
      <cdr:y>0.54266</cdr:y>
    </cdr:from>
    <cdr:to>
      <cdr:x>0.38404</cdr:x>
      <cdr:y>0.58299</cdr:y>
    </cdr:to>
    <cdr:sp macro="" textlink="">
      <cdr:nvSpPr>
        <cdr:cNvPr id="24" name="TextBox 1"/>
        <cdr:cNvSpPr txBox="1"/>
      </cdr:nvSpPr>
      <cdr:spPr>
        <a:xfrm xmlns:a="http://schemas.openxmlformats.org/drawingml/2006/main">
          <a:off x="2104925" y="3413703"/>
          <a:ext cx="1221431" cy="253705"/>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0.38699</cdr:x>
      <cdr:y>0.38558</cdr:y>
    </cdr:from>
    <cdr:to>
      <cdr:x>0.52394</cdr:x>
      <cdr:y>0.46299</cdr:y>
    </cdr:to>
    <cdr:sp macro="" textlink="">
      <cdr:nvSpPr>
        <cdr:cNvPr id="27" name="Straight Arrow Connector 26"/>
        <cdr:cNvSpPr/>
      </cdr:nvSpPr>
      <cdr:spPr>
        <a:xfrm xmlns:a="http://schemas.openxmlformats.org/drawingml/2006/main" rot="10800000">
          <a:off x="3351881" y="2425566"/>
          <a:ext cx="1186179" cy="48696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0.52067</cdr:x>
      <cdr:y>0.45408</cdr:y>
    </cdr:from>
    <cdr:to>
      <cdr:x>0.63056</cdr:x>
      <cdr:y>0.49441</cdr:y>
    </cdr:to>
    <cdr:sp macro="" textlink="">
      <cdr:nvSpPr>
        <cdr:cNvPr id="28" name="TextBox 1"/>
        <cdr:cNvSpPr txBox="1"/>
      </cdr:nvSpPr>
      <cdr:spPr>
        <a:xfrm xmlns:a="http://schemas.openxmlformats.org/drawingml/2006/main">
          <a:off x="4509737" y="2856481"/>
          <a:ext cx="951802"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0.60533</cdr:x>
      <cdr:y>0.39559</cdr:y>
    </cdr:from>
    <cdr:to>
      <cdr:x>0.66347</cdr:x>
      <cdr:y>0.43591</cdr:y>
    </cdr:to>
    <cdr:sp macro="" textlink="">
      <cdr:nvSpPr>
        <cdr:cNvPr id="54" name="TextBox 1"/>
        <cdr:cNvSpPr txBox="1"/>
      </cdr:nvSpPr>
      <cdr:spPr>
        <a:xfrm xmlns:a="http://schemas.openxmlformats.org/drawingml/2006/main">
          <a:off x="5242970" y="2488540"/>
          <a:ext cx="503574" cy="253642"/>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Zadel</a:t>
          </a:r>
        </a:p>
      </cdr:txBody>
    </cdr:sp>
  </cdr:relSizeAnchor>
  <cdr:relSizeAnchor xmlns:cdr="http://schemas.openxmlformats.org/drawingml/2006/chartDrawing">
    <cdr:from>
      <cdr:x>0.40532</cdr:x>
      <cdr:y>0.37243</cdr:y>
    </cdr:from>
    <cdr:to>
      <cdr:x>0.60606</cdr:x>
      <cdr:y>0.40377</cdr:y>
    </cdr:to>
    <cdr:sp macro="" textlink="">
      <cdr:nvSpPr>
        <cdr:cNvPr id="55" name="Straight Arrow Connector 54"/>
        <cdr:cNvSpPr/>
      </cdr:nvSpPr>
      <cdr:spPr>
        <a:xfrm xmlns:a="http://schemas.openxmlformats.org/drawingml/2006/main" rot="10800000">
          <a:off x="3510603" y="2342847"/>
          <a:ext cx="1738690" cy="19715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0.57966</cdr:x>
      <cdr:y>0.14682</cdr:y>
    </cdr:from>
    <cdr:to>
      <cdr:x>0.67257</cdr:x>
      <cdr:y>0.18318</cdr:y>
    </cdr:to>
    <cdr:sp macro="" textlink="">
      <cdr:nvSpPr>
        <cdr:cNvPr id="16" name="TextBox 1"/>
        <cdr:cNvSpPr txBox="1"/>
      </cdr:nvSpPr>
      <cdr:spPr>
        <a:xfrm xmlns:a="http://schemas.openxmlformats.org/drawingml/2006/main">
          <a:off x="5020695" y="923605"/>
          <a:ext cx="804731" cy="228731"/>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0.51565</cdr:x>
      <cdr:y>0.51946</cdr:y>
    </cdr:from>
    <cdr:to>
      <cdr:x>0.5738</cdr:x>
      <cdr:y>0.55978</cdr:y>
    </cdr:to>
    <cdr:sp macro="" textlink="">
      <cdr:nvSpPr>
        <cdr:cNvPr id="17" name="TextBox 1"/>
        <cdr:cNvSpPr txBox="1"/>
      </cdr:nvSpPr>
      <cdr:spPr>
        <a:xfrm xmlns:a="http://schemas.openxmlformats.org/drawingml/2006/main">
          <a:off x="4466239" y="3267800"/>
          <a:ext cx="503660" cy="253642"/>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0.30987</cdr:x>
      <cdr:y>0.4428</cdr:y>
    </cdr:from>
    <cdr:to>
      <cdr:x>0.51515</cdr:x>
      <cdr:y>0.52759</cdr:y>
    </cdr:to>
    <cdr:sp macro="" textlink="">
      <cdr:nvSpPr>
        <cdr:cNvPr id="18" name="Straight Arrow Connector 17"/>
        <cdr:cNvSpPr/>
      </cdr:nvSpPr>
      <cdr:spPr>
        <a:xfrm xmlns:a="http://schemas.openxmlformats.org/drawingml/2006/main" rot="10800000">
          <a:off x="2683896" y="2785552"/>
          <a:ext cx="1778012" cy="533391"/>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0.44575</cdr:x>
      <cdr:y>0.17093</cdr:y>
    </cdr:from>
    <cdr:to>
      <cdr:x>0.58358</cdr:x>
      <cdr:y>0.28937</cdr:y>
    </cdr:to>
    <cdr:sp macro="" textlink="">
      <cdr:nvSpPr>
        <cdr:cNvPr id="19" name="Straight Arrow Connector 18"/>
        <cdr:cNvSpPr/>
      </cdr:nvSpPr>
      <cdr:spPr>
        <a:xfrm xmlns:a="http://schemas.openxmlformats.org/drawingml/2006/main" rot="10800000" flipV="1">
          <a:off x="3860783" y="1075275"/>
          <a:ext cx="1193801" cy="74507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0.67253</cdr:x>
      <cdr:y>0.17093</cdr:y>
    </cdr:from>
    <cdr:to>
      <cdr:x>0.96187</cdr:x>
      <cdr:y>0.1782</cdr:y>
    </cdr:to>
    <cdr:sp macro="" textlink="">
      <cdr:nvSpPr>
        <cdr:cNvPr id="20" name="Straight Arrow Connector 19"/>
        <cdr:cNvSpPr/>
      </cdr:nvSpPr>
      <cdr:spPr>
        <a:xfrm xmlns:a="http://schemas.openxmlformats.org/drawingml/2006/main" rot="10800000" flipH="1" flipV="1">
          <a:off x="5825080" y="1075275"/>
          <a:ext cx="2506089" cy="4573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0.14272</cdr:x>
      <cdr:y>0.47241</cdr:y>
    </cdr:from>
    <cdr:to>
      <cdr:x>0.17693</cdr:x>
      <cdr:y>0.51548</cdr:y>
    </cdr:to>
    <cdr:sp macro="" textlink="">
      <cdr:nvSpPr>
        <cdr:cNvPr id="34" name="Straight Arrow Connector 33"/>
        <cdr:cNvSpPr/>
      </cdr:nvSpPr>
      <cdr:spPr>
        <a:xfrm xmlns:a="http://schemas.openxmlformats.org/drawingml/2006/main" rot="10800000">
          <a:off x="1236133" y="2971800"/>
          <a:ext cx="296334" cy="270933"/>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0.17705</cdr:x>
      <cdr:y>0.5121</cdr:y>
    </cdr:from>
    <cdr:to>
      <cdr:x>0.31807</cdr:x>
      <cdr:y>0.55243</cdr:y>
    </cdr:to>
    <cdr:sp macro="" textlink="">
      <cdr:nvSpPr>
        <cdr:cNvPr id="35" name="TextBox 1"/>
        <cdr:cNvSpPr txBox="1"/>
      </cdr:nvSpPr>
      <cdr:spPr>
        <a:xfrm xmlns:a="http://schemas.openxmlformats.org/drawingml/2006/main">
          <a:off x="1533458" y="3221487"/>
          <a:ext cx="1221431" cy="253705"/>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0.33431</cdr:x>
      <cdr:y>0.40915</cdr:y>
    </cdr:from>
    <cdr:to>
      <cdr:x>0.50538</cdr:x>
      <cdr:y>0.43472</cdr:y>
    </cdr:to>
    <cdr:sp macro="" textlink="">
      <cdr:nvSpPr>
        <cdr:cNvPr id="37" name="Straight Arrow Connector 36"/>
        <cdr:cNvSpPr/>
      </cdr:nvSpPr>
      <cdr:spPr>
        <a:xfrm xmlns:a="http://schemas.openxmlformats.org/drawingml/2006/main" rot="10800000">
          <a:off x="2895600" y="2573866"/>
          <a:ext cx="1481698" cy="160840"/>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0.50453</cdr:x>
      <cdr:y>0.4262</cdr:y>
    </cdr:from>
    <cdr:to>
      <cdr:x>0.61442</cdr:x>
      <cdr:y>0.46653</cdr:y>
    </cdr:to>
    <cdr:sp macro="" textlink="">
      <cdr:nvSpPr>
        <cdr:cNvPr id="38" name="TextBox 1"/>
        <cdr:cNvSpPr txBox="1"/>
      </cdr:nvSpPr>
      <cdr:spPr>
        <a:xfrm xmlns:a="http://schemas.openxmlformats.org/drawingml/2006/main">
          <a:off x="4369936" y="2681110"/>
          <a:ext cx="95180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0.56304</cdr:x>
      <cdr:y>0.16902</cdr:y>
    </cdr:from>
    <cdr:to>
      <cdr:x>0.65594</cdr:x>
      <cdr:y>0.20539</cdr:y>
    </cdr:to>
    <cdr:sp macro="" textlink="">
      <cdr:nvSpPr>
        <cdr:cNvPr id="43" name="TextBox 1"/>
        <cdr:cNvSpPr txBox="1"/>
      </cdr:nvSpPr>
      <cdr:spPr>
        <a:xfrm xmlns:a="http://schemas.openxmlformats.org/drawingml/2006/main">
          <a:off x="4876692" y="1063250"/>
          <a:ext cx="804645" cy="228794"/>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0.45796</cdr:x>
      <cdr:y>0.47302</cdr:y>
    </cdr:from>
    <cdr:to>
      <cdr:x>0.51611</cdr:x>
      <cdr:y>0.51334</cdr:y>
    </cdr:to>
    <cdr:sp macro="" textlink="">
      <cdr:nvSpPr>
        <cdr:cNvPr id="44" name="TextBox 1"/>
        <cdr:cNvSpPr txBox="1"/>
      </cdr:nvSpPr>
      <cdr:spPr>
        <a:xfrm xmlns:a="http://schemas.openxmlformats.org/drawingml/2006/main">
          <a:off x="3966574" y="2975623"/>
          <a:ext cx="503660" cy="253643"/>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0.24927</cdr:x>
      <cdr:y>0.42799</cdr:y>
    </cdr:from>
    <cdr:to>
      <cdr:x>0.45943</cdr:x>
      <cdr:y>0.48318</cdr:y>
    </cdr:to>
    <cdr:sp macro="" textlink="">
      <cdr:nvSpPr>
        <cdr:cNvPr id="45" name="Straight Arrow Connector 44"/>
        <cdr:cNvSpPr/>
      </cdr:nvSpPr>
      <cdr:spPr>
        <a:xfrm xmlns:a="http://schemas.openxmlformats.org/drawingml/2006/main" rot="10800000">
          <a:off x="2158999" y="2692399"/>
          <a:ext cx="1820349" cy="347145"/>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0.38123</cdr:x>
      <cdr:y>0.18843</cdr:y>
    </cdr:from>
    <cdr:to>
      <cdr:x>0.56305</cdr:x>
      <cdr:y>0.38089</cdr:y>
    </cdr:to>
    <cdr:sp macro="" textlink="">
      <cdr:nvSpPr>
        <cdr:cNvPr id="48" name="Straight Arrow Connector 47"/>
        <cdr:cNvSpPr/>
      </cdr:nvSpPr>
      <cdr:spPr>
        <a:xfrm xmlns:a="http://schemas.openxmlformats.org/drawingml/2006/main" rot="10800000" flipV="1">
          <a:off x="3301999" y="1185363"/>
          <a:ext cx="1574801" cy="1210704"/>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0.65591</cdr:x>
      <cdr:y>0.17894</cdr:y>
    </cdr:from>
    <cdr:to>
      <cdr:x>0.86413</cdr:x>
      <cdr:y>0.19515</cdr:y>
    </cdr:to>
    <cdr:sp macro="" textlink="">
      <cdr:nvSpPr>
        <cdr:cNvPr id="15" name="Straight Arrow Connector 14"/>
        <cdr:cNvSpPr/>
      </cdr:nvSpPr>
      <cdr:spPr>
        <a:xfrm xmlns:a="http://schemas.openxmlformats.org/drawingml/2006/main" rot="10800000" flipH="1" flipV="1">
          <a:off x="5681100" y="1125663"/>
          <a:ext cx="1803434" cy="102003"/>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0.13685</cdr:x>
      <cdr:y>0.51952</cdr:y>
    </cdr:from>
    <cdr:to>
      <cdr:x>0.17106</cdr:x>
      <cdr:y>0.56259</cdr:y>
    </cdr:to>
    <cdr:sp macro="" textlink="">
      <cdr:nvSpPr>
        <cdr:cNvPr id="34" name="Straight Arrow Connector 33"/>
        <cdr:cNvSpPr/>
      </cdr:nvSpPr>
      <cdr:spPr>
        <a:xfrm xmlns:a="http://schemas.openxmlformats.org/drawingml/2006/main" rot="10800000">
          <a:off x="1185355" y="3268139"/>
          <a:ext cx="296307" cy="270942"/>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0.17118</cdr:x>
      <cdr:y>0.55921</cdr:y>
    </cdr:from>
    <cdr:to>
      <cdr:x>0.3122</cdr:x>
      <cdr:y>0.59954</cdr:y>
    </cdr:to>
    <cdr:sp macro="" textlink="">
      <cdr:nvSpPr>
        <cdr:cNvPr id="35" name="TextBox 1"/>
        <cdr:cNvSpPr txBox="1"/>
      </cdr:nvSpPr>
      <cdr:spPr>
        <a:xfrm xmlns:a="http://schemas.openxmlformats.org/drawingml/2006/main">
          <a:off x="1482701" y="3517818"/>
          <a:ext cx="1221430"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West Spratt Platte</a:t>
          </a:r>
        </a:p>
      </cdr:txBody>
    </cdr:sp>
  </cdr:relSizeAnchor>
  <cdr:relSizeAnchor xmlns:cdr="http://schemas.openxmlformats.org/drawingml/2006/chartDrawing">
    <cdr:from>
      <cdr:x>0.15738</cdr:x>
      <cdr:y>0.4926</cdr:y>
    </cdr:from>
    <cdr:to>
      <cdr:x>0.31183</cdr:x>
      <cdr:y>0.54105</cdr:y>
    </cdr:to>
    <cdr:sp macro="" textlink="">
      <cdr:nvSpPr>
        <cdr:cNvPr id="37" name="Straight Arrow Connector 36"/>
        <cdr:cNvSpPr/>
      </cdr:nvSpPr>
      <cdr:spPr>
        <a:xfrm xmlns:a="http://schemas.openxmlformats.org/drawingml/2006/main" rot="10800000">
          <a:off x="1363145" y="3098788"/>
          <a:ext cx="1337753" cy="304786"/>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0.31098</cdr:x>
      <cdr:y>0.53253</cdr:y>
    </cdr:from>
    <cdr:to>
      <cdr:x>0.42087</cdr:x>
      <cdr:y>0.57286</cdr:y>
    </cdr:to>
    <cdr:sp macro="" textlink="">
      <cdr:nvSpPr>
        <cdr:cNvPr id="38" name="TextBox 1"/>
        <cdr:cNvSpPr txBox="1"/>
      </cdr:nvSpPr>
      <cdr:spPr>
        <a:xfrm xmlns:a="http://schemas.openxmlformats.org/drawingml/2006/main">
          <a:off x="2693536" y="3349977"/>
          <a:ext cx="951801" cy="253706"/>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Cooley East</a:t>
          </a:r>
        </a:p>
      </cdr:txBody>
    </cdr:sp>
  </cdr:relSizeAnchor>
  <cdr:relSizeAnchor xmlns:cdr="http://schemas.openxmlformats.org/drawingml/2006/chartDrawing">
    <cdr:from>
      <cdr:x>0.55815</cdr:x>
      <cdr:y>0.17575</cdr:y>
    </cdr:from>
    <cdr:to>
      <cdr:x>0.65105</cdr:x>
      <cdr:y>0.21212</cdr:y>
    </cdr:to>
    <cdr:sp macro="" textlink="">
      <cdr:nvSpPr>
        <cdr:cNvPr id="43" name="TextBox 1"/>
        <cdr:cNvSpPr txBox="1"/>
      </cdr:nvSpPr>
      <cdr:spPr>
        <a:xfrm xmlns:a="http://schemas.openxmlformats.org/drawingml/2006/main">
          <a:off x="4834359" y="1105583"/>
          <a:ext cx="804645" cy="228794"/>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 + Reuse</a:t>
          </a:r>
        </a:p>
      </cdr:txBody>
    </cdr:sp>
  </cdr:relSizeAnchor>
  <cdr:relSizeAnchor xmlns:cdr="http://schemas.openxmlformats.org/drawingml/2006/chartDrawing">
    <cdr:from>
      <cdr:x>0.45796</cdr:x>
      <cdr:y>0.47302</cdr:y>
    </cdr:from>
    <cdr:to>
      <cdr:x>0.51611</cdr:x>
      <cdr:y>0.51334</cdr:y>
    </cdr:to>
    <cdr:sp macro="" textlink="">
      <cdr:nvSpPr>
        <cdr:cNvPr id="44" name="TextBox 1"/>
        <cdr:cNvSpPr txBox="1"/>
      </cdr:nvSpPr>
      <cdr:spPr>
        <a:xfrm xmlns:a="http://schemas.openxmlformats.org/drawingml/2006/main">
          <a:off x="3966574" y="2975623"/>
          <a:ext cx="503660" cy="253643"/>
        </a:xfrm>
        <a:prstGeom xmlns:a="http://schemas.openxmlformats.org/drawingml/2006/main" prst="rect">
          <a:avLst/>
        </a:prstGeom>
        <a:solidFill xmlns:a="http://schemas.openxmlformats.org/drawingml/2006/main">
          <a:schemeClr val="accent3">
            <a:lumMod val="75000"/>
          </a:schemeClr>
        </a:solidFill>
        <a:effectLst xmlns:a="http://schemas.openxmlformats.org/drawingml/2006/main">
          <a:innerShdw blurRad="114300">
            <a:prstClr val="black"/>
          </a:innerShdw>
        </a:effectLst>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TWP</a:t>
          </a:r>
        </a:p>
      </cdr:txBody>
    </cdr:sp>
  </cdr:relSizeAnchor>
  <cdr:relSizeAnchor xmlns:cdr="http://schemas.openxmlformats.org/drawingml/2006/chartDrawing">
    <cdr:from>
      <cdr:x>0.24927</cdr:x>
      <cdr:y>0.42799</cdr:y>
    </cdr:from>
    <cdr:to>
      <cdr:x>0.45943</cdr:x>
      <cdr:y>0.48318</cdr:y>
    </cdr:to>
    <cdr:sp macro="" textlink="">
      <cdr:nvSpPr>
        <cdr:cNvPr id="45" name="Straight Arrow Connector 44"/>
        <cdr:cNvSpPr/>
      </cdr:nvSpPr>
      <cdr:spPr>
        <a:xfrm xmlns:a="http://schemas.openxmlformats.org/drawingml/2006/main" rot="10800000">
          <a:off x="2158999" y="2692399"/>
          <a:ext cx="1820349" cy="347145"/>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0.35582</cdr:x>
      <cdr:y>0.214</cdr:y>
    </cdr:from>
    <cdr:to>
      <cdr:x>0.56012</cdr:x>
      <cdr:y>0.40511</cdr:y>
    </cdr:to>
    <cdr:sp macro="" textlink="">
      <cdr:nvSpPr>
        <cdr:cNvPr id="48" name="Straight Arrow Connector 47"/>
        <cdr:cNvSpPr/>
      </cdr:nvSpPr>
      <cdr:spPr>
        <a:xfrm xmlns:a="http://schemas.openxmlformats.org/drawingml/2006/main" rot="10800000" flipV="1">
          <a:off x="3081866" y="1346199"/>
          <a:ext cx="1769533" cy="1202267"/>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0.65396</cdr:x>
      <cdr:y>0.21534</cdr:y>
    </cdr:from>
    <cdr:to>
      <cdr:x>0.92473</cdr:x>
      <cdr:y>0.23553</cdr:y>
    </cdr:to>
    <cdr:sp macro="" textlink="">
      <cdr:nvSpPr>
        <cdr:cNvPr id="15" name="Straight Arrow Connector 14"/>
        <cdr:cNvSpPr/>
      </cdr:nvSpPr>
      <cdr:spPr>
        <a:xfrm xmlns:a="http://schemas.openxmlformats.org/drawingml/2006/main" rot="10800000" flipH="1" flipV="1">
          <a:off x="5664200" y="1354667"/>
          <a:ext cx="2345267" cy="127000"/>
        </a:xfrm>
        <a:prstGeom xmlns:a="http://schemas.openxmlformats.org/drawingml/2006/main" prst="straightConnector1">
          <a:avLst/>
        </a:prstGeom>
        <a:ln xmlns:a="http://schemas.openxmlformats.org/drawingml/2006/main" w="1270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7" sqref="A7"/>
    </sheetView>
  </sheetViews>
  <sheetFormatPr baseColWidth="10" defaultColWidth="8.83203125" defaultRowHeight="13" x14ac:dyDescent="0.15"/>
  <sheetData>
    <row r="1" spans="1:1" x14ac:dyDescent="0.15">
      <c r="A1" t="s">
        <v>159</v>
      </c>
    </row>
    <row r="3" spans="1:1" x14ac:dyDescent="0.15">
      <c r="A3" t="s">
        <v>160</v>
      </c>
    </row>
    <row r="4" spans="1:1" x14ac:dyDescent="0.15">
      <c r="A4" t="s">
        <v>161</v>
      </c>
    </row>
    <row r="5" spans="1:1" x14ac:dyDescent="0.15">
      <c r="A5" t="s">
        <v>162</v>
      </c>
    </row>
    <row r="6" spans="1:1" x14ac:dyDescent="0.15">
      <c r="A6"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52"/>
  <sheetViews>
    <sheetView view="pageLayout" topLeftCell="A11" zoomScale="80" zoomScaleNormal="100" zoomScalePageLayoutView="80" workbookViewId="0">
      <selection activeCell="E33" sqref="E33"/>
    </sheetView>
  </sheetViews>
  <sheetFormatPr baseColWidth="10" defaultColWidth="9.1640625" defaultRowHeight="15" x14ac:dyDescent="0.2"/>
  <cols>
    <col min="1" max="1" width="8" style="100" customWidth="1"/>
    <col min="2" max="2" width="9.33203125" style="103" customWidth="1"/>
    <col min="3" max="3" width="19.1640625" style="102" customWidth="1"/>
    <col min="4" max="4" width="19.1640625" style="103" customWidth="1"/>
    <col min="5" max="5" width="17.5" style="101" customWidth="1"/>
    <col min="6" max="8" width="11.33203125" style="102" customWidth="1"/>
    <col min="9" max="9" width="8.33203125" style="99" bestFit="1" customWidth="1"/>
    <col min="10" max="10" width="9" style="99" customWidth="1"/>
    <col min="11" max="11" width="10.6640625" style="165" customWidth="1"/>
    <col min="12" max="12" width="10.6640625" style="99" customWidth="1"/>
    <col min="13" max="14" width="19.5" style="166" customWidth="1"/>
    <col min="15" max="21" width="9.1640625" style="169"/>
    <col min="22" max="16384" width="9.1640625" style="99"/>
  </cols>
  <sheetData>
    <row r="1" spans="1:21" s="154" customFormat="1" ht="45" x14ac:dyDescent="0.2">
      <c r="A1" s="151" t="s">
        <v>73</v>
      </c>
      <c r="B1" s="152" t="s">
        <v>107</v>
      </c>
      <c r="C1" s="152" t="s">
        <v>99</v>
      </c>
      <c r="D1" s="152" t="s">
        <v>108</v>
      </c>
      <c r="E1" s="153" t="s">
        <v>98</v>
      </c>
      <c r="F1" s="152" t="s">
        <v>106</v>
      </c>
      <c r="G1" s="171"/>
      <c r="H1" s="172"/>
      <c r="I1" s="237" t="s">
        <v>109</v>
      </c>
      <c r="J1" s="181" t="s">
        <v>107</v>
      </c>
      <c r="K1" s="182" t="s">
        <v>110</v>
      </c>
      <c r="L1" s="181" t="s">
        <v>111</v>
      </c>
      <c r="M1" s="183" t="s">
        <v>99</v>
      </c>
      <c r="N1" s="183" t="s">
        <v>108</v>
      </c>
      <c r="O1" s="167"/>
      <c r="P1" s="167"/>
      <c r="Q1" s="167"/>
      <c r="R1" s="167"/>
      <c r="S1" s="167"/>
      <c r="T1" s="167"/>
      <c r="U1" s="167"/>
    </row>
    <row r="2" spans="1:21" s="158" customFormat="1" ht="14" hidden="1" customHeight="1" x14ac:dyDescent="0.2">
      <c r="A2" s="155">
        <v>2012</v>
      </c>
      <c r="B2" s="156">
        <f>'Data by Year'!E5</f>
        <v>26700</v>
      </c>
      <c r="C2" s="156">
        <f>ROUNDDOWN($M$2,-2)</f>
        <v>118000</v>
      </c>
      <c r="D2" s="156">
        <f>ROUNDDOWN($N$2,-2)</f>
        <v>111400</v>
      </c>
      <c r="E2" s="157"/>
      <c r="F2" s="104"/>
      <c r="G2" s="173"/>
      <c r="H2" s="174"/>
      <c r="I2" s="238"/>
      <c r="J2" s="184">
        <f>B2</f>
        <v>26700</v>
      </c>
      <c r="K2" s="185">
        <f>(Data!AD10-Data!AC10)/Data!C10</f>
        <v>0.22615039683623842</v>
      </c>
      <c r="L2" s="185">
        <f>Data!AD11/Data!C11</f>
        <v>0.23946188987243086</v>
      </c>
      <c r="M2" s="186">
        <f>J2/K2</f>
        <v>118063.02519705145</v>
      </c>
      <c r="N2" s="186">
        <f>J2/L2</f>
        <v>111499.99699001774</v>
      </c>
      <c r="O2" s="167"/>
      <c r="P2" s="167"/>
      <c r="Q2" s="167"/>
      <c r="R2" s="167"/>
      <c r="S2" s="167"/>
      <c r="T2" s="167"/>
      <c r="U2" s="167"/>
    </row>
    <row r="3" spans="1:21" s="158" customFormat="1" ht="14" hidden="1" customHeight="1" x14ac:dyDescent="0.2">
      <c r="A3" s="159">
        <v>2013</v>
      </c>
      <c r="B3" s="160">
        <f>'Data by Year'!E6</f>
        <v>26700</v>
      </c>
      <c r="C3" s="160">
        <f>ROUNDDOWN($M$2,-2)</f>
        <v>118000</v>
      </c>
      <c r="D3" s="160">
        <f>ROUNDDOWN($N$2,-2)</f>
        <v>111400</v>
      </c>
      <c r="E3" s="161"/>
      <c r="F3" s="162"/>
      <c r="G3" s="175"/>
      <c r="H3" s="176"/>
      <c r="I3" s="238"/>
      <c r="J3" s="184">
        <f t="shared" ref="J3:J18" si="0">B3</f>
        <v>26700</v>
      </c>
      <c r="K3" s="185">
        <f>(Data!AD11-Data!AC11)/Data!C11</f>
        <v>0.22278932586335745</v>
      </c>
      <c r="L3" s="185">
        <f>Data!AD11/Data!C11</f>
        <v>0.23946188987243086</v>
      </c>
      <c r="M3" s="186">
        <f t="shared" ref="M3:M52" si="1">J3/K3</f>
        <v>119844.1617278191</v>
      </c>
      <c r="N3" s="186">
        <f t="shared" ref="N3:N52" si="2">J3/L3</f>
        <v>111499.99699001774</v>
      </c>
      <c r="O3" s="167"/>
      <c r="P3" s="167"/>
      <c r="Q3" s="167"/>
      <c r="R3" s="167"/>
      <c r="S3" s="167"/>
      <c r="T3" s="167"/>
      <c r="U3" s="167"/>
    </row>
    <row r="4" spans="1:21" s="158" customFormat="1" ht="14" hidden="1" customHeight="1" x14ac:dyDescent="0.2">
      <c r="A4" s="155">
        <v>2014</v>
      </c>
      <c r="B4" s="156">
        <f>'Data by Year'!E7</f>
        <v>26700</v>
      </c>
      <c r="C4" s="156">
        <f>ROUNDDOWN($M$2,-2)</f>
        <v>118000</v>
      </c>
      <c r="D4" s="156">
        <f>ROUNDDOWN($N$2,-2)</f>
        <v>111400</v>
      </c>
      <c r="E4" s="91" t="s">
        <v>87</v>
      </c>
      <c r="F4" s="90">
        <v>1000</v>
      </c>
      <c r="G4" s="177"/>
      <c r="H4" s="150"/>
      <c r="I4" s="238"/>
      <c r="J4" s="184">
        <f t="shared" si="0"/>
        <v>26700</v>
      </c>
      <c r="K4" s="185">
        <f>(Data!AD12-Data!AC12)/Data!C12</f>
        <v>0.21396855568598913</v>
      </c>
      <c r="L4" s="185">
        <f>Data!AD12/Data!C12</f>
        <v>0.2298565363616146</v>
      </c>
      <c r="M4" s="186">
        <f t="shared" si="1"/>
        <v>124784.69050930899</v>
      </c>
      <c r="N4" s="186">
        <f t="shared" si="2"/>
        <v>116159.41152961194</v>
      </c>
      <c r="O4" s="167"/>
      <c r="P4" s="167"/>
      <c r="Q4" s="167"/>
      <c r="R4" s="167"/>
      <c r="S4" s="167"/>
      <c r="T4" s="167"/>
      <c r="U4" s="167"/>
    </row>
    <row r="5" spans="1:21" s="158" customFormat="1" ht="14" customHeight="1" x14ac:dyDescent="0.2">
      <c r="A5" s="159">
        <v>2015</v>
      </c>
      <c r="B5" s="160">
        <f>'Data by Year'!E8</f>
        <v>27700</v>
      </c>
      <c r="C5" s="160">
        <f>ROUNDDOWN($M$5,-2)</f>
        <v>131500</v>
      </c>
      <c r="D5" s="160">
        <f>ROUNDDOWN($N$5,-2)</f>
        <v>122300</v>
      </c>
      <c r="E5" s="86" t="s">
        <v>104</v>
      </c>
      <c r="F5" s="85">
        <v>1000</v>
      </c>
      <c r="G5" s="177"/>
      <c r="H5" s="150"/>
      <c r="I5" s="238"/>
      <c r="J5" s="184">
        <f t="shared" si="0"/>
        <v>27700</v>
      </c>
      <c r="K5" s="185">
        <f>(Data!AD13-Data!AC13)/Data!C13</f>
        <v>0.21053201925723058</v>
      </c>
      <c r="L5" s="185">
        <f>Data!AD13/Data!C13</f>
        <v>0.22634341218426146</v>
      </c>
      <c r="M5" s="186">
        <f t="shared" si="1"/>
        <v>131571.43553615853</v>
      </c>
      <c r="N5" s="186">
        <f t="shared" si="2"/>
        <v>122380.41183831764</v>
      </c>
      <c r="O5" s="167"/>
      <c r="P5" s="167"/>
      <c r="Q5" s="167"/>
      <c r="R5" s="167"/>
      <c r="S5" s="167"/>
      <c r="T5" s="167"/>
      <c r="U5" s="167"/>
    </row>
    <row r="6" spans="1:21" s="158" customFormat="1" ht="14" customHeight="1" x14ac:dyDescent="0.2">
      <c r="A6" s="155">
        <v>2016</v>
      </c>
      <c r="B6" s="156">
        <f>'Data by Year'!E9</f>
        <v>28700</v>
      </c>
      <c r="C6" s="156">
        <f>ROUNDDOWN($M$6,-2)</f>
        <v>135100</v>
      </c>
      <c r="D6" s="156">
        <f>ROUNDDOWN($N$6,-2)</f>
        <v>125600</v>
      </c>
      <c r="E6" s="91"/>
      <c r="F6" s="90"/>
      <c r="G6" s="177"/>
      <c r="H6" s="150"/>
      <c r="I6" s="238"/>
      <c r="J6" s="184">
        <f t="shared" si="0"/>
        <v>28700</v>
      </c>
      <c r="K6" s="185">
        <f>(Data!AD14-Data!AC14)/Data!C14</f>
        <v>0.21240484370258414</v>
      </c>
      <c r="L6" s="185">
        <f>Data!AD14/Data!C14</f>
        <v>0.22845519552106924</v>
      </c>
      <c r="M6" s="186">
        <f t="shared" si="1"/>
        <v>135119.32920035775</v>
      </c>
      <c r="N6" s="186">
        <f t="shared" si="2"/>
        <v>125626.38347768785</v>
      </c>
      <c r="O6" s="167"/>
      <c r="P6" s="167"/>
      <c r="Q6" s="167"/>
      <c r="R6" s="167"/>
      <c r="S6" s="167"/>
      <c r="T6" s="167"/>
      <c r="U6" s="167"/>
    </row>
    <row r="7" spans="1:21" s="158" customFormat="1" ht="14" customHeight="1" x14ac:dyDescent="0.2">
      <c r="A7" s="159">
        <v>2017</v>
      </c>
      <c r="B7" s="160">
        <f>'Data by Year'!E10</f>
        <v>28700</v>
      </c>
      <c r="C7" s="160">
        <f>ROUNDDOWN($M$7,-2)</f>
        <v>137900</v>
      </c>
      <c r="D7" s="160">
        <f>ROUNDDOWN($N$6,-2)</f>
        <v>125600</v>
      </c>
      <c r="E7" s="86" t="s">
        <v>105</v>
      </c>
      <c r="F7" s="85">
        <v>1300</v>
      </c>
      <c r="G7" s="177"/>
      <c r="H7" s="150"/>
      <c r="I7" s="238"/>
      <c r="J7" s="184">
        <f t="shared" si="0"/>
        <v>28700</v>
      </c>
      <c r="K7" s="185">
        <f>(Data!AD15-Data!AC15)/Data!C15</f>
        <v>0.20798567638359586</v>
      </c>
      <c r="L7" s="185">
        <f>Data!AD15/Data!C15</f>
        <v>0.22371352647363357</v>
      </c>
      <c r="M7" s="186">
        <f t="shared" si="1"/>
        <v>137990.27172942189</v>
      </c>
      <c r="N7" s="186">
        <f t="shared" si="2"/>
        <v>128289.06884797833</v>
      </c>
      <c r="O7" s="167"/>
      <c r="P7" s="167"/>
      <c r="Q7" s="167"/>
      <c r="R7" s="167"/>
      <c r="S7" s="167"/>
      <c r="T7" s="167"/>
      <c r="U7" s="167"/>
    </row>
    <row r="8" spans="1:21" s="158" customFormat="1" ht="14" customHeight="1" x14ac:dyDescent="0.2">
      <c r="A8" s="155">
        <v>2018</v>
      </c>
      <c r="B8" s="156">
        <f>'Data by Year'!E11</f>
        <v>28700</v>
      </c>
      <c r="C8" s="156">
        <f t="shared" ref="C8:C15" si="3">ROUNDDOWN($M$8,-2)</f>
        <v>138500</v>
      </c>
      <c r="D8" s="156">
        <f t="shared" ref="D8:D15" si="4">ROUNDDOWN($N$8,-2)</f>
        <v>128700</v>
      </c>
      <c r="E8" s="91"/>
      <c r="F8" s="90"/>
      <c r="G8" s="177"/>
      <c r="H8" s="150"/>
      <c r="I8" s="238"/>
      <c r="J8" s="184">
        <f t="shared" si="0"/>
        <v>28700</v>
      </c>
      <c r="K8" s="185">
        <f>(Data!AD16-Data!AC16)/Data!C16</f>
        <v>0.20718081530565202</v>
      </c>
      <c r="L8" s="185">
        <f>Data!AD16/Data!C16</f>
        <v>0.2229111699829337</v>
      </c>
      <c r="M8" s="186">
        <f t="shared" si="1"/>
        <v>138526.33969829275</v>
      </c>
      <c r="N8" s="186">
        <f t="shared" si="2"/>
        <v>128750.83829220985</v>
      </c>
      <c r="O8" s="167"/>
      <c r="P8" s="167"/>
      <c r="Q8" s="167"/>
      <c r="R8" s="167"/>
      <c r="S8" s="167"/>
      <c r="T8" s="167"/>
      <c r="U8" s="167"/>
    </row>
    <row r="9" spans="1:21" s="158" customFormat="1" ht="14" customHeight="1" x14ac:dyDescent="0.2">
      <c r="A9" s="159">
        <v>2019</v>
      </c>
      <c r="B9" s="160">
        <f>'Data by Year'!E12</f>
        <v>28700</v>
      </c>
      <c r="C9" s="160">
        <f t="shared" si="3"/>
        <v>138500</v>
      </c>
      <c r="D9" s="160">
        <f t="shared" si="4"/>
        <v>128700</v>
      </c>
      <c r="E9" s="86"/>
      <c r="F9" s="85"/>
      <c r="G9" s="177"/>
      <c r="H9" s="150"/>
      <c r="I9" s="238"/>
      <c r="J9" s="184">
        <f t="shared" si="0"/>
        <v>28700</v>
      </c>
      <c r="K9" s="185">
        <f>(Data!AD17-Data!AC17)/Data!C17</f>
        <v>0.20627767663728266</v>
      </c>
      <c r="L9" s="185">
        <f>Data!AD17/Data!C17</f>
        <v>0.22200315221418757</v>
      </c>
      <c r="M9" s="186">
        <f t="shared" si="1"/>
        <v>139132.84494892723</v>
      </c>
      <c r="N9" s="186">
        <f t="shared" si="2"/>
        <v>129277.44364778379</v>
      </c>
      <c r="O9" s="167"/>
      <c r="P9" s="167"/>
      <c r="Q9" s="167"/>
      <c r="R9" s="167"/>
      <c r="S9" s="167"/>
      <c r="T9" s="167"/>
      <c r="U9" s="167"/>
    </row>
    <row r="10" spans="1:21" s="158" customFormat="1" ht="14" customHeight="1" x14ac:dyDescent="0.2">
      <c r="A10" s="155">
        <v>2020</v>
      </c>
      <c r="B10" s="156">
        <f>'Data by Year'!E13</f>
        <v>30000</v>
      </c>
      <c r="C10" s="156">
        <f t="shared" si="3"/>
        <v>138500</v>
      </c>
      <c r="D10" s="156">
        <f t="shared" si="4"/>
        <v>128700</v>
      </c>
      <c r="E10" s="91"/>
      <c r="F10" s="90"/>
      <c r="G10" s="177"/>
      <c r="H10" s="150"/>
      <c r="I10" s="238"/>
      <c r="J10" s="184">
        <f t="shared" si="0"/>
        <v>30000</v>
      </c>
      <c r="K10" s="185">
        <f>(Data!AD18-Data!AC18)/Data!C18</f>
        <v>0.20580185690728917</v>
      </c>
      <c r="L10" s="185">
        <f>Data!AD18/Data!C18</f>
        <v>0.22154408903797776</v>
      </c>
      <c r="M10" s="186">
        <f t="shared" si="1"/>
        <v>145771.27947642657</v>
      </c>
      <c r="N10" s="186">
        <f t="shared" si="2"/>
        <v>135413.22691239713</v>
      </c>
      <c r="O10" s="167"/>
      <c r="P10" s="167"/>
      <c r="Q10" s="167"/>
      <c r="R10" s="167"/>
      <c r="S10" s="167"/>
      <c r="T10" s="167"/>
      <c r="U10" s="167"/>
    </row>
    <row r="11" spans="1:21" s="158" customFormat="1" ht="14" customHeight="1" x14ac:dyDescent="0.2">
      <c r="A11" s="159">
        <v>2021</v>
      </c>
      <c r="B11" s="160">
        <f>'Data by Year'!E14</f>
        <v>30000</v>
      </c>
      <c r="C11" s="160">
        <f t="shared" si="3"/>
        <v>138500</v>
      </c>
      <c r="D11" s="160">
        <f t="shared" si="4"/>
        <v>128700</v>
      </c>
      <c r="E11" s="86"/>
      <c r="F11" s="85"/>
      <c r="G11" s="177"/>
      <c r="H11" s="150"/>
      <c r="I11" s="238"/>
      <c r="J11" s="184">
        <f t="shared" si="0"/>
        <v>30000</v>
      </c>
      <c r="K11" s="185">
        <f>(Data!AD19-Data!AC19)/Data!C19</f>
        <v>0.20564972632246611</v>
      </c>
      <c r="L11" s="185">
        <f>Data!AD19/Data!C19</f>
        <v>0.22142524562151447</v>
      </c>
      <c r="M11" s="186">
        <f t="shared" si="1"/>
        <v>145879.1146308599</v>
      </c>
      <c r="N11" s="186">
        <f t="shared" si="2"/>
        <v>135485.90593540293</v>
      </c>
      <c r="O11" s="167"/>
      <c r="P11" s="167"/>
      <c r="Q11" s="167"/>
      <c r="R11" s="167"/>
      <c r="S11" s="167"/>
      <c r="T11" s="167"/>
      <c r="U11" s="167"/>
    </row>
    <row r="12" spans="1:21" s="158" customFormat="1" ht="14" customHeight="1" x14ac:dyDescent="0.2">
      <c r="A12" s="155">
        <v>2022</v>
      </c>
      <c r="B12" s="156">
        <f>'Data by Year'!E15</f>
        <v>30000</v>
      </c>
      <c r="C12" s="156">
        <f t="shared" si="3"/>
        <v>138500</v>
      </c>
      <c r="D12" s="156">
        <f t="shared" si="4"/>
        <v>128700</v>
      </c>
      <c r="E12" s="91"/>
      <c r="F12" s="90"/>
      <c r="G12" s="177"/>
      <c r="H12" s="150"/>
      <c r="I12" s="238"/>
      <c r="J12" s="184">
        <f t="shared" si="0"/>
        <v>30000</v>
      </c>
      <c r="K12" s="185">
        <f>(Data!AD20-Data!AC20)/Data!C20</f>
        <v>0.20550188446987527</v>
      </c>
      <c r="L12" s="185">
        <f>Data!AD20/Data!C20</f>
        <v>0.22130975253458132</v>
      </c>
      <c r="M12" s="186">
        <f t="shared" si="1"/>
        <v>145984.06276122364</v>
      </c>
      <c r="N12" s="186">
        <f t="shared" si="2"/>
        <v>135556.61084258938</v>
      </c>
      <c r="O12" s="167"/>
      <c r="P12" s="167"/>
      <c r="Q12" s="167"/>
      <c r="R12" s="167"/>
      <c r="S12" s="167"/>
      <c r="T12" s="167"/>
      <c r="U12" s="167"/>
    </row>
    <row r="13" spans="1:21" s="158" customFormat="1" ht="14" customHeight="1" x14ac:dyDescent="0.2">
      <c r="A13" s="159">
        <v>2023</v>
      </c>
      <c r="B13" s="160">
        <f>'Data by Year'!E16</f>
        <v>30000</v>
      </c>
      <c r="C13" s="160">
        <f t="shared" si="3"/>
        <v>138500</v>
      </c>
      <c r="D13" s="160">
        <f t="shared" si="4"/>
        <v>128700</v>
      </c>
      <c r="E13" s="86"/>
      <c r="F13" s="85"/>
      <c r="G13" s="177"/>
      <c r="H13" s="150"/>
      <c r="I13" s="238"/>
      <c r="J13" s="184">
        <f t="shared" si="0"/>
        <v>30000</v>
      </c>
      <c r="K13" s="185">
        <f>(Data!AD21-Data!AC21)/Data!C21</f>
        <v>0.20535815251402786</v>
      </c>
      <c r="L13" s="185">
        <f>Data!AD21/Data!C21</f>
        <v>0.22119747007206583</v>
      </c>
      <c r="M13" s="186">
        <f t="shared" si="1"/>
        <v>146086.23827559376</v>
      </c>
      <c r="N13" s="186">
        <f t="shared" si="2"/>
        <v>135625.42098797983</v>
      </c>
      <c r="O13" s="167"/>
      <c r="P13" s="167"/>
      <c r="Q13" s="167"/>
      <c r="R13" s="167"/>
      <c r="S13" s="167"/>
      <c r="T13" s="167"/>
      <c r="U13" s="167"/>
    </row>
    <row r="14" spans="1:21" s="158" customFormat="1" ht="14" customHeight="1" x14ac:dyDescent="0.2">
      <c r="A14" s="155">
        <v>2024</v>
      </c>
      <c r="B14" s="156">
        <f>'Data by Year'!E17</f>
        <v>30000</v>
      </c>
      <c r="C14" s="156">
        <f t="shared" si="3"/>
        <v>138500</v>
      </c>
      <c r="D14" s="156">
        <f t="shared" si="4"/>
        <v>128700</v>
      </c>
      <c r="E14" s="91"/>
      <c r="F14" s="90"/>
      <c r="G14" s="177"/>
      <c r="H14" s="150"/>
      <c r="I14" s="238"/>
      <c r="J14" s="184">
        <f t="shared" si="0"/>
        <v>30000</v>
      </c>
      <c r="K14" s="185">
        <f>(Data!AD22-Data!AC22)/Data!C22</f>
        <v>0.2052183614261209</v>
      </c>
      <c r="L14" s="185">
        <f>Data!AD22/Data!C22</f>
        <v>0.22108826618977415</v>
      </c>
      <c r="M14" s="186">
        <f t="shared" si="1"/>
        <v>146185.74961578217</v>
      </c>
      <c r="N14" s="186">
        <f t="shared" si="2"/>
        <v>135692.41152874703</v>
      </c>
      <c r="O14" s="167"/>
      <c r="P14" s="167"/>
      <c r="Q14" s="167"/>
      <c r="R14" s="167"/>
      <c r="S14" s="167"/>
      <c r="T14" s="167"/>
      <c r="U14" s="167"/>
    </row>
    <row r="15" spans="1:21" s="158" customFormat="1" ht="14" customHeight="1" x14ac:dyDescent="0.2">
      <c r="A15" s="159">
        <v>2025</v>
      </c>
      <c r="B15" s="160">
        <f>'Data by Year'!E18</f>
        <v>30000</v>
      </c>
      <c r="C15" s="160">
        <f t="shared" si="3"/>
        <v>138500</v>
      </c>
      <c r="D15" s="160">
        <f t="shared" si="4"/>
        <v>128700</v>
      </c>
      <c r="E15" s="98" t="s">
        <v>118</v>
      </c>
      <c r="F15" s="97">
        <v>5000</v>
      </c>
      <c r="G15" s="178"/>
      <c r="H15" s="179"/>
      <c r="I15" s="238"/>
      <c r="J15" s="184">
        <f t="shared" si="0"/>
        <v>30000</v>
      </c>
      <c r="K15" s="185">
        <f>(Data!AD23-Data!AC23)/Data!C23</f>
        <v>0.20508235132092373</v>
      </c>
      <c r="L15" s="185">
        <f>Data!AD23/Data!C23</f>
        <v>0.22098201598641126</v>
      </c>
      <c r="M15" s="186">
        <f t="shared" si="1"/>
        <v>146282.69964125002</v>
      </c>
      <c r="N15" s="186">
        <f t="shared" si="2"/>
        <v>135757.65369904478</v>
      </c>
      <c r="O15" s="167"/>
      <c r="P15" s="167"/>
      <c r="Q15" s="167"/>
      <c r="R15" s="167"/>
      <c r="S15" s="167"/>
      <c r="T15" s="167"/>
      <c r="U15" s="167"/>
    </row>
    <row r="16" spans="1:21" s="158" customFormat="1" ht="14" customHeight="1" x14ac:dyDescent="0.2">
      <c r="A16" s="155">
        <v>2026</v>
      </c>
      <c r="B16" s="156">
        <f>'Data by Year'!E19</f>
        <v>35000</v>
      </c>
      <c r="C16" s="156">
        <f>ROUNDDOWN($M$16,-2)</f>
        <v>170700</v>
      </c>
      <c r="D16" s="156">
        <f>ROUNDDOWN($N$16,-2)</f>
        <v>158400</v>
      </c>
      <c r="E16" s="91"/>
      <c r="F16" s="90"/>
      <c r="G16" s="177"/>
      <c r="H16" s="150"/>
      <c r="I16" s="238"/>
      <c r="J16" s="184">
        <f t="shared" si="0"/>
        <v>35000</v>
      </c>
      <c r="K16" s="185">
        <f>(Data!AD24-Data!AC24)/Data!C24</f>
        <v>0.20494997084675409</v>
      </c>
      <c r="L16" s="185">
        <f>Data!AD24/Data!C24</f>
        <v>0.22087860122703429</v>
      </c>
      <c r="M16" s="186">
        <f t="shared" si="1"/>
        <v>170773.38364771139</v>
      </c>
      <c r="N16" s="186">
        <f t="shared" si="2"/>
        <v>158458.08423978827</v>
      </c>
      <c r="O16" s="167"/>
      <c r="P16" s="167"/>
      <c r="Q16" s="167"/>
      <c r="R16" s="167"/>
      <c r="S16" s="167"/>
      <c r="T16" s="167"/>
      <c r="U16" s="167"/>
    </row>
    <row r="17" spans="1:21" s="158" customFormat="1" ht="14" customHeight="1" x14ac:dyDescent="0.2">
      <c r="A17" s="159">
        <v>2027</v>
      </c>
      <c r="B17" s="160">
        <f>'Data by Year'!E20</f>
        <v>35000</v>
      </c>
      <c r="C17" s="160">
        <f>ROUNDDOWN($M$16,-2)</f>
        <v>170700</v>
      </c>
      <c r="D17" s="160">
        <f>ROUNDDOWN($N$16,-2)</f>
        <v>158400</v>
      </c>
      <c r="E17" s="98"/>
      <c r="F17" s="97"/>
      <c r="G17" s="178"/>
      <c r="H17" s="179"/>
      <c r="I17" s="238"/>
      <c r="J17" s="184">
        <f t="shared" si="0"/>
        <v>35000</v>
      </c>
      <c r="K17" s="185">
        <f>(Data!AD25-Data!AC25)/Data!C25</f>
        <v>0.20482107662364851</v>
      </c>
      <c r="L17" s="185">
        <f>Data!AD25/Data!C25</f>
        <v>0.22077790990415491</v>
      </c>
      <c r="M17" s="186">
        <f t="shared" si="1"/>
        <v>170880.85160450192</v>
      </c>
      <c r="N17" s="186">
        <f t="shared" si="2"/>
        <v>158530.35303755867</v>
      </c>
      <c r="O17" s="167"/>
      <c r="P17" s="167"/>
      <c r="Q17" s="167"/>
      <c r="R17" s="167"/>
      <c r="S17" s="167"/>
      <c r="T17" s="167"/>
      <c r="U17" s="167"/>
    </row>
    <row r="18" spans="1:21" s="158" customFormat="1" ht="14" customHeight="1" x14ac:dyDescent="0.2">
      <c r="A18" s="155">
        <v>2028</v>
      </c>
      <c r="B18" s="156">
        <f>'Data by Year'!E21</f>
        <v>35000</v>
      </c>
      <c r="C18" s="156">
        <f>ROUNDDOWN($M$16,-2)</f>
        <v>170700</v>
      </c>
      <c r="D18" s="156">
        <f>ROUNDDOWN($N$16,-2)</f>
        <v>158400</v>
      </c>
      <c r="E18" s="91"/>
      <c r="F18" s="90"/>
      <c r="G18" s="177"/>
      <c r="H18" s="150"/>
      <c r="I18" s="238"/>
      <c r="J18" s="184">
        <f t="shared" si="0"/>
        <v>35000</v>
      </c>
      <c r="K18" s="185">
        <f>(Data!AD26-Data!AC26)/Data!C26</f>
        <v>0.20469553272534369</v>
      </c>
      <c r="L18" s="185">
        <f>Data!AD26/Data!C26</f>
        <v>0.22067983583306644</v>
      </c>
      <c r="M18" s="186">
        <f t="shared" si="1"/>
        <v>170985.65627693638</v>
      </c>
      <c r="N18" s="186">
        <f t="shared" si="2"/>
        <v>158600.80676548896</v>
      </c>
      <c r="O18" s="167"/>
      <c r="P18" s="167"/>
      <c r="Q18" s="167"/>
      <c r="R18" s="167"/>
      <c r="S18" s="167"/>
      <c r="T18" s="167"/>
      <c r="U18" s="167"/>
    </row>
    <row r="19" spans="1:21" s="158" customFormat="1" ht="14" customHeight="1" x14ac:dyDescent="0.2">
      <c r="A19" s="159">
        <v>2029</v>
      </c>
      <c r="B19" s="160">
        <f>'Data by Year'!E22</f>
        <v>35000</v>
      </c>
      <c r="C19" s="160">
        <f>ROUNDDOWN($M$16,-2)</f>
        <v>170700</v>
      </c>
      <c r="D19" s="160">
        <f>ROUNDDOWN($N$16,-2)</f>
        <v>158400</v>
      </c>
      <c r="E19" s="98"/>
      <c r="F19" s="85"/>
      <c r="G19" s="177"/>
      <c r="H19" s="150"/>
      <c r="I19" s="238"/>
      <c r="J19" s="184">
        <f t="shared" ref="J19:J52" si="5">B19</f>
        <v>35000</v>
      </c>
      <c r="K19" s="185">
        <f>(Data!AD27-Data!AC27)/Data!C27</f>
        <v>0.20457321020113398</v>
      </c>
      <c r="L19" s="185">
        <f>Data!AD27/Data!C27</f>
        <v>0.22058427827832222</v>
      </c>
      <c r="M19" s="186">
        <f t="shared" si="1"/>
        <v>171087.89545604927</v>
      </c>
      <c r="N19" s="186">
        <f t="shared" si="2"/>
        <v>158669.51295521954</v>
      </c>
      <c r="O19" s="167"/>
      <c r="P19" s="167"/>
      <c r="Q19" s="167"/>
      <c r="R19" s="167"/>
      <c r="S19" s="167"/>
      <c r="T19" s="167"/>
      <c r="U19" s="167"/>
    </row>
    <row r="20" spans="1:21" s="158" customFormat="1" ht="14" customHeight="1" x14ac:dyDescent="0.2">
      <c r="A20" s="155">
        <v>2030</v>
      </c>
      <c r="B20" s="156">
        <f>'Data by Year'!E23</f>
        <v>35000</v>
      </c>
      <c r="C20" s="156">
        <f>ROUNDDOWN($M$16,-2)</f>
        <v>170700</v>
      </c>
      <c r="D20" s="156">
        <f>ROUNDDOWN($N$16,-2)</f>
        <v>158400</v>
      </c>
      <c r="E20" s="91" t="s">
        <v>90</v>
      </c>
      <c r="F20" s="90">
        <v>800</v>
      </c>
      <c r="G20" s="177"/>
      <c r="H20" s="150"/>
      <c r="I20" s="238"/>
      <c r="J20" s="184">
        <f t="shared" si="5"/>
        <v>35000</v>
      </c>
      <c r="K20" s="185">
        <f>(Data!AD28-Data!AC28)/Data!C28</f>
        <v>0.20445398663406869</v>
      </c>
      <c r="L20" s="185">
        <f>Data!AD28/Data!C28</f>
        <v>0.22049114160860223</v>
      </c>
      <c r="M20" s="186">
        <f t="shared" si="1"/>
        <v>171187.66220314856</v>
      </c>
      <c r="N20" s="186">
        <f t="shared" si="2"/>
        <v>158736.53582931292</v>
      </c>
      <c r="O20" s="167"/>
      <c r="P20" s="167"/>
      <c r="Q20" s="167"/>
      <c r="R20" s="167"/>
      <c r="S20" s="167"/>
      <c r="T20" s="167"/>
      <c r="U20" s="167"/>
    </row>
    <row r="21" spans="1:21" s="158" customFormat="1" ht="14" customHeight="1" x14ac:dyDescent="0.2">
      <c r="A21" s="159">
        <v>2031</v>
      </c>
      <c r="B21" s="160">
        <f>'Data by Year'!E24</f>
        <v>36000</v>
      </c>
      <c r="C21" s="160">
        <f>ROUNDDOWN($M$21,-2)</f>
        <v>176100</v>
      </c>
      <c r="D21" s="160">
        <f>ROUNDDOWN($N$21,-2)</f>
        <v>163300</v>
      </c>
      <c r="E21" s="86" t="s">
        <v>94</v>
      </c>
      <c r="F21" s="85">
        <v>1000</v>
      </c>
      <c r="G21" s="177"/>
      <c r="H21" s="150"/>
      <c r="I21" s="238"/>
      <c r="J21" s="184">
        <f t="shared" si="5"/>
        <v>36000</v>
      </c>
      <c r="K21" s="185">
        <f>(Data!AD29-Data!AC29)/Data!C29</f>
        <v>0.20433774573230842</v>
      </c>
      <c r="L21" s="185">
        <f>Data!AD29/Data!C29</f>
        <v>0.2204003349774831</v>
      </c>
      <c r="M21" s="186">
        <f t="shared" si="1"/>
        <v>176178.90356469728</v>
      </c>
      <c r="N21" s="186">
        <f t="shared" si="2"/>
        <v>163339.13468724035</v>
      </c>
      <c r="O21" s="167"/>
      <c r="P21" s="167"/>
      <c r="Q21" s="167"/>
      <c r="R21" s="167"/>
      <c r="S21" s="167"/>
      <c r="T21" s="167"/>
      <c r="U21" s="167"/>
    </row>
    <row r="22" spans="1:21" s="158" customFormat="1" ht="14" customHeight="1" x14ac:dyDescent="0.2">
      <c r="A22" s="155">
        <v>2032</v>
      </c>
      <c r="B22" s="156">
        <f>'Data by Year'!E25</f>
        <v>36000</v>
      </c>
      <c r="C22" s="156">
        <f>ROUNDDOWN($M$22,-2)</f>
        <v>176200</v>
      </c>
      <c r="D22" s="156">
        <f>ROUNDDOWN($N$22,-2)</f>
        <v>163400</v>
      </c>
      <c r="E22" s="91"/>
      <c r="F22" s="90"/>
      <c r="G22" s="177"/>
      <c r="H22" s="150"/>
      <c r="I22" s="238"/>
      <c r="J22" s="184">
        <f t="shared" si="5"/>
        <v>36000</v>
      </c>
      <c r="K22" s="185">
        <f>(Data!AD30-Data!AC30)/Data!C30</f>
        <v>0.20422437695077106</v>
      </c>
      <c r="L22" s="185">
        <f>Data!AD30/Data!C30</f>
        <v>0.22031177202787072</v>
      </c>
      <c r="M22" s="186">
        <f t="shared" si="1"/>
        <v>176276.70377801135</v>
      </c>
      <c r="N22" s="186">
        <f t="shared" si="2"/>
        <v>163404.79525281923</v>
      </c>
      <c r="O22" s="168"/>
      <c r="P22" s="168"/>
      <c r="Q22" s="168"/>
      <c r="R22" s="168"/>
      <c r="S22" s="168"/>
      <c r="T22" s="168"/>
      <c r="U22" s="168"/>
    </row>
    <row r="23" spans="1:21" s="158" customFormat="1" ht="14" customHeight="1" x14ac:dyDescent="0.2">
      <c r="A23" s="159">
        <v>2033</v>
      </c>
      <c r="B23" s="160">
        <f>'Data by Year'!E26</f>
        <v>37000</v>
      </c>
      <c r="C23" s="160">
        <f>ROUNDDOWN($M$22,-2)</f>
        <v>176200</v>
      </c>
      <c r="D23" s="160">
        <f>ROUNDDOWN($N$22,-2)</f>
        <v>163400</v>
      </c>
      <c r="E23" s="98" t="s">
        <v>118</v>
      </c>
      <c r="F23" s="85">
        <v>5000</v>
      </c>
      <c r="G23" s="177"/>
      <c r="H23" s="150"/>
      <c r="I23" s="238"/>
      <c r="J23" s="184">
        <f t="shared" si="5"/>
        <v>37000</v>
      </c>
      <c r="K23" s="185">
        <f>(Data!AD31-Data!AC31)/Data!C31</f>
        <v>0.20411377514048226</v>
      </c>
      <c r="L23" s="185">
        <f>Data!AD31/Data!C31</f>
        <v>0.22022537061807509</v>
      </c>
      <c r="M23" s="186">
        <f t="shared" si="1"/>
        <v>181271.45007501123</v>
      </c>
      <c r="N23" s="186">
        <f t="shared" si="2"/>
        <v>168009.70703855503</v>
      </c>
      <c r="O23" s="168"/>
      <c r="P23" s="168"/>
      <c r="Q23" s="168"/>
      <c r="R23" s="168"/>
      <c r="S23" s="168"/>
      <c r="T23" s="168"/>
      <c r="U23" s="168"/>
    </row>
    <row r="24" spans="1:21" s="158" customFormat="1" ht="14" customHeight="1" x14ac:dyDescent="0.2">
      <c r="A24" s="155">
        <v>2034</v>
      </c>
      <c r="B24" s="156">
        <f>'Data by Year'!E27</f>
        <v>37000</v>
      </c>
      <c r="C24" s="156">
        <f>ROUNDDOWN($M$24,-2)</f>
        <v>181300</v>
      </c>
      <c r="D24" s="156">
        <f>ROUNDDOWN($N$24,-2)</f>
        <v>168000</v>
      </c>
      <c r="E24" s="91"/>
      <c r="F24" s="90"/>
      <c r="G24" s="177"/>
      <c r="H24" s="150"/>
      <c r="I24" s="238"/>
      <c r="J24" s="184">
        <f t="shared" si="5"/>
        <v>37000</v>
      </c>
      <c r="K24" s="185">
        <f>(Data!AD32-Data!AC32)/Data!C32</f>
        <v>0.20400584022328985</v>
      </c>
      <c r="L24" s="185">
        <f>Data!AD32/Data!C32</f>
        <v>0.2201410525676992</v>
      </c>
      <c r="M24" s="186">
        <f t="shared" si="1"/>
        <v>181367.35673597633</v>
      </c>
      <c r="N24" s="186">
        <f t="shared" si="2"/>
        <v>168074.05782990667</v>
      </c>
      <c r="O24" s="168"/>
      <c r="P24" s="168"/>
      <c r="Q24" s="168"/>
      <c r="R24" s="168"/>
      <c r="S24" s="168"/>
      <c r="T24" s="168"/>
      <c r="U24" s="168"/>
    </row>
    <row r="25" spans="1:21" s="158" customFormat="1" ht="14" customHeight="1" x14ac:dyDescent="0.2">
      <c r="A25" s="159">
        <v>2035</v>
      </c>
      <c r="B25" s="160">
        <f>'Data by Year'!E28</f>
        <v>37000</v>
      </c>
      <c r="C25" s="160">
        <f>ROUNDDOWN($M$24,-2)</f>
        <v>181300</v>
      </c>
      <c r="D25" s="160">
        <f>ROUNDDOWN($N$24,-2)</f>
        <v>168000</v>
      </c>
      <c r="E25" s="98"/>
      <c r="F25" s="85"/>
      <c r="G25" s="177"/>
      <c r="H25" s="150"/>
      <c r="I25" s="238"/>
      <c r="J25" s="184">
        <f t="shared" si="5"/>
        <v>37000</v>
      </c>
      <c r="K25" s="185">
        <f>(Data!AD33-Data!AC33)/Data!C33</f>
        <v>0.20390047688982954</v>
      </c>
      <c r="L25" s="185">
        <f>Data!AD33/Data!C33</f>
        <v>0.22005874342169185</v>
      </c>
      <c r="M25" s="186">
        <f t="shared" si="1"/>
        <v>181461.07632691634</v>
      </c>
      <c r="N25" s="186">
        <f t="shared" si="2"/>
        <v>168136.92300831707</v>
      </c>
      <c r="O25" s="168"/>
      <c r="P25" s="168"/>
      <c r="Q25" s="168"/>
      <c r="R25" s="168"/>
      <c r="S25" s="168"/>
      <c r="T25" s="168"/>
      <c r="U25" s="168"/>
    </row>
    <row r="26" spans="1:21" s="158" customFormat="1" ht="14" customHeight="1" x14ac:dyDescent="0.2">
      <c r="A26" s="155">
        <v>2036</v>
      </c>
      <c r="B26" s="156">
        <f>'Data by Year'!E29</f>
        <v>42000</v>
      </c>
      <c r="C26" s="156">
        <f>ROUNDDOWN($M$24,-2)</f>
        <v>181300</v>
      </c>
      <c r="D26" s="156">
        <f>ROUNDDOWN($N$24,-2)</f>
        <v>168000</v>
      </c>
      <c r="E26" s="91" t="s">
        <v>101</v>
      </c>
      <c r="F26" s="90">
        <v>1200</v>
      </c>
      <c r="G26" s="177"/>
      <c r="H26" s="150"/>
      <c r="I26" s="238"/>
      <c r="J26" s="184">
        <f t="shared" si="5"/>
        <v>42000</v>
      </c>
      <c r="K26" s="185">
        <f>(Data!AD34-Data!AC34)/Data!C34</f>
        <v>0.20379759431882377</v>
      </c>
      <c r="L26" s="185">
        <f>Data!AD34/Data!C34</f>
        <v>0.21997837223106587</v>
      </c>
      <c r="M26" s="186">
        <f t="shared" si="1"/>
        <v>206086.82914232352</v>
      </c>
      <c r="N26" s="186">
        <f t="shared" si="2"/>
        <v>190927.86065296951</v>
      </c>
      <c r="O26" s="168"/>
      <c r="P26" s="168"/>
      <c r="Q26" s="168"/>
      <c r="R26" s="168"/>
      <c r="S26" s="168"/>
      <c r="T26" s="168"/>
      <c r="U26" s="168"/>
    </row>
    <row r="27" spans="1:21" s="158" customFormat="1" ht="14" customHeight="1" x14ac:dyDescent="0.2">
      <c r="A27" s="159">
        <v>2037</v>
      </c>
      <c r="B27" s="160">
        <f>'Data by Year'!E30</f>
        <v>42000</v>
      </c>
      <c r="C27" s="160">
        <f>ROUNDDOWN($M$27,-2)</f>
        <v>206100</v>
      </c>
      <c r="D27" s="160">
        <f>ROUNDDOWN($N$27,-2)</f>
        <v>190900</v>
      </c>
      <c r="E27" s="98" t="s">
        <v>96</v>
      </c>
      <c r="F27" s="85">
        <v>1000</v>
      </c>
      <c r="G27" s="177"/>
      <c r="H27" s="150"/>
      <c r="I27" s="238"/>
      <c r="J27" s="184">
        <f t="shared" si="5"/>
        <v>42000</v>
      </c>
      <c r="K27" s="185">
        <f>(Data!AD35-Data!AC35)/Data!C35</f>
        <v>0.20369710591597734</v>
      </c>
      <c r="L27" s="185">
        <f>Data!AD35/Data!C35</f>
        <v>0.21989987134892505</v>
      </c>
      <c r="M27" s="186">
        <f t="shared" si="1"/>
        <v>206188.49644984404</v>
      </c>
      <c r="N27" s="186">
        <f t="shared" si="2"/>
        <v>190996.01897154684</v>
      </c>
      <c r="O27" s="168"/>
      <c r="P27" s="168"/>
      <c r="Q27" s="168"/>
      <c r="R27" s="168"/>
      <c r="S27" s="168"/>
      <c r="T27" s="168"/>
      <c r="U27" s="168"/>
    </row>
    <row r="28" spans="1:21" s="158" customFormat="1" ht="14" customHeight="1" x14ac:dyDescent="0.2">
      <c r="A28" s="155">
        <v>2038</v>
      </c>
      <c r="B28" s="156">
        <f>'Data by Year'!E31</f>
        <v>42000</v>
      </c>
      <c r="C28" s="156">
        <f>ROUNDDOWN($M$28,-2)</f>
        <v>206200</v>
      </c>
      <c r="D28" s="156">
        <f>ROUNDDOWN($N$28,-2)</f>
        <v>191000</v>
      </c>
      <c r="E28" s="91"/>
      <c r="F28" s="90"/>
      <c r="G28" s="177"/>
      <c r="H28" s="150"/>
      <c r="I28" s="238"/>
      <c r="J28" s="184">
        <f t="shared" si="5"/>
        <v>42000</v>
      </c>
      <c r="K28" s="185">
        <f>(Data!AD36-Data!AC36)/Data!C36</f>
        <v>0.20359892907089192</v>
      </c>
      <c r="L28" s="185">
        <f>Data!AD36/Data!C36</f>
        <v>0.21982317624056727</v>
      </c>
      <c r="M28" s="186">
        <f t="shared" si="1"/>
        <v>206287.92200265382</v>
      </c>
      <c r="N28" s="186">
        <f t="shared" si="2"/>
        <v>191062.65644181476</v>
      </c>
      <c r="O28" s="168"/>
      <c r="P28" s="168"/>
      <c r="Q28" s="168"/>
      <c r="R28" s="168"/>
      <c r="S28" s="168"/>
      <c r="T28" s="168"/>
      <c r="U28" s="168"/>
    </row>
    <row r="29" spans="1:21" s="158" customFormat="1" ht="14" customHeight="1" x14ac:dyDescent="0.2">
      <c r="A29" s="159">
        <v>2039</v>
      </c>
      <c r="B29" s="160">
        <f>'Data by Year'!E32</f>
        <v>42000</v>
      </c>
      <c r="C29" s="160">
        <f>ROUNDDOWN($M$28,-2)</f>
        <v>206200</v>
      </c>
      <c r="D29" s="160">
        <f>ROUNDDOWN($N$28,-2)</f>
        <v>191000</v>
      </c>
      <c r="E29" s="98" t="s">
        <v>102</v>
      </c>
      <c r="F29" s="85">
        <v>1000</v>
      </c>
      <c r="G29" s="177"/>
      <c r="H29" s="150"/>
      <c r="I29" s="238"/>
      <c r="J29" s="184">
        <f t="shared" si="5"/>
        <v>42000</v>
      </c>
      <c r="K29" s="185">
        <f>(Data!AD37-Data!AC37)/Data!C37</f>
        <v>0.20350298493056493</v>
      </c>
      <c r="L29" s="185">
        <f>Data!AD37/Data!C37</f>
        <v>0.21974822530654337</v>
      </c>
      <c r="M29" s="186">
        <f t="shared" si="1"/>
        <v>206385.17913793927</v>
      </c>
      <c r="N29" s="186">
        <f t="shared" si="2"/>
        <v>191127.82340522221</v>
      </c>
      <c r="O29" s="168"/>
      <c r="P29" s="168"/>
      <c r="Q29" s="168"/>
      <c r="R29" s="168"/>
      <c r="S29" s="168"/>
      <c r="T29" s="168"/>
      <c r="U29" s="168"/>
    </row>
    <row r="30" spans="1:21" s="158" customFormat="1" ht="14" customHeight="1" x14ac:dyDescent="0.2">
      <c r="A30" s="155">
        <v>2040</v>
      </c>
      <c r="B30" s="156">
        <f>'Data by Year'!E33</f>
        <v>42000</v>
      </c>
      <c r="C30" s="156">
        <f>ROUNDDOWN($M$30,-2)</f>
        <v>206400</v>
      </c>
      <c r="D30" s="156">
        <f>ROUNDDOWN($N$30,-2)</f>
        <v>191100</v>
      </c>
      <c r="E30" s="91" t="s">
        <v>100</v>
      </c>
      <c r="F30" s="90"/>
      <c r="G30" s="177"/>
      <c r="H30" s="150"/>
      <c r="I30" s="238"/>
      <c r="J30" s="184">
        <f t="shared" si="5"/>
        <v>42000</v>
      </c>
      <c r="K30" s="185">
        <f>(Data!AD38-Data!AC38)/Data!C38</f>
        <v>0.2034091981881678</v>
      </c>
      <c r="L30" s="185">
        <f>Data!AD38/Data!C38</f>
        <v>0.21967495971765202</v>
      </c>
      <c r="M30" s="186">
        <f t="shared" si="1"/>
        <v>206480.33802850475</v>
      </c>
      <c r="N30" s="186">
        <f t="shared" si="2"/>
        <v>191191.5680056687</v>
      </c>
      <c r="O30" s="168"/>
      <c r="P30" s="168"/>
      <c r="Q30" s="168"/>
      <c r="R30" s="168"/>
      <c r="S30" s="168"/>
      <c r="T30" s="168"/>
      <c r="U30" s="168"/>
    </row>
    <row r="31" spans="1:21" s="158" customFormat="1" ht="14" customHeight="1" x14ac:dyDescent="0.2">
      <c r="A31" s="159">
        <v>2041</v>
      </c>
      <c r="B31" s="160">
        <f>'Data by Year'!E34</f>
        <v>42000</v>
      </c>
      <c r="C31" s="160">
        <f>ROUNDDOWN($M$30,-2)</f>
        <v>206400</v>
      </c>
      <c r="D31" s="160">
        <f>ROUNDDOWN($N$30,-2)</f>
        <v>191100</v>
      </c>
      <c r="E31" s="98"/>
      <c r="F31" s="85"/>
      <c r="G31" s="177"/>
      <c r="H31" s="150"/>
      <c r="I31" s="238"/>
      <c r="J31" s="184">
        <f t="shared" si="5"/>
        <v>42000</v>
      </c>
      <c r="K31" s="185">
        <f>(Data!AD39-Data!AC39)/Data!C39</f>
        <v>0.20331749688591411</v>
      </c>
      <c r="L31" s="185">
        <f>Data!AD39/Data!C39</f>
        <v>0.21960332326094192</v>
      </c>
      <c r="M31" s="186">
        <f t="shared" si="1"/>
        <v>206573.46585162377</v>
      </c>
      <c r="N31" s="186">
        <f t="shared" si="2"/>
        <v>191253.93630812148</v>
      </c>
      <c r="O31" s="168"/>
      <c r="P31" s="168"/>
      <c r="Q31" s="168"/>
      <c r="R31" s="168"/>
      <c r="S31" s="168"/>
      <c r="T31" s="168"/>
      <c r="U31" s="168"/>
    </row>
    <row r="32" spans="1:21" s="158" customFormat="1" ht="14" customHeight="1" x14ac:dyDescent="0.2">
      <c r="A32" s="155">
        <v>2042</v>
      </c>
      <c r="B32" s="156">
        <f>'Data by Year'!E35</f>
        <v>42000</v>
      </c>
      <c r="C32" s="156">
        <f>ROUNDDOWN($M$30,-2)</f>
        <v>206400</v>
      </c>
      <c r="D32" s="156">
        <f>ROUNDDOWN($N$30,-2)</f>
        <v>191100</v>
      </c>
      <c r="E32" s="91"/>
      <c r="F32" s="90"/>
      <c r="G32" s="177"/>
      <c r="H32" s="150"/>
      <c r="I32" s="238"/>
      <c r="J32" s="184">
        <f t="shared" si="5"/>
        <v>42000</v>
      </c>
      <c r="K32" s="185">
        <f>(Data!AD40-Data!AC40)/Data!C40</f>
        <v>0.20322781223093381</v>
      </c>
      <c r="L32" s="185">
        <f>Data!AD40/Data!C40</f>
        <v>0.21953326219587346</v>
      </c>
      <c r="M32" s="186">
        <f t="shared" si="1"/>
        <v>206664.62694719239</v>
      </c>
      <c r="N32" s="186">
        <f t="shared" si="2"/>
        <v>191314.97240963182</v>
      </c>
      <c r="O32" s="168"/>
      <c r="P32" s="168"/>
      <c r="Q32" s="168"/>
      <c r="R32" s="168"/>
      <c r="S32" s="168"/>
      <c r="T32" s="168"/>
      <c r="U32" s="168"/>
    </row>
    <row r="33" spans="1:21" s="158" customFormat="1" ht="14" customHeight="1" x14ac:dyDescent="0.2">
      <c r="A33" s="159">
        <v>2043</v>
      </c>
      <c r="B33" s="160">
        <f>'Data by Year'!E36</f>
        <v>42000</v>
      </c>
      <c r="C33" s="160">
        <f>ROUNDDOWN($M$30,-2)</f>
        <v>206400</v>
      </c>
      <c r="D33" s="160">
        <f>ROUNDDOWN($N$30,-2)</f>
        <v>191100</v>
      </c>
      <c r="E33" s="98" t="s">
        <v>118</v>
      </c>
      <c r="F33" s="85">
        <v>4000</v>
      </c>
      <c r="G33" s="177"/>
      <c r="H33" s="150"/>
      <c r="I33" s="238"/>
      <c r="J33" s="184">
        <f t="shared" si="5"/>
        <v>42000</v>
      </c>
      <c r="K33" s="185">
        <f>(Data!AD41-Data!AC41)/Data!C41</f>
        <v>0.20314007842316273</v>
      </c>
      <c r="L33" s="185">
        <f>Data!AD41/Data!C41</f>
        <v>0.2194647251198675</v>
      </c>
      <c r="M33" s="186">
        <f t="shared" si="1"/>
        <v>206753.88296596726</v>
      </c>
      <c r="N33" s="186">
        <f t="shared" si="2"/>
        <v>191374.7185433121</v>
      </c>
      <c r="O33" s="168"/>
      <c r="P33" s="168"/>
      <c r="Q33" s="168"/>
      <c r="R33" s="168"/>
      <c r="S33" s="168"/>
      <c r="T33" s="168"/>
      <c r="U33" s="168"/>
    </row>
    <row r="34" spans="1:21" s="158" customFormat="1" ht="14" customHeight="1" x14ac:dyDescent="0.2">
      <c r="A34" s="155">
        <v>2044</v>
      </c>
      <c r="B34" s="156">
        <f>'Data by Year'!E37</f>
        <v>46000</v>
      </c>
      <c r="C34" s="156">
        <f t="shared" ref="C34:C46" si="6">ROUNDDOWN($M$34,-2)</f>
        <v>226500</v>
      </c>
      <c r="D34" s="156">
        <f t="shared" ref="D34:D46" si="7">ROUNDDOWN($N$34,-2)</f>
        <v>209600</v>
      </c>
      <c r="E34" s="91"/>
      <c r="F34" s="90"/>
      <c r="G34" s="177"/>
      <c r="H34" s="150"/>
      <c r="I34" s="238"/>
      <c r="J34" s="184">
        <f t="shared" si="5"/>
        <v>46000</v>
      </c>
      <c r="K34" s="185">
        <f>(Data!AD42-Data!AC42)/Data!C42</f>
        <v>0.20305423249434243</v>
      </c>
      <c r="L34" s="185">
        <f>Data!AD42/Data!C42</f>
        <v>0.21939766284253295</v>
      </c>
      <c r="M34" s="186">
        <f t="shared" si="1"/>
        <v>226540.46377133098</v>
      </c>
      <c r="N34" s="186">
        <f t="shared" si="2"/>
        <v>209664.94995443648</v>
      </c>
      <c r="O34" s="168"/>
      <c r="P34" s="168"/>
      <c r="Q34" s="168"/>
      <c r="R34" s="168"/>
      <c r="S34" s="168"/>
      <c r="T34" s="168"/>
      <c r="U34" s="168"/>
    </row>
    <row r="35" spans="1:21" s="158" customFormat="1" ht="14" customHeight="1" x14ac:dyDescent="0.2">
      <c r="A35" s="159">
        <v>2045</v>
      </c>
      <c r="B35" s="160">
        <f>'Data by Year'!E38</f>
        <v>46000</v>
      </c>
      <c r="C35" s="160">
        <f t="shared" si="6"/>
        <v>226500</v>
      </c>
      <c r="D35" s="160">
        <f t="shared" si="7"/>
        <v>209600</v>
      </c>
      <c r="E35" s="98"/>
      <c r="F35" s="85"/>
      <c r="G35" s="177"/>
      <c r="H35" s="150"/>
      <c r="I35" s="238"/>
      <c r="J35" s="184">
        <f t="shared" si="5"/>
        <v>46000</v>
      </c>
      <c r="K35" s="185">
        <f>(Data!AD43-Data!AC43)/Data!C43</f>
        <v>0.20297021415730321</v>
      </c>
      <c r="L35" s="185">
        <f>Data!AD43/Data!C43</f>
        <v>0.21933202826792775</v>
      </c>
      <c r="M35" s="186">
        <f t="shared" si="1"/>
        <v>226634.2388758072</v>
      </c>
      <c r="N35" s="186">
        <f t="shared" si="2"/>
        <v>209727.69167943011</v>
      </c>
      <c r="O35" s="168"/>
      <c r="P35" s="168"/>
      <c r="Q35" s="168"/>
      <c r="R35" s="168"/>
      <c r="S35" s="168"/>
      <c r="T35" s="168"/>
      <c r="U35" s="168"/>
    </row>
    <row r="36" spans="1:21" s="158" customFormat="1" ht="14" customHeight="1" x14ac:dyDescent="0.2">
      <c r="A36" s="155">
        <v>2046</v>
      </c>
      <c r="B36" s="156">
        <f>'Data by Year'!E39</f>
        <v>46000</v>
      </c>
      <c r="C36" s="156">
        <f t="shared" si="6"/>
        <v>226500</v>
      </c>
      <c r="D36" s="156">
        <f t="shared" si="7"/>
        <v>209600</v>
      </c>
      <c r="E36" s="91"/>
      <c r="F36" s="90"/>
      <c r="G36" s="177"/>
      <c r="H36" s="150"/>
      <c r="I36" s="238"/>
      <c r="J36" s="184">
        <f t="shared" si="5"/>
        <v>46000</v>
      </c>
      <c r="K36" s="185">
        <f>(Data!AD44-Data!AC44)/Data!C44</f>
        <v>0.20288796566477132</v>
      </c>
      <c r="L36" s="185">
        <f>Data!AD44/Data!C44</f>
        <v>0.21926777628425981</v>
      </c>
      <c r="M36" s="186">
        <f t="shared" si="1"/>
        <v>226726.1138396207</v>
      </c>
      <c r="N36" s="186">
        <f t="shared" si="2"/>
        <v>209789.1481344043</v>
      </c>
      <c r="O36" s="168"/>
      <c r="P36" s="168"/>
      <c r="Q36" s="168"/>
      <c r="R36" s="168"/>
      <c r="S36" s="168"/>
      <c r="T36" s="168"/>
      <c r="U36" s="168"/>
    </row>
    <row r="37" spans="1:21" s="158" customFormat="1" ht="14" customHeight="1" x14ac:dyDescent="0.2">
      <c r="A37" s="159">
        <v>2047</v>
      </c>
      <c r="B37" s="160">
        <f>'Data by Year'!E40</f>
        <v>46000</v>
      </c>
      <c r="C37" s="160">
        <f t="shared" si="6"/>
        <v>226500</v>
      </c>
      <c r="D37" s="160">
        <f t="shared" si="7"/>
        <v>209600</v>
      </c>
      <c r="E37" s="98"/>
      <c r="F37" s="85"/>
      <c r="G37" s="177"/>
      <c r="H37" s="150"/>
      <c r="I37" s="238"/>
      <c r="J37" s="184">
        <f t="shared" si="5"/>
        <v>46000</v>
      </c>
      <c r="K37" s="185">
        <f>(Data!AD45-Data!AC45)/Data!C45</f>
        <v>0.20280743167700591</v>
      </c>
      <c r="L37" s="185">
        <f>Data!AD45/Data!C45</f>
        <v>0.21920486366048603</v>
      </c>
      <c r="M37" s="186">
        <f t="shared" si="1"/>
        <v>226816.14583660956</v>
      </c>
      <c r="N37" s="186">
        <f t="shared" si="2"/>
        <v>209849.35841226036</v>
      </c>
      <c r="O37" s="168"/>
      <c r="P37" s="168"/>
      <c r="Q37" s="168"/>
      <c r="R37" s="168"/>
      <c r="S37" s="168"/>
      <c r="T37" s="168"/>
      <c r="U37" s="168"/>
    </row>
    <row r="38" spans="1:21" s="158" customFormat="1" ht="14" customHeight="1" x14ac:dyDescent="0.2">
      <c r="A38" s="155">
        <v>2048</v>
      </c>
      <c r="B38" s="156">
        <f>'Data by Year'!E41</f>
        <v>46000</v>
      </c>
      <c r="C38" s="156">
        <f t="shared" si="6"/>
        <v>226500</v>
      </c>
      <c r="D38" s="156">
        <f t="shared" si="7"/>
        <v>209600</v>
      </c>
      <c r="E38" s="91"/>
      <c r="F38" s="90"/>
      <c r="G38" s="177"/>
      <c r="H38" s="150"/>
      <c r="I38" s="238"/>
      <c r="J38" s="184">
        <f t="shared" si="5"/>
        <v>46000</v>
      </c>
      <c r="K38" s="185">
        <f>(Data!AD46-Data!AC46)/Data!C46</f>
        <v>0.20272855913762791</v>
      </c>
      <c r="L38" s="185">
        <f>Data!AD46/Data!C46</f>
        <v>0.21914324894931064</v>
      </c>
      <c r="M38" s="186">
        <f t="shared" si="1"/>
        <v>226904.38976963094</v>
      </c>
      <c r="N38" s="186">
        <f t="shared" si="2"/>
        <v>209908.3600364076</v>
      </c>
      <c r="O38" s="168"/>
      <c r="P38" s="168"/>
      <c r="Q38" s="168"/>
      <c r="R38" s="168"/>
      <c r="S38" s="168"/>
      <c r="T38" s="168"/>
      <c r="U38" s="168"/>
    </row>
    <row r="39" spans="1:21" s="158" customFormat="1" ht="14" customHeight="1" x14ac:dyDescent="0.2">
      <c r="A39" s="159">
        <v>2049</v>
      </c>
      <c r="B39" s="160">
        <f>'Data by Year'!E42</f>
        <v>46000</v>
      </c>
      <c r="C39" s="160">
        <f t="shared" si="6"/>
        <v>226500</v>
      </c>
      <c r="D39" s="160">
        <f t="shared" si="7"/>
        <v>209600</v>
      </c>
      <c r="E39" s="98"/>
      <c r="F39" s="85"/>
      <c r="G39" s="177"/>
      <c r="H39" s="150"/>
      <c r="I39" s="238"/>
      <c r="J39" s="184">
        <f t="shared" si="5"/>
        <v>46000</v>
      </c>
      <c r="K39" s="185">
        <f>(Data!AD47-Data!AC47)/Data!C47</f>
        <v>0.20265129715705624</v>
      </c>
      <c r="L39" s="185">
        <f>Data!AD47/Data!C47</f>
        <v>0.21908289239612616</v>
      </c>
      <c r="M39" s="186">
        <f t="shared" si="1"/>
        <v>226990.89838220805</v>
      </c>
      <c r="N39" s="186">
        <f t="shared" si="2"/>
        <v>209966.18903874475</v>
      </c>
      <c r="O39" s="168"/>
      <c r="P39" s="168"/>
      <c r="Q39" s="168"/>
      <c r="R39" s="168"/>
      <c r="S39" s="168"/>
      <c r="T39" s="168"/>
      <c r="U39" s="168"/>
    </row>
    <row r="40" spans="1:21" s="158" customFormat="1" ht="14" customHeight="1" x14ac:dyDescent="0.2">
      <c r="A40" s="155">
        <v>2050</v>
      </c>
      <c r="B40" s="156">
        <f>'Data by Year'!E43</f>
        <v>46000</v>
      </c>
      <c r="C40" s="156">
        <f t="shared" si="6"/>
        <v>226500</v>
      </c>
      <c r="D40" s="156">
        <f t="shared" si="7"/>
        <v>209600</v>
      </c>
      <c r="E40" s="91"/>
      <c r="F40" s="90"/>
      <c r="G40" s="177"/>
      <c r="H40" s="150"/>
      <c r="I40" s="238"/>
      <c r="J40" s="184">
        <f t="shared" si="5"/>
        <v>46000</v>
      </c>
      <c r="K40" s="185">
        <f>(Data!AD48-Data!AC48)/Data!C48</f>
        <v>0.20257559690301161</v>
      </c>
      <c r="L40" s="185">
        <f>Data!AD48/Data!C48</f>
        <v>0.21902375585347589</v>
      </c>
      <c r="M40" s="186">
        <f t="shared" si="1"/>
        <v>227075.72236365522</v>
      </c>
      <c r="N40" s="186">
        <f t="shared" si="2"/>
        <v>210022.88003303812</v>
      </c>
      <c r="O40" s="168"/>
      <c r="P40" s="168"/>
      <c r="Q40" s="168"/>
      <c r="R40" s="168"/>
      <c r="S40" s="168"/>
      <c r="T40" s="168"/>
      <c r="U40" s="168"/>
    </row>
    <row r="41" spans="1:21" s="158" customFormat="1" ht="14" customHeight="1" x14ac:dyDescent="0.2">
      <c r="A41" s="159">
        <v>2051</v>
      </c>
      <c r="B41" s="160">
        <f>'Data by Year'!E44</f>
        <v>46000</v>
      </c>
      <c r="C41" s="160">
        <f t="shared" si="6"/>
        <v>226500</v>
      </c>
      <c r="D41" s="160">
        <f t="shared" si="7"/>
        <v>209600</v>
      </c>
      <c r="E41" s="98"/>
      <c r="F41" s="85"/>
      <c r="G41" s="177"/>
      <c r="H41" s="150"/>
      <c r="I41" s="238"/>
      <c r="J41" s="184">
        <f t="shared" si="5"/>
        <v>46000</v>
      </c>
      <c r="K41" s="185">
        <f>(Data!AD49-Data!AC49)/Data!C49</f>
        <v>0.20250141149759404</v>
      </c>
      <c r="L41" s="185">
        <f>Data!AD49/Data!C49</f>
        <v>0.2189658027006513</v>
      </c>
      <c r="M41" s="186">
        <f t="shared" si="1"/>
        <v>227158.91044812067</v>
      </c>
      <c r="N41" s="186">
        <f t="shared" si="2"/>
        <v>210078.46628401018</v>
      </c>
      <c r="O41" s="168"/>
      <c r="P41" s="168"/>
      <c r="Q41" s="168"/>
      <c r="R41" s="168"/>
      <c r="S41" s="168"/>
      <c r="T41" s="168"/>
      <c r="U41" s="168"/>
    </row>
    <row r="42" spans="1:21" s="158" customFormat="1" ht="14" customHeight="1" x14ac:dyDescent="0.2">
      <c r="A42" s="155">
        <v>2052</v>
      </c>
      <c r="B42" s="156">
        <f>'Data by Year'!E45</f>
        <v>48000</v>
      </c>
      <c r="C42" s="156">
        <f t="shared" si="6"/>
        <v>226500</v>
      </c>
      <c r="D42" s="156">
        <f t="shared" si="7"/>
        <v>209600</v>
      </c>
      <c r="E42" s="91"/>
      <c r="F42" s="90"/>
      <c r="G42" s="177"/>
      <c r="H42" s="150"/>
      <c r="I42" s="238"/>
      <c r="J42" s="184">
        <f t="shared" si="5"/>
        <v>48000</v>
      </c>
      <c r="K42" s="185">
        <f>(Data!AD50-Data!AC50)/Data!C50</f>
        <v>0.20242869592047838</v>
      </c>
      <c r="L42" s="185">
        <f>Data!AD50/Data!C50</f>
        <v>0.21890899776806938</v>
      </c>
      <c r="M42" s="186">
        <f t="shared" si="1"/>
        <v>237120.53166047274</v>
      </c>
      <c r="N42" s="186">
        <f t="shared" si="2"/>
        <v>219269.19628427169</v>
      </c>
      <c r="O42" s="168"/>
      <c r="P42" s="168"/>
      <c r="Q42" s="168"/>
      <c r="R42" s="168"/>
      <c r="S42" s="168"/>
      <c r="T42" s="168"/>
      <c r="U42" s="168"/>
    </row>
    <row r="43" spans="1:21" s="158" customFormat="1" ht="14" customHeight="1" x14ac:dyDescent="0.2">
      <c r="A43" s="159">
        <v>2053</v>
      </c>
      <c r="B43" s="160">
        <f>'Data by Year'!E46</f>
        <v>48000</v>
      </c>
      <c r="C43" s="160">
        <f t="shared" si="6"/>
        <v>226500</v>
      </c>
      <c r="D43" s="160">
        <f t="shared" si="7"/>
        <v>209600</v>
      </c>
      <c r="E43" s="98"/>
      <c r="F43" s="85"/>
      <c r="G43" s="177"/>
      <c r="H43" s="150"/>
      <c r="I43" s="238"/>
      <c r="J43" s="184">
        <f t="shared" si="5"/>
        <v>48000</v>
      </c>
      <c r="K43" s="185">
        <f>(Data!AD51-Data!AC51)/Data!C51</f>
        <v>0.20235740691780676</v>
      </c>
      <c r="L43" s="185">
        <f>Data!AD51/Data!C51</f>
        <v>0.21885330726609958</v>
      </c>
      <c r="M43" s="186">
        <f t="shared" si="1"/>
        <v>237204.06745228046</v>
      </c>
      <c r="N43" s="186">
        <f t="shared" si="2"/>
        <v>219324.99261543126</v>
      </c>
      <c r="O43" s="168"/>
      <c r="P43" s="168"/>
      <c r="Q43" s="168"/>
      <c r="R43" s="168"/>
      <c r="S43" s="168"/>
      <c r="T43" s="168"/>
      <c r="U43" s="168"/>
    </row>
    <row r="44" spans="1:21" s="158" customFormat="1" ht="14" customHeight="1" x14ac:dyDescent="0.2">
      <c r="A44" s="155">
        <v>2054</v>
      </c>
      <c r="B44" s="156">
        <f>'Data by Year'!E47</f>
        <v>48000</v>
      </c>
      <c r="C44" s="156">
        <f t="shared" si="6"/>
        <v>226500</v>
      </c>
      <c r="D44" s="156">
        <f t="shared" si="7"/>
        <v>209600</v>
      </c>
      <c r="E44" s="91"/>
      <c r="F44" s="90"/>
      <c r="G44" s="177"/>
      <c r="H44" s="150"/>
      <c r="I44" s="238"/>
      <c r="J44" s="184">
        <f t="shared" si="5"/>
        <v>48000</v>
      </c>
      <c r="K44" s="185">
        <f>(Data!AD52-Data!AC52)/Data!C52</f>
        <v>0.20228750291639139</v>
      </c>
      <c r="L44" s="185">
        <f>Data!AD52/Data!C52</f>
        <v>0.21879869871803989</v>
      </c>
      <c r="M44" s="186">
        <f t="shared" si="1"/>
        <v>237286.03748615729</v>
      </c>
      <c r="N44" s="186">
        <f t="shared" si="2"/>
        <v>219379.73251777119</v>
      </c>
      <c r="O44" s="168"/>
      <c r="P44" s="168"/>
      <c r="Q44" s="168"/>
      <c r="R44" s="168"/>
      <c r="S44" s="168"/>
      <c r="T44" s="168"/>
      <c r="U44" s="168"/>
    </row>
    <row r="45" spans="1:21" s="158" customFormat="1" ht="14" customHeight="1" x14ac:dyDescent="0.2">
      <c r="A45" s="159">
        <v>2055</v>
      </c>
      <c r="B45" s="160">
        <f>'Data by Year'!E48</f>
        <v>48000</v>
      </c>
      <c r="C45" s="160">
        <f t="shared" si="6"/>
        <v>226500</v>
      </c>
      <c r="D45" s="160">
        <f t="shared" si="7"/>
        <v>209600</v>
      </c>
      <c r="E45" s="98"/>
      <c r="F45" s="85"/>
      <c r="G45" s="177"/>
      <c r="H45" s="150"/>
      <c r="I45" s="238"/>
      <c r="J45" s="184">
        <f t="shared" si="5"/>
        <v>48000</v>
      </c>
      <c r="K45" s="185">
        <f>(Data!AD53-Data!AC53)/Data!C53</f>
        <v>0.20250347326911428</v>
      </c>
      <c r="L45" s="185">
        <f>Data!AD53/Data!C53</f>
        <v>0.21905601553119147</v>
      </c>
      <c r="M45" s="186">
        <f t="shared" si="1"/>
        <v>237032.97146025265</v>
      </c>
      <c r="N45" s="186">
        <f t="shared" si="2"/>
        <v>219122.03544652378</v>
      </c>
      <c r="O45" s="168"/>
      <c r="P45" s="168"/>
      <c r="Q45" s="168"/>
      <c r="R45" s="168"/>
      <c r="S45" s="168"/>
      <c r="T45" s="168"/>
      <c r="U45" s="168"/>
    </row>
    <row r="46" spans="1:21" s="158" customFormat="1" ht="14" customHeight="1" x14ac:dyDescent="0.2">
      <c r="A46" s="155">
        <v>2056</v>
      </c>
      <c r="B46" s="156">
        <f>'Data by Year'!E49</f>
        <v>48000</v>
      </c>
      <c r="C46" s="156">
        <f t="shared" si="6"/>
        <v>226500</v>
      </c>
      <c r="D46" s="156">
        <f t="shared" si="7"/>
        <v>209600</v>
      </c>
      <c r="E46" s="91" t="s">
        <v>103</v>
      </c>
      <c r="F46" s="90">
        <v>1000</v>
      </c>
      <c r="G46" s="177"/>
      <c r="H46" s="150"/>
      <c r="I46" s="238"/>
      <c r="J46" s="184">
        <f t="shared" si="5"/>
        <v>48000</v>
      </c>
      <c r="K46" s="185">
        <f>(Data!AD54-Data!AC54)/Data!C54</f>
        <v>0.20168740408920366</v>
      </c>
      <c r="L46" s="185">
        <f>Data!AD54/Data!C54</f>
        <v>0.2181853267284147</v>
      </c>
      <c r="M46" s="186">
        <f t="shared" si="1"/>
        <v>237992.05615622003</v>
      </c>
      <c r="N46" s="186">
        <f t="shared" si="2"/>
        <v>219996.46227240481</v>
      </c>
      <c r="O46" s="168"/>
      <c r="P46" s="168"/>
      <c r="Q46" s="168"/>
      <c r="R46" s="168"/>
      <c r="S46" s="168"/>
      <c r="T46" s="168"/>
      <c r="U46" s="168"/>
    </row>
    <row r="47" spans="1:21" s="158" customFormat="1" ht="14" customHeight="1" x14ac:dyDescent="0.2">
      <c r="A47" s="159">
        <v>2057</v>
      </c>
      <c r="B47" s="160">
        <f>'Data by Year'!E50</f>
        <v>48000</v>
      </c>
      <c r="C47" s="160">
        <f>ROUNDDOWN($M$47,-2)</f>
        <v>238900</v>
      </c>
      <c r="D47" s="160">
        <f>ROUNDDOWN($N$47,-2)</f>
        <v>220800</v>
      </c>
      <c r="E47" s="98"/>
      <c r="F47" s="85"/>
      <c r="G47" s="177"/>
      <c r="H47" s="150"/>
      <c r="I47" s="238"/>
      <c r="J47" s="184">
        <f t="shared" si="5"/>
        <v>48000</v>
      </c>
      <c r="K47" s="185">
        <f>(Data!AD55-Data!AC55)/Data!C55</f>
        <v>0.20088674053405581</v>
      </c>
      <c r="L47" s="185">
        <f>Data!AD55/Data!C55</f>
        <v>0.21733107465099277</v>
      </c>
      <c r="M47" s="186">
        <f t="shared" si="1"/>
        <v>238940.60838655842</v>
      </c>
      <c r="N47" s="186">
        <f t="shared" si="2"/>
        <v>220861.19105186476</v>
      </c>
      <c r="O47" s="168"/>
      <c r="P47" s="168"/>
      <c r="Q47" s="168"/>
      <c r="R47" s="168"/>
      <c r="S47" s="168"/>
      <c r="T47" s="168"/>
      <c r="U47" s="168"/>
    </row>
    <row r="48" spans="1:21" s="158" customFormat="1" ht="14" customHeight="1" x14ac:dyDescent="0.2">
      <c r="A48" s="155">
        <v>2058</v>
      </c>
      <c r="B48" s="156">
        <f>'Data by Year'!E51</f>
        <v>48000</v>
      </c>
      <c r="C48" s="156">
        <f>ROUNDDOWN($M$47,-2)</f>
        <v>238900</v>
      </c>
      <c r="D48" s="156">
        <f>ROUNDDOWN($N$47,-2)</f>
        <v>220800</v>
      </c>
      <c r="E48" s="91"/>
      <c r="F48" s="90"/>
      <c r="G48" s="177"/>
      <c r="H48" s="150"/>
      <c r="I48" s="238"/>
      <c r="J48" s="184">
        <f t="shared" si="5"/>
        <v>48000</v>
      </c>
      <c r="K48" s="185">
        <f>(Data!AD56-Data!AC56)/Data!C56</f>
        <v>0.20010105044536139</v>
      </c>
      <c r="L48" s="185">
        <f>Data!AD56/Data!C56</f>
        <v>0.21649279821620099</v>
      </c>
      <c r="M48" s="186">
        <f t="shared" si="1"/>
        <v>239878.80070178164</v>
      </c>
      <c r="N48" s="186">
        <f t="shared" si="2"/>
        <v>221716.38223302329</v>
      </c>
      <c r="O48" s="168"/>
      <c r="P48" s="168"/>
      <c r="Q48" s="168"/>
      <c r="R48" s="168"/>
      <c r="S48" s="168"/>
      <c r="T48" s="168"/>
      <c r="U48" s="168"/>
    </row>
    <row r="49" spans="1:21" s="158" customFormat="1" ht="14" customHeight="1" x14ac:dyDescent="0.2">
      <c r="A49" s="159">
        <v>2059</v>
      </c>
      <c r="B49" s="160">
        <f>'Data by Year'!E52</f>
        <v>48000</v>
      </c>
      <c r="C49" s="160">
        <f>ROUNDDOWN($M$47,-2)</f>
        <v>238900</v>
      </c>
      <c r="D49" s="160">
        <f>ROUNDDOWN($N$47,-2)</f>
        <v>220800</v>
      </c>
      <c r="E49" s="98"/>
      <c r="F49" s="85"/>
      <c r="G49" s="177"/>
      <c r="H49" s="150"/>
      <c r="I49" s="238"/>
      <c r="J49" s="184">
        <f t="shared" si="5"/>
        <v>48000</v>
      </c>
      <c r="K49" s="185">
        <f>(Data!AD57-Data!AC57)/Data!C57</f>
        <v>0.19932991767893127</v>
      </c>
      <c r="L49" s="185">
        <f>Data!AD57/Data!C57</f>
        <v>0.21567005342726225</v>
      </c>
      <c r="M49" s="186">
        <f t="shared" si="1"/>
        <v>240806.801903744</v>
      </c>
      <c r="N49" s="186">
        <f t="shared" si="2"/>
        <v>222562.19274405972</v>
      </c>
      <c r="O49" s="168"/>
      <c r="P49" s="168"/>
      <c r="Q49" s="168"/>
      <c r="R49" s="168"/>
      <c r="S49" s="168"/>
      <c r="T49" s="168"/>
      <c r="U49" s="168"/>
    </row>
    <row r="50" spans="1:21" s="158" customFormat="1" ht="14" customHeight="1" x14ac:dyDescent="0.2">
      <c r="A50" s="155">
        <v>2060</v>
      </c>
      <c r="B50" s="156">
        <f>'Data by Year'!E53</f>
        <v>50000</v>
      </c>
      <c r="C50" s="156">
        <f>ROUNDDOWN($M$47,-2)</f>
        <v>238900</v>
      </c>
      <c r="D50" s="156">
        <f>ROUNDDOWN($N$47,-2)</f>
        <v>220800</v>
      </c>
      <c r="E50" s="91"/>
      <c r="F50" s="90"/>
      <c r="G50" s="177"/>
      <c r="H50" s="150"/>
      <c r="I50" s="238"/>
      <c r="J50" s="184">
        <f t="shared" si="5"/>
        <v>50000</v>
      </c>
      <c r="K50" s="185">
        <f>(Data!AD58-Data!AC58)/Data!C58</f>
        <v>0.19857294136972845</v>
      </c>
      <c r="L50" s="185">
        <f>Data!AD58/Data!C58</f>
        <v>0.21486241258918728</v>
      </c>
      <c r="M50" s="186">
        <f t="shared" si="1"/>
        <v>251796.64286134343</v>
      </c>
      <c r="N50" s="186">
        <f t="shared" si="2"/>
        <v>232707.05842626377</v>
      </c>
      <c r="O50" s="168"/>
      <c r="P50" s="168"/>
      <c r="Q50" s="168"/>
      <c r="R50" s="168"/>
      <c r="S50" s="168"/>
      <c r="T50" s="168"/>
      <c r="U50" s="168"/>
    </row>
    <row r="51" spans="1:21" s="158" customFormat="1" ht="14" customHeight="1" x14ac:dyDescent="0.2">
      <c r="A51" s="159">
        <v>2061</v>
      </c>
      <c r="B51" s="160">
        <f>'Data by Year'!E54</f>
        <v>50000</v>
      </c>
      <c r="C51" s="160">
        <f>ROUNDDOWN($M$47,-2)</f>
        <v>238900</v>
      </c>
      <c r="D51" s="160">
        <f>ROUNDDOWN($N$47,-2)</f>
        <v>220800</v>
      </c>
      <c r="E51" s="98" t="s">
        <v>95</v>
      </c>
      <c r="F51" s="85">
        <v>1000</v>
      </c>
      <c r="G51" s="177"/>
      <c r="H51" s="150"/>
      <c r="I51" s="238"/>
      <c r="J51" s="184">
        <f t="shared" si="5"/>
        <v>50000</v>
      </c>
      <c r="K51" s="185">
        <f>(Data!AD59-Data!AC59)/Data!C59</f>
        <v>0.19782973523700922</v>
      </c>
      <c r="L51" s="185">
        <f>Data!AD59/Data!C59</f>
        <v>0.21406946356740889</v>
      </c>
      <c r="M51" s="186">
        <f t="shared" si="1"/>
        <v>252742.59170441527</v>
      </c>
      <c r="N51" s="186">
        <f t="shared" si="2"/>
        <v>233569.04421006021</v>
      </c>
      <c r="O51" s="168"/>
      <c r="P51" s="168"/>
      <c r="Q51" s="168"/>
      <c r="R51" s="168"/>
      <c r="S51" s="168"/>
      <c r="T51" s="168"/>
      <c r="U51" s="168"/>
    </row>
    <row r="52" spans="1:21" s="158" customFormat="1" ht="14" customHeight="1" x14ac:dyDescent="0.2">
      <c r="A52" s="155" t="s">
        <v>97</v>
      </c>
      <c r="B52" s="156">
        <f>'Data by Year'!E55</f>
        <v>50000</v>
      </c>
      <c r="C52" s="156">
        <f>ROUNDDOWN($M$52,-2)</f>
        <v>253600</v>
      </c>
      <c r="D52" s="156">
        <f>ROUNDDOWN($N$52,-2)</f>
        <v>234400</v>
      </c>
      <c r="E52" s="163"/>
      <c r="F52" s="156"/>
      <c r="G52" s="180"/>
      <c r="H52" s="170"/>
      <c r="I52" s="239"/>
      <c r="J52" s="184">
        <f t="shared" si="5"/>
        <v>50000</v>
      </c>
      <c r="K52" s="185">
        <f>(Data!AD60-Data!AC60)/Data!C60</f>
        <v>0.19709992692704364</v>
      </c>
      <c r="L52" s="185">
        <f>Data!AD60/Data!C60</f>
        <v>0.21329080908651052</v>
      </c>
      <c r="M52" s="186">
        <f t="shared" si="1"/>
        <v>253678.42991898954</v>
      </c>
      <c r="N52" s="186">
        <f t="shared" si="2"/>
        <v>234421.72784726066</v>
      </c>
      <c r="O52" s="168"/>
      <c r="P52" s="168"/>
      <c r="Q52" s="168"/>
      <c r="R52" s="168"/>
      <c r="S52" s="168"/>
      <c r="T52" s="168"/>
      <c r="U52" s="168"/>
    </row>
  </sheetData>
  <mergeCells count="1">
    <mergeCell ref="I1:I52"/>
  </mergeCells>
  <pageMargins left="0.7" right="0.7" top="0.75" bottom="0.75" header="0.3" footer="0.3"/>
  <pageSetup scale="50" orientation="portrait" r:id="rId1"/>
  <headerFooter>
    <oddHeader>&amp;C&amp;"-,Bold"Maximum Populations that can be suported by Firm Yield</oddHeader>
    <oddFooter>&amp;L&amp;8&amp;Z&amp;F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Y92"/>
  <sheetViews>
    <sheetView tabSelected="1" zoomScale="120" zoomScaleNormal="120" zoomScaleSheetLayoutView="100" workbookViewId="0">
      <pane xSplit="2" ySplit="6" topLeftCell="C7" activePane="bottomRight" state="frozen"/>
      <selection activeCell="C15" sqref="C15"/>
      <selection pane="topRight" activeCell="C15" sqref="C15"/>
      <selection pane="bottomLeft" activeCell="C15" sqref="C15"/>
      <selection pane="bottomRight" activeCell="A2" sqref="A2"/>
    </sheetView>
  </sheetViews>
  <sheetFormatPr baseColWidth="10" defaultColWidth="8.83203125" defaultRowHeight="13" x14ac:dyDescent="0.15"/>
  <cols>
    <col min="2" max="2" width="9.83203125" customWidth="1"/>
    <col min="3" max="3" width="9.5" bestFit="1" customWidth="1"/>
    <col min="6" max="6" width="10.1640625" bestFit="1" customWidth="1"/>
    <col min="9" max="9" width="9.83203125" bestFit="1" customWidth="1"/>
    <col min="16" max="16" width="10.5" customWidth="1"/>
    <col min="19" max="19" width="13" bestFit="1" customWidth="1"/>
    <col min="20" max="20" width="13.33203125" customWidth="1"/>
    <col min="21" max="21" width="10.83203125" customWidth="1"/>
    <col min="22" max="23" width="13" hidden="1" customWidth="1"/>
    <col min="24" max="25" width="13.33203125" hidden="1" customWidth="1"/>
    <col min="26" max="27" width="13.6640625" style="2" hidden="1" customWidth="1"/>
    <col min="28" max="28" width="11.33203125" style="109" customWidth="1"/>
    <col min="29" max="29" width="9.83203125" style="109" customWidth="1"/>
    <col min="30" max="30" width="11.33203125" style="109" customWidth="1"/>
    <col min="31" max="48" width="11.33203125" style="109" hidden="1" customWidth="1"/>
    <col min="49" max="49" width="1.33203125" style="109" hidden="1" customWidth="1"/>
    <col min="50" max="55" width="0" style="109" hidden="1" customWidth="1"/>
    <col min="56" max="57" width="9.33203125" style="109" hidden="1" customWidth="1"/>
    <col min="58" max="58" width="14.83203125" style="110" hidden="1" customWidth="1"/>
    <col min="59" max="59" width="14.83203125" style="34" hidden="1" customWidth="1"/>
    <col min="60" max="60" width="14.83203125" style="111" customWidth="1"/>
    <col min="61" max="62" width="14.83203125" style="8" hidden="1" customWidth="1"/>
    <col min="63" max="64" width="10.6640625" hidden="1" customWidth="1"/>
    <col min="65" max="65" width="1.33203125" hidden="1" customWidth="1"/>
    <col min="66" max="67" width="9.33203125" hidden="1" customWidth="1"/>
    <col min="68" max="68" width="0" hidden="1" customWidth="1"/>
    <col min="69" max="69" width="12" style="1" hidden="1" customWidth="1"/>
    <col min="70" max="70" width="9.6640625" style="2" hidden="1" customWidth="1"/>
    <col min="71" max="71" width="0" style="2" hidden="1" customWidth="1"/>
    <col min="72" max="72" width="11.5" style="2" hidden="1" customWidth="1"/>
    <col min="73" max="73" width="9.33203125" style="2" hidden="1" customWidth="1"/>
  </cols>
  <sheetData>
    <row r="1" spans="1:77" ht="20" thickBot="1" x14ac:dyDescent="0.35">
      <c r="B1" s="3"/>
    </row>
    <row r="2" spans="1:77" ht="15" customHeight="1" thickBot="1" x14ac:dyDescent="0.2">
      <c r="B2" s="144" t="s">
        <v>73</v>
      </c>
      <c r="C2" s="233" t="s">
        <v>2</v>
      </c>
      <c r="D2" s="233"/>
      <c r="E2" s="233"/>
      <c r="F2" s="225" t="s">
        <v>8</v>
      </c>
      <c r="G2" s="233"/>
      <c r="H2" s="233"/>
      <c r="I2" s="233"/>
      <c r="J2" s="233"/>
      <c r="K2" s="233"/>
      <c r="L2" s="233"/>
      <c r="M2" s="233"/>
      <c r="N2" s="233"/>
      <c r="O2" s="233"/>
      <c r="P2" s="233"/>
      <c r="Q2" s="226"/>
      <c r="R2" s="233" t="s">
        <v>71</v>
      </c>
      <c r="S2" s="233"/>
      <c r="T2" s="233"/>
      <c r="U2" s="226"/>
      <c r="V2" s="225" t="s">
        <v>74</v>
      </c>
      <c r="W2" s="226"/>
      <c r="X2" s="225" t="s">
        <v>72</v>
      </c>
      <c r="Y2" s="226"/>
      <c r="Z2" s="224" t="s">
        <v>60</v>
      </c>
      <c r="AA2" s="224"/>
      <c r="AB2" s="144" t="s">
        <v>10</v>
      </c>
      <c r="AC2" s="145" t="s">
        <v>11</v>
      </c>
      <c r="AD2" s="146" t="s">
        <v>12</v>
      </c>
      <c r="AE2" s="221" t="s">
        <v>41</v>
      </c>
      <c r="AF2" s="222"/>
      <c r="AG2" s="222"/>
      <c r="AH2" s="222"/>
      <c r="AI2" s="223"/>
      <c r="AJ2" s="222" t="s">
        <v>48</v>
      </c>
      <c r="AK2" s="222"/>
      <c r="AL2" s="223"/>
      <c r="AM2" s="221" t="s">
        <v>47</v>
      </c>
      <c r="AN2" s="222"/>
      <c r="AO2" s="222"/>
      <c r="AP2" s="222"/>
      <c r="AQ2" s="222"/>
      <c r="AR2" s="222"/>
      <c r="AS2" s="222"/>
      <c r="AT2" s="222"/>
      <c r="AU2" s="223"/>
      <c r="AV2" s="112"/>
      <c r="AX2" s="231" t="s">
        <v>21</v>
      </c>
      <c r="AY2" s="231"/>
      <c r="AZ2" s="231"/>
      <c r="BA2" s="231"/>
      <c r="BB2" s="231"/>
      <c r="BC2" s="231"/>
      <c r="BD2" s="231"/>
      <c r="BE2" s="231"/>
      <c r="BF2" s="35"/>
      <c r="BG2" s="10"/>
      <c r="BH2" s="38"/>
      <c r="BI2" s="10"/>
      <c r="BJ2" s="10"/>
      <c r="BK2" s="228" t="s">
        <v>27</v>
      </c>
      <c r="BL2" s="228"/>
      <c r="BM2" s="228"/>
      <c r="BN2" s="228"/>
      <c r="BO2" s="228"/>
      <c r="BP2" s="228"/>
      <c r="BQ2" s="227" t="s">
        <v>49</v>
      </c>
      <c r="BR2" s="227"/>
      <c r="BS2" s="227"/>
    </row>
    <row r="3" spans="1:77" x14ac:dyDescent="0.15">
      <c r="A3" s="2"/>
      <c r="B3" s="30"/>
      <c r="C3" s="31"/>
      <c r="D3" s="31"/>
      <c r="E3" s="31"/>
      <c r="F3" s="234" t="s">
        <v>3</v>
      </c>
      <c r="G3" s="235"/>
      <c r="H3" s="236"/>
      <c r="I3" s="234" t="s">
        <v>4</v>
      </c>
      <c r="J3" s="235"/>
      <c r="K3" s="236"/>
      <c r="L3" s="234" t="s">
        <v>5</v>
      </c>
      <c r="M3" s="235"/>
      <c r="N3" s="236"/>
      <c r="O3" s="234" t="s">
        <v>7</v>
      </c>
      <c r="P3" s="235"/>
      <c r="Q3" s="236"/>
      <c r="R3" s="30"/>
      <c r="S3" s="36" t="s">
        <v>32</v>
      </c>
      <c r="T3" s="36" t="s">
        <v>63</v>
      </c>
      <c r="U3" s="57" t="s">
        <v>53</v>
      </c>
      <c r="V3" s="56" t="s">
        <v>22</v>
      </c>
      <c r="W3" s="57" t="s">
        <v>22</v>
      </c>
      <c r="X3" s="36" t="s">
        <v>68</v>
      </c>
      <c r="Y3" s="57" t="s">
        <v>62</v>
      </c>
      <c r="Z3" s="10" t="s">
        <v>60</v>
      </c>
      <c r="AA3" s="2" t="s">
        <v>62</v>
      </c>
      <c r="AE3" s="33" t="s">
        <v>42</v>
      </c>
      <c r="AF3" s="10" t="s">
        <v>42</v>
      </c>
      <c r="AG3" s="10" t="s">
        <v>43</v>
      </c>
      <c r="AH3" s="10" t="s">
        <v>43</v>
      </c>
      <c r="AI3" s="64" t="s">
        <v>45</v>
      </c>
      <c r="AJ3" s="10"/>
      <c r="AK3" s="10" t="s">
        <v>15</v>
      </c>
      <c r="AL3" s="64" t="s">
        <v>18</v>
      </c>
      <c r="AM3" s="33"/>
      <c r="AN3" s="10"/>
      <c r="AO3" s="10" t="s">
        <v>15</v>
      </c>
      <c r="AP3" s="10"/>
      <c r="AQ3" s="10" t="s">
        <v>18</v>
      </c>
      <c r="AR3" s="10"/>
      <c r="AS3" s="10"/>
      <c r="AT3" s="10"/>
      <c r="AU3" s="113"/>
      <c r="AV3" s="113"/>
      <c r="BN3" s="2" t="s">
        <v>35</v>
      </c>
      <c r="BO3" s="2" t="s">
        <v>35</v>
      </c>
      <c r="BP3" s="2" t="s">
        <v>32</v>
      </c>
    </row>
    <row r="4" spans="1:77" x14ac:dyDescent="0.15">
      <c r="A4" s="2" t="s">
        <v>76</v>
      </c>
      <c r="B4" s="7"/>
      <c r="C4" s="8"/>
      <c r="D4" s="8"/>
      <c r="E4" s="8"/>
      <c r="F4" s="7"/>
      <c r="G4" s="8"/>
      <c r="H4" s="9"/>
      <c r="I4" s="7"/>
      <c r="J4" s="8"/>
      <c r="K4" s="9"/>
      <c r="L4" s="7"/>
      <c r="M4" s="8"/>
      <c r="N4" s="9"/>
      <c r="O4" s="7"/>
      <c r="P4" s="8"/>
      <c r="Q4" s="9"/>
      <c r="R4" s="7"/>
      <c r="S4" s="5" t="s">
        <v>38</v>
      </c>
      <c r="T4" s="5" t="s">
        <v>40</v>
      </c>
      <c r="U4" s="6" t="s">
        <v>54</v>
      </c>
      <c r="V4" s="4" t="s">
        <v>66</v>
      </c>
      <c r="W4" s="6" t="s">
        <v>66</v>
      </c>
      <c r="X4" s="5" t="s">
        <v>32</v>
      </c>
      <c r="Y4" s="6" t="s">
        <v>70</v>
      </c>
      <c r="Z4" s="10" t="s">
        <v>61</v>
      </c>
      <c r="AA4" s="2" t="s">
        <v>64</v>
      </c>
      <c r="AE4" s="114" t="s">
        <v>41</v>
      </c>
      <c r="AF4" s="115" t="s">
        <v>41</v>
      </c>
      <c r="AG4" s="115" t="s">
        <v>41</v>
      </c>
      <c r="AH4" s="115" t="s">
        <v>41</v>
      </c>
      <c r="AI4" s="116" t="s">
        <v>46</v>
      </c>
      <c r="AJ4" s="10" t="s">
        <v>13</v>
      </c>
      <c r="AK4" s="10" t="s">
        <v>16</v>
      </c>
      <c r="AL4" s="10" t="s">
        <v>16</v>
      </c>
      <c r="AM4" s="33" t="s">
        <v>13</v>
      </c>
      <c r="AN4" s="10"/>
      <c r="AO4" s="10" t="s">
        <v>16</v>
      </c>
      <c r="AP4" s="10"/>
      <c r="AQ4" s="10" t="s">
        <v>16</v>
      </c>
      <c r="AR4" s="10"/>
      <c r="AS4" s="10" t="s">
        <v>19</v>
      </c>
      <c r="AT4" s="10"/>
      <c r="AU4" s="113"/>
      <c r="AV4" s="113"/>
      <c r="AX4" s="229" t="s">
        <v>59</v>
      </c>
      <c r="AY4" s="230"/>
      <c r="AZ4" s="229" t="s">
        <v>0</v>
      </c>
      <c r="BA4" s="230"/>
      <c r="BB4" s="229" t="s">
        <v>22</v>
      </c>
      <c r="BC4" s="230"/>
      <c r="BD4" s="229" t="s">
        <v>12</v>
      </c>
      <c r="BE4" s="230"/>
      <c r="BF4" s="35" t="s">
        <v>58</v>
      </c>
      <c r="BG4" s="10"/>
      <c r="BH4" s="38" t="s">
        <v>3</v>
      </c>
      <c r="BI4" s="5"/>
      <c r="BJ4" s="5"/>
      <c r="BK4" s="2" t="s">
        <v>28</v>
      </c>
      <c r="BL4" s="2" t="s">
        <v>29</v>
      </c>
      <c r="BN4" s="2" t="s">
        <v>30</v>
      </c>
      <c r="BO4" s="2" t="s">
        <v>31</v>
      </c>
      <c r="BP4" s="2" t="s">
        <v>33</v>
      </c>
      <c r="BQ4" s="22" t="s">
        <v>52</v>
      </c>
      <c r="BT4" s="23" t="s">
        <v>50</v>
      </c>
    </row>
    <row r="5" spans="1:77" ht="28" x14ac:dyDescent="0.15">
      <c r="A5" s="2" t="s">
        <v>77</v>
      </c>
      <c r="B5" s="7"/>
      <c r="C5" s="194" t="s">
        <v>119</v>
      </c>
      <c r="D5" s="200" t="s">
        <v>121</v>
      </c>
      <c r="E5" s="192" t="s">
        <v>6</v>
      </c>
      <c r="F5" s="201" t="s">
        <v>122</v>
      </c>
      <c r="G5" s="194" t="s">
        <v>123</v>
      </c>
      <c r="H5" s="6" t="s">
        <v>6</v>
      </c>
      <c r="I5" s="201" t="s">
        <v>166</v>
      </c>
      <c r="J5" s="5" t="s">
        <v>1</v>
      </c>
      <c r="K5" s="6" t="s">
        <v>6</v>
      </c>
      <c r="L5" s="201" t="s">
        <v>167</v>
      </c>
      <c r="M5" s="5" t="s">
        <v>1</v>
      </c>
      <c r="N5" s="6" t="s">
        <v>6</v>
      </c>
      <c r="O5" s="4" t="s">
        <v>75</v>
      </c>
      <c r="P5" s="5" t="s">
        <v>9</v>
      </c>
      <c r="Q5" s="6" t="s">
        <v>6</v>
      </c>
      <c r="R5" s="4" t="s">
        <v>6</v>
      </c>
      <c r="S5" s="5" t="s">
        <v>25</v>
      </c>
      <c r="T5" s="5" t="s">
        <v>25</v>
      </c>
      <c r="U5" s="6" t="s">
        <v>55</v>
      </c>
      <c r="V5" s="4" t="s">
        <v>67</v>
      </c>
      <c r="W5" s="6" t="s">
        <v>67</v>
      </c>
      <c r="X5" s="5" t="s">
        <v>69</v>
      </c>
      <c r="Y5" s="6" t="s">
        <v>25</v>
      </c>
      <c r="Z5" s="2" t="s">
        <v>64</v>
      </c>
      <c r="AB5" s="10" t="s">
        <v>6</v>
      </c>
      <c r="AD5" s="117" t="s">
        <v>12</v>
      </c>
      <c r="AE5" s="33" t="s">
        <v>44</v>
      </c>
      <c r="AF5" s="10" t="s">
        <v>44</v>
      </c>
      <c r="AG5" s="10" t="s">
        <v>44</v>
      </c>
      <c r="AH5" s="10" t="s">
        <v>44</v>
      </c>
      <c r="AI5" s="118" t="s">
        <v>41</v>
      </c>
      <c r="AJ5" s="10" t="s">
        <v>14</v>
      </c>
      <c r="AK5" s="10" t="s">
        <v>17</v>
      </c>
      <c r="AL5" s="10" t="s">
        <v>17</v>
      </c>
      <c r="AM5" s="33" t="s">
        <v>14</v>
      </c>
      <c r="AN5" s="10"/>
      <c r="AO5" s="10" t="s">
        <v>17</v>
      </c>
      <c r="AP5" s="10"/>
      <c r="AQ5" s="10" t="s">
        <v>17</v>
      </c>
      <c r="AR5" s="10"/>
      <c r="AS5" s="10" t="s">
        <v>20</v>
      </c>
      <c r="AT5" s="10"/>
      <c r="AU5" s="119" t="s">
        <v>12</v>
      </c>
      <c r="AV5" s="120" t="s">
        <v>12</v>
      </c>
      <c r="AW5" s="113"/>
      <c r="AX5" s="121"/>
      <c r="AY5" s="113"/>
      <c r="AZ5" s="121"/>
      <c r="BA5" s="113"/>
      <c r="BB5" s="121"/>
      <c r="BC5" s="113"/>
      <c r="BD5" s="121"/>
      <c r="BE5" s="113"/>
      <c r="BF5" s="35" t="s">
        <v>39</v>
      </c>
      <c r="BG5" s="10"/>
      <c r="BH5" s="38" t="s">
        <v>33</v>
      </c>
      <c r="BI5" s="5"/>
      <c r="BJ5" s="5"/>
      <c r="BN5" s="2"/>
      <c r="BO5" s="2"/>
      <c r="BP5" s="2" t="s">
        <v>34</v>
      </c>
    </row>
    <row r="6" spans="1:77" ht="14" thickBot="1" x14ac:dyDescent="0.2">
      <c r="A6" s="2" t="s">
        <v>78</v>
      </c>
      <c r="B6" s="7"/>
      <c r="C6" s="8"/>
      <c r="D6" s="8"/>
      <c r="E6" s="8"/>
      <c r="F6" s="4" t="s">
        <v>23</v>
      </c>
      <c r="G6" s="5" t="s">
        <v>23</v>
      </c>
      <c r="H6" s="6" t="s">
        <v>23</v>
      </c>
      <c r="I6" s="4" t="s">
        <v>23</v>
      </c>
      <c r="J6" s="5" t="s">
        <v>23</v>
      </c>
      <c r="K6" s="6" t="s">
        <v>23</v>
      </c>
      <c r="L6" s="4" t="s">
        <v>23</v>
      </c>
      <c r="M6" s="5" t="s">
        <v>23</v>
      </c>
      <c r="N6" s="6" t="s">
        <v>23</v>
      </c>
      <c r="O6" s="4" t="s">
        <v>23</v>
      </c>
      <c r="P6" s="5" t="s">
        <v>23</v>
      </c>
      <c r="Q6" s="6" t="s">
        <v>23</v>
      </c>
      <c r="R6" s="4" t="s">
        <v>23</v>
      </c>
      <c r="S6" s="5" t="s">
        <v>39</v>
      </c>
      <c r="T6" s="5" t="s">
        <v>39</v>
      </c>
      <c r="U6" s="6" t="s">
        <v>56</v>
      </c>
      <c r="V6" s="4" t="s">
        <v>23</v>
      </c>
      <c r="W6" s="6" t="s">
        <v>39</v>
      </c>
      <c r="X6" s="5" t="s">
        <v>39</v>
      </c>
      <c r="Y6" s="6" t="s">
        <v>39</v>
      </c>
      <c r="Z6" s="10" t="s">
        <v>39</v>
      </c>
      <c r="AA6" s="5"/>
      <c r="AB6" s="10" t="s">
        <v>23</v>
      </c>
      <c r="AC6" s="10" t="s">
        <v>23</v>
      </c>
      <c r="AD6" s="10" t="s">
        <v>23</v>
      </c>
      <c r="AE6" s="33" t="s">
        <v>23</v>
      </c>
      <c r="AF6" s="34"/>
      <c r="AG6" s="10" t="s">
        <v>23</v>
      </c>
      <c r="AH6" s="10" t="s">
        <v>23</v>
      </c>
      <c r="AI6" s="64"/>
      <c r="AJ6" s="10" t="s">
        <v>23</v>
      </c>
      <c r="AK6" s="10" t="s">
        <v>23</v>
      </c>
      <c r="AL6" s="10" t="s">
        <v>23</v>
      </c>
      <c r="AM6" s="33" t="s">
        <v>23</v>
      </c>
      <c r="AN6" s="10" t="s">
        <v>24</v>
      </c>
      <c r="AO6" s="10" t="s">
        <v>23</v>
      </c>
      <c r="AP6" s="10" t="s">
        <v>24</v>
      </c>
      <c r="AQ6" s="10" t="s">
        <v>23</v>
      </c>
      <c r="AR6" s="10" t="s">
        <v>24</v>
      </c>
      <c r="AS6" s="10" t="s">
        <v>23</v>
      </c>
      <c r="AT6" s="10" t="s">
        <v>24</v>
      </c>
      <c r="AU6" s="64" t="s">
        <v>23</v>
      </c>
      <c r="AV6" s="122" t="s">
        <v>24</v>
      </c>
      <c r="AW6" s="123"/>
      <c r="AX6" s="33" t="s">
        <v>26</v>
      </c>
      <c r="AY6" s="64" t="s">
        <v>24</v>
      </c>
      <c r="AZ6" s="33" t="s">
        <v>26</v>
      </c>
      <c r="BA6" s="64" t="s">
        <v>24</v>
      </c>
      <c r="BB6" s="33" t="s">
        <v>26</v>
      </c>
      <c r="BC6" s="64" t="s">
        <v>24</v>
      </c>
      <c r="BD6" s="33" t="s">
        <v>26</v>
      </c>
      <c r="BE6" s="64" t="s">
        <v>24</v>
      </c>
      <c r="BF6" s="124"/>
      <c r="BG6" s="10"/>
      <c r="BH6" s="38" t="s">
        <v>65</v>
      </c>
      <c r="BI6" s="5"/>
      <c r="BJ6" s="5"/>
      <c r="BK6" s="10" t="s">
        <v>36</v>
      </c>
      <c r="BL6" s="10" t="s">
        <v>36</v>
      </c>
      <c r="BN6" s="10" t="s">
        <v>37</v>
      </c>
      <c r="BQ6" s="13"/>
      <c r="BR6" s="2" t="s">
        <v>51</v>
      </c>
      <c r="BU6" s="2" t="s">
        <v>51</v>
      </c>
    </row>
    <row r="7" spans="1:77" x14ac:dyDescent="0.15">
      <c r="B7" s="30"/>
      <c r="C7" s="31"/>
      <c r="D7" s="31"/>
      <c r="E7" s="31"/>
      <c r="F7" s="30"/>
      <c r="G7" s="31"/>
      <c r="H7" s="32"/>
      <c r="I7" s="30"/>
      <c r="J7" s="31"/>
      <c r="K7" s="32"/>
      <c r="L7" s="30"/>
      <c r="M7" s="31"/>
      <c r="N7" s="32"/>
      <c r="O7" s="30"/>
      <c r="P7" s="31"/>
      <c r="Q7" s="32"/>
      <c r="R7" s="30"/>
      <c r="S7" s="31"/>
      <c r="T7" s="31"/>
      <c r="U7" s="32"/>
      <c r="V7" s="30"/>
      <c r="W7" s="32"/>
      <c r="X7" s="31"/>
      <c r="Y7" s="32"/>
      <c r="Z7" s="36"/>
      <c r="AA7" s="36"/>
      <c r="AB7" s="125"/>
      <c r="AC7" s="125"/>
      <c r="AD7" s="125"/>
      <c r="AE7" s="126"/>
      <c r="AF7" s="125"/>
      <c r="AG7" s="125"/>
      <c r="AH7" s="125"/>
      <c r="AI7" s="127"/>
      <c r="AJ7" s="125"/>
      <c r="AK7" s="125"/>
      <c r="AL7" s="125"/>
      <c r="AM7" s="126"/>
      <c r="AN7" s="125"/>
      <c r="AO7" s="125"/>
      <c r="AP7" s="125"/>
      <c r="AQ7" s="125"/>
      <c r="AR7" s="125"/>
      <c r="AS7" s="125"/>
      <c r="AT7" s="125"/>
      <c r="AU7" s="127"/>
      <c r="AV7" s="127"/>
      <c r="AW7" s="125"/>
      <c r="AX7" s="126"/>
      <c r="AY7" s="127"/>
      <c r="AZ7" s="126"/>
      <c r="BA7" s="127"/>
      <c r="BB7" s="126"/>
      <c r="BC7" s="127"/>
      <c r="BD7" s="126"/>
      <c r="BE7" s="127"/>
      <c r="BF7" s="127"/>
    </row>
    <row r="8" spans="1:77" s="109" customFormat="1" x14ac:dyDescent="0.15">
      <c r="A8" s="51"/>
      <c r="B8" s="39">
        <v>2010</v>
      </c>
      <c r="C8" s="42">
        <v>121623</v>
      </c>
      <c r="D8" s="42">
        <v>16096</v>
      </c>
      <c r="E8" s="42">
        <f t="shared" ref="E8:E34" si="0">C8+D8</f>
        <v>137719</v>
      </c>
      <c r="F8" s="44">
        <f>C8*105*365/325853</f>
        <v>14304.614273921063</v>
      </c>
      <c r="G8" s="42">
        <f>D8*105*365/325853</f>
        <v>1893.1211313076756</v>
      </c>
      <c r="H8" s="45">
        <f>SUM(F8:G8)*(1-BH8)</f>
        <v>15387.8486349673</v>
      </c>
      <c r="I8" s="44">
        <f>566864.42*1000/325851.4</f>
        <v>1739.6408915229456</v>
      </c>
      <c r="J8" s="42">
        <f>30626*1000/325851.4</f>
        <v>93.98762748909472</v>
      </c>
      <c r="K8" s="45">
        <f t="shared" ref="K8:K34" si="1">SUM(I8:J8)</f>
        <v>1833.6285190120402</v>
      </c>
      <c r="L8" s="44">
        <f>926027.84*1000/325851.4</f>
        <v>2841.8716015950827</v>
      </c>
      <c r="M8" s="42">
        <f>7613*1000/325851.4</f>
        <v>23.36341043800947</v>
      </c>
      <c r="N8" s="45">
        <f t="shared" ref="N8:N34" si="2">SUM(L8:M8)</f>
        <v>2865.2350120330921</v>
      </c>
      <c r="O8" s="42">
        <v>2240</v>
      </c>
      <c r="P8" s="42">
        <f t="shared" ref="P8:P62" si="3">(H8+K8+N8)*0.08</f>
        <v>1606.9369732809946</v>
      </c>
      <c r="Q8" s="45">
        <f t="shared" ref="Q8:Q34" si="4">SUM(O8:P8)</f>
        <v>3846.9369732809946</v>
      </c>
      <c r="R8" s="44">
        <f t="shared" ref="R8:R34" si="5">Q8+N8+K8+H8</f>
        <v>23933.649139293426</v>
      </c>
      <c r="S8" s="46">
        <f t="shared" ref="S8:S63" si="6">R8*325853/365/1000000</f>
        <v>21.366716090373096</v>
      </c>
      <c r="T8" s="46">
        <f>(S8-2)*2.2+2</f>
        <v>44.606775398820815</v>
      </c>
      <c r="U8" s="47">
        <f t="shared" ref="U8:U10" si="7">S8*1000000/E8</f>
        <v>155.14719167560827</v>
      </c>
      <c r="V8" s="54">
        <v>0</v>
      </c>
      <c r="W8" s="47">
        <f t="shared" ref="W8:W63" si="8">V8/1120</f>
        <v>0</v>
      </c>
      <c r="X8" s="46">
        <f t="shared" ref="X8:X63" si="9">S8-W8</f>
        <v>21.366716090373096</v>
      </c>
      <c r="Y8" s="47">
        <f t="shared" ref="Y8:Y62" si="10">T8-W8</f>
        <v>44.606775398820815</v>
      </c>
      <c r="Z8" s="46"/>
      <c r="AA8" s="46">
        <f t="shared" ref="AA8:AA34" si="11">Y8-Z8</f>
        <v>44.606775398820815</v>
      </c>
      <c r="AB8" s="46">
        <v>3000</v>
      </c>
      <c r="AC8" s="46">
        <f t="shared" ref="AC8:AC34" si="12">(N8+K8+H8)*0.1</f>
        <v>2008.6712166012433</v>
      </c>
      <c r="AD8" s="45">
        <f t="shared" ref="AD8:AD34" si="13">R8+AB8+AC8</f>
        <v>28942.32035589467</v>
      </c>
      <c r="AE8" s="24" t="e">
        <f>#REF!</f>
        <v>#REF!</v>
      </c>
      <c r="AF8" s="13" t="e">
        <f>SUM(AE$8:AE8)</f>
        <v>#REF!</v>
      </c>
      <c r="AG8" s="13" t="e">
        <f>#REF!</f>
        <v>#REF!</v>
      </c>
      <c r="AH8" s="13" t="e">
        <f>SUM(AG$8:AG8)</f>
        <v>#REF!</v>
      </c>
      <c r="AI8" s="27" t="e">
        <f>(AF8*0.9)*($AD8/#REF!)+(AH8*0.45)*($AD8/#REF!)</f>
        <v>#REF!</v>
      </c>
      <c r="AJ8" s="13">
        <v>4300</v>
      </c>
      <c r="AK8" s="13">
        <v>235</v>
      </c>
      <c r="AL8" s="13">
        <v>540</v>
      </c>
      <c r="AM8" s="24" t="e">
        <f>#REF!+AI8+AJ8</f>
        <v>#REF!</v>
      </c>
      <c r="AN8" s="15" t="e">
        <f t="shared" ref="AN8:AN34" si="14">AM8/1120.1</f>
        <v>#REF!</v>
      </c>
      <c r="AO8" s="13" t="e">
        <f>#REF!+AK8</f>
        <v>#REF!</v>
      </c>
      <c r="AP8" s="15" t="e">
        <f t="shared" ref="AP8:AP34" si="15">AO8/1120.1</f>
        <v>#REF!</v>
      </c>
      <c r="AQ8" s="13" t="e">
        <f>#REF!+AL8</f>
        <v>#REF!</v>
      </c>
      <c r="AR8" s="15" t="e">
        <f t="shared" ref="AR8:AR34" si="16">AQ8/1120.1</f>
        <v>#REF!</v>
      </c>
      <c r="AS8" s="13" t="e">
        <f>#REF!</f>
        <v>#REF!</v>
      </c>
      <c r="AT8" s="15" t="e">
        <f t="shared" ref="AT8:AT34" si="17">AS8/1120.1</f>
        <v>#REF!</v>
      </c>
      <c r="AU8" s="27" t="e">
        <f t="shared" ref="AU8:AU34" si="18">AM8+AO8+AQ8+AS8</f>
        <v>#REF!</v>
      </c>
      <c r="AV8" s="27" t="e">
        <f t="shared" ref="AV8:AV34" si="19">AN8+AP8+AR8+AT8</f>
        <v>#REF!</v>
      </c>
      <c r="AW8" s="34"/>
      <c r="AX8" s="28">
        <f t="shared" ref="AX8:AX34" si="20">AY8*1.55</f>
        <v>77.5</v>
      </c>
      <c r="AY8" s="14">
        <v>50</v>
      </c>
      <c r="AZ8" s="28">
        <f t="shared" ref="AZ8:AZ34" si="21">BA8*1.55</f>
        <v>31</v>
      </c>
      <c r="BA8" s="14">
        <v>20</v>
      </c>
      <c r="BB8" s="28">
        <f t="shared" ref="BB8:BB34" si="22">BC8*1.55</f>
        <v>0</v>
      </c>
      <c r="BC8" s="14">
        <v>0</v>
      </c>
      <c r="BD8" s="28">
        <f t="shared" ref="BD8:BD34" si="23">BE8*1.55</f>
        <v>108.5</v>
      </c>
      <c r="BE8" s="29">
        <f t="shared" ref="BE8:BE34" si="24">AY8+BA8+BC8</f>
        <v>70</v>
      </c>
      <c r="BF8" s="29">
        <f t="shared" ref="BF8:BF34" si="25">BE8-Y8</f>
        <v>25.393224601179185</v>
      </c>
      <c r="BG8" s="128"/>
      <c r="BH8" s="129">
        <v>0.05</v>
      </c>
      <c r="BI8" s="48"/>
      <c r="BJ8" s="48"/>
      <c r="BK8" s="49"/>
      <c r="BL8" s="50" t="e">
        <f>(E8/#REF!)*#REF!</f>
        <v>#REF!</v>
      </c>
      <c r="BM8" s="51"/>
      <c r="BN8" s="52" t="e">
        <f>#REF!</f>
        <v>#REF!</v>
      </c>
      <c r="BO8" s="50" t="e">
        <f>#REF!</f>
        <v>#REF!</v>
      </c>
      <c r="BP8" s="51"/>
      <c r="BQ8" s="50">
        <v>60121165.346041054</v>
      </c>
      <c r="BR8" s="53">
        <f t="shared" ref="BR8:BR34" si="26">BQ8/1000000</f>
        <v>60.121165346041053</v>
      </c>
      <c r="BS8" s="40"/>
      <c r="BT8" s="40">
        <v>5113442.3460410554</v>
      </c>
      <c r="BU8" s="49">
        <f t="shared" ref="BU8:BU34" si="27">BT8/1000000</f>
        <v>5.1134423460410554</v>
      </c>
    </row>
    <row r="9" spans="1:77" s="109" customFormat="1" x14ac:dyDescent="0.15">
      <c r="A9" s="11">
        <f>(C9-C8)/C8*100</f>
        <v>-1.2135862460225451</v>
      </c>
      <c r="B9" s="33">
        <f t="shared" ref="B9:B35" si="28">B8+1</f>
        <v>2011</v>
      </c>
      <c r="C9" s="13">
        <v>120147</v>
      </c>
      <c r="D9" s="13">
        <v>16096</v>
      </c>
      <c r="E9" s="13">
        <f t="shared" si="0"/>
        <v>136243</v>
      </c>
      <c r="F9" s="24">
        <f>C9*105*365/325853</f>
        <v>14131.015442546179</v>
      </c>
      <c r="G9" s="13">
        <f t="shared" ref="G9:G63" si="29">D9*105*365/325853</f>
        <v>1893.1211313076756</v>
      </c>
      <c r="H9" s="27">
        <f t="shared" ref="H9:H34" si="30">SUM(F9:G9)*(1-BH9)</f>
        <v>15222.929745161162</v>
      </c>
      <c r="I9" s="24">
        <f>575833.04*1000/325851.4</f>
        <v>1767.1645418739952</v>
      </c>
      <c r="J9" s="13">
        <f>32400*1000/325851.4</f>
        <v>99.43182690023734</v>
      </c>
      <c r="K9" s="27">
        <f t="shared" si="1"/>
        <v>1866.5963687742326</v>
      </c>
      <c r="L9" s="24">
        <f>935242*1000/325851.4</f>
        <v>2870.1487856120916</v>
      </c>
      <c r="M9" s="13">
        <f>7235*1000/325851.4</f>
        <v>22.203372457506703</v>
      </c>
      <c r="N9" s="27">
        <f t="shared" si="2"/>
        <v>2892.3521580695983</v>
      </c>
      <c r="O9" s="13">
        <f t="shared" ref="O9:O62" si="31">O8</f>
        <v>2240</v>
      </c>
      <c r="P9" s="13">
        <f t="shared" si="3"/>
        <v>1598.5502617603995</v>
      </c>
      <c r="Q9" s="27">
        <f t="shared" si="4"/>
        <v>3838.5502617603997</v>
      </c>
      <c r="R9" s="24">
        <f t="shared" si="5"/>
        <v>23820.428533765393</v>
      </c>
      <c r="S9" s="15">
        <f t="shared" si="6"/>
        <v>21.265638627433027</v>
      </c>
      <c r="T9" s="15">
        <f t="shared" ref="T9:T63" si="32">(S9-2)*2.2+2</f>
        <v>44.384404980352663</v>
      </c>
      <c r="U9" s="25">
        <f t="shared" si="7"/>
        <v>156.08610077165821</v>
      </c>
      <c r="V9" s="55">
        <v>0</v>
      </c>
      <c r="W9" s="25">
        <f t="shared" si="8"/>
        <v>0</v>
      </c>
      <c r="X9" s="15">
        <f t="shared" si="9"/>
        <v>21.265638627433027</v>
      </c>
      <c r="Y9" s="25">
        <f t="shared" si="10"/>
        <v>44.384404980352663</v>
      </c>
      <c r="Z9" s="15"/>
      <c r="AA9" s="15">
        <f t="shared" si="11"/>
        <v>44.384404980352663</v>
      </c>
      <c r="AB9" s="13">
        <f>$AB$8</f>
        <v>3000</v>
      </c>
      <c r="AC9" s="13">
        <f t="shared" si="12"/>
        <v>1998.1878272004994</v>
      </c>
      <c r="AD9" s="13">
        <f t="shared" si="13"/>
        <v>28818.616360965891</v>
      </c>
      <c r="AE9" s="24" t="e">
        <f>#REF!</f>
        <v>#REF!</v>
      </c>
      <c r="AF9" s="13" t="e">
        <f>SUM(AE$8:AE9)</f>
        <v>#REF!</v>
      </c>
      <c r="AG9" s="13" t="e">
        <f>#REF!</f>
        <v>#REF!</v>
      </c>
      <c r="AH9" s="13" t="e">
        <f>SUM(AG$8:AG9)</f>
        <v>#REF!</v>
      </c>
      <c r="AI9" s="27" t="e">
        <f>(AF9*0.9)*($AD9/#REF!)+(AH9*0.45)*($AD9/#REF!)</f>
        <v>#REF!</v>
      </c>
      <c r="AJ9" s="13">
        <v>4300</v>
      </c>
      <c r="AK9" s="13">
        <v>235</v>
      </c>
      <c r="AL9" s="13">
        <f t="shared" ref="AL9:AL14" si="33">AL8</f>
        <v>540</v>
      </c>
      <c r="AM9" s="24" t="e">
        <f>#REF!+AI9+AJ9</f>
        <v>#REF!</v>
      </c>
      <c r="AN9" s="15" t="e">
        <f t="shared" si="14"/>
        <v>#REF!</v>
      </c>
      <c r="AO9" s="13" t="e">
        <f>#REF!+AK9</f>
        <v>#REF!</v>
      </c>
      <c r="AP9" s="15" t="e">
        <f t="shared" si="15"/>
        <v>#REF!</v>
      </c>
      <c r="AQ9" s="13" t="e">
        <f>#REF!+AL9</f>
        <v>#REF!</v>
      </c>
      <c r="AR9" s="15" t="e">
        <f t="shared" si="16"/>
        <v>#REF!</v>
      </c>
      <c r="AS9" s="13" t="e">
        <f t="shared" ref="AS9:AS18" si="34">AS8+500</f>
        <v>#REF!</v>
      </c>
      <c r="AT9" s="15" t="e">
        <f t="shared" si="17"/>
        <v>#REF!</v>
      </c>
      <c r="AU9" s="27" t="e">
        <f t="shared" si="18"/>
        <v>#REF!</v>
      </c>
      <c r="AV9" s="27" t="e">
        <f t="shared" si="19"/>
        <v>#REF!</v>
      </c>
      <c r="AW9" s="34"/>
      <c r="AX9" s="28">
        <f t="shared" si="20"/>
        <v>77.5</v>
      </c>
      <c r="AY9" s="14">
        <f t="shared" ref="AY9:AY53" si="35">AY8</f>
        <v>50</v>
      </c>
      <c r="AZ9" s="28">
        <f t="shared" si="21"/>
        <v>31</v>
      </c>
      <c r="BA9" s="14">
        <f t="shared" ref="BA9:BA53" si="36">BA8</f>
        <v>20</v>
      </c>
      <c r="BB9" s="28">
        <f t="shared" si="22"/>
        <v>0</v>
      </c>
      <c r="BC9" s="14">
        <v>0</v>
      </c>
      <c r="BD9" s="28">
        <f t="shared" si="23"/>
        <v>108.5</v>
      </c>
      <c r="BE9" s="29">
        <f t="shared" si="24"/>
        <v>70</v>
      </c>
      <c r="BF9" s="29">
        <f t="shared" si="25"/>
        <v>25.615595019647337</v>
      </c>
      <c r="BG9" s="128"/>
      <c r="BH9" s="129">
        <v>0.05</v>
      </c>
      <c r="BI9" s="37"/>
      <c r="BJ9" s="37"/>
      <c r="BK9" s="11"/>
      <c r="BL9" s="1" t="e">
        <f>(E9/#REF!)*#REF!</f>
        <v>#REF!</v>
      </c>
      <c r="BM9"/>
      <c r="BN9" s="12" t="e">
        <f>BN8*1.03</f>
        <v>#REF!</v>
      </c>
      <c r="BO9" s="1" t="e">
        <f>BO8*1.03</f>
        <v>#REF!</v>
      </c>
      <c r="BP9"/>
      <c r="BQ9" s="1">
        <v>40108346</v>
      </c>
      <c r="BR9" s="21">
        <f t="shared" si="26"/>
        <v>40.108345999999997</v>
      </c>
      <c r="BS9" s="2"/>
      <c r="BT9" s="2">
        <v>4905600</v>
      </c>
      <c r="BU9" s="11">
        <f t="shared" si="27"/>
        <v>4.9055999999999997</v>
      </c>
    </row>
    <row r="10" spans="1:77" s="109" customFormat="1" x14ac:dyDescent="0.15">
      <c r="A10" s="11">
        <f t="shared" ref="A10:A62" si="37">(C10-C9)/C9*100</f>
        <v>0.88558182892623205</v>
      </c>
      <c r="B10" s="33">
        <f t="shared" si="28"/>
        <v>2012</v>
      </c>
      <c r="C10" s="13">
        <v>121211</v>
      </c>
      <c r="D10" s="13">
        <v>16830</v>
      </c>
      <c r="E10" s="13">
        <f t="shared" si="0"/>
        <v>138041</v>
      </c>
      <c r="F10" s="24">
        <f t="shared" ref="F10:F63" si="38">C10*105*365/325853</f>
        <v>14256.157147548127</v>
      </c>
      <c r="G10" s="13">
        <f t="shared" si="29"/>
        <v>1979.450089457516</v>
      </c>
      <c r="H10" s="27">
        <f t="shared" si="30"/>
        <v>15261.470802785303</v>
      </c>
      <c r="I10" s="24">
        <f>618453.51*1000/325851.4</f>
        <v>1897.9618009927224</v>
      </c>
      <c r="J10" s="13">
        <f>37656*1000/325851.4</f>
        <v>115.56187881960918</v>
      </c>
      <c r="K10" s="27">
        <f t="shared" si="1"/>
        <v>2013.5236798123315</v>
      </c>
      <c r="L10" s="24">
        <f>1050448*1000/325851.4</f>
        <v>3223.7025834475467</v>
      </c>
      <c r="M10" s="13">
        <f>10054*1000/325851.4</f>
        <v>30.85455517453661</v>
      </c>
      <c r="N10" s="27">
        <f t="shared" si="2"/>
        <v>3254.5571386220831</v>
      </c>
      <c r="O10" s="13">
        <f t="shared" si="31"/>
        <v>2240</v>
      </c>
      <c r="P10" s="13">
        <f t="shared" si="3"/>
        <v>1642.3641296975775</v>
      </c>
      <c r="Q10" s="27">
        <f t="shared" si="4"/>
        <v>3882.3641296975775</v>
      </c>
      <c r="R10" s="24">
        <f t="shared" si="5"/>
        <v>24411.915750917295</v>
      </c>
      <c r="S10" s="15">
        <f t="shared" si="6"/>
        <v>21.793687625160693</v>
      </c>
      <c r="T10" s="15">
        <f t="shared" si="32"/>
        <v>45.546112775353528</v>
      </c>
      <c r="U10" s="25">
        <f t="shared" si="7"/>
        <v>157.87836675451999</v>
      </c>
      <c r="V10" s="55">
        <v>0</v>
      </c>
      <c r="W10" s="25">
        <f t="shared" si="8"/>
        <v>0</v>
      </c>
      <c r="X10" s="15">
        <f t="shared" si="9"/>
        <v>21.793687625160693</v>
      </c>
      <c r="Y10" s="25">
        <f t="shared" si="10"/>
        <v>45.546112775353528</v>
      </c>
      <c r="Z10" s="15"/>
      <c r="AA10" s="15">
        <f t="shared" si="11"/>
        <v>45.546112775353528</v>
      </c>
      <c r="AB10" s="13">
        <f t="shared" ref="AB10:AB63" si="39">$AB$8</f>
        <v>3000</v>
      </c>
      <c r="AC10" s="13">
        <f t="shared" si="12"/>
        <v>2052.9551621219721</v>
      </c>
      <c r="AD10" s="13">
        <f t="shared" si="13"/>
        <v>29464.870913039267</v>
      </c>
      <c r="AE10" s="24" t="e">
        <f>#REF!</f>
        <v>#REF!</v>
      </c>
      <c r="AF10" s="13" t="e">
        <f>SUM(AE$8:AE10)</f>
        <v>#REF!</v>
      </c>
      <c r="AG10" s="13" t="e">
        <f>#REF!</f>
        <v>#REF!</v>
      </c>
      <c r="AH10" s="13" t="e">
        <f>SUM(AG$8:AG10)</f>
        <v>#REF!</v>
      </c>
      <c r="AI10" s="27" t="e">
        <f>(AF10*0.9)*($AD10/#REF!)+(AH10*0.45)*($AD10/#REF!)</f>
        <v>#REF!</v>
      </c>
      <c r="AJ10" s="13">
        <v>4300</v>
      </c>
      <c r="AK10" s="13">
        <v>235</v>
      </c>
      <c r="AL10" s="13">
        <f t="shared" si="33"/>
        <v>540</v>
      </c>
      <c r="AM10" s="24" t="e">
        <f>#REF!+AI10+AJ10</f>
        <v>#REF!</v>
      </c>
      <c r="AN10" s="15" t="e">
        <f t="shared" si="14"/>
        <v>#REF!</v>
      </c>
      <c r="AO10" s="13" t="e">
        <f>#REF!+AK10</f>
        <v>#REF!</v>
      </c>
      <c r="AP10" s="15" t="e">
        <f t="shared" si="15"/>
        <v>#REF!</v>
      </c>
      <c r="AQ10" s="13" t="e">
        <f>#REF!+AL10</f>
        <v>#REF!</v>
      </c>
      <c r="AR10" s="15" t="e">
        <f t="shared" si="16"/>
        <v>#REF!</v>
      </c>
      <c r="AS10" s="13" t="e">
        <f t="shared" si="34"/>
        <v>#REF!</v>
      </c>
      <c r="AT10" s="15" t="e">
        <f t="shared" si="17"/>
        <v>#REF!</v>
      </c>
      <c r="AU10" s="27" t="e">
        <f t="shared" si="18"/>
        <v>#REF!</v>
      </c>
      <c r="AV10" s="27" t="e">
        <f t="shared" si="19"/>
        <v>#REF!</v>
      </c>
      <c r="AW10" s="34"/>
      <c r="AX10" s="28">
        <f t="shared" si="20"/>
        <v>77.5</v>
      </c>
      <c r="AY10" s="14">
        <f t="shared" si="35"/>
        <v>50</v>
      </c>
      <c r="AZ10" s="28">
        <f t="shared" si="21"/>
        <v>31</v>
      </c>
      <c r="BA10" s="14">
        <f t="shared" si="36"/>
        <v>20</v>
      </c>
      <c r="BB10" s="28">
        <f t="shared" si="22"/>
        <v>0</v>
      </c>
      <c r="BC10" s="14">
        <v>0</v>
      </c>
      <c r="BD10" s="28">
        <f t="shared" si="23"/>
        <v>108.5</v>
      </c>
      <c r="BE10" s="29">
        <f t="shared" si="24"/>
        <v>70</v>
      </c>
      <c r="BF10" s="29">
        <f t="shared" si="25"/>
        <v>24.453887224646472</v>
      </c>
      <c r="BG10" s="128"/>
      <c r="BH10" s="129">
        <v>0.06</v>
      </c>
      <c r="BI10" s="37"/>
      <c r="BJ10" s="37"/>
      <c r="BK10" s="11"/>
      <c r="BL10" s="1" t="e">
        <f>(E10/#REF!)*#REF!</f>
        <v>#REF!</v>
      </c>
      <c r="BM10"/>
      <c r="BN10" s="12" t="e">
        <f>BN9</f>
        <v>#REF!</v>
      </c>
      <c r="BO10" s="1" t="e">
        <f>BO9</f>
        <v>#REF!</v>
      </c>
      <c r="BP10"/>
      <c r="BQ10" s="1">
        <v>29897369</v>
      </c>
      <c r="BR10" s="21">
        <f t="shared" si="26"/>
        <v>29.897369000000001</v>
      </c>
      <c r="BS10" s="2"/>
      <c r="BT10" s="2">
        <v>4905600</v>
      </c>
      <c r="BU10" s="11">
        <f t="shared" si="27"/>
        <v>4.9055999999999997</v>
      </c>
      <c r="BY10" s="220"/>
    </row>
    <row r="11" spans="1:77" s="109" customFormat="1" x14ac:dyDescent="0.15">
      <c r="A11" s="11">
        <f t="shared" si="37"/>
        <v>1.1814109280510845</v>
      </c>
      <c r="B11" s="66">
        <f t="shared" si="28"/>
        <v>2013</v>
      </c>
      <c r="C11" s="13">
        <v>122643</v>
      </c>
      <c r="D11" s="13">
        <v>16830</v>
      </c>
      <c r="E11" s="13">
        <f t="shared" si="0"/>
        <v>139473</v>
      </c>
      <c r="F11" s="24">
        <f t="shared" si="38"/>
        <v>14424.580946009397</v>
      </c>
      <c r="G11" s="13">
        <f t="shared" si="29"/>
        <v>1979.450089457516</v>
      </c>
      <c r="H11" s="27">
        <f t="shared" si="30"/>
        <v>15419.789173338897</v>
      </c>
      <c r="I11" s="24">
        <f>547831.43*1000/325851.4</f>
        <v>1681.2308616749842</v>
      </c>
      <c r="J11" s="13">
        <f>30029*1000/325851.4</f>
        <v>92.15550401195145</v>
      </c>
      <c r="K11" s="27">
        <f t="shared" si="1"/>
        <v>1773.3863656869357</v>
      </c>
      <c r="L11" s="24">
        <f>1050448*1000/325851.4</f>
        <v>3223.7025834475467</v>
      </c>
      <c r="M11" s="13">
        <f>10054*1000/325851.4</f>
        <v>30.85455517453661</v>
      </c>
      <c r="N11" s="27">
        <f t="shared" si="2"/>
        <v>3254.5571386220831</v>
      </c>
      <c r="O11" s="13">
        <f t="shared" si="31"/>
        <v>2240</v>
      </c>
      <c r="P11" s="13">
        <f t="shared" si="3"/>
        <v>1635.8186142118334</v>
      </c>
      <c r="Q11" s="27">
        <f t="shared" si="4"/>
        <v>3875.8186142118334</v>
      </c>
      <c r="R11" s="24">
        <f t="shared" si="5"/>
        <v>24323.551291859749</v>
      </c>
      <c r="S11" s="15">
        <f t="shared" si="6"/>
        <v>21.714800435907875</v>
      </c>
      <c r="T11" s="15">
        <f t="shared" si="32"/>
        <v>45.372560958997326</v>
      </c>
      <c r="U11" s="25">
        <f t="shared" ref="U11:U18" si="40">(H11+K11+N11+P11)*325851/365/E11</f>
        <v>141.35297894852121</v>
      </c>
      <c r="V11" s="55">
        <v>0</v>
      </c>
      <c r="W11" s="25">
        <f t="shared" si="8"/>
        <v>0</v>
      </c>
      <c r="X11" s="15">
        <f t="shared" si="9"/>
        <v>21.714800435907875</v>
      </c>
      <c r="Y11" s="25">
        <f t="shared" si="10"/>
        <v>45.372560958997326</v>
      </c>
      <c r="Z11" s="15"/>
      <c r="AA11" s="15">
        <f t="shared" si="11"/>
        <v>45.372560958997326</v>
      </c>
      <c r="AB11" s="13">
        <f t="shared" si="39"/>
        <v>3000</v>
      </c>
      <c r="AC11" s="13">
        <f>(N11+K11+H11)*0.1</f>
        <v>2044.7732677647919</v>
      </c>
      <c r="AD11" s="13">
        <f t="shared" si="13"/>
        <v>29368.32455962454</v>
      </c>
      <c r="AE11" s="24" t="e">
        <f>#REF!</f>
        <v>#REF!</v>
      </c>
      <c r="AF11" s="13" t="e">
        <f>SUM(AE$8:AE11)</f>
        <v>#REF!</v>
      </c>
      <c r="AG11" s="13" t="e">
        <f>#REF!</f>
        <v>#REF!</v>
      </c>
      <c r="AH11" s="13" t="e">
        <f>SUM(AG$8:AG11)</f>
        <v>#REF!</v>
      </c>
      <c r="AI11" s="27" t="e">
        <f>(AF11*0.9)*($AD11/#REF!)+(AH11*0.45)*($AD11/#REF!)</f>
        <v>#REF!</v>
      </c>
      <c r="AJ11" s="13">
        <v>4300</v>
      </c>
      <c r="AK11" s="13">
        <v>235</v>
      </c>
      <c r="AL11" s="13">
        <f t="shared" si="33"/>
        <v>540</v>
      </c>
      <c r="AM11" s="24" t="e">
        <f>#REF!+AI11+AJ11</f>
        <v>#REF!</v>
      </c>
      <c r="AN11" s="15" t="e">
        <f t="shared" si="14"/>
        <v>#REF!</v>
      </c>
      <c r="AO11" s="13" t="e">
        <f>#REF!+AK11</f>
        <v>#REF!</v>
      </c>
      <c r="AP11" s="15" t="e">
        <f t="shared" si="15"/>
        <v>#REF!</v>
      </c>
      <c r="AQ11" s="13" t="e">
        <f>#REF!+AL11</f>
        <v>#REF!</v>
      </c>
      <c r="AR11" s="15" t="e">
        <f t="shared" si="16"/>
        <v>#REF!</v>
      </c>
      <c r="AS11" s="13" t="e">
        <f t="shared" si="34"/>
        <v>#REF!</v>
      </c>
      <c r="AT11" s="15" t="e">
        <f t="shared" si="17"/>
        <v>#REF!</v>
      </c>
      <c r="AU11" s="27" t="e">
        <f t="shared" si="18"/>
        <v>#REF!</v>
      </c>
      <c r="AV11" s="27" t="e">
        <f t="shared" si="19"/>
        <v>#REF!</v>
      </c>
      <c r="AW11" s="34"/>
      <c r="AX11" s="28">
        <f t="shared" si="20"/>
        <v>77.5</v>
      </c>
      <c r="AY11" s="14">
        <f t="shared" si="35"/>
        <v>50</v>
      </c>
      <c r="AZ11" s="28">
        <f t="shared" si="21"/>
        <v>31</v>
      </c>
      <c r="BA11" s="14">
        <f t="shared" si="36"/>
        <v>20</v>
      </c>
      <c r="BB11" s="28">
        <f t="shared" si="22"/>
        <v>0</v>
      </c>
      <c r="BC11" s="14">
        <v>0</v>
      </c>
      <c r="BD11" s="28">
        <f t="shared" si="23"/>
        <v>108.5</v>
      </c>
      <c r="BE11" s="29">
        <f t="shared" si="24"/>
        <v>70</v>
      </c>
      <c r="BF11" s="29">
        <f t="shared" si="25"/>
        <v>24.627439041002674</v>
      </c>
      <c r="BG11" s="128"/>
      <c r="BH11" s="129">
        <v>0.06</v>
      </c>
      <c r="BI11" s="37"/>
      <c r="BJ11" s="37"/>
      <c r="BK11" s="11"/>
      <c r="BL11" s="1" t="e">
        <f>(E11/#REF!)*#REF!</f>
        <v>#REF!</v>
      </c>
      <c r="BM11"/>
      <c r="BN11" s="12" t="e">
        <f>BN10*1.03</f>
        <v>#REF!</v>
      </c>
      <c r="BO11" s="1" t="e">
        <f>BO10*1.03</f>
        <v>#REF!</v>
      </c>
      <c r="BP11"/>
      <c r="BQ11" s="1">
        <v>25581092</v>
      </c>
      <c r="BR11" s="21">
        <f t="shared" si="26"/>
        <v>25.581092000000002</v>
      </c>
      <c r="BS11" s="2"/>
      <c r="BT11" s="2">
        <v>4905600</v>
      </c>
      <c r="BU11" s="11">
        <f t="shared" si="27"/>
        <v>4.9055999999999997</v>
      </c>
    </row>
    <row r="12" spans="1:77" s="109" customFormat="1" x14ac:dyDescent="0.15">
      <c r="A12" s="11">
        <f t="shared" si="37"/>
        <v>0.81945157897311705</v>
      </c>
      <c r="B12" s="66">
        <f t="shared" si="28"/>
        <v>2014</v>
      </c>
      <c r="C12" s="13">
        <v>123648</v>
      </c>
      <c r="D12" s="13">
        <v>16830</v>
      </c>
      <c r="E12" s="13">
        <f t="shared" si="0"/>
        <v>140478</v>
      </c>
      <c r="F12" s="24">
        <f t="shared" si="38"/>
        <v>14542.783402331726</v>
      </c>
      <c r="G12" s="13">
        <f t="shared" si="29"/>
        <v>1979.450089457516</v>
      </c>
      <c r="H12" s="27">
        <f t="shared" si="30"/>
        <v>15365.677147363996</v>
      </c>
      <c r="I12" s="24">
        <f>557837.85*1000/325851.4</f>
        <v>1711.9393993703877</v>
      </c>
      <c r="J12" s="13">
        <f>30116*1000/325851.4</f>
        <v>92.422496880479869</v>
      </c>
      <c r="K12" s="27">
        <f t="shared" si="1"/>
        <v>1804.3618962508676</v>
      </c>
      <c r="L12" s="24">
        <f>799419*1000/325851.4</f>
        <v>2453.3238157024948</v>
      </c>
      <c r="M12" s="13">
        <f>7106*1000/325851.4</f>
        <v>21.807486480033536</v>
      </c>
      <c r="N12" s="27">
        <f t="shared" si="2"/>
        <v>2475.1313021825285</v>
      </c>
      <c r="O12" s="13">
        <f t="shared" si="31"/>
        <v>2240</v>
      </c>
      <c r="P12" s="13">
        <f t="shared" si="3"/>
        <v>1571.6136276637915</v>
      </c>
      <c r="Q12" s="27">
        <f t="shared" si="4"/>
        <v>3811.6136276637917</v>
      </c>
      <c r="R12" s="24">
        <f t="shared" si="5"/>
        <v>23456.783973461184</v>
      </c>
      <c r="S12" s="15">
        <f t="shared" si="6"/>
        <v>20.940995693436296</v>
      </c>
      <c r="T12" s="15">
        <f t="shared" si="32"/>
        <v>43.670190525559853</v>
      </c>
      <c r="U12" s="25">
        <f t="shared" si="40"/>
        <v>134.83338344669971</v>
      </c>
      <c r="V12" s="55">
        <v>0</v>
      </c>
      <c r="W12" s="25">
        <f t="shared" si="8"/>
        <v>0</v>
      </c>
      <c r="X12" s="15">
        <f t="shared" si="9"/>
        <v>20.940995693436296</v>
      </c>
      <c r="Y12" s="25">
        <f t="shared" si="10"/>
        <v>43.670190525559853</v>
      </c>
      <c r="Z12" s="15"/>
      <c r="AA12" s="15">
        <f t="shared" si="11"/>
        <v>43.670190525559853</v>
      </c>
      <c r="AB12" s="13">
        <f t="shared" si="39"/>
        <v>3000</v>
      </c>
      <c r="AC12" s="13">
        <f t="shared" si="12"/>
        <v>1964.5170345797394</v>
      </c>
      <c r="AD12" s="13">
        <f t="shared" si="13"/>
        <v>28421.301008040922</v>
      </c>
      <c r="AE12" s="24" t="e">
        <f>#REF!</f>
        <v>#REF!</v>
      </c>
      <c r="AF12" s="13" t="e">
        <f>SUM(AE$8:AE12)</f>
        <v>#REF!</v>
      </c>
      <c r="AG12" s="13" t="e">
        <f>#REF!</f>
        <v>#REF!</v>
      </c>
      <c r="AH12" s="13" t="e">
        <f>SUM(AG$8:AG12)</f>
        <v>#REF!</v>
      </c>
      <c r="AI12" s="27" t="e">
        <f>(AF12*0.9)*($AD12/#REF!)+(AH12*0.45)*($AD12/#REF!)</f>
        <v>#REF!</v>
      </c>
      <c r="AJ12" s="13">
        <v>4300</v>
      </c>
      <c r="AK12" s="13">
        <v>235</v>
      </c>
      <c r="AL12" s="13">
        <f t="shared" si="33"/>
        <v>540</v>
      </c>
      <c r="AM12" s="24" t="e">
        <f>#REF!+AI12+AJ12</f>
        <v>#REF!</v>
      </c>
      <c r="AN12" s="15" t="e">
        <f t="shared" si="14"/>
        <v>#REF!</v>
      </c>
      <c r="AO12" s="13" t="e">
        <f>#REF!+AK12</f>
        <v>#REF!</v>
      </c>
      <c r="AP12" s="15" t="e">
        <f t="shared" si="15"/>
        <v>#REF!</v>
      </c>
      <c r="AQ12" s="13" t="e">
        <f>#REF!+AL12</f>
        <v>#REF!</v>
      </c>
      <c r="AR12" s="15" t="e">
        <f t="shared" si="16"/>
        <v>#REF!</v>
      </c>
      <c r="AS12" s="13" t="e">
        <f t="shared" si="34"/>
        <v>#REF!</v>
      </c>
      <c r="AT12" s="15" t="e">
        <f t="shared" si="17"/>
        <v>#REF!</v>
      </c>
      <c r="AU12" s="27" t="e">
        <f t="shared" si="18"/>
        <v>#REF!</v>
      </c>
      <c r="AV12" s="27" t="e">
        <f t="shared" si="19"/>
        <v>#REF!</v>
      </c>
      <c r="AW12" s="34"/>
      <c r="AX12" s="28">
        <f t="shared" si="20"/>
        <v>77.5</v>
      </c>
      <c r="AY12" s="14">
        <f t="shared" si="35"/>
        <v>50</v>
      </c>
      <c r="AZ12" s="28">
        <f t="shared" si="21"/>
        <v>31</v>
      </c>
      <c r="BA12" s="14">
        <f t="shared" si="36"/>
        <v>20</v>
      </c>
      <c r="BB12" s="28">
        <f t="shared" si="22"/>
        <v>0</v>
      </c>
      <c r="BC12" s="14">
        <v>0</v>
      </c>
      <c r="BD12" s="28">
        <f t="shared" si="23"/>
        <v>108.5</v>
      </c>
      <c r="BE12" s="29">
        <f t="shared" si="24"/>
        <v>70</v>
      </c>
      <c r="BF12" s="29">
        <f t="shared" si="25"/>
        <v>26.329809474440147</v>
      </c>
      <c r="BG12" s="128"/>
      <c r="BH12" s="129">
        <v>7.0000000000000007E-2</v>
      </c>
      <c r="BI12" s="37"/>
      <c r="BJ12" s="37"/>
      <c r="BK12" s="11"/>
      <c r="BL12" s="1" t="e">
        <f>(E12/#REF!)*#REF!</f>
        <v>#REF!</v>
      </c>
      <c r="BM12"/>
      <c r="BN12" s="12" t="e">
        <f>BN11</f>
        <v>#REF!</v>
      </c>
      <c r="BO12" s="1" t="e">
        <f>BO11</f>
        <v>#REF!</v>
      </c>
      <c r="BP12"/>
      <c r="BQ12" s="1">
        <v>12033415</v>
      </c>
      <c r="BR12" s="21">
        <f t="shared" si="26"/>
        <v>12.033415</v>
      </c>
      <c r="BS12" s="2"/>
      <c r="BT12" s="2">
        <v>4905600</v>
      </c>
      <c r="BU12" s="11">
        <f t="shared" si="27"/>
        <v>4.9055999999999997</v>
      </c>
    </row>
    <row r="13" spans="1:77" s="109" customFormat="1" x14ac:dyDescent="0.15">
      <c r="A13" s="11">
        <f t="shared" si="37"/>
        <v>6.5613677536231885</v>
      </c>
      <c r="B13" s="132">
        <f t="shared" si="28"/>
        <v>2015</v>
      </c>
      <c r="C13" s="133">
        <v>131761</v>
      </c>
      <c r="D13" s="133">
        <v>16830</v>
      </c>
      <c r="E13" s="133">
        <f t="shared" si="0"/>
        <v>148591</v>
      </c>
      <c r="F13" s="65">
        <f t="shared" si="38"/>
        <v>15496.988902971585</v>
      </c>
      <c r="G13" s="133">
        <f t="shared" si="29"/>
        <v>1979.450089457516</v>
      </c>
      <c r="H13" s="134">
        <f t="shared" si="30"/>
        <v>16253.088262959065</v>
      </c>
      <c r="I13" s="65">
        <f>596758.93*1000/325851.4</f>
        <v>1831.3836613867547</v>
      </c>
      <c r="J13" s="133">
        <f>30259*1000/325851.4</f>
        <v>92.861347227601286</v>
      </c>
      <c r="K13" s="134">
        <f t="shared" si="1"/>
        <v>1924.245008614356</v>
      </c>
      <c r="L13" s="65">
        <f>858096*1000/325851.4</f>
        <v>2633.3966955489527</v>
      </c>
      <c r="M13" s="133">
        <f>7338*1000/325851.4</f>
        <v>22.519467462775975</v>
      </c>
      <c r="N13" s="134">
        <f t="shared" si="2"/>
        <v>2655.9161630117287</v>
      </c>
      <c r="O13" s="133">
        <f t="shared" si="31"/>
        <v>2240</v>
      </c>
      <c r="P13" s="133">
        <f t="shared" si="3"/>
        <v>1666.6599547668122</v>
      </c>
      <c r="Q13" s="134">
        <f t="shared" si="4"/>
        <v>3906.659954766812</v>
      </c>
      <c r="R13" s="65">
        <f t="shared" si="5"/>
        <v>24739.90938935196</v>
      </c>
      <c r="S13" s="135">
        <f t="shared" si="6"/>
        <v>22.08650327191371</v>
      </c>
      <c r="T13" s="135">
        <f t="shared" si="32"/>
        <v>46.190307198210164</v>
      </c>
      <c r="U13" s="136">
        <f t="shared" si="40"/>
        <v>135.18062727539828</v>
      </c>
      <c r="V13" s="137">
        <v>0</v>
      </c>
      <c r="W13" s="136">
        <f t="shared" si="8"/>
        <v>0</v>
      </c>
      <c r="X13" s="135">
        <f t="shared" si="9"/>
        <v>22.08650327191371</v>
      </c>
      <c r="Y13" s="136">
        <f t="shared" si="10"/>
        <v>46.190307198210164</v>
      </c>
      <c r="Z13" s="135"/>
      <c r="AA13" s="135">
        <f t="shared" si="11"/>
        <v>46.190307198210164</v>
      </c>
      <c r="AB13" s="133">
        <f t="shared" si="39"/>
        <v>3000</v>
      </c>
      <c r="AC13" s="133">
        <f t="shared" si="12"/>
        <v>2083.3249434585155</v>
      </c>
      <c r="AD13" s="133">
        <f t="shared" si="13"/>
        <v>29823.234332810476</v>
      </c>
      <c r="AE13" s="24" t="e">
        <f>#REF!</f>
        <v>#REF!</v>
      </c>
      <c r="AF13" s="13" t="e">
        <f>SUM(AE$8:AE13)</f>
        <v>#REF!</v>
      </c>
      <c r="AG13" s="13" t="e">
        <f>#REF!</f>
        <v>#REF!</v>
      </c>
      <c r="AH13" s="13" t="e">
        <f>SUM(AG$8:AG13)</f>
        <v>#REF!</v>
      </c>
      <c r="AI13" s="27" t="e">
        <f>(AF13*0.9)*($AD13/#REF!)+(AH13*0.45)*($AD13/#REF!)</f>
        <v>#REF!</v>
      </c>
      <c r="AJ13" s="13">
        <v>4300</v>
      </c>
      <c r="AK13" s="13">
        <v>235</v>
      </c>
      <c r="AL13" s="13">
        <f t="shared" si="33"/>
        <v>540</v>
      </c>
      <c r="AM13" s="24" t="e">
        <f>#REF!+AI13+AJ13</f>
        <v>#REF!</v>
      </c>
      <c r="AN13" s="15" t="e">
        <f t="shared" si="14"/>
        <v>#REF!</v>
      </c>
      <c r="AO13" s="13" t="e">
        <f>#REF!+AK13</f>
        <v>#REF!</v>
      </c>
      <c r="AP13" s="15" t="e">
        <f t="shared" si="15"/>
        <v>#REF!</v>
      </c>
      <c r="AQ13" s="13" t="e">
        <f>#REF!+AL13</f>
        <v>#REF!</v>
      </c>
      <c r="AR13" s="15" t="e">
        <f t="shared" si="16"/>
        <v>#REF!</v>
      </c>
      <c r="AS13" s="13" t="e">
        <f t="shared" si="34"/>
        <v>#REF!</v>
      </c>
      <c r="AT13" s="15" t="e">
        <f t="shared" si="17"/>
        <v>#REF!</v>
      </c>
      <c r="AU13" s="27" t="e">
        <f t="shared" si="18"/>
        <v>#REF!</v>
      </c>
      <c r="AV13" s="27" t="e">
        <f t="shared" si="19"/>
        <v>#REF!</v>
      </c>
      <c r="AW13" s="34"/>
      <c r="AX13" s="28">
        <f t="shared" si="20"/>
        <v>77.5</v>
      </c>
      <c r="AY13" s="14">
        <f t="shared" si="35"/>
        <v>50</v>
      </c>
      <c r="AZ13" s="28">
        <f t="shared" si="21"/>
        <v>31</v>
      </c>
      <c r="BA13" s="14">
        <f t="shared" si="36"/>
        <v>20</v>
      </c>
      <c r="BB13" s="28">
        <f t="shared" si="22"/>
        <v>0</v>
      </c>
      <c r="BC13" s="14">
        <v>0</v>
      </c>
      <c r="BD13" s="28">
        <f t="shared" si="23"/>
        <v>108.5</v>
      </c>
      <c r="BE13" s="29">
        <f t="shared" si="24"/>
        <v>70</v>
      </c>
      <c r="BF13" s="29">
        <f t="shared" si="25"/>
        <v>23.809692801789836</v>
      </c>
      <c r="BG13" s="128"/>
      <c r="BH13" s="129">
        <v>7.0000000000000007E-2</v>
      </c>
      <c r="BI13" s="48"/>
      <c r="BJ13" s="48"/>
      <c r="BK13" s="49"/>
      <c r="BL13" s="50" t="e">
        <f>(E13/#REF!)*#REF!</f>
        <v>#REF!</v>
      </c>
      <c r="BM13" s="51"/>
      <c r="BN13" s="52" t="e">
        <f>BN12*1.03</f>
        <v>#REF!</v>
      </c>
      <c r="BO13" s="50" t="e">
        <f>BO12*1.03</f>
        <v>#REF!</v>
      </c>
      <c r="BP13" s="51"/>
      <c r="BQ13" s="50">
        <v>19887438</v>
      </c>
      <c r="BR13" s="53">
        <f t="shared" si="26"/>
        <v>19.887438</v>
      </c>
      <c r="BS13" s="40"/>
      <c r="BT13" s="40">
        <v>4905600</v>
      </c>
      <c r="BU13" s="49">
        <f t="shared" si="27"/>
        <v>4.9055999999999997</v>
      </c>
      <c r="BX13" s="220"/>
    </row>
    <row r="14" spans="1:77" s="109" customFormat="1" x14ac:dyDescent="0.15">
      <c r="A14" s="11">
        <f t="shared" si="37"/>
        <v>1.8123724015452221</v>
      </c>
      <c r="B14" s="66">
        <f t="shared" si="28"/>
        <v>2016</v>
      </c>
      <c r="C14" s="1">
        <v>134149</v>
      </c>
      <c r="D14" s="13">
        <v>16830</v>
      </c>
      <c r="E14" s="13">
        <f t="shared" si="0"/>
        <v>150979</v>
      </c>
      <c r="F14" s="24">
        <f>C14*105*365/325853</f>
        <v>15777.852052919568</v>
      </c>
      <c r="G14" s="13">
        <f t="shared" si="29"/>
        <v>1979.450089457516</v>
      </c>
      <c r="H14" s="27">
        <f t="shared" si="30"/>
        <v>16336.717970986918</v>
      </c>
      <c r="I14" s="24">
        <f>630818*1000/325851.4</f>
        <v>1935.9069809121579</v>
      </c>
      <c r="J14" s="13">
        <f>35641*1000/325851.4</f>
        <v>109.37807847380738</v>
      </c>
      <c r="K14" s="27">
        <f t="shared" si="1"/>
        <v>2045.2850593859653</v>
      </c>
      <c r="L14" s="24">
        <f>1017277*1000/325851.4</f>
        <v>3121.9046473331091</v>
      </c>
      <c r="M14" s="13">
        <f>8954*1000/325851.4</f>
        <v>27.478783273602627</v>
      </c>
      <c r="N14" s="27">
        <f t="shared" si="2"/>
        <v>3149.3834306067115</v>
      </c>
      <c r="O14" s="13">
        <f t="shared" si="31"/>
        <v>2240</v>
      </c>
      <c r="P14" s="13">
        <f t="shared" si="3"/>
        <v>1722.5109168783674</v>
      </c>
      <c r="Q14" s="27">
        <f t="shared" si="4"/>
        <v>3962.5109168783674</v>
      </c>
      <c r="R14" s="24">
        <f t="shared" si="5"/>
        <v>25493.89737785796</v>
      </c>
      <c r="S14" s="15">
        <f t="shared" si="6"/>
        <v>22.759624499362054</v>
      </c>
      <c r="T14" s="15">
        <f t="shared" si="32"/>
        <v>47.671173898596521</v>
      </c>
      <c r="U14" s="25">
        <f t="shared" si="40"/>
        <v>137.50085563877101</v>
      </c>
      <c r="V14" s="55">
        <v>0</v>
      </c>
      <c r="W14" s="25">
        <f t="shared" si="8"/>
        <v>0</v>
      </c>
      <c r="X14" s="15">
        <f t="shared" si="9"/>
        <v>22.759624499362054</v>
      </c>
      <c r="Y14" s="25">
        <f t="shared" si="10"/>
        <v>47.671173898596521</v>
      </c>
      <c r="Z14" s="15"/>
      <c r="AA14" s="15">
        <f t="shared" si="11"/>
        <v>47.671173898596521</v>
      </c>
      <c r="AB14" s="13">
        <f t="shared" si="39"/>
        <v>3000</v>
      </c>
      <c r="AC14" s="13">
        <f t="shared" si="12"/>
        <v>2153.1386460979593</v>
      </c>
      <c r="AD14" s="13">
        <f t="shared" si="13"/>
        <v>30647.03602395592</v>
      </c>
      <c r="AE14" s="24" t="e">
        <f>#REF!</f>
        <v>#REF!</v>
      </c>
      <c r="AF14" s="13" t="e">
        <f>SUM(AE$8:AE14)</f>
        <v>#REF!</v>
      </c>
      <c r="AG14" s="13" t="e">
        <f>#REF!</f>
        <v>#REF!</v>
      </c>
      <c r="AH14" s="13" t="e">
        <f>SUM(AG$8:AG14)</f>
        <v>#REF!</v>
      </c>
      <c r="AI14" s="27" t="e">
        <f>(AF14*0.9)*($AD14/#REF!)+(AH14*0.45)*($AD14/#REF!)</f>
        <v>#REF!</v>
      </c>
      <c r="AJ14" s="13">
        <v>4300</v>
      </c>
      <c r="AK14" s="13">
        <v>235</v>
      </c>
      <c r="AL14" s="13">
        <f t="shared" si="33"/>
        <v>540</v>
      </c>
      <c r="AM14" s="24" t="e">
        <f>#REF!+AI14+AJ14</f>
        <v>#REF!</v>
      </c>
      <c r="AN14" s="15" t="e">
        <f t="shared" si="14"/>
        <v>#REF!</v>
      </c>
      <c r="AO14" s="13" t="e">
        <f>#REF!+AK14</f>
        <v>#REF!</v>
      </c>
      <c r="AP14" s="15" t="e">
        <f t="shared" si="15"/>
        <v>#REF!</v>
      </c>
      <c r="AQ14" s="13" t="e">
        <f>#REF!+AL14</f>
        <v>#REF!</v>
      </c>
      <c r="AR14" s="15" t="e">
        <f t="shared" si="16"/>
        <v>#REF!</v>
      </c>
      <c r="AS14" s="13" t="e">
        <f t="shared" si="34"/>
        <v>#REF!</v>
      </c>
      <c r="AT14" s="15" t="e">
        <f t="shared" si="17"/>
        <v>#REF!</v>
      </c>
      <c r="AU14" s="27" t="e">
        <f t="shared" si="18"/>
        <v>#REF!</v>
      </c>
      <c r="AV14" s="27" t="e">
        <f t="shared" si="19"/>
        <v>#REF!</v>
      </c>
      <c r="AW14" s="34"/>
      <c r="AX14" s="28">
        <f t="shared" si="20"/>
        <v>77.5</v>
      </c>
      <c r="AY14" s="14">
        <f t="shared" si="35"/>
        <v>50</v>
      </c>
      <c r="AZ14" s="28">
        <f t="shared" si="21"/>
        <v>31</v>
      </c>
      <c r="BA14" s="14">
        <f t="shared" si="36"/>
        <v>20</v>
      </c>
      <c r="BB14" s="28">
        <f t="shared" si="22"/>
        <v>0</v>
      </c>
      <c r="BC14" s="14">
        <v>0</v>
      </c>
      <c r="BD14" s="28">
        <f t="shared" si="23"/>
        <v>108.5</v>
      </c>
      <c r="BE14" s="29">
        <f t="shared" si="24"/>
        <v>70</v>
      </c>
      <c r="BF14" s="29">
        <f t="shared" si="25"/>
        <v>22.328826101403479</v>
      </c>
      <c r="BG14" s="128"/>
      <c r="BH14" s="129">
        <v>0.08</v>
      </c>
      <c r="BI14" s="37"/>
      <c r="BJ14" s="37"/>
      <c r="BK14" s="11"/>
      <c r="BL14" s="1" t="e">
        <f>(E14/#REF!)*#REF!</f>
        <v>#REF!</v>
      </c>
      <c r="BM14"/>
      <c r="BN14" s="12" t="e">
        <f>BN13</f>
        <v>#REF!</v>
      </c>
      <c r="BO14" s="1" t="e">
        <f>BO13</f>
        <v>#REF!</v>
      </c>
      <c r="BP14"/>
      <c r="BQ14" s="1">
        <v>13370461</v>
      </c>
      <c r="BR14" s="21">
        <f t="shared" si="26"/>
        <v>13.370461000000001</v>
      </c>
      <c r="BS14" s="2"/>
      <c r="BT14" s="2">
        <v>4905600</v>
      </c>
      <c r="BU14" s="11">
        <f t="shared" si="27"/>
        <v>4.9055999999999997</v>
      </c>
    </row>
    <row r="15" spans="1:77" s="109" customFormat="1" x14ac:dyDescent="0.15">
      <c r="A15" s="11">
        <f t="shared" si="37"/>
        <v>2.4554786096057368</v>
      </c>
      <c r="B15" s="66">
        <f t="shared" si="28"/>
        <v>2017</v>
      </c>
      <c r="C15" s="13">
        <v>137443</v>
      </c>
      <c r="D15" s="13">
        <v>16830</v>
      </c>
      <c r="E15" s="13">
        <f t="shared" si="0"/>
        <v>154273</v>
      </c>
      <c r="F15" s="24">
        <f t="shared" si="38"/>
        <v>16165.273835134247</v>
      </c>
      <c r="G15" s="13">
        <f t="shared" si="29"/>
        <v>1979.450089457516</v>
      </c>
      <c r="H15" s="27">
        <f t="shared" si="30"/>
        <v>16693.146010624423</v>
      </c>
      <c r="I15" s="24">
        <f>617325*1000/325851.4</f>
        <v>1894.4985352218832</v>
      </c>
      <c r="J15" s="13">
        <v>135</v>
      </c>
      <c r="K15" s="27">
        <f t="shared" si="1"/>
        <v>2029.4985352218832</v>
      </c>
      <c r="L15" s="24">
        <f>930040*1000/325851.4</f>
        <v>2854.1844534042202</v>
      </c>
      <c r="M15" s="13">
        <v>40</v>
      </c>
      <c r="N15" s="27">
        <f t="shared" si="2"/>
        <v>2894.1844534042202</v>
      </c>
      <c r="O15" s="13">
        <f t="shared" si="31"/>
        <v>2240</v>
      </c>
      <c r="P15" s="13">
        <f t="shared" si="3"/>
        <v>1729.3463199400421</v>
      </c>
      <c r="Q15" s="27">
        <f t="shared" si="4"/>
        <v>3969.3463199400421</v>
      </c>
      <c r="R15" s="24">
        <f t="shared" si="5"/>
        <v>25586.175319190566</v>
      </c>
      <c r="S15" s="15">
        <f t="shared" si="6"/>
        <v>22.84200544187453</v>
      </c>
      <c r="T15" s="15">
        <f t="shared" si="32"/>
        <v>47.852411972123967</v>
      </c>
      <c r="U15" s="25">
        <f t="shared" si="40"/>
        <v>135.09896171310558</v>
      </c>
      <c r="V15" s="55">
        <v>0</v>
      </c>
      <c r="W15" s="25">
        <f t="shared" si="8"/>
        <v>0</v>
      </c>
      <c r="X15" s="15">
        <f t="shared" si="9"/>
        <v>22.84200544187453</v>
      </c>
      <c r="Y15" s="25">
        <f t="shared" si="10"/>
        <v>47.852411972123967</v>
      </c>
      <c r="Z15" s="15"/>
      <c r="AA15" s="15">
        <f t="shared" si="11"/>
        <v>47.852411972123967</v>
      </c>
      <c r="AB15" s="13">
        <f t="shared" si="39"/>
        <v>3000</v>
      </c>
      <c r="AC15" s="13">
        <f t="shared" si="12"/>
        <v>2161.6828999250529</v>
      </c>
      <c r="AD15" s="13">
        <f t="shared" si="13"/>
        <v>30747.85821911562</v>
      </c>
      <c r="AE15" s="24" t="e">
        <f>#REF!</f>
        <v>#REF!</v>
      </c>
      <c r="AF15" s="13" t="e">
        <f>SUM(AE$8:AE15)</f>
        <v>#REF!</v>
      </c>
      <c r="AG15" s="13" t="e">
        <f>#REF!</f>
        <v>#REF!</v>
      </c>
      <c r="AH15" s="13" t="e">
        <f>SUM(AG$8:AG15)</f>
        <v>#REF!</v>
      </c>
      <c r="AI15" s="27" t="e">
        <f>(AF15*0.9)*($AD15/#REF!)+(AH15*0.45)*($AD15/#REF!)</f>
        <v>#REF!</v>
      </c>
      <c r="AJ15" s="13">
        <v>4300</v>
      </c>
      <c r="AK15" s="13">
        <v>235</v>
      </c>
      <c r="AL15" s="13">
        <f>AL14+360</f>
        <v>900</v>
      </c>
      <c r="AM15" s="24" t="e">
        <f>#REF!+AI15+AJ15</f>
        <v>#REF!</v>
      </c>
      <c r="AN15" s="15" t="e">
        <f t="shared" si="14"/>
        <v>#REF!</v>
      </c>
      <c r="AO15" s="13" t="e">
        <f>#REF!+AK15</f>
        <v>#REF!</v>
      </c>
      <c r="AP15" s="15" t="e">
        <f t="shared" si="15"/>
        <v>#REF!</v>
      </c>
      <c r="AQ15" s="13" t="e">
        <f>#REF!+AL15</f>
        <v>#REF!</v>
      </c>
      <c r="AR15" s="15" t="e">
        <f t="shared" si="16"/>
        <v>#REF!</v>
      </c>
      <c r="AS15" s="13" t="e">
        <f t="shared" si="34"/>
        <v>#REF!</v>
      </c>
      <c r="AT15" s="15" t="e">
        <f t="shared" si="17"/>
        <v>#REF!</v>
      </c>
      <c r="AU15" s="27" t="e">
        <f t="shared" si="18"/>
        <v>#REF!</v>
      </c>
      <c r="AV15" s="27" t="e">
        <f t="shared" si="19"/>
        <v>#REF!</v>
      </c>
      <c r="AW15" s="34"/>
      <c r="AX15" s="28">
        <f t="shared" si="20"/>
        <v>77.5</v>
      </c>
      <c r="AY15" s="14">
        <f t="shared" si="35"/>
        <v>50</v>
      </c>
      <c r="AZ15" s="28">
        <f t="shared" si="21"/>
        <v>31</v>
      </c>
      <c r="BA15" s="14">
        <f t="shared" si="36"/>
        <v>20</v>
      </c>
      <c r="BB15" s="28">
        <f t="shared" si="22"/>
        <v>0</v>
      </c>
      <c r="BC15" s="14">
        <v>0</v>
      </c>
      <c r="BD15" s="28">
        <f t="shared" si="23"/>
        <v>108.5</v>
      </c>
      <c r="BE15" s="29">
        <f t="shared" si="24"/>
        <v>70</v>
      </c>
      <c r="BF15" s="29">
        <f t="shared" si="25"/>
        <v>22.147588027876033</v>
      </c>
      <c r="BG15" s="128"/>
      <c r="BH15" s="129">
        <v>0.08</v>
      </c>
      <c r="BI15" s="37"/>
      <c r="BJ15" s="37"/>
      <c r="BK15" s="11"/>
      <c r="BL15" s="1" t="e">
        <f>(E15/#REF!)*#REF!</f>
        <v>#REF!</v>
      </c>
      <c r="BM15"/>
      <c r="BN15" s="12" t="e">
        <f>BN14*1.03</f>
        <v>#REF!</v>
      </c>
      <c r="BO15" s="1" t="e">
        <f>BO14*1.03</f>
        <v>#REF!</v>
      </c>
      <c r="BP15"/>
      <c r="BQ15" s="1">
        <v>31363484</v>
      </c>
      <c r="BR15" s="21">
        <f t="shared" si="26"/>
        <v>31.363484</v>
      </c>
      <c r="BS15" s="2"/>
      <c r="BT15" s="2">
        <v>4905600</v>
      </c>
      <c r="BU15" s="11">
        <f t="shared" si="27"/>
        <v>4.9055999999999997</v>
      </c>
    </row>
    <row r="16" spans="1:77" s="109" customFormat="1" x14ac:dyDescent="0.15">
      <c r="A16" s="11">
        <f t="shared" si="37"/>
        <v>2.2307429261584804</v>
      </c>
      <c r="B16" s="66">
        <f t="shared" si="28"/>
        <v>2018</v>
      </c>
      <c r="C16" s="13">
        <v>140509</v>
      </c>
      <c r="D16" s="13">
        <v>16830</v>
      </c>
      <c r="E16" s="13">
        <f t="shared" si="0"/>
        <v>157339</v>
      </c>
      <c r="F16" s="24">
        <f t="shared" si="38"/>
        <v>16525.879537705652</v>
      </c>
      <c r="G16" s="13">
        <f t="shared" si="29"/>
        <v>1979.450089457516</v>
      </c>
      <c r="H16" s="27">
        <f t="shared" si="30"/>
        <v>17024.903256990117</v>
      </c>
      <c r="I16" s="24">
        <f>($I$53-$I$8)/40+I15</f>
        <v>2001.0075129338095</v>
      </c>
      <c r="J16" s="13">
        <v>135</v>
      </c>
      <c r="K16" s="27">
        <f t="shared" si="1"/>
        <v>2136.0075129338093</v>
      </c>
      <c r="L16" s="24">
        <f>($L$53-$L$15)/38+L15</f>
        <v>2901.6532835777934</v>
      </c>
      <c r="M16" s="13">
        <v>40</v>
      </c>
      <c r="N16" s="27">
        <f t="shared" si="2"/>
        <v>2941.6532835777934</v>
      </c>
      <c r="O16" s="13">
        <f t="shared" si="31"/>
        <v>2240</v>
      </c>
      <c r="P16" s="13">
        <f t="shared" si="3"/>
        <v>1768.2051242801376</v>
      </c>
      <c r="Q16" s="27">
        <f t="shared" si="4"/>
        <v>4008.2051242801376</v>
      </c>
      <c r="R16" s="24">
        <f t="shared" si="5"/>
        <v>26110.769177781858</v>
      </c>
      <c r="S16" s="15">
        <f t="shared" si="6"/>
        <v>23.310335531199321</v>
      </c>
      <c r="T16" s="15">
        <f t="shared" si="32"/>
        <v>48.882738168638511</v>
      </c>
      <c r="U16" s="25">
        <f t="shared" si="40"/>
        <v>135.44289295854065</v>
      </c>
      <c r="V16" s="55">
        <v>0</v>
      </c>
      <c r="W16" s="25">
        <f t="shared" si="8"/>
        <v>0</v>
      </c>
      <c r="X16" s="15">
        <f t="shared" si="9"/>
        <v>23.310335531199321</v>
      </c>
      <c r="Y16" s="25">
        <f t="shared" si="10"/>
        <v>48.882738168638511</v>
      </c>
      <c r="Z16" s="15"/>
      <c r="AA16" s="15">
        <f t="shared" si="11"/>
        <v>48.882738168638511</v>
      </c>
      <c r="AB16" s="13">
        <f t="shared" si="39"/>
        <v>3000</v>
      </c>
      <c r="AC16" s="13">
        <f t="shared" si="12"/>
        <v>2210.2564053501719</v>
      </c>
      <c r="AD16" s="13">
        <f t="shared" si="13"/>
        <v>31321.025583132032</v>
      </c>
      <c r="AE16" s="24" t="e">
        <f>#REF!</f>
        <v>#REF!</v>
      </c>
      <c r="AF16" s="13" t="e">
        <f>SUM(AE$8:AE16)</f>
        <v>#REF!</v>
      </c>
      <c r="AG16" s="13" t="e">
        <f>#REF!</f>
        <v>#REF!</v>
      </c>
      <c r="AH16" s="13" t="e">
        <f>SUM(AG$8:AG16)</f>
        <v>#REF!</v>
      </c>
      <c r="AI16" s="27" t="e">
        <f>(AF16*0.9)*($AD16/#REF!)+(AH16*0.45)*($AD16/#REF!)</f>
        <v>#REF!</v>
      </c>
      <c r="AJ16" s="13">
        <v>4300</v>
      </c>
      <c r="AK16" s="13">
        <v>235</v>
      </c>
      <c r="AL16" s="13">
        <f t="shared" ref="AL16:AL22" si="41">AL15</f>
        <v>900</v>
      </c>
      <c r="AM16" s="24" t="e">
        <f>#REF!+AI16+AJ16</f>
        <v>#REF!</v>
      </c>
      <c r="AN16" s="15" t="e">
        <f t="shared" si="14"/>
        <v>#REF!</v>
      </c>
      <c r="AO16" s="13" t="e">
        <f>#REF!+AK16</f>
        <v>#REF!</v>
      </c>
      <c r="AP16" s="15" t="e">
        <f t="shared" si="15"/>
        <v>#REF!</v>
      </c>
      <c r="AQ16" s="13" t="e">
        <f>#REF!+AL16</f>
        <v>#REF!</v>
      </c>
      <c r="AR16" s="15" t="e">
        <f t="shared" si="16"/>
        <v>#REF!</v>
      </c>
      <c r="AS16" s="13" t="e">
        <f t="shared" si="34"/>
        <v>#REF!</v>
      </c>
      <c r="AT16" s="15" t="e">
        <f t="shared" si="17"/>
        <v>#REF!</v>
      </c>
      <c r="AU16" s="27" t="e">
        <f t="shared" si="18"/>
        <v>#REF!</v>
      </c>
      <c r="AV16" s="27" t="e">
        <f t="shared" si="19"/>
        <v>#REF!</v>
      </c>
      <c r="AW16" s="34"/>
      <c r="AX16" s="28">
        <f t="shared" si="20"/>
        <v>77.5</v>
      </c>
      <c r="AY16" s="14">
        <f t="shared" si="35"/>
        <v>50</v>
      </c>
      <c r="AZ16" s="28">
        <f t="shared" si="21"/>
        <v>31</v>
      </c>
      <c r="BA16" s="14">
        <f t="shared" si="36"/>
        <v>20</v>
      </c>
      <c r="BB16" s="28">
        <f t="shared" si="22"/>
        <v>0</v>
      </c>
      <c r="BC16" s="14">
        <v>0</v>
      </c>
      <c r="BD16" s="28">
        <f t="shared" si="23"/>
        <v>108.5</v>
      </c>
      <c r="BE16" s="29">
        <f t="shared" si="24"/>
        <v>70</v>
      </c>
      <c r="BF16" s="29">
        <f t="shared" si="25"/>
        <v>21.117261831361489</v>
      </c>
      <c r="BG16" s="128"/>
      <c r="BH16" s="129">
        <v>0.08</v>
      </c>
      <c r="BI16" s="37"/>
      <c r="BJ16" s="37"/>
      <c r="BK16" s="11">
        <v>60</v>
      </c>
      <c r="BL16" s="1" t="e">
        <f>(E16/#REF!)*#REF!</f>
        <v>#REF!</v>
      </c>
      <c r="BM16"/>
      <c r="BN16" s="12" t="e">
        <f>BN15</f>
        <v>#REF!</v>
      </c>
      <c r="BO16" s="1" t="e">
        <f>BO15</f>
        <v>#REF!</v>
      </c>
      <c r="BP16"/>
      <c r="BQ16" s="1">
        <v>138777284.06744868</v>
      </c>
      <c r="BR16" s="21">
        <f t="shared" si="26"/>
        <v>138.77728406744868</v>
      </c>
      <c r="BS16" s="2"/>
      <c r="BT16" s="2">
        <v>7990677.0674486812</v>
      </c>
      <c r="BU16" s="11">
        <f t="shared" si="27"/>
        <v>7.9906770674486811</v>
      </c>
      <c r="BV16" s="220"/>
      <c r="BX16" s="220"/>
    </row>
    <row r="17" spans="1:75" s="109" customFormat="1" x14ac:dyDescent="0.15">
      <c r="A17" s="11">
        <f t="shared" si="37"/>
        <v>2.3336583421702524</v>
      </c>
      <c r="B17" s="66">
        <f t="shared" si="28"/>
        <v>2019</v>
      </c>
      <c r="C17" s="13">
        <v>143788</v>
      </c>
      <c r="D17" s="13">
        <v>16830</v>
      </c>
      <c r="E17" s="13">
        <f t="shared" si="0"/>
        <v>160618</v>
      </c>
      <c r="F17" s="24">
        <f t="shared" si="38"/>
        <v>16911.537104154326</v>
      </c>
      <c r="G17" s="13">
        <f t="shared" si="29"/>
        <v>1979.450089457516</v>
      </c>
      <c r="H17" s="27">
        <f t="shared" si="30"/>
        <v>17379.708218122898</v>
      </c>
      <c r="I17" s="24">
        <f t="shared" ref="I17:I52" si="42">($I$53-$I$8)/40+I16</f>
        <v>2107.5164906457358</v>
      </c>
      <c r="J17" s="13">
        <v>135</v>
      </c>
      <c r="K17" s="27">
        <f t="shared" si="1"/>
        <v>2242.5164906457358</v>
      </c>
      <c r="L17" s="24">
        <f t="shared" ref="L17:L52" si="43">($L$53-$L$15)/38+L16</f>
        <v>2949.1221137513667</v>
      </c>
      <c r="M17" s="13">
        <v>40</v>
      </c>
      <c r="N17" s="27">
        <f t="shared" si="2"/>
        <v>2989.1221137513667</v>
      </c>
      <c r="O17" s="13">
        <f t="shared" si="31"/>
        <v>2240</v>
      </c>
      <c r="P17" s="13">
        <f t="shared" si="3"/>
        <v>1808.9077458016002</v>
      </c>
      <c r="Q17" s="27">
        <f t="shared" si="4"/>
        <v>4048.9077458016</v>
      </c>
      <c r="R17" s="24">
        <f t="shared" si="5"/>
        <v>26660.254568321601</v>
      </c>
      <c r="S17" s="15">
        <f t="shared" si="6"/>
        <v>23.800887484524107</v>
      </c>
      <c r="T17" s="15">
        <f t="shared" si="32"/>
        <v>49.96195246595304</v>
      </c>
      <c r="U17" s="25">
        <f t="shared" si="40"/>
        <v>135.73197448386708</v>
      </c>
      <c r="V17" s="55">
        <v>0</v>
      </c>
      <c r="W17" s="25">
        <f t="shared" si="8"/>
        <v>0</v>
      </c>
      <c r="X17" s="15">
        <f t="shared" si="9"/>
        <v>23.800887484524107</v>
      </c>
      <c r="Y17" s="25">
        <f t="shared" si="10"/>
        <v>49.96195246595304</v>
      </c>
      <c r="Z17" s="15"/>
      <c r="AA17" s="15">
        <f t="shared" si="11"/>
        <v>49.96195246595304</v>
      </c>
      <c r="AB17" s="13">
        <f t="shared" si="39"/>
        <v>3000</v>
      </c>
      <c r="AC17" s="13">
        <f t="shared" si="12"/>
        <v>2261.1346822520004</v>
      </c>
      <c r="AD17" s="13">
        <f t="shared" si="13"/>
        <v>31921.3892505736</v>
      </c>
      <c r="AE17" s="24" t="e">
        <f>#REF!</f>
        <v>#REF!</v>
      </c>
      <c r="AF17" s="13" t="e">
        <f>SUM(AE$8:AE17)</f>
        <v>#REF!</v>
      </c>
      <c r="AG17" s="13" t="e">
        <f>#REF!</f>
        <v>#REF!</v>
      </c>
      <c r="AH17" s="13" t="e">
        <f>SUM(AG$8:AG17)</f>
        <v>#REF!</v>
      </c>
      <c r="AI17" s="27" t="e">
        <f>(AF17*0.9)*($AD17/#REF!)+(AH17*0.45)*($AD17/#REF!)</f>
        <v>#REF!</v>
      </c>
      <c r="AJ17" s="13">
        <v>4300</v>
      </c>
      <c r="AK17" s="13">
        <v>235</v>
      </c>
      <c r="AL17" s="13">
        <f t="shared" si="41"/>
        <v>900</v>
      </c>
      <c r="AM17" s="24" t="e">
        <f>#REF!+AI17+AJ17</f>
        <v>#REF!</v>
      </c>
      <c r="AN17" s="15" t="e">
        <f t="shared" si="14"/>
        <v>#REF!</v>
      </c>
      <c r="AO17" s="13" t="e">
        <f>#REF!+AK17</f>
        <v>#REF!</v>
      </c>
      <c r="AP17" s="15" t="e">
        <f t="shared" si="15"/>
        <v>#REF!</v>
      </c>
      <c r="AQ17" s="13" t="e">
        <f>#REF!+AL17</f>
        <v>#REF!</v>
      </c>
      <c r="AR17" s="15" t="e">
        <f t="shared" si="16"/>
        <v>#REF!</v>
      </c>
      <c r="AS17" s="13" t="e">
        <f t="shared" si="34"/>
        <v>#REF!</v>
      </c>
      <c r="AT17" s="15" t="e">
        <f t="shared" si="17"/>
        <v>#REF!</v>
      </c>
      <c r="AU17" s="27" t="e">
        <f t="shared" si="18"/>
        <v>#REF!</v>
      </c>
      <c r="AV17" s="27" t="e">
        <f t="shared" si="19"/>
        <v>#REF!</v>
      </c>
      <c r="AW17" s="34"/>
      <c r="AX17" s="28">
        <f t="shared" si="20"/>
        <v>77.5</v>
      </c>
      <c r="AY17" s="14">
        <f t="shared" si="35"/>
        <v>50</v>
      </c>
      <c r="AZ17" s="28">
        <f t="shared" si="21"/>
        <v>31</v>
      </c>
      <c r="BA17" s="14">
        <f t="shared" si="36"/>
        <v>20</v>
      </c>
      <c r="BB17" s="28">
        <f t="shared" si="22"/>
        <v>0</v>
      </c>
      <c r="BC17" s="14">
        <v>0</v>
      </c>
      <c r="BD17" s="28">
        <f t="shared" si="23"/>
        <v>108.5</v>
      </c>
      <c r="BE17" s="29">
        <f t="shared" si="24"/>
        <v>70</v>
      </c>
      <c r="BF17" s="29">
        <f t="shared" si="25"/>
        <v>20.03804753404696</v>
      </c>
      <c r="BG17" s="128"/>
      <c r="BH17" s="129">
        <v>0.08</v>
      </c>
      <c r="BI17" s="37"/>
      <c r="BJ17" s="37"/>
      <c r="BK17" s="11">
        <v>60</v>
      </c>
      <c r="BL17" s="1" t="e">
        <f>(E17/#REF!)*#REF!</f>
        <v>#REF!</v>
      </c>
      <c r="BM17"/>
      <c r="BN17" s="12" t="e">
        <f>BN16*1.03</f>
        <v>#REF!</v>
      </c>
      <c r="BO17" s="1" t="e">
        <f>BO16*1.03</f>
        <v>#REF!</v>
      </c>
      <c r="BP17"/>
      <c r="BQ17" s="1">
        <v>15728523.196480937</v>
      </c>
      <c r="BR17" s="21">
        <f t="shared" si="26"/>
        <v>15.728523196480937</v>
      </c>
      <c r="BS17" s="2"/>
      <c r="BT17" s="2">
        <v>8159593.1964809373</v>
      </c>
      <c r="BU17" s="11">
        <f t="shared" si="27"/>
        <v>8.1595931964809374</v>
      </c>
      <c r="BV17" s="220"/>
    </row>
    <row r="18" spans="1:75" s="109" customFormat="1" x14ac:dyDescent="0.15">
      <c r="A18" s="11">
        <f t="shared" si="37"/>
        <v>1.8353409185745679</v>
      </c>
      <c r="B18" s="138">
        <f t="shared" si="28"/>
        <v>2020</v>
      </c>
      <c r="C18" s="133">
        <v>146427</v>
      </c>
      <c r="D18" s="133">
        <v>16830</v>
      </c>
      <c r="E18" s="134">
        <f t="shared" si="0"/>
        <v>163257</v>
      </c>
      <c r="F18" s="133">
        <f t="shared" si="38"/>
        <v>17221.921464586791</v>
      </c>
      <c r="G18" s="133">
        <f t="shared" si="29"/>
        <v>1979.450089457516</v>
      </c>
      <c r="H18" s="133">
        <f t="shared" si="30"/>
        <v>17665.261829720763</v>
      </c>
      <c r="I18" s="65">
        <f t="shared" si="42"/>
        <v>2214.0254683576622</v>
      </c>
      <c r="J18" s="133">
        <v>135</v>
      </c>
      <c r="K18" s="134">
        <f t="shared" si="1"/>
        <v>2349.0254683576622</v>
      </c>
      <c r="L18" s="65">
        <f t="shared" si="43"/>
        <v>2996.5909439249399</v>
      </c>
      <c r="M18" s="133">
        <v>40</v>
      </c>
      <c r="N18" s="134">
        <f t="shared" si="2"/>
        <v>3036.5909439249399</v>
      </c>
      <c r="O18" s="133">
        <f t="shared" si="31"/>
        <v>2240</v>
      </c>
      <c r="P18" s="133">
        <f t="shared" si="3"/>
        <v>1844.0702593602691</v>
      </c>
      <c r="Q18" s="134">
        <f t="shared" si="4"/>
        <v>4084.0702593602691</v>
      </c>
      <c r="R18" s="65">
        <f t="shared" si="5"/>
        <v>27134.948501363633</v>
      </c>
      <c r="S18" s="135">
        <f t="shared" si="6"/>
        <v>24.224669517848891</v>
      </c>
      <c r="T18" s="135">
        <f t="shared" si="32"/>
        <v>50.894272939267566</v>
      </c>
      <c r="U18" s="136">
        <f t="shared" si="40"/>
        <v>136.1336892746522</v>
      </c>
      <c r="V18" s="65">
        <v>1140</v>
      </c>
      <c r="W18" s="136">
        <f t="shared" si="8"/>
        <v>1.0178571428571428</v>
      </c>
      <c r="X18" s="135">
        <f t="shared" si="9"/>
        <v>23.206812374991749</v>
      </c>
      <c r="Y18" s="136">
        <f t="shared" si="10"/>
        <v>49.87641579641042</v>
      </c>
      <c r="Z18" s="135"/>
      <c r="AA18" s="135">
        <f t="shared" si="11"/>
        <v>49.87641579641042</v>
      </c>
      <c r="AB18" s="133">
        <f t="shared" si="39"/>
        <v>3000</v>
      </c>
      <c r="AC18" s="133">
        <f t="shared" si="12"/>
        <v>2305.0878242003364</v>
      </c>
      <c r="AD18" s="133">
        <f t="shared" si="13"/>
        <v>32440.036325563968</v>
      </c>
      <c r="AE18" s="24" t="e">
        <f>#REF!</f>
        <v>#REF!</v>
      </c>
      <c r="AF18" s="13" t="e">
        <f>SUM(AE$8:AE18)</f>
        <v>#REF!</v>
      </c>
      <c r="AG18" s="13" t="e">
        <f>#REF!</f>
        <v>#REF!</v>
      </c>
      <c r="AH18" s="13" t="e">
        <f>SUM(AG$8:AG18)</f>
        <v>#REF!</v>
      </c>
      <c r="AI18" s="27" t="e">
        <f>(AF18*0.9)*($AD18/#REF!)+(AH18*0.45)*($AD18/#REF!)</f>
        <v>#REF!</v>
      </c>
      <c r="AJ18" s="13">
        <v>4300</v>
      </c>
      <c r="AK18" s="13">
        <v>235</v>
      </c>
      <c r="AL18" s="13">
        <f t="shared" si="41"/>
        <v>900</v>
      </c>
      <c r="AM18" s="24" t="e">
        <f>#REF!+AI18+AJ18</f>
        <v>#REF!</v>
      </c>
      <c r="AN18" s="15" t="e">
        <f t="shared" si="14"/>
        <v>#REF!</v>
      </c>
      <c r="AO18" s="13" t="e">
        <f>#REF!+AK18</f>
        <v>#REF!</v>
      </c>
      <c r="AP18" s="15" t="e">
        <f t="shared" si="15"/>
        <v>#REF!</v>
      </c>
      <c r="AQ18" s="13" t="e">
        <f>#REF!+AL18</f>
        <v>#REF!</v>
      </c>
      <c r="AR18" s="15" t="e">
        <f t="shared" si="16"/>
        <v>#REF!</v>
      </c>
      <c r="AS18" s="13" t="e">
        <f t="shared" si="34"/>
        <v>#REF!</v>
      </c>
      <c r="AT18" s="15" t="e">
        <f t="shared" si="17"/>
        <v>#REF!</v>
      </c>
      <c r="AU18" s="27" t="e">
        <f t="shared" si="18"/>
        <v>#REF!</v>
      </c>
      <c r="AV18" s="27" t="e">
        <f t="shared" si="19"/>
        <v>#REF!</v>
      </c>
      <c r="AW18" s="34"/>
      <c r="AX18" s="28">
        <f t="shared" si="20"/>
        <v>77.5</v>
      </c>
      <c r="AY18" s="14">
        <f t="shared" si="35"/>
        <v>50</v>
      </c>
      <c r="AZ18" s="28">
        <f t="shared" si="21"/>
        <v>31</v>
      </c>
      <c r="BA18" s="14">
        <f t="shared" si="36"/>
        <v>20</v>
      </c>
      <c r="BB18" s="28">
        <f t="shared" si="22"/>
        <v>0</v>
      </c>
      <c r="BC18" s="14">
        <v>0</v>
      </c>
      <c r="BD18" s="28">
        <f t="shared" si="23"/>
        <v>108.5</v>
      </c>
      <c r="BE18" s="29">
        <f t="shared" si="24"/>
        <v>70</v>
      </c>
      <c r="BF18" s="29">
        <f t="shared" si="25"/>
        <v>20.12358420358958</v>
      </c>
      <c r="BG18" s="128"/>
      <c r="BH18" s="129">
        <v>0.08</v>
      </c>
      <c r="BI18" s="48"/>
      <c r="BJ18" s="48"/>
      <c r="BK18" s="49">
        <v>60</v>
      </c>
      <c r="BL18" s="50" t="e">
        <f>(E18/#REF!)*#REF!</f>
        <v>#REF!</v>
      </c>
      <c r="BM18" s="51"/>
      <c r="BN18" s="52" t="e">
        <f>BN17</f>
        <v>#REF!</v>
      </c>
      <c r="BO18" s="50" t="e">
        <f>BO17</f>
        <v>#REF!</v>
      </c>
      <c r="BP18" s="51"/>
      <c r="BQ18" s="50">
        <v>33220462.325513195</v>
      </c>
      <c r="BR18" s="53">
        <f t="shared" si="26"/>
        <v>33.220462325513196</v>
      </c>
      <c r="BS18" s="40"/>
      <c r="BT18" s="40">
        <v>8328509.3255131952</v>
      </c>
      <c r="BU18" s="49">
        <f t="shared" si="27"/>
        <v>8.3285093255131954</v>
      </c>
      <c r="BV18" s="220"/>
    </row>
    <row r="19" spans="1:75" s="109" customFormat="1" x14ac:dyDescent="0.15">
      <c r="A19" s="11">
        <f t="shared" si="37"/>
        <v>1.4504459180645866</v>
      </c>
      <c r="B19" s="66">
        <f t="shared" si="28"/>
        <v>2021</v>
      </c>
      <c r="C19" s="13">
        <f>(($C$63-$C$18)/ROWS($C$19:$C$63))+C18</f>
        <v>148550.84444444443</v>
      </c>
      <c r="D19" s="13">
        <v>16830</v>
      </c>
      <c r="E19" s="13">
        <f t="shared" si="0"/>
        <v>165380.84444444443</v>
      </c>
      <c r="F19" s="24">
        <f t="shared" si="38"/>
        <v>17471.716121482179</v>
      </c>
      <c r="G19" s="13">
        <f t="shared" si="29"/>
        <v>1979.450089457516</v>
      </c>
      <c r="H19" s="27">
        <f t="shared" si="30"/>
        <v>17895.07291406452</v>
      </c>
      <c r="I19" s="24">
        <f t="shared" si="42"/>
        <v>2320.5344460695887</v>
      </c>
      <c r="J19" s="13">
        <v>135</v>
      </c>
      <c r="K19" s="27">
        <f t="shared" si="1"/>
        <v>2455.5344460695887</v>
      </c>
      <c r="L19" s="24">
        <f t="shared" si="43"/>
        <v>3044.0597740985131</v>
      </c>
      <c r="M19" s="13">
        <v>40</v>
      </c>
      <c r="N19" s="27">
        <f t="shared" si="2"/>
        <v>3084.0597740985131</v>
      </c>
      <c r="O19" s="13">
        <f t="shared" si="31"/>
        <v>2240</v>
      </c>
      <c r="P19" s="13">
        <f t="shared" si="3"/>
        <v>1874.7733707386099</v>
      </c>
      <c r="Q19" s="27">
        <f t="shared" si="4"/>
        <v>4114.7733707386096</v>
      </c>
      <c r="R19" s="24">
        <f t="shared" si="5"/>
        <v>27549.44050497123</v>
      </c>
      <c r="S19" s="15">
        <f t="shared" si="6"/>
        <v>24.594706402373671</v>
      </c>
      <c r="T19" s="15">
        <f t="shared" si="32"/>
        <v>51.708354085222076</v>
      </c>
      <c r="U19" s="25">
        <f t="shared" ref="U19:U63" si="44">(H19+K19+N19+P19)*325851/365/E19</f>
        <v>136.62291058646628</v>
      </c>
      <c r="V19" s="24">
        <f>($V$48-$V$18)/30+V18</f>
        <v>1568.6666666666667</v>
      </c>
      <c r="W19" s="25">
        <f t="shared" si="8"/>
        <v>1.4005952380952382</v>
      </c>
      <c r="X19" s="15">
        <f t="shared" si="9"/>
        <v>23.194111164278432</v>
      </c>
      <c r="Y19" s="25">
        <f t="shared" si="10"/>
        <v>50.307758847126841</v>
      </c>
      <c r="Z19" s="15"/>
      <c r="AA19" s="15">
        <f t="shared" si="11"/>
        <v>50.307758847126841</v>
      </c>
      <c r="AB19" s="13">
        <f t="shared" si="39"/>
        <v>3000</v>
      </c>
      <c r="AC19" s="13">
        <f t="shared" si="12"/>
        <v>2343.4667134232623</v>
      </c>
      <c r="AD19" s="13">
        <f t="shared" si="13"/>
        <v>32892.907218394495</v>
      </c>
      <c r="AE19" s="24" t="e">
        <f>#REF!</f>
        <v>#REF!</v>
      </c>
      <c r="AF19" s="13" t="e">
        <f>SUM(AE$8:AE19)</f>
        <v>#REF!</v>
      </c>
      <c r="AG19" s="13" t="e">
        <f>#REF!</f>
        <v>#REF!</v>
      </c>
      <c r="AH19" s="13" t="e">
        <f>SUM(AG$8:AG19)</f>
        <v>#REF!</v>
      </c>
      <c r="AI19" s="27" t="e">
        <f>(AF19*0.9)*($AD19/#REF!)+(AH19*0.45)*($AD19/#REF!)</f>
        <v>#REF!</v>
      </c>
      <c r="AJ19" s="13">
        <v>4300</v>
      </c>
      <c r="AK19" s="13">
        <v>235</v>
      </c>
      <c r="AL19" s="13">
        <f t="shared" si="41"/>
        <v>900</v>
      </c>
      <c r="AM19" s="24" t="e">
        <f>#REF!+AI19+AJ19</f>
        <v>#REF!</v>
      </c>
      <c r="AN19" s="15" t="e">
        <f t="shared" si="14"/>
        <v>#REF!</v>
      </c>
      <c r="AO19" s="13" t="e">
        <f>#REF!+AK19</f>
        <v>#REF!</v>
      </c>
      <c r="AP19" s="15" t="e">
        <f t="shared" si="15"/>
        <v>#REF!</v>
      </c>
      <c r="AQ19" s="13" t="e">
        <f>#REF!+AL19</f>
        <v>#REF!</v>
      </c>
      <c r="AR19" s="15" t="e">
        <f t="shared" si="16"/>
        <v>#REF!</v>
      </c>
      <c r="AS19" s="13" t="e">
        <f>AS18</f>
        <v>#REF!</v>
      </c>
      <c r="AT19" s="15" t="e">
        <f t="shared" si="17"/>
        <v>#REF!</v>
      </c>
      <c r="AU19" s="27" t="e">
        <f t="shared" si="18"/>
        <v>#REF!</v>
      </c>
      <c r="AV19" s="27" t="e">
        <f t="shared" si="19"/>
        <v>#REF!</v>
      </c>
      <c r="AW19" s="34"/>
      <c r="AX19" s="28">
        <f t="shared" si="20"/>
        <v>77.5</v>
      </c>
      <c r="AY19" s="14">
        <f t="shared" si="35"/>
        <v>50</v>
      </c>
      <c r="AZ19" s="28">
        <f t="shared" si="21"/>
        <v>31</v>
      </c>
      <c r="BA19" s="14">
        <f t="shared" si="36"/>
        <v>20</v>
      </c>
      <c r="BB19" s="28">
        <f t="shared" si="22"/>
        <v>0</v>
      </c>
      <c r="BC19" s="14">
        <v>0</v>
      </c>
      <c r="BD19" s="28">
        <f t="shared" si="23"/>
        <v>108.5</v>
      </c>
      <c r="BE19" s="29">
        <f t="shared" si="24"/>
        <v>70</v>
      </c>
      <c r="BF19" s="29">
        <f t="shared" si="25"/>
        <v>19.692241152873159</v>
      </c>
      <c r="BG19" s="128"/>
      <c r="BH19" s="129">
        <v>0.08</v>
      </c>
      <c r="BI19" s="37"/>
      <c r="BJ19" s="37"/>
      <c r="BK19" s="11"/>
      <c r="BL19" s="1" t="e">
        <f>(E19/#REF!)*#REF!</f>
        <v>#REF!</v>
      </c>
      <c r="BM19"/>
      <c r="BN19" s="12" t="e">
        <f>BN18*1.03</f>
        <v>#REF!</v>
      </c>
      <c r="BO19" s="1" t="e">
        <f>BO18*1.03</f>
        <v>#REF!</v>
      </c>
      <c r="BP19"/>
      <c r="BQ19" s="1">
        <v>17651323.839687195</v>
      </c>
      <c r="BR19" s="21">
        <f t="shared" si="26"/>
        <v>17.651323839687194</v>
      </c>
      <c r="BS19" s="2"/>
      <c r="BT19" s="2">
        <v>8496347.8396871947</v>
      </c>
      <c r="BU19" s="11">
        <f t="shared" si="27"/>
        <v>8.4963478396871945</v>
      </c>
      <c r="BV19" s="220"/>
      <c r="BW19" s="220"/>
    </row>
    <row r="20" spans="1:75" s="109" customFormat="1" x14ac:dyDescent="0.15">
      <c r="A20" s="11">
        <f t="shared" si="37"/>
        <v>1.4297087656332474</v>
      </c>
      <c r="B20" s="33">
        <f t="shared" si="28"/>
        <v>2022</v>
      </c>
      <c r="C20" s="13">
        <f t="shared" ref="C20:C62" si="45">(($C$63-$C$18)/ROWS($C$19:$C$63))+C19</f>
        <v>150674.68888888886</v>
      </c>
      <c r="D20" s="13">
        <v>16830</v>
      </c>
      <c r="E20" s="13">
        <f t="shared" si="0"/>
        <v>167504.68888888886</v>
      </c>
      <c r="F20" s="24">
        <f t="shared" si="38"/>
        <v>17721.510778377567</v>
      </c>
      <c r="G20" s="13">
        <f t="shared" si="29"/>
        <v>1979.450089457516</v>
      </c>
      <c r="H20" s="27">
        <f t="shared" si="30"/>
        <v>18124.883998408281</v>
      </c>
      <c r="I20" s="24">
        <f t="shared" si="42"/>
        <v>2427.0434237815152</v>
      </c>
      <c r="J20" s="13">
        <v>135</v>
      </c>
      <c r="K20" s="27">
        <f t="shared" si="1"/>
        <v>2562.0434237815152</v>
      </c>
      <c r="L20" s="24">
        <f t="shared" si="43"/>
        <v>3091.5286042720863</v>
      </c>
      <c r="M20" s="13">
        <v>40</v>
      </c>
      <c r="N20" s="27">
        <f t="shared" si="2"/>
        <v>3131.5286042720863</v>
      </c>
      <c r="O20" s="13">
        <f t="shared" si="31"/>
        <v>2240</v>
      </c>
      <c r="P20" s="13">
        <f t="shared" si="3"/>
        <v>1905.4764821169506</v>
      </c>
      <c r="Q20" s="27">
        <f t="shared" si="4"/>
        <v>4145.4764821169501</v>
      </c>
      <c r="R20" s="24">
        <f t="shared" si="5"/>
        <v>27963.932508578833</v>
      </c>
      <c r="S20" s="15">
        <f t="shared" si="6"/>
        <v>24.964743286898464</v>
      </c>
      <c r="T20" s="15">
        <f t="shared" si="32"/>
        <v>52.522435231176622</v>
      </c>
      <c r="U20" s="25">
        <f t="shared" si="44"/>
        <v>137.09972591762283</v>
      </c>
      <c r="V20" s="24">
        <f t="shared" ref="V20:V47" si="46">($V$48-$V$18)/30+V19</f>
        <v>1997.3333333333335</v>
      </c>
      <c r="W20" s="25">
        <f t="shared" si="8"/>
        <v>1.7833333333333334</v>
      </c>
      <c r="X20" s="15">
        <f t="shared" si="9"/>
        <v>23.181409953565129</v>
      </c>
      <c r="Y20" s="25">
        <f t="shared" si="10"/>
        <v>50.739101897843291</v>
      </c>
      <c r="Z20" s="15"/>
      <c r="AA20" s="15">
        <f t="shared" si="11"/>
        <v>50.739101897843291</v>
      </c>
      <c r="AB20" s="13">
        <f t="shared" si="39"/>
        <v>3000</v>
      </c>
      <c r="AC20" s="13">
        <f t="shared" si="12"/>
        <v>2381.8456026461881</v>
      </c>
      <c r="AD20" s="13">
        <f t="shared" si="13"/>
        <v>33345.778111225023</v>
      </c>
      <c r="AE20" s="24" t="e">
        <f>#REF!</f>
        <v>#REF!</v>
      </c>
      <c r="AF20" s="13" t="e">
        <f>SUM(AE$8:AE20)</f>
        <v>#REF!</v>
      </c>
      <c r="AG20" s="13" t="e">
        <f>#REF!</f>
        <v>#REF!</v>
      </c>
      <c r="AH20" s="13" t="e">
        <f>SUM(AG$8:AG20)</f>
        <v>#REF!</v>
      </c>
      <c r="AI20" s="27" t="e">
        <f>(AF20*0.9)*($AD20/#REF!)+(AH20*0.45)*($AD20/#REF!)</f>
        <v>#REF!</v>
      </c>
      <c r="AJ20" s="13">
        <v>4300</v>
      </c>
      <c r="AK20" s="13">
        <v>235</v>
      </c>
      <c r="AL20" s="13">
        <f t="shared" si="41"/>
        <v>900</v>
      </c>
      <c r="AM20" s="24" t="e">
        <f>#REF!+AI20+AJ20</f>
        <v>#REF!</v>
      </c>
      <c r="AN20" s="15" t="e">
        <f t="shared" si="14"/>
        <v>#REF!</v>
      </c>
      <c r="AO20" s="13" t="e">
        <f>#REF!+AK20</f>
        <v>#REF!</v>
      </c>
      <c r="AP20" s="15" t="e">
        <f t="shared" si="15"/>
        <v>#REF!</v>
      </c>
      <c r="AQ20" s="13" t="e">
        <f>#REF!+AL20</f>
        <v>#REF!</v>
      </c>
      <c r="AR20" s="15" t="e">
        <f t="shared" si="16"/>
        <v>#REF!</v>
      </c>
      <c r="AS20" s="13" t="e">
        <f>AS19</f>
        <v>#REF!</v>
      </c>
      <c r="AT20" s="15" t="e">
        <f t="shared" si="17"/>
        <v>#REF!</v>
      </c>
      <c r="AU20" s="27" t="e">
        <f t="shared" si="18"/>
        <v>#REF!</v>
      </c>
      <c r="AV20" s="27" t="e">
        <f t="shared" si="19"/>
        <v>#REF!</v>
      </c>
      <c r="AW20" s="34"/>
      <c r="AX20" s="28">
        <f t="shared" si="20"/>
        <v>77.5</v>
      </c>
      <c r="AY20" s="14">
        <f t="shared" si="35"/>
        <v>50</v>
      </c>
      <c r="AZ20" s="28">
        <f t="shared" si="21"/>
        <v>31</v>
      </c>
      <c r="BA20" s="14">
        <f t="shared" si="36"/>
        <v>20</v>
      </c>
      <c r="BB20" s="28">
        <f t="shared" si="22"/>
        <v>0</v>
      </c>
      <c r="BC20" s="14">
        <v>0</v>
      </c>
      <c r="BD20" s="28">
        <f t="shared" si="23"/>
        <v>108.5</v>
      </c>
      <c r="BE20" s="29">
        <f t="shared" si="24"/>
        <v>70</v>
      </c>
      <c r="BF20" s="29">
        <f t="shared" si="25"/>
        <v>19.260898102156709</v>
      </c>
      <c r="BG20" s="128"/>
      <c r="BH20" s="129">
        <v>0.08</v>
      </c>
      <c r="BI20" s="37"/>
      <c r="BJ20" s="37"/>
      <c r="BK20" s="11"/>
      <c r="BL20" s="1" t="e">
        <f>(E20/#REF!)*#REF!</f>
        <v>#REF!</v>
      </c>
      <c r="BM20"/>
      <c r="BN20" s="12" t="e">
        <f>BN19</f>
        <v>#REF!</v>
      </c>
      <c r="BO20" s="1" t="e">
        <f>BO19</f>
        <v>#REF!</v>
      </c>
      <c r="BP20"/>
      <c r="BQ20" s="1">
        <v>17287185.35386119</v>
      </c>
      <c r="BR20" s="21">
        <f t="shared" si="26"/>
        <v>17.28718535386119</v>
      </c>
      <c r="BS20" s="2"/>
      <c r="BT20" s="2">
        <v>8664186.3538611904</v>
      </c>
      <c r="BU20" s="11">
        <f t="shared" si="27"/>
        <v>8.6641863538611901</v>
      </c>
      <c r="BV20" s="220"/>
      <c r="BW20" s="220"/>
    </row>
    <row r="21" spans="1:75" s="109" customFormat="1" x14ac:dyDescent="0.15">
      <c r="A21" s="11">
        <f t="shared" si="37"/>
        <v>1.4095562168444935</v>
      </c>
      <c r="B21" s="33">
        <f t="shared" si="28"/>
        <v>2023</v>
      </c>
      <c r="C21" s="13">
        <f t="shared" si="45"/>
        <v>152798.5333333333</v>
      </c>
      <c r="D21" s="13">
        <v>16830</v>
      </c>
      <c r="E21" s="13">
        <f t="shared" si="0"/>
        <v>169628.5333333333</v>
      </c>
      <c r="F21" s="24">
        <f t="shared" si="38"/>
        <v>17971.305435272956</v>
      </c>
      <c r="G21" s="13">
        <f t="shared" si="29"/>
        <v>1979.450089457516</v>
      </c>
      <c r="H21" s="27">
        <f t="shared" si="30"/>
        <v>18354.695082752038</v>
      </c>
      <c r="I21" s="24">
        <f t="shared" si="42"/>
        <v>2533.5524014934417</v>
      </c>
      <c r="J21" s="13">
        <v>135</v>
      </c>
      <c r="K21" s="27">
        <f t="shared" si="1"/>
        <v>2668.5524014934417</v>
      </c>
      <c r="L21" s="24">
        <f t="shared" si="43"/>
        <v>3138.9974344456596</v>
      </c>
      <c r="M21" s="13">
        <v>40</v>
      </c>
      <c r="N21" s="27">
        <f t="shared" si="2"/>
        <v>3178.9974344456596</v>
      </c>
      <c r="O21" s="13">
        <f t="shared" si="31"/>
        <v>2240</v>
      </c>
      <c r="P21" s="13">
        <f t="shared" si="3"/>
        <v>1936.1795934952913</v>
      </c>
      <c r="Q21" s="27">
        <f t="shared" si="4"/>
        <v>4176.1795934952916</v>
      </c>
      <c r="R21" s="24">
        <f t="shared" si="5"/>
        <v>28378.42451218643</v>
      </c>
      <c r="S21" s="15">
        <f t="shared" si="6"/>
        <v>25.334780171423244</v>
      </c>
      <c r="T21" s="15">
        <f t="shared" si="32"/>
        <v>53.33651637713114</v>
      </c>
      <c r="U21" s="25">
        <f t="shared" si="44"/>
        <v>137.5646012576446</v>
      </c>
      <c r="V21" s="24">
        <f t="shared" si="46"/>
        <v>2426</v>
      </c>
      <c r="W21" s="25">
        <f t="shared" si="8"/>
        <v>2.1660714285714286</v>
      </c>
      <c r="X21" s="15">
        <f t="shared" si="9"/>
        <v>23.168708742851816</v>
      </c>
      <c r="Y21" s="25">
        <f t="shared" si="10"/>
        <v>51.170444948559712</v>
      </c>
      <c r="Z21" s="15"/>
      <c r="AA21" s="15">
        <f t="shared" si="11"/>
        <v>51.170444948559712</v>
      </c>
      <c r="AB21" s="13">
        <f t="shared" si="39"/>
        <v>3000</v>
      </c>
      <c r="AC21" s="13">
        <f t="shared" si="12"/>
        <v>2420.224491869114</v>
      </c>
      <c r="AD21" s="13">
        <f t="shared" si="13"/>
        <v>33798.649004055544</v>
      </c>
      <c r="AE21" s="24" t="e">
        <f>#REF!</f>
        <v>#REF!</v>
      </c>
      <c r="AF21" s="13" t="e">
        <f>SUM(AE$8:AE21)</f>
        <v>#REF!</v>
      </c>
      <c r="AG21" s="13" t="e">
        <f>#REF!</f>
        <v>#REF!</v>
      </c>
      <c r="AH21" s="13" t="e">
        <f>SUM(AG$8:AG21)</f>
        <v>#REF!</v>
      </c>
      <c r="AI21" s="27" t="e">
        <f>(AF21*0.9)*($AD21/#REF!)+(AH21*0.45)*($AD21/#REF!)</f>
        <v>#REF!</v>
      </c>
      <c r="AJ21" s="13">
        <v>4300</v>
      </c>
      <c r="AK21" s="13">
        <v>235</v>
      </c>
      <c r="AL21" s="13">
        <f t="shared" si="41"/>
        <v>900</v>
      </c>
      <c r="AM21" s="24" t="e">
        <f>#REF!+AI21+AJ21</f>
        <v>#REF!</v>
      </c>
      <c r="AN21" s="15" t="e">
        <f t="shared" si="14"/>
        <v>#REF!</v>
      </c>
      <c r="AO21" s="13" t="e">
        <f>#REF!+AK21</f>
        <v>#REF!</v>
      </c>
      <c r="AP21" s="15" t="e">
        <f t="shared" si="15"/>
        <v>#REF!</v>
      </c>
      <c r="AQ21" s="13" t="e">
        <f>#REF!+AL21</f>
        <v>#REF!</v>
      </c>
      <c r="AR21" s="15" t="e">
        <f t="shared" si="16"/>
        <v>#REF!</v>
      </c>
      <c r="AS21" s="13" t="e">
        <f>AS20</f>
        <v>#REF!</v>
      </c>
      <c r="AT21" s="15" t="e">
        <f t="shared" si="17"/>
        <v>#REF!</v>
      </c>
      <c r="AU21" s="27" t="e">
        <f t="shared" si="18"/>
        <v>#REF!</v>
      </c>
      <c r="AV21" s="27" t="e">
        <f t="shared" si="19"/>
        <v>#REF!</v>
      </c>
      <c r="AW21" s="34"/>
      <c r="AX21" s="28">
        <f t="shared" si="20"/>
        <v>77.5</v>
      </c>
      <c r="AY21" s="14">
        <f t="shared" si="35"/>
        <v>50</v>
      </c>
      <c r="AZ21" s="28">
        <f t="shared" si="21"/>
        <v>31</v>
      </c>
      <c r="BA21" s="14">
        <f t="shared" si="36"/>
        <v>20</v>
      </c>
      <c r="BB21" s="28">
        <f t="shared" si="22"/>
        <v>0</v>
      </c>
      <c r="BC21" s="14">
        <v>0</v>
      </c>
      <c r="BD21" s="28">
        <f t="shared" si="23"/>
        <v>108.5</v>
      </c>
      <c r="BE21" s="29">
        <f t="shared" si="24"/>
        <v>70</v>
      </c>
      <c r="BF21" s="29">
        <f t="shared" si="25"/>
        <v>18.829555051440288</v>
      </c>
      <c r="BG21" s="128"/>
      <c r="BH21" s="129">
        <v>0.08</v>
      </c>
      <c r="BI21" s="37"/>
      <c r="BJ21" s="37"/>
      <c r="BK21" s="11"/>
      <c r="BL21" s="1" t="e">
        <f>(E21/#REF!)*#REF!</f>
        <v>#REF!</v>
      </c>
      <c r="BM21"/>
      <c r="BN21" s="12" t="e">
        <f>BN20*1.03</f>
        <v>#REF!</v>
      </c>
      <c r="BO21" s="1" t="e">
        <f>BO20*1.03</f>
        <v>#REF!</v>
      </c>
      <c r="BP21"/>
      <c r="BQ21" s="1">
        <v>17808746.868035186</v>
      </c>
      <c r="BR21" s="21">
        <f t="shared" si="26"/>
        <v>17.808746868035186</v>
      </c>
      <c r="BS21" s="2"/>
      <c r="BT21" s="2">
        <v>8832024.8680351861</v>
      </c>
      <c r="BU21" s="11">
        <f t="shared" si="27"/>
        <v>8.8320248680351856</v>
      </c>
      <c r="BV21" s="220"/>
      <c r="BW21" s="220"/>
    </row>
    <row r="22" spans="1:75" s="109" customFormat="1" x14ac:dyDescent="0.15">
      <c r="A22" s="11">
        <f t="shared" si="37"/>
        <v>1.3899638943596531</v>
      </c>
      <c r="B22" s="33">
        <f t="shared" si="28"/>
        <v>2024</v>
      </c>
      <c r="C22" s="13">
        <f t="shared" si="45"/>
        <v>154922.37777777773</v>
      </c>
      <c r="D22" s="13">
        <v>16830</v>
      </c>
      <c r="E22" s="13">
        <f t="shared" si="0"/>
        <v>171752.37777777773</v>
      </c>
      <c r="F22" s="24">
        <f t="shared" si="38"/>
        <v>18221.100092168344</v>
      </c>
      <c r="G22" s="13">
        <f t="shared" si="29"/>
        <v>1979.450089457516</v>
      </c>
      <c r="H22" s="27">
        <f t="shared" si="30"/>
        <v>18584.506167095795</v>
      </c>
      <c r="I22" s="24">
        <f t="shared" si="42"/>
        <v>2640.0613792053682</v>
      </c>
      <c r="J22" s="13">
        <v>135</v>
      </c>
      <c r="K22" s="27">
        <f t="shared" si="1"/>
        <v>2775.0613792053682</v>
      </c>
      <c r="L22" s="24">
        <f t="shared" si="43"/>
        <v>3186.4662646192328</v>
      </c>
      <c r="M22" s="13">
        <v>40</v>
      </c>
      <c r="N22" s="27">
        <f t="shared" si="2"/>
        <v>3226.4662646192328</v>
      </c>
      <c r="O22" s="13">
        <f t="shared" si="31"/>
        <v>2240</v>
      </c>
      <c r="P22" s="13">
        <f t="shared" si="3"/>
        <v>1966.8827048736318</v>
      </c>
      <c r="Q22" s="27">
        <f t="shared" si="4"/>
        <v>4206.8827048736321</v>
      </c>
      <c r="R22" s="24">
        <f t="shared" si="5"/>
        <v>28792.91651579403</v>
      </c>
      <c r="S22" s="15">
        <f t="shared" si="6"/>
        <v>25.704817055948034</v>
      </c>
      <c r="T22" s="15">
        <f t="shared" si="32"/>
        <v>54.150597523085679</v>
      </c>
      <c r="U22" s="25">
        <f t="shared" si="44"/>
        <v>138.01797954684196</v>
      </c>
      <c r="V22" s="24">
        <f t="shared" si="46"/>
        <v>2854.6666666666665</v>
      </c>
      <c r="W22" s="25">
        <f t="shared" si="8"/>
        <v>2.5488095238095236</v>
      </c>
      <c r="X22" s="15">
        <f t="shared" si="9"/>
        <v>23.15600753213851</v>
      </c>
      <c r="Y22" s="25">
        <f t="shared" si="10"/>
        <v>51.601787999276155</v>
      </c>
      <c r="Z22" s="15"/>
      <c r="AA22" s="15">
        <f t="shared" si="11"/>
        <v>51.601787999276155</v>
      </c>
      <c r="AB22" s="13">
        <f t="shared" si="39"/>
        <v>3000</v>
      </c>
      <c r="AC22" s="13">
        <f t="shared" si="12"/>
        <v>2458.6033810920399</v>
      </c>
      <c r="AD22" s="13">
        <f t="shared" si="13"/>
        <v>34251.519896886071</v>
      </c>
      <c r="AE22" s="24" t="e">
        <f>#REF!</f>
        <v>#REF!</v>
      </c>
      <c r="AF22" s="13" t="e">
        <f>SUM(AE$8:AE22)</f>
        <v>#REF!</v>
      </c>
      <c r="AG22" s="13" t="e">
        <f>#REF!</f>
        <v>#REF!</v>
      </c>
      <c r="AH22" s="13" t="e">
        <f>SUM(AG$8:AG22)</f>
        <v>#REF!</v>
      </c>
      <c r="AI22" s="27" t="e">
        <f>(AF22*0.9)*($AD22/#REF!)+(AH22*0.45)*($AD22/#REF!)</f>
        <v>#REF!</v>
      </c>
      <c r="AJ22" s="13">
        <v>4300</v>
      </c>
      <c r="AK22" s="13">
        <v>235</v>
      </c>
      <c r="AL22" s="13">
        <f t="shared" si="41"/>
        <v>900</v>
      </c>
      <c r="AM22" s="24" t="e">
        <f>#REF!+AI22+AJ22</f>
        <v>#REF!</v>
      </c>
      <c r="AN22" s="15" t="e">
        <f t="shared" si="14"/>
        <v>#REF!</v>
      </c>
      <c r="AO22" s="13" t="e">
        <f>#REF!+AK22</f>
        <v>#REF!</v>
      </c>
      <c r="AP22" s="15" t="e">
        <f t="shared" si="15"/>
        <v>#REF!</v>
      </c>
      <c r="AQ22" s="13" t="e">
        <f>#REF!+AL22</f>
        <v>#REF!</v>
      </c>
      <c r="AR22" s="15" t="e">
        <f t="shared" si="16"/>
        <v>#REF!</v>
      </c>
      <c r="AS22" s="13" t="e">
        <f>AS21</f>
        <v>#REF!</v>
      </c>
      <c r="AT22" s="15" t="e">
        <f t="shared" si="17"/>
        <v>#REF!</v>
      </c>
      <c r="AU22" s="27" t="e">
        <f t="shared" si="18"/>
        <v>#REF!</v>
      </c>
      <c r="AV22" s="27" t="e">
        <f t="shared" si="19"/>
        <v>#REF!</v>
      </c>
      <c r="AW22" s="34"/>
      <c r="AX22" s="28">
        <f t="shared" si="20"/>
        <v>77.5</v>
      </c>
      <c r="AY22" s="14">
        <f t="shared" si="35"/>
        <v>50</v>
      </c>
      <c r="AZ22" s="28">
        <f t="shared" si="21"/>
        <v>31</v>
      </c>
      <c r="BA22" s="14">
        <f t="shared" si="36"/>
        <v>20</v>
      </c>
      <c r="BB22" s="28">
        <f t="shared" si="22"/>
        <v>0</v>
      </c>
      <c r="BC22" s="14">
        <v>0</v>
      </c>
      <c r="BD22" s="28">
        <f t="shared" si="23"/>
        <v>108.5</v>
      </c>
      <c r="BE22" s="29">
        <f t="shared" si="24"/>
        <v>70</v>
      </c>
      <c r="BF22" s="29">
        <f t="shared" si="25"/>
        <v>18.398212000723845</v>
      </c>
      <c r="BG22" s="128"/>
      <c r="BH22" s="129">
        <v>0.08</v>
      </c>
      <c r="BI22" s="37"/>
      <c r="BJ22" s="37"/>
      <c r="BK22" s="11"/>
      <c r="BL22" s="1" t="e">
        <f>(E22/#REF!)*#REF!</f>
        <v>#REF!</v>
      </c>
      <c r="BM22"/>
      <c r="BN22" s="12" t="e">
        <f>BN21</f>
        <v>#REF!</v>
      </c>
      <c r="BO22" s="1" t="e">
        <f>BO21</f>
        <v>#REF!</v>
      </c>
      <c r="BP22"/>
      <c r="BQ22" s="1">
        <v>17908908.382209189</v>
      </c>
      <c r="BR22" s="21">
        <f t="shared" si="26"/>
        <v>17.908908382209191</v>
      </c>
      <c r="BS22" s="2"/>
      <c r="BT22" s="2">
        <v>8999863.3822091874</v>
      </c>
      <c r="BU22" s="11">
        <f t="shared" si="27"/>
        <v>8.9998633822091882</v>
      </c>
      <c r="BV22" s="220"/>
    </row>
    <row r="23" spans="1:75" s="109" customFormat="1" ht="13.5" customHeight="1" x14ac:dyDescent="0.15">
      <c r="A23" s="11">
        <f t="shared" si="37"/>
        <v>1.3709087576043384</v>
      </c>
      <c r="B23" s="138">
        <f t="shared" si="28"/>
        <v>2025</v>
      </c>
      <c r="C23" s="240">
        <f t="shared" si="45"/>
        <v>157046.22222222216</v>
      </c>
      <c r="D23" s="133">
        <v>16830</v>
      </c>
      <c r="E23" s="133">
        <f t="shared" si="0"/>
        <v>173876.22222222216</v>
      </c>
      <c r="F23" s="65">
        <f t="shared" si="38"/>
        <v>18470.894749063733</v>
      </c>
      <c r="G23" s="133">
        <f t="shared" si="29"/>
        <v>1979.450089457516</v>
      </c>
      <c r="H23" s="134">
        <f t="shared" si="30"/>
        <v>18814.317251439552</v>
      </c>
      <c r="I23" s="65">
        <f t="shared" si="42"/>
        <v>2746.5703569172947</v>
      </c>
      <c r="J23" s="133">
        <v>135</v>
      </c>
      <c r="K23" s="134">
        <f t="shared" si="1"/>
        <v>2881.5703569172947</v>
      </c>
      <c r="L23" s="65">
        <f t="shared" si="43"/>
        <v>3233.935094792806</v>
      </c>
      <c r="M23" s="133">
        <v>40</v>
      </c>
      <c r="N23" s="134">
        <f t="shared" si="2"/>
        <v>3273.935094792806</v>
      </c>
      <c r="O23" s="133">
        <f t="shared" si="31"/>
        <v>2240</v>
      </c>
      <c r="P23" s="133">
        <f t="shared" si="3"/>
        <v>1997.5858162519723</v>
      </c>
      <c r="Q23" s="134">
        <f t="shared" si="4"/>
        <v>4237.5858162519726</v>
      </c>
      <c r="R23" s="65">
        <f t="shared" si="5"/>
        <v>29207.408519401626</v>
      </c>
      <c r="S23" s="135">
        <f t="shared" si="6"/>
        <v>26.074853940472813</v>
      </c>
      <c r="T23" s="135">
        <f t="shared" si="32"/>
        <v>54.964678669040197</v>
      </c>
      <c r="U23" s="136">
        <f t="shared" si="44"/>
        <v>138.46028208400787</v>
      </c>
      <c r="V23" s="65">
        <f t="shared" si="46"/>
        <v>3283.333333333333</v>
      </c>
      <c r="W23" s="47">
        <f t="shared" si="8"/>
        <v>2.9315476190476186</v>
      </c>
      <c r="X23" s="46">
        <f t="shared" si="9"/>
        <v>23.143306321425193</v>
      </c>
      <c r="Y23" s="47">
        <f t="shared" si="10"/>
        <v>52.033131049992576</v>
      </c>
      <c r="Z23" s="46"/>
      <c r="AA23" s="46">
        <f t="shared" si="11"/>
        <v>52.033131049992576</v>
      </c>
      <c r="AB23" s="133">
        <f t="shared" si="39"/>
        <v>3000</v>
      </c>
      <c r="AC23" s="133">
        <f t="shared" si="12"/>
        <v>2496.9822703149657</v>
      </c>
      <c r="AD23" s="133">
        <f t="shared" si="13"/>
        <v>34704.390789716592</v>
      </c>
      <c r="AE23" s="24" t="e">
        <f>#REF!</f>
        <v>#REF!</v>
      </c>
      <c r="AF23" s="13" t="e">
        <f>SUM(AE$8:AE23)</f>
        <v>#REF!</v>
      </c>
      <c r="AG23" s="13" t="e">
        <f>#REF!</f>
        <v>#REF!</v>
      </c>
      <c r="AH23" s="13" t="e">
        <f>SUM(AG$8:AG23)</f>
        <v>#REF!</v>
      </c>
      <c r="AI23" s="27" t="e">
        <f>(AF23*0.9)*($AD23/#REF!)+(AH23*0.45)*($AD23/#REF!)</f>
        <v>#REF!</v>
      </c>
      <c r="AJ23" s="13">
        <v>4300</v>
      </c>
      <c r="AK23" s="13">
        <f>AK22+4000</f>
        <v>4235</v>
      </c>
      <c r="AL23" s="13">
        <f t="shared" ref="AL23:AL53" si="47">AL22</f>
        <v>900</v>
      </c>
      <c r="AM23" s="24" t="e">
        <f>#REF!+AI23+AJ23</f>
        <v>#REF!</v>
      </c>
      <c r="AN23" s="15" t="e">
        <f t="shared" si="14"/>
        <v>#REF!</v>
      </c>
      <c r="AO23" s="13" t="e">
        <f>#REF!+AK23</f>
        <v>#REF!</v>
      </c>
      <c r="AP23" s="15" t="e">
        <f t="shared" si="15"/>
        <v>#REF!</v>
      </c>
      <c r="AQ23" s="13" t="e">
        <f>#REF!+AL23</f>
        <v>#REF!</v>
      </c>
      <c r="AR23" s="15" t="e">
        <f t="shared" si="16"/>
        <v>#REF!</v>
      </c>
      <c r="AS23" s="13">
        <v>16000</v>
      </c>
      <c r="AT23" s="15">
        <f t="shared" si="17"/>
        <v>14.284438889384878</v>
      </c>
      <c r="AU23" s="27" t="e">
        <f t="shared" si="18"/>
        <v>#REF!</v>
      </c>
      <c r="AV23" s="27" t="e">
        <f t="shared" si="19"/>
        <v>#REF!</v>
      </c>
      <c r="AW23" s="34"/>
      <c r="AX23" s="28">
        <f t="shared" si="20"/>
        <v>77.5</v>
      </c>
      <c r="AY23" s="14">
        <f t="shared" si="35"/>
        <v>50</v>
      </c>
      <c r="AZ23" s="28">
        <f t="shared" si="21"/>
        <v>31</v>
      </c>
      <c r="BA23" s="14">
        <f t="shared" si="36"/>
        <v>20</v>
      </c>
      <c r="BB23" s="28">
        <f t="shared" si="22"/>
        <v>0</v>
      </c>
      <c r="BC23" s="14">
        <v>0</v>
      </c>
      <c r="BD23" s="28">
        <f t="shared" si="23"/>
        <v>108.5</v>
      </c>
      <c r="BE23" s="29">
        <f t="shared" si="24"/>
        <v>70</v>
      </c>
      <c r="BF23" s="29">
        <f t="shared" si="25"/>
        <v>17.966868950007424</v>
      </c>
      <c r="BG23" s="128"/>
      <c r="BH23" s="129">
        <v>0.08</v>
      </c>
      <c r="BI23" s="48"/>
      <c r="BJ23" s="48"/>
      <c r="BK23" s="49"/>
      <c r="BL23" s="50" t="e">
        <f>(E23/#REF!)*#REF!</f>
        <v>#REF!</v>
      </c>
      <c r="BM23" s="51"/>
      <c r="BN23" s="52" t="e">
        <f>BN22*1.03</f>
        <v>#REF!</v>
      </c>
      <c r="BO23" s="50" t="e">
        <f>BO22*1.03</f>
        <v>#REF!</v>
      </c>
      <c r="BP23" s="51"/>
      <c r="BQ23" s="50">
        <v>23079769.896383185</v>
      </c>
      <c r="BR23" s="53">
        <f t="shared" si="26"/>
        <v>23.079769896383183</v>
      </c>
      <c r="BS23" s="40"/>
      <c r="BT23" s="40">
        <v>9167701.8963831849</v>
      </c>
      <c r="BU23" s="49">
        <f t="shared" si="27"/>
        <v>9.1677018963831856</v>
      </c>
      <c r="BV23" s="220"/>
    </row>
    <row r="24" spans="1:75" s="109" customFormat="1" x14ac:dyDescent="0.15">
      <c r="A24" s="11">
        <f t="shared" si="37"/>
        <v>1.3523690123785139</v>
      </c>
      <c r="B24" s="33">
        <f t="shared" si="28"/>
        <v>2026</v>
      </c>
      <c r="C24" s="13">
        <f t="shared" si="45"/>
        <v>159170.06666666659</v>
      </c>
      <c r="D24" s="13">
        <v>16830</v>
      </c>
      <c r="E24" s="13">
        <f t="shared" si="0"/>
        <v>176000.06666666659</v>
      </c>
      <c r="F24" s="24">
        <f t="shared" si="38"/>
        <v>18720.689405959121</v>
      </c>
      <c r="G24" s="13">
        <f t="shared" si="29"/>
        <v>1979.450089457516</v>
      </c>
      <c r="H24" s="27">
        <f t="shared" si="30"/>
        <v>19044.128335783309</v>
      </c>
      <c r="I24" s="24">
        <f t="shared" si="42"/>
        <v>2853.0793346292212</v>
      </c>
      <c r="J24" s="13">
        <v>135</v>
      </c>
      <c r="K24" s="27">
        <f t="shared" si="1"/>
        <v>2988.0793346292212</v>
      </c>
      <c r="L24" s="24">
        <f t="shared" si="43"/>
        <v>3281.4039249663792</v>
      </c>
      <c r="M24" s="13">
        <v>40</v>
      </c>
      <c r="N24" s="27">
        <f t="shared" si="2"/>
        <v>3321.4039249663792</v>
      </c>
      <c r="O24" s="13">
        <f t="shared" si="31"/>
        <v>2240</v>
      </c>
      <c r="P24" s="13">
        <f t="shared" si="3"/>
        <v>2028.2889276303126</v>
      </c>
      <c r="Q24" s="27">
        <f t="shared" si="4"/>
        <v>4268.2889276303122</v>
      </c>
      <c r="R24" s="24">
        <f t="shared" si="5"/>
        <v>29621.900523009223</v>
      </c>
      <c r="S24" s="15">
        <f t="shared" si="6"/>
        <v>26.4448908249976</v>
      </c>
      <c r="T24" s="15">
        <f t="shared" si="32"/>
        <v>55.778759814994721</v>
      </c>
      <c r="U24" s="25">
        <f t="shared" si="44"/>
        <v>138.89190983219089</v>
      </c>
      <c r="V24" s="24">
        <f t="shared" si="46"/>
        <v>3711.9999999999995</v>
      </c>
      <c r="W24" s="25">
        <f t="shared" si="8"/>
        <v>3.3142857142857141</v>
      </c>
      <c r="X24" s="15">
        <f t="shared" si="9"/>
        <v>23.130605110711887</v>
      </c>
      <c r="Y24" s="25">
        <f t="shared" si="10"/>
        <v>52.464474100709005</v>
      </c>
      <c r="Z24" s="15"/>
      <c r="AA24" s="15">
        <f t="shared" si="11"/>
        <v>52.464474100709005</v>
      </c>
      <c r="AB24" s="13">
        <f t="shared" si="39"/>
        <v>3000</v>
      </c>
      <c r="AC24" s="13">
        <f t="shared" si="12"/>
        <v>2535.3611595378911</v>
      </c>
      <c r="AD24" s="13">
        <f t="shared" si="13"/>
        <v>35157.261682547112</v>
      </c>
      <c r="AE24" s="24" t="e">
        <f>#REF!</f>
        <v>#REF!</v>
      </c>
      <c r="AF24" s="13" t="e">
        <f>SUM(AE$8:AE24)</f>
        <v>#REF!</v>
      </c>
      <c r="AG24" s="13" t="e">
        <f>#REF!</f>
        <v>#REF!</v>
      </c>
      <c r="AH24" s="13" t="e">
        <f>SUM(AG$8:AG24)</f>
        <v>#REF!</v>
      </c>
      <c r="AI24" s="27" t="e">
        <f>(AF24*0.9)*($AD24/#REF!)+(AH24*0.45)*($AD24/#REF!)</f>
        <v>#REF!</v>
      </c>
      <c r="AJ24" s="13">
        <v>4300</v>
      </c>
      <c r="AK24" s="13">
        <f t="shared" ref="AK24:AK53" si="48">AK23</f>
        <v>4235</v>
      </c>
      <c r="AL24" s="13">
        <f t="shared" si="47"/>
        <v>900</v>
      </c>
      <c r="AM24" s="24" t="e">
        <f>#REF!+AI24+AJ24</f>
        <v>#REF!</v>
      </c>
      <c r="AN24" s="15" t="e">
        <f t="shared" si="14"/>
        <v>#REF!</v>
      </c>
      <c r="AO24" s="13" t="e">
        <f>#REF!+AK24</f>
        <v>#REF!</v>
      </c>
      <c r="AP24" s="15" t="e">
        <f t="shared" si="15"/>
        <v>#REF!</v>
      </c>
      <c r="AQ24" s="13" t="e">
        <f>#REF!+AL24</f>
        <v>#REF!</v>
      </c>
      <c r="AR24" s="15" t="e">
        <f t="shared" si="16"/>
        <v>#REF!</v>
      </c>
      <c r="AS24" s="13">
        <f>AS23</f>
        <v>16000</v>
      </c>
      <c r="AT24" s="15">
        <f t="shared" si="17"/>
        <v>14.284438889384878</v>
      </c>
      <c r="AU24" s="27" t="e">
        <f t="shared" si="18"/>
        <v>#REF!</v>
      </c>
      <c r="AV24" s="27" t="e">
        <f t="shared" si="19"/>
        <v>#REF!</v>
      </c>
      <c r="AW24" s="34"/>
      <c r="AX24" s="28">
        <f t="shared" si="20"/>
        <v>77.5</v>
      </c>
      <c r="AY24" s="14">
        <f t="shared" si="35"/>
        <v>50</v>
      </c>
      <c r="AZ24" s="28">
        <f t="shared" si="21"/>
        <v>31</v>
      </c>
      <c r="BA24" s="14">
        <f t="shared" si="36"/>
        <v>20</v>
      </c>
      <c r="BB24" s="28">
        <f t="shared" si="22"/>
        <v>0</v>
      </c>
      <c r="BC24" s="14">
        <v>0</v>
      </c>
      <c r="BD24" s="28">
        <f t="shared" si="23"/>
        <v>108.5</v>
      </c>
      <c r="BE24" s="29">
        <f t="shared" si="24"/>
        <v>70</v>
      </c>
      <c r="BF24" s="29">
        <f t="shared" si="25"/>
        <v>17.535525899290995</v>
      </c>
      <c r="BG24" s="128"/>
      <c r="BH24" s="129">
        <v>0.08</v>
      </c>
      <c r="BI24" s="37"/>
      <c r="BJ24" s="37"/>
      <c r="BK24" s="11"/>
      <c r="BL24" s="1" t="e">
        <f>(E24/#REF!)*#REF!</f>
        <v>#REF!</v>
      </c>
      <c r="BM24"/>
      <c r="BN24" s="12" t="e">
        <f>BN23</f>
        <v>#REF!</v>
      </c>
      <c r="BO24" s="1" t="e">
        <f>BO23</f>
        <v>#REF!</v>
      </c>
      <c r="BP24"/>
      <c r="BQ24" s="1">
        <v>15710685.291300099</v>
      </c>
      <c r="BR24" s="21">
        <f t="shared" si="26"/>
        <v>15.710685291300098</v>
      </c>
      <c r="BS24" s="2"/>
      <c r="BT24" s="2">
        <v>9335594.2913000993</v>
      </c>
      <c r="BU24" s="11">
        <f t="shared" si="27"/>
        <v>9.3355942913000991</v>
      </c>
      <c r="BW24" s="220"/>
    </row>
    <row r="25" spans="1:75" s="109" customFormat="1" x14ac:dyDescent="0.15">
      <c r="A25" s="11">
        <f t="shared" si="37"/>
        <v>1.3343240277031359</v>
      </c>
      <c r="B25" s="33">
        <f t="shared" si="28"/>
        <v>2027</v>
      </c>
      <c r="C25" s="13">
        <f t="shared" si="45"/>
        <v>161293.91111111103</v>
      </c>
      <c r="D25" s="13">
        <v>16830</v>
      </c>
      <c r="E25" s="13">
        <f t="shared" si="0"/>
        <v>178123.91111111103</v>
      </c>
      <c r="F25" s="24">
        <f t="shared" si="38"/>
        <v>18970.48406285451</v>
      </c>
      <c r="G25" s="13">
        <f t="shared" si="29"/>
        <v>1979.450089457516</v>
      </c>
      <c r="H25" s="27">
        <f t="shared" si="30"/>
        <v>19273.939420127066</v>
      </c>
      <c r="I25" s="24">
        <f t="shared" si="42"/>
        <v>2959.5883123411477</v>
      </c>
      <c r="J25" s="13">
        <v>135</v>
      </c>
      <c r="K25" s="27">
        <f t="shared" si="1"/>
        <v>3094.5883123411477</v>
      </c>
      <c r="L25" s="24">
        <f t="shared" si="43"/>
        <v>3328.8727551399525</v>
      </c>
      <c r="M25" s="13">
        <v>40</v>
      </c>
      <c r="N25" s="27">
        <f t="shared" si="2"/>
        <v>3368.8727551399525</v>
      </c>
      <c r="O25" s="13">
        <f t="shared" si="31"/>
        <v>2240</v>
      </c>
      <c r="P25" s="13">
        <f t="shared" si="3"/>
        <v>2058.9920390086536</v>
      </c>
      <c r="Q25" s="27">
        <f t="shared" si="4"/>
        <v>4298.9920390086536</v>
      </c>
      <c r="R25" s="24">
        <f t="shared" si="5"/>
        <v>30036.392526616819</v>
      </c>
      <c r="S25" s="15">
        <f t="shared" si="6"/>
        <v>26.814927709522383</v>
      </c>
      <c r="T25" s="15">
        <f t="shared" si="32"/>
        <v>56.592840960949246</v>
      </c>
      <c r="U25" s="25">
        <f t="shared" si="44"/>
        <v>139.31324463105199</v>
      </c>
      <c r="V25" s="24">
        <f t="shared" si="46"/>
        <v>4140.6666666666661</v>
      </c>
      <c r="W25" s="25">
        <f t="shared" si="8"/>
        <v>3.697023809523809</v>
      </c>
      <c r="X25" s="15">
        <f t="shared" si="9"/>
        <v>23.117903899998574</v>
      </c>
      <c r="Y25" s="25">
        <f t="shared" si="10"/>
        <v>52.89581715142544</v>
      </c>
      <c r="Z25" s="15"/>
      <c r="AA25" s="15">
        <f t="shared" si="11"/>
        <v>52.89581715142544</v>
      </c>
      <c r="AB25" s="13">
        <f t="shared" si="39"/>
        <v>3000</v>
      </c>
      <c r="AC25" s="13">
        <f t="shared" si="12"/>
        <v>2573.740048760817</v>
      </c>
      <c r="AD25" s="13">
        <f t="shared" si="13"/>
        <v>35610.13257537764</v>
      </c>
      <c r="AE25" s="24" t="e">
        <f>#REF!</f>
        <v>#REF!</v>
      </c>
      <c r="AF25" s="13" t="e">
        <f>SUM(AE$8:AE25)</f>
        <v>#REF!</v>
      </c>
      <c r="AG25" s="13" t="e">
        <f>#REF!</f>
        <v>#REF!</v>
      </c>
      <c r="AH25" s="13" t="e">
        <f>SUM(AG$8:AG25)</f>
        <v>#REF!</v>
      </c>
      <c r="AI25" s="27" t="e">
        <f>(AF25*0.9)*($AD25/#REF!)+(AH25*0.45)*($AD25/#REF!)</f>
        <v>#REF!</v>
      </c>
      <c r="AJ25" s="13">
        <v>4300</v>
      </c>
      <c r="AK25" s="13">
        <f t="shared" si="48"/>
        <v>4235</v>
      </c>
      <c r="AL25" s="13">
        <f t="shared" si="47"/>
        <v>900</v>
      </c>
      <c r="AM25" s="24" t="e">
        <f>#REF!+AI25+AJ25</f>
        <v>#REF!</v>
      </c>
      <c r="AN25" s="15" t="e">
        <f t="shared" si="14"/>
        <v>#REF!</v>
      </c>
      <c r="AO25" s="13" t="e">
        <f>#REF!+AK25</f>
        <v>#REF!</v>
      </c>
      <c r="AP25" s="15" t="e">
        <f t="shared" si="15"/>
        <v>#REF!</v>
      </c>
      <c r="AQ25" s="13" t="e">
        <f>#REF!+AL25</f>
        <v>#REF!</v>
      </c>
      <c r="AR25" s="15" t="e">
        <f t="shared" si="16"/>
        <v>#REF!</v>
      </c>
      <c r="AS25" s="13">
        <f>AS24</f>
        <v>16000</v>
      </c>
      <c r="AT25" s="15">
        <f t="shared" si="17"/>
        <v>14.284438889384878</v>
      </c>
      <c r="AU25" s="27" t="e">
        <f t="shared" si="18"/>
        <v>#REF!</v>
      </c>
      <c r="AV25" s="27" t="e">
        <f t="shared" si="19"/>
        <v>#REF!</v>
      </c>
      <c r="AW25" s="34"/>
      <c r="AX25" s="28">
        <f t="shared" si="20"/>
        <v>77.5</v>
      </c>
      <c r="AY25" s="14">
        <f t="shared" si="35"/>
        <v>50</v>
      </c>
      <c r="AZ25" s="28">
        <f t="shared" si="21"/>
        <v>31</v>
      </c>
      <c r="BA25" s="14">
        <f t="shared" si="36"/>
        <v>20</v>
      </c>
      <c r="BB25" s="28">
        <f t="shared" si="22"/>
        <v>0</v>
      </c>
      <c r="BC25" s="14">
        <v>0</v>
      </c>
      <c r="BD25" s="28">
        <f t="shared" si="23"/>
        <v>108.5</v>
      </c>
      <c r="BE25" s="29">
        <f t="shared" si="24"/>
        <v>70</v>
      </c>
      <c r="BF25" s="29">
        <f t="shared" si="25"/>
        <v>17.10418284857456</v>
      </c>
      <c r="BG25" s="128"/>
      <c r="BH25" s="129">
        <v>0.08</v>
      </c>
      <c r="BI25" s="37"/>
      <c r="BJ25" s="37"/>
      <c r="BK25" s="11"/>
      <c r="BL25" s="1" t="e">
        <f>(E25/#REF!)*#REF!</f>
        <v>#REF!</v>
      </c>
      <c r="BM25"/>
      <c r="BN25" s="12" t="e">
        <f>BN24*1.03</f>
        <v>#REF!</v>
      </c>
      <c r="BO25" s="1" t="e">
        <f>BO24*1.03</f>
        <v>#REF!</v>
      </c>
      <c r="BP25"/>
      <c r="BQ25" s="1">
        <v>62298300.68621701</v>
      </c>
      <c r="BR25" s="21">
        <f t="shared" si="26"/>
        <v>62.298300686217011</v>
      </c>
      <c r="BS25" s="2"/>
      <c r="BT25" s="2">
        <v>9503486.6862170119</v>
      </c>
      <c r="BU25" s="11">
        <f t="shared" si="27"/>
        <v>9.5034866862170126</v>
      </c>
    </row>
    <row r="26" spans="1:75" s="109" customFormat="1" x14ac:dyDescent="0.15">
      <c r="A26" s="11">
        <f t="shared" si="37"/>
        <v>1.3167542592363408</v>
      </c>
      <c r="B26" s="33">
        <f t="shared" si="28"/>
        <v>2028</v>
      </c>
      <c r="C26" s="13">
        <f t="shared" si="45"/>
        <v>163417.75555555546</v>
      </c>
      <c r="D26" s="13">
        <v>16830</v>
      </c>
      <c r="E26" s="13">
        <f t="shared" si="0"/>
        <v>180247.75555555546</v>
      </c>
      <c r="F26" s="24">
        <f t="shared" si="38"/>
        <v>19220.278719749898</v>
      </c>
      <c r="G26" s="13">
        <f t="shared" si="29"/>
        <v>1979.450089457516</v>
      </c>
      <c r="H26" s="27">
        <f t="shared" si="30"/>
        <v>19503.750504470823</v>
      </c>
      <c r="I26" s="24">
        <f t="shared" si="42"/>
        <v>3066.0972900530742</v>
      </c>
      <c r="J26" s="13">
        <v>135</v>
      </c>
      <c r="K26" s="27">
        <f t="shared" si="1"/>
        <v>3201.0972900530742</v>
      </c>
      <c r="L26" s="24">
        <f t="shared" si="43"/>
        <v>3376.3415853135257</v>
      </c>
      <c r="M26" s="13">
        <v>40</v>
      </c>
      <c r="N26" s="27">
        <f t="shared" si="2"/>
        <v>3416.3415853135257</v>
      </c>
      <c r="O26" s="13">
        <f t="shared" si="31"/>
        <v>2240</v>
      </c>
      <c r="P26" s="13">
        <f t="shared" si="3"/>
        <v>2089.6951503869941</v>
      </c>
      <c r="Q26" s="27">
        <f t="shared" si="4"/>
        <v>4329.6951503869941</v>
      </c>
      <c r="R26" s="24">
        <f t="shared" si="5"/>
        <v>30450.884530224415</v>
      </c>
      <c r="S26" s="15">
        <f t="shared" si="6"/>
        <v>27.18496459404717</v>
      </c>
      <c r="T26" s="15">
        <f t="shared" si="32"/>
        <v>57.406922106903778</v>
      </c>
      <c r="U26" s="25">
        <f t="shared" si="44"/>
        <v>139.7246503235111</v>
      </c>
      <c r="V26" s="24">
        <f t="shared" si="46"/>
        <v>4569.333333333333</v>
      </c>
      <c r="W26" s="25">
        <f t="shared" si="8"/>
        <v>4.0797619047619049</v>
      </c>
      <c r="X26" s="15">
        <f t="shared" si="9"/>
        <v>23.105202689285264</v>
      </c>
      <c r="Y26" s="25">
        <f t="shared" si="10"/>
        <v>53.327160202141876</v>
      </c>
      <c r="Z26" s="15"/>
      <c r="AA26" s="15">
        <f t="shared" si="11"/>
        <v>53.327160202141876</v>
      </c>
      <c r="AB26" s="13">
        <f t="shared" si="39"/>
        <v>3000</v>
      </c>
      <c r="AC26" s="13">
        <f t="shared" si="12"/>
        <v>2612.1189379837424</v>
      </c>
      <c r="AD26" s="13">
        <f t="shared" si="13"/>
        <v>36063.00346820816</v>
      </c>
      <c r="AE26" s="24" t="e">
        <f>#REF!</f>
        <v>#REF!</v>
      </c>
      <c r="AF26" s="13" t="e">
        <f>SUM(AE$8:AE26)</f>
        <v>#REF!</v>
      </c>
      <c r="AG26" s="13" t="e">
        <f>#REF!</f>
        <v>#REF!</v>
      </c>
      <c r="AH26" s="13" t="e">
        <f>SUM(AG$8:AG26)</f>
        <v>#REF!</v>
      </c>
      <c r="AI26" s="27" t="e">
        <f>(AF26*0.9)*($AD26/#REF!)+(AH26*0.45)*($AD26/#REF!)</f>
        <v>#REF!</v>
      </c>
      <c r="AJ26" s="13">
        <v>4300</v>
      </c>
      <c r="AK26" s="13">
        <f t="shared" si="48"/>
        <v>4235</v>
      </c>
      <c r="AL26" s="13">
        <f t="shared" si="47"/>
        <v>900</v>
      </c>
      <c r="AM26" s="24" t="e">
        <f>#REF!+AI26+AJ26</f>
        <v>#REF!</v>
      </c>
      <c r="AN26" s="15" t="e">
        <f t="shared" si="14"/>
        <v>#REF!</v>
      </c>
      <c r="AO26" s="13" t="e">
        <f>#REF!+AK26</f>
        <v>#REF!</v>
      </c>
      <c r="AP26" s="15" t="e">
        <f t="shared" si="15"/>
        <v>#REF!</v>
      </c>
      <c r="AQ26" s="13" t="e">
        <f>#REF!+AL26</f>
        <v>#REF!</v>
      </c>
      <c r="AR26" s="15" t="e">
        <f t="shared" si="16"/>
        <v>#REF!</v>
      </c>
      <c r="AS26" s="13">
        <f>AS25</f>
        <v>16000</v>
      </c>
      <c r="AT26" s="15">
        <f t="shared" si="17"/>
        <v>14.284438889384878</v>
      </c>
      <c r="AU26" s="27" t="e">
        <f t="shared" si="18"/>
        <v>#REF!</v>
      </c>
      <c r="AV26" s="27" t="e">
        <f t="shared" si="19"/>
        <v>#REF!</v>
      </c>
      <c r="AW26" s="34"/>
      <c r="AX26" s="28">
        <f t="shared" si="20"/>
        <v>77.5</v>
      </c>
      <c r="AY26" s="14">
        <f t="shared" si="35"/>
        <v>50</v>
      </c>
      <c r="AZ26" s="28">
        <f t="shared" si="21"/>
        <v>31</v>
      </c>
      <c r="BA26" s="14">
        <f t="shared" si="36"/>
        <v>20</v>
      </c>
      <c r="BB26" s="28">
        <f t="shared" si="22"/>
        <v>0</v>
      </c>
      <c r="BC26" s="14">
        <v>0</v>
      </c>
      <c r="BD26" s="28">
        <f t="shared" si="23"/>
        <v>108.5</v>
      </c>
      <c r="BE26" s="29">
        <f t="shared" si="24"/>
        <v>70</v>
      </c>
      <c r="BF26" s="29">
        <f t="shared" si="25"/>
        <v>16.672839797858124</v>
      </c>
      <c r="BG26" s="128"/>
      <c r="BH26" s="129">
        <v>0.08</v>
      </c>
      <c r="BI26" s="37"/>
      <c r="BJ26" s="37"/>
      <c r="BK26" s="19"/>
      <c r="BL26" s="17" t="e">
        <f>(E26/#REF!)*#REF!</f>
        <v>#REF!</v>
      </c>
      <c r="BM26" s="18"/>
      <c r="BN26" s="20" t="e">
        <f>BN25</f>
        <v>#REF!</v>
      </c>
      <c r="BO26" s="17" t="e">
        <f>BO25</f>
        <v>#REF!</v>
      </c>
      <c r="BP26" s="18"/>
      <c r="BQ26" s="17">
        <v>208245016.08113393</v>
      </c>
      <c r="BR26" s="21">
        <f t="shared" si="26"/>
        <v>208.24501608113394</v>
      </c>
      <c r="BS26" s="16"/>
      <c r="BT26" s="16">
        <v>10413779.081133919</v>
      </c>
      <c r="BU26" s="11">
        <f t="shared" si="27"/>
        <v>10.413779081133919</v>
      </c>
    </row>
    <row r="27" spans="1:75" s="109" customFormat="1" x14ac:dyDescent="0.15">
      <c r="A27" s="11">
        <f t="shared" si="37"/>
        <v>1.2996411786615258</v>
      </c>
      <c r="B27" s="33">
        <f t="shared" si="28"/>
        <v>2029</v>
      </c>
      <c r="C27" s="13">
        <f t="shared" si="45"/>
        <v>165541.59999999989</v>
      </c>
      <c r="D27" s="13">
        <v>16830</v>
      </c>
      <c r="E27" s="13">
        <f t="shared" si="0"/>
        <v>182371.59999999989</v>
      </c>
      <c r="F27" s="24">
        <f t="shared" si="38"/>
        <v>19470.073376645287</v>
      </c>
      <c r="G27" s="13">
        <f t="shared" si="29"/>
        <v>1979.450089457516</v>
      </c>
      <c r="H27" s="27">
        <f t="shared" si="30"/>
        <v>19733.56158881458</v>
      </c>
      <c r="I27" s="24">
        <f t="shared" si="42"/>
        <v>3172.6062677650007</v>
      </c>
      <c r="J27" s="13">
        <v>135</v>
      </c>
      <c r="K27" s="27">
        <f t="shared" si="1"/>
        <v>3307.6062677650007</v>
      </c>
      <c r="L27" s="24">
        <f t="shared" si="43"/>
        <v>3423.8104154870989</v>
      </c>
      <c r="M27" s="13">
        <v>40</v>
      </c>
      <c r="N27" s="27">
        <f t="shared" si="2"/>
        <v>3463.8104154870989</v>
      </c>
      <c r="O27" s="13">
        <f t="shared" si="31"/>
        <v>2240</v>
      </c>
      <c r="P27" s="13">
        <f t="shared" si="3"/>
        <v>2120.3982617653346</v>
      </c>
      <c r="Q27" s="27">
        <f t="shared" si="4"/>
        <v>4360.3982617653346</v>
      </c>
      <c r="R27" s="24">
        <f t="shared" si="5"/>
        <v>30865.376533832015</v>
      </c>
      <c r="S27" s="15">
        <f t="shared" si="6"/>
        <v>27.55500147857196</v>
      </c>
      <c r="T27" s="15">
        <f t="shared" si="32"/>
        <v>58.221003252858317</v>
      </c>
      <c r="U27" s="25">
        <f t="shared" si="44"/>
        <v>140.12647380367022</v>
      </c>
      <c r="V27" s="24">
        <f t="shared" si="46"/>
        <v>4998</v>
      </c>
      <c r="W27" s="25">
        <f t="shared" si="8"/>
        <v>4.4625000000000004</v>
      </c>
      <c r="X27" s="15">
        <f t="shared" si="9"/>
        <v>23.092501478571961</v>
      </c>
      <c r="Y27" s="25">
        <f t="shared" si="10"/>
        <v>53.758503252858318</v>
      </c>
      <c r="Z27" s="15"/>
      <c r="AA27" s="15">
        <f t="shared" si="11"/>
        <v>53.758503252858318</v>
      </c>
      <c r="AB27" s="13">
        <f t="shared" si="39"/>
        <v>3000</v>
      </c>
      <c r="AC27" s="13">
        <f t="shared" si="12"/>
        <v>2650.4978272066683</v>
      </c>
      <c r="AD27" s="13">
        <f t="shared" si="13"/>
        <v>36515.874361038681</v>
      </c>
      <c r="AE27" s="24" t="e">
        <f>#REF!</f>
        <v>#REF!</v>
      </c>
      <c r="AF27" s="13" t="e">
        <f>SUM(AE$8:AE27)</f>
        <v>#REF!</v>
      </c>
      <c r="AG27" s="13" t="e">
        <f>#REF!</f>
        <v>#REF!</v>
      </c>
      <c r="AH27" s="13" t="e">
        <f>SUM(AG$8:AG27)</f>
        <v>#REF!</v>
      </c>
      <c r="AI27" s="27" t="e">
        <f>(AF27*0.9)*($AD27/#REF!)+(AH27*0.45)*($AD27/#REF!)</f>
        <v>#REF!</v>
      </c>
      <c r="AJ27" s="13">
        <v>4300</v>
      </c>
      <c r="AK27" s="13">
        <f t="shared" si="48"/>
        <v>4235</v>
      </c>
      <c r="AL27" s="13">
        <f t="shared" si="47"/>
        <v>900</v>
      </c>
      <c r="AM27" s="24" t="e">
        <f>#REF!+AI27+AJ27</f>
        <v>#REF!</v>
      </c>
      <c r="AN27" s="15" t="e">
        <f t="shared" si="14"/>
        <v>#REF!</v>
      </c>
      <c r="AO27" s="13" t="e">
        <f>#REF!+AK27</f>
        <v>#REF!</v>
      </c>
      <c r="AP27" s="15" t="e">
        <f t="shared" si="15"/>
        <v>#REF!</v>
      </c>
      <c r="AQ27" s="13" t="e">
        <f>#REF!+AL27</f>
        <v>#REF!</v>
      </c>
      <c r="AR27" s="15" t="e">
        <f t="shared" si="16"/>
        <v>#REF!</v>
      </c>
      <c r="AS27" s="13">
        <v>16000</v>
      </c>
      <c r="AT27" s="15">
        <f t="shared" si="17"/>
        <v>14.284438889384878</v>
      </c>
      <c r="AU27" s="27" t="e">
        <f t="shared" si="18"/>
        <v>#REF!</v>
      </c>
      <c r="AV27" s="27" t="e">
        <f t="shared" si="19"/>
        <v>#REF!</v>
      </c>
      <c r="AW27" s="34"/>
      <c r="AX27" s="28">
        <f t="shared" si="20"/>
        <v>77.5</v>
      </c>
      <c r="AY27" s="14">
        <f t="shared" si="35"/>
        <v>50</v>
      </c>
      <c r="AZ27" s="28">
        <f t="shared" si="21"/>
        <v>31</v>
      </c>
      <c r="BA27" s="14">
        <f t="shared" si="36"/>
        <v>20</v>
      </c>
      <c r="BB27" s="28">
        <f t="shared" si="22"/>
        <v>0</v>
      </c>
      <c r="BC27" s="14">
        <v>0</v>
      </c>
      <c r="BD27" s="28">
        <f t="shared" si="23"/>
        <v>108.5</v>
      </c>
      <c r="BE27" s="29">
        <f t="shared" si="24"/>
        <v>70</v>
      </c>
      <c r="BF27" s="29">
        <f t="shared" si="25"/>
        <v>16.241496747141682</v>
      </c>
      <c r="BG27" s="128"/>
      <c r="BH27" s="129">
        <v>0.08</v>
      </c>
      <c r="BI27" s="37"/>
      <c r="BJ27" s="37"/>
      <c r="BK27" s="11"/>
      <c r="BL27" s="1" t="e">
        <f>(E27/#REF!)*#REF!</f>
        <v>#REF!</v>
      </c>
      <c r="BM27"/>
      <c r="BN27" s="12" t="e">
        <f>BN26*1.03</f>
        <v>#REF!</v>
      </c>
      <c r="BO27" s="1" t="e">
        <f>BO26*1.03</f>
        <v>#REF!</v>
      </c>
      <c r="BP27"/>
      <c r="BQ27" s="1">
        <v>15675831.476050831</v>
      </c>
      <c r="BR27" s="21">
        <f t="shared" si="26"/>
        <v>15.675831476050831</v>
      </c>
      <c r="BS27" s="2"/>
      <c r="BT27" s="2">
        <v>10581671.476050831</v>
      </c>
      <c r="BU27" s="11">
        <f t="shared" si="27"/>
        <v>10.581671476050831</v>
      </c>
    </row>
    <row r="28" spans="1:75" s="109" customFormat="1" x14ac:dyDescent="0.15">
      <c r="A28" s="11">
        <f t="shared" si="37"/>
        <v>1.2829672085109929</v>
      </c>
      <c r="B28" s="138">
        <f t="shared" si="28"/>
        <v>2030</v>
      </c>
      <c r="C28" s="240">
        <f t="shared" si="45"/>
        <v>167665.44444444432</v>
      </c>
      <c r="D28" s="133">
        <v>16830</v>
      </c>
      <c r="E28" s="133">
        <f t="shared" si="0"/>
        <v>184495.44444444432</v>
      </c>
      <c r="F28" s="65">
        <f t="shared" si="38"/>
        <v>19719.868033540672</v>
      </c>
      <c r="G28" s="133">
        <f t="shared" si="29"/>
        <v>1979.450089457516</v>
      </c>
      <c r="H28" s="134">
        <f t="shared" si="30"/>
        <v>19963.372673158334</v>
      </c>
      <c r="I28" s="65">
        <f t="shared" si="42"/>
        <v>3279.1152454769272</v>
      </c>
      <c r="J28" s="133">
        <v>135</v>
      </c>
      <c r="K28" s="134">
        <f t="shared" si="1"/>
        <v>3414.1152454769272</v>
      </c>
      <c r="L28" s="65">
        <f t="shared" si="43"/>
        <v>3471.2792456606721</v>
      </c>
      <c r="M28" s="133">
        <v>40</v>
      </c>
      <c r="N28" s="134">
        <f t="shared" si="2"/>
        <v>3511.2792456606721</v>
      </c>
      <c r="O28" s="133">
        <f t="shared" si="31"/>
        <v>2240</v>
      </c>
      <c r="P28" s="133">
        <f t="shared" si="3"/>
        <v>2151.1013731436751</v>
      </c>
      <c r="Q28" s="134">
        <f t="shared" si="4"/>
        <v>4391.1013731436751</v>
      </c>
      <c r="R28" s="65">
        <f t="shared" si="5"/>
        <v>31279.868537439608</v>
      </c>
      <c r="S28" s="135">
        <f t="shared" si="6"/>
        <v>27.925038363096732</v>
      </c>
      <c r="T28" s="135">
        <f t="shared" si="32"/>
        <v>59.035084398812813</v>
      </c>
      <c r="U28" s="136">
        <f t="shared" si="44"/>
        <v>140.51904599235658</v>
      </c>
      <c r="V28" s="65">
        <f t="shared" si="46"/>
        <v>5426.666666666667</v>
      </c>
      <c r="W28" s="47">
        <f t="shared" si="8"/>
        <v>4.8452380952380958</v>
      </c>
      <c r="X28" s="46">
        <f t="shared" si="9"/>
        <v>23.079800267858637</v>
      </c>
      <c r="Y28" s="47">
        <f t="shared" si="10"/>
        <v>54.189846303574718</v>
      </c>
      <c r="Z28" s="46"/>
      <c r="AA28" s="46">
        <f t="shared" si="11"/>
        <v>54.189846303574718</v>
      </c>
      <c r="AB28" s="133">
        <f t="shared" si="39"/>
        <v>3000</v>
      </c>
      <c r="AC28" s="133">
        <f t="shared" si="12"/>
        <v>2688.8767164295932</v>
      </c>
      <c r="AD28" s="133">
        <f t="shared" si="13"/>
        <v>36968.745253869201</v>
      </c>
      <c r="AE28" s="24" t="e">
        <f>#REF!</f>
        <v>#REF!</v>
      </c>
      <c r="AF28" s="13" t="e">
        <f>SUM(AE$8:AE28)</f>
        <v>#REF!</v>
      </c>
      <c r="AG28" s="13" t="e">
        <f>#REF!</f>
        <v>#REF!</v>
      </c>
      <c r="AH28" s="13" t="e">
        <f>SUM(AG$8:AG28)</f>
        <v>#REF!</v>
      </c>
      <c r="AI28" s="27" t="e">
        <f>(AF28*0.9)*($AD28/#REF!)+(AH28*0.45)*($AD28/#REF!)</f>
        <v>#REF!</v>
      </c>
      <c r="AJ28" s="13">
        <v>4300</v>
      </c>
      <c r="AK28" s="13">
        <f t="shared" si="48"/>
        <v>4235</v>
      </c>
      <c r="AL28" s="13">
        <f t="shared" si="47"/>
        <v>900</v>
      </c>
      <c r="AM28" s="24" t="e">
        <f>#REF!+AI28+AJ28</f>
        <v>#REF!</v>
      </c>
      <c r="AN28" s="15" t="e">
        <f t="shared" si="14"/>
        <v>#REF!</v>
      </c>
      <c r="AO28" s="13" t="e">
        <f>#REF!+AK28</f>
        <v>#REF!</v>
      </c>
      <c r="AP28" s="15" t="e">
        <f t="shared" si="15"/>
        <v>#REF!</v>
      </c>
      <c r="AQ28" s="13" t="e">
        <f>#REF!+AL28</f>
        <v>#REF!</v>
      </c>
      <c r="AR28" s="15" t="e">
        <f t="shared" si="16"/>
        <v>#REF!</v>
      </c>
      <c r="AS28" s="13">
        <f t="shared" ref="AS28:AS53" si="49">AS27</f>
        <v>16000</v>
      </c>
      <c r="AT28" s="15">
        <f t="shared" si="17"/>
        <v>14.284438889384878</v>
      </c>
      <c r="AU28" s="27" t="e">
        <f t="shared" si="18"/>
        <v>#REF!</v>
      </c>
      <c r="AV28" s="27" t="e">
        <f t="shared" si="19"/>
        <v>#REF!</v>
      </c>
      <c r="AW28" s="34"/>
      <c r="AX28" s="28">
        <f t="shared" si="20"/>
        <v>77.5</v>
      </c>
      <c r="AY28" s="14">
        <f t="shared" si="35"/>
        <v>50</v>
      </c>
      <c r="AZ28" s="28">
        <f t="shared" si="21"/>
        <v>31</v>
      </c>
      <c r="BA28" s="14">
        <f t="shared" si="36"/>
        <v>20</v>
      </c>
      <c r="BB28" s="28">
        <f t="shared" si="22"/>
        <v>0</v>
      </c>
      <c r="BC28" s="14">
        <v>0</v>
      </c>
      <c r="BD28" s="28">
        <f t="shared" si="23"/>
        <v>108.5</v>
      </c>
      <c r="BE28" s="29">
        <f t="shared" si="24"/>
        <v>70</v>
      </c>
      <c r="BF28" s="29">
        <f t="shared" si="25"/>
        <v>15.810153696425282</v>
      </c>
      <c r="BG28" s="128"/>
      <c r="BH28" s="129">
        <v>0.08</v>
      </c>
      <c r="BI28" s="48"/>
      <c r="BJ28" s="48"/>
      <c r="BK28" s="49"/>
      <c r="BL28" s="50" t="e">
        <f>(E28/#REF!)*#REF!</f>
        <v>#REF!</v>
      </c>
      <c r="BM28" s="51"/>
      <c r="BN28" s="52" t="e">
        <f>BN27</f>
        <v>#REF!</v>
      </c>
      <c r="BO28" s="50" t="e">
        <f>BO27</f>
        <v>#REF!</v>
      </c>
      <c r="BP28" s="51"/>
      <c r="BQ28" s="50">
        <v>24921746.870967742</v>
      </c>
      <c r="BR28" s="53">
        <f t="shared" si="26"/>
        <v>24.921746870967741</v>
      </c>
      <c r="BS28" s="40"/>
      <c r="BT28" s="40">
        <v>10749563.870967742</v>
      </c>
      <c r="BU28" s="49">
        <f t="shared" si="27"/>
        <v>10.749563870967743</v>
      </c>
    </row>
    <row r="29" spans="1:75" s="109" customFormat="1" x14ac:dyDescent="0.15">
      <c r="A29" s="11">
        <f t="shared" si="37"/>
        <v>1.2667156619431887</v>
      </c>
      <c r="B29" s="33">
        <f t="shared" si="28"/>
        <v>2031</v>
      </c>
      <c r="C29" s="13">
        <f t="shared" si="45"/>
        <v>169789.28888888875</v>
      </c>
      <c r="D29" s="13">
        <v>16830</v>
      </c>
      <c r="E29" s="13">
        <f t="shared" si="0"/>
        <v>186619.28888888875</v>
      </c>
      <c r="F29" s="24">
        <f t="shared" si="38"/>
        <v>19969.662690436064</v>
      </c>
      <c r="G29" s="13">
        <f t="shared" si="29"/>
        <v>1979.450089457516</v>
      </c>
      <c r="H29" s="27">
        <f t="shared" si="30"/>
        <v>20193.183757502095</v>
      </c>
      <c r="I29" s="24">
        <f t="shared" si="42"/>
        <v>3385.6242231888536</v>
      </c>
      <c r="J29" s="13">
        <v>135</v>
      </c>
      <c r="K29" s="27">
        <f t="shared" si="1"/>
        <v>3520.6242231888536</v>
      </c>
      <c r="L29" s="24">
        <f t="shared" si="43"/>
        <v>3518.7480758342454</v>
      </c>
      <c r="M29" s="13">
        <v>40</v>
      </c>
      <c r="N29" s="27">
        <f t="shared" si="2"/>
        <v>3558.7480758342454</v>
      </c>
      <c r="O29" s="13">
        <f t="shared" si="31"/>
        <v>2240</v>
      </c>
      <c r="P29" s="13">
        <f t="shared" si="3"/>
        <v>2181.8044845220156</v>
      </c>
      <c r="Q29" s="27">
        <f t="shared" si="4"/>
        <v>4421.8044845220156</v>
      </c>
      <c r="R29" s="24">
        <f t="shared" si="5"/>
        <v>31694.360541047208</v>
      </c>
      <c r="S29" s="15">
        <f t="shared" si="6"/>
        <v>28.295075247621522</v>
      </c>
      <c r="T29" s="15">
        <f t="shared" si="32"/>
        <v>59.849165544767352</v>
      </c>
      <c r="U29" s="25">
        <f t="shared" si="44"/>
        <v>140.90268274605168</v>
      </c>
      <c r="V29" s="24">
        <f t="shared" si="46"/>
        <v>5855.3333333333339</v>
      </c>
      <c r="W29" s="25">
        <f t="shared" si="8"/>
        <v>5.2279761904761912</v>
      </c>
      <c r="X29" s="15">
        <f t="shared" si="9"/>
        <v>23.067099057145331</v>
      </c>
      <c r="Y29" s="25">
        <f t="shared" si="10"/>
        <v>54.621189354291161</v>
      </c>
      <c r="Z29" s="15"/>
      <c r="AA29" s="15">
        <f t="shared" si="11"/>
        <v>54.621189354291161</v>
      </c>
      <c r="AB29" s="13">
        <f t="shared" si="39"/>
        <v>3000</v>
      </c>
      <c r="AC29" s="13">
        <f t="shared" si="12"/>
        <v>2727.2556056525195</v>
      </c>
      <c r="AD29" s="13">
        <f t="shared" si="13"/>
        <v>37421.616146699729</v>
      </c>
      <c r="AE29" s="24" t="e">
        <f>#REF!</f>
        <v>#REF!</v>
      </c>
      <c r="AF29" s="13" t="e">
        <f>SUM(AE$8:AE29)</f>
        <v>#REF!</v>
      </c>
      <c r="AG29" s="13" t="e">
        <f>#REF!</f>
        <v>#REF!</v>
      </c>
      <c r="AH29" s="13" t="e">
        <f>SUM(AG$8:AG29)</f>
        <v>#REF!</v>
      </c>
      <c r="AI29" s="27" t="e">
        <f>(AF29*0.9)*($AD29/#REF!)+(AH29*0.45)*($AD29/#REF!)</f>
        <v>#REF!</v>
      </c>
      <c r="AJ29" s="13">
        <v>4300</v>
      </c>
      <c r="AK29" s="13">
        <f t="shared" si="48"/>
        <v>4235</v>
      </c>
      <c r="AL29" s="13">
        <f t="shared" si="47"/>
        <v>900</v>
      </c>
      <c r="AM29" s="24" t="e">
        <f>#REF!+AI29+AJ29</f>
        <v>#REF!</v>
      </c>
      <c r="AN29" s="15" t="e">
        <f t="shared" si="14"/>
        <v>#REF!</v>
      </c>
      <c r="AO29" s="13" t="e">
        <f>#REF!+AK29</f>
        <v>#REF!</v>
      </c>
      <c r="AP29" s="15" t="e">
        <f t="shared" si="15"/>
        <v>#REF!</v>
      </c>
      <c r="AQ29" s="13" t="e">
        <f>#REF!+AL29</f>
        <v>#REF!</v>
      </c>
      <c r="AR29" s="15" t="e">
        <f t="shared" si="16"/>
        <v>#REF!</v>
      </c>
      <c r="AS29" s="13">
        <f t="shared" si="49"/>
        <v>16000</v>
      </c>
      <c r="AT29" s="15">
        <f t="shared" si="17"/>
        <v>14.284438889384878</v>
      </c>
      <c r="AU29" s="27" t="e">
        <f t="shared" si="18"/>
        <v>#REF!</v>
      </c>
      <c r="AV29" s="27" t="e">
        <f t="shared" si="19"/>
        <v>#REF!</v>
      </c>
      <c r="AW29" s="34"/>
      <c r="AX29" s="28">
        <f t="shared" si="20"/>
        <v>77.5</v>
      </c>
      <c r="AY29" s="14">
        <f t="shared" si="35"/>
        <v>50</v>
      </c>
      <c r="AZ29" s="28">
        <f t="shared" si="21"/>
        <v>31</v>
      </c>
      <c r="BA29" s="14">
        <f t="shared" si="36"/>
        <v>20</v>
      </c>
      <c r="BB29" s="28">
        <f t="shared" si="22"/>
        <v>0</v>
      </c>
      <c r="BC29" s="14">
        <v>0</v>
      </c>
      <c r="BD29" s="28">
        <f t="shared" si="23"/>
        <v>108.5</v>
      </c>
      <c r="BE29" s="29">
        <f t="shared" si="24"/>
        <v>70</v>
      </c>
      <c r="BF29" s="29">
        <f t="shared" si="25"/>
        <v>15.378810645708839</v>
      </c>
      <c r="BG29" s="128"/>
      <c r="BH29" s="129">
        <v>0.08</v>
      </c>
      <c r="BI29" s="37"/>
      <c r="BJ29" s="37"/>
      <c r="BK29" s="11"/>
      <c r="BL29" s="1" t="e">
        <f>(E29/#REF!)*#REF!</f>
        <v>#REF!</v>
      </c>
      <c r="BM29"/>
      <c r="BN29" s="12" t="e">
        <f>BN28*1.03</f>
        <v>#REF!</v>
      </c>
      <c r="BO29" s="1" t="e">
        <f>BO28*1.03</f>
        <v>#REF!</v>
      </c>
      <c r="BP29"/>
      <c r="BQ29" s="1">
        <v>14951168.971652003</v>
      </c>
      <c r="BR29" s="21">
        <f t="shared" si="26"/>
        <v>14.951168971652002</v>
      </c>
      <c r="BS29" s="2"/>
      <c r="BT29" s="2">
        <v>10885962.971652003</v>
      </c>
      <c r="BU29" s="11">
        <f t="shared" si="27"/>
        <v>10.885962971652003</v>
      </c>
    </row>
    <row r="30" spans="1:75" s="109" customFormat="1" x14ac:dyDescent="0.15">
      <c r="A30" s="11">
        <f t="shared" si="37"/>
        <v>1.2508706870397992</v>
      </c>
      <c r="B30" s="33">
        <f t="shared" si="28"/>
        <v>2032</v>
      </c>
      <c r="C30" s="13">
        <f t="shared" si="45"/>
        <v>171913.13333333319</v>
      </c>
      <c r="D30" s="13">
        <v>16830</v>
      </c>
      <c r="E30" s="13">
        <f t="shared" si="0"/>
        <v>188743.13333333319</v>
      </c>
      <c r="F30" s="24">
        <f t="shared" si="38"/>
        <v>20219.457347331449</v>
      </c>
      <c r="G30" s="13">
        <f t="shared" si="29"/>
        <v>1979.450089457516</v>
      </c>
      <c r="H30" s="27">
        <f t="shared" si="30"/>
        <v>20422.994841845848</v>
      </c>
      <c r="I30" s="24">
        <f t="shared" si="42"/>
        <v>3492.1332009007801</v>
      </c>
      <c r="J30" s="13">
        <v>135</v>
      </c>
      <c r="K30" s="27">
        <f t="shared" si="1"/>
        <v>3627.1332009007801</v>
      </c>
      <c r="L30" s="24">
        <f t="shared" si="43"/>
        <v>3566.2169060078186</v>
      </c>
      <c r="M30" s="13">
        <v>40</v>
      </c>
      <c r="N30" s="27">
        <f t="shared" si="2"/>
        <v>3606.2169060078186</v>
      </c>
      <c r="O30" s="13">
        <f t="shared" si="31"/>
        <v>2240</v>
      </c>
      <c r="P30" s="13">
        <f t="shared" si="3"/>
        <v>2212.5075959003557</v>
      </c>
      <c r="Q30" s="27">
        <f t="shared" si="4"/>
        <v>4452.5075959003552</v>
      </c>
      <c r="R30" s="24">
        <f t="shared" si="5"/>
        <v>32108.852544654801</v>
      </c>
      <c r="S30" s="15">
        <f t="shared" si="6"/>
        <v>28.665112132146302</v>
      </c>
      <c r="T30" s="15">
        <f t="shared" si="32"/>
        <v>60.66324669072187</v>
      </c>
      <c r="U30" s="25">
        <f t="shared" si="44"/>
        <v>141.2776857044544</v>
      </c>
      <c r="V30" s="24">
        <f t="shared" si="46"/>
        <v>6284.0000000000009</v>
      </c>
      <c r="W30" s="25">
        <f t="shared" si="8"/>
        <v>5.6107142857142867</v>
      </c>
      <c r="X30" s="15">
        <f t="shared" si="9"/>
        <v>23.054397846432014</v>
      </c>
      <c r="Y30" s="25">
        <f t="shared" si="10"/>
        <v>55.052532405007582</v>
      </c>
      <c r="Z30" s="15"/>
      <c r="AA30" s="15">
        <f t="shared" si="11"/>
        <v>55.052532405007582</v>
      </c>
      <c r="AB30" s="13">
        <f t="shared" si="39"/>
        <v>3000</v>
      </c>
      <c r="AC30" s="13">
        <f t="shared" si="12"/>
        <v>2765.6344948754449</v>
      </c>
      <c r="AD30" s="13">
        <f t="shared" si="13"/>
        <v>37874.487039530242</v>
      </c>
      <c r="AE30" s="24" t="e">
        <f>#REF!</f>
        <v>#REF!</v>
      </c>
      <c r="AF30" s="13" t="e">
        <f>SUM(AE$8:AE30)</f>
        <v>#REF!</v>
      </c>
      <c r="AG30" s="13" t="e">
        <f>#REF!</f>
        <v>#REF!</v>
      </c>
      <c r="AH30" s="13" t="e">
        <f>SUM(AG$8:AG30)</f>
        <v>#REF!</v>
      </c>
      <c r="AI30" s="27" t="e">
        <f>(AF30*0.9)*($AD30/#REF!)+(AH30*0.45)*($AD30/#REF!)</f>
        <v>#REF!</v>
      </c>
      <c r="AJ30" s="13">
        <v>4300</v>
      </c>
      <c r="AK30" s="13">
        <f t="shared" si="48"/>
        <v>4235</v>
      </c>
      <c r="AL30" s="13">
        <f t="shared" si="47"/>
        <v>900</v>
      </c>
      <c r="AM30" s="24" t="e">
        <f>#REF!+AI30+AJ30</f>
        <v>#REF!</v>
      </c>
      <c r="AN30" s="15" t="e">
        <f t="shared" si="14"/>
        <v>#REF!</v>
      </c>
      <c r="AO30" s="13" t="e">
        <f>#REF!+AK30</f>
        <v>#REF!</v>
      </c>
      <c r="AP30" s="15" t="e">
        <f t="shared" si="15"/>
        <v>#REF!</v>
      </c>
      <c r="AQ30" s="13" t="e">
        <f>#REF!+AL30</f>
        <v>#REF!</v>
      </c>
      <c r="AR30" s="15" t="e">
        <f t="shared" si="16"/>
        <v>#REF!</v>
      </c>
      <c r="AS30" s="13">
        <f t="shared" si="49"/>
        <v>16000</v>
      </c>
      <c r="AT30" s="15">
        <f t="shared" si="17"/>
        <v>14.284438889384878</v>
      </c>
      <c r="AU30" s="27" t="e">
        <f t="shared" si="18"/>
        <v>#REF!</v>
      </c>
      <c r="AV30" s="27" t="e">
        <f t="shared" si="19"/>
        <v>#REF!</v>
      </c>
      <c r="AW30" s="34"/>
      <c r="AX30" s="28">
        <f t="shared" si="20"/>
        <v>77.5</v>
      </c>
      <c r="AY30" s="14">
        <f t="shared" si="35"/>
        <v>50</v>
      </c>
      <c r="AZ30" s="28">
        <f t="shared" si="21"/>
        <v>31</v>
      </c>
      <c r="BA30" s="14">
        <f t="shared" si="36"/>
        <v>20</v>
      </c>
      <c r="BB30" s="28">
        <f t="shared" si="22"/>
        <v>0</v>
      </c>
      <c r="BC30" s="14">
        <v>0</v>
      </c>
      <c r="BD30" s="28">
        <f t="shared" si="23"/>
        <v>108.5</v>
      </c>
      <c r="BE30" s="29">
        <f t="shared" si="24"/>
        <v>70</v>
      </c>
      <c r="BF30" s="29">
        <f t="shared" si="25"/>
        <v>14.947467594992418</v>
      </c>
      <c r="BG30" s="128"/>
      <c r="BH30" s="129">
        <v>0.08</v>
      </c>
      <c r="BI30" s="37"/>
      <c r="BJ30" s="37"/>
      <c r="BK30" s="11"/>
      <c r="BL30" s="1" t="e">
        <f>(E30/#REF!)*#REF!</f>
        <v>#REF!</v>
      </c>
      <c r="BM30"/>
      <c r="BN30" s="12" t="e">
        <f>BN29</f>
        <v>#REF!</v>
      </c>
      <c r="BO30" s="1" t="e">
        <f>BO29</f>
        <v>#REF!</v>
      </c>
      <c r="BP30"/>
      <c r="BQ30" s="1">
        <v>14435591.072336268</v>
      </c>
      <c r="BR30" s="21">
        <f t="shared" si="26"/>
        <v>14.435591072336267</v>
      </c>
      <c r="BS30" s="2"/>
      <c r="BT30" s="2">
        <v>11022362.072336268</v>
      </c>
      <c r="BU30" s="11">
        <f t="shared" si="27"/>
        <v>11.022362072336268</v>
      </c>
    </row>
    <row r="31" spans="1:75" s="109" customFormat="1" x14ac:dyDescent="0.15">
      <c r="A31" s="11">
        <f t="shared" si="37"/>
        <v>1.235417215231821</v>
      </c>
      <c r="B31" s="33">
        <f t="shared" si="28"/>
        <v>2033</v>
      </c>
      <c r="C31" s="13">
        <f t="shared" si="45"/>
        <v>174036.97777777762</v>
      </c>
      <c r="D31" s="13">
        <v>16830</v>
      </c>
      <c r="E31" s="13">
        <f t="shared" si="0"/>
        <v>190866.97777777762</v>
      </c>
      <c r="F31" s="24">
        <f t="shared" si="38"/>
        <v>20469.252004226837</v>
      </c>
      <c r="G31" s="13">
        <f t="shared" si="29"/>
        <v>1979.450089457516</v>
      </c>
      <c r="H31" s="27">
        <f t="shared" si="30"/>
        <v>20652.805926189609</v>
      </c>
      <c r="I31" s="24">
        <f t="shared" si="42"/>
        <v>3598.6421786127066</v>
      </c>
      <c r="J31" s="13">
        <v>135</v>
      </c>
      <c r="K31" s="27">
        <f t="shared" si="1"/>
        <v>3733.6421786127066</v>
      </c>
      <c r="L31" s="24">
        <f t="shared" si="43"/>
        <v>3613.6857361813918</v>
      </c>
      <c r="M31" s="13">
        <v>40</v>
      </c>
      <c r="N31" s="27">
        <f t="shared" si="2"/>
        <v>3653.6857361813918</v>
      </c>
      <c r="O31" s="13">
        <f t="shared" si="31"/>
        <v>2240</v>
      </c>
      <c r="P31" s="13">
        <f t="shared" si="3"/>
        <v>2243.2107072786966</v>
      </c>
      <c r="Q31" s="27">
        <f t="shared" si="4"/>
        <v>4483.2107072786966</v>
      </c>
      <c r="R31" s="24">
        <f t="shared" si="5"/>
        <v>32523.344548262405</v>
      </c>
      <c r="S31" s="15">
        <f t="shared" si="6"/>
        <v>29.035149016671095</v>
      </c>
      <c r="T31" s="15">
        <f t="shared" si="32"/>
        <v>61.477327836676416</v>
      </c>
      <c r="U31" s="25">
        <f t="shared" si="44"/>
        <v>141.64434308145673</v>
      </c>
      <c r="V31" s="24">
        <f t="shared" si="46"/>
        <v>6712.6666666666679</v>
      </c>
      <c r="W31" s="25">
        <f t="shared" si="8"/>
        <v>5.9934523809523821</v>
      </c>
      <c r="X31" s="15">
        <f t="shared" si="9"/>
        <v>23.041696635718715</v>
      </c>
      <c r="Y31" s="25">
        <f t="shared" si="10"/>
        <v>55.483875455724032</v>
      </c>
      <c r="Z31" s="15"/>
      <c r="AA31" s="15">
        <f t="shared" si="11"/>
        <v>55.483875455724032</v>
      </c>
      <c r="AB31" s="13">
        <f t="shared" si="39"/>
        <v>3000</v>
      </c>
      <c r="AC31" s="13">
        <f t="shared" si="12"/>
        <v>2804.0133840983708</v>
      </c>
      <c r="AD31" s="13">
        <f t="shared" si="13"/>
        <v>38327.357932360777</v>
      </c>
      <c r="AE31" s="24" t="e">
        <f>#REF!</f>
        <v>#REF!</v>
      </c>
      <c r="AF31" s="13" t="e">
        <f>SUM(AE$8:AE31)</f>
        <v>#REF!</v>
      </c>
      <c r="AG31" s="13" t="e">
        <f>#REF!</f>
        <v>#REF!</v>
      </c>
      <c r="AH31" s="13" t="e">
        <f>SUM(AG$8:AG31)</f>
        <v>#REF!</v>
      </c>
      <c r="AI31" s="27" t="e">
        <f>(AF31*0.9)*($AD31/#REF!)+(AH31*0.45)*($AD31/#REF!)</f>
        <v>#REF!</v>
      </c>
      <c r="AJ31" s="13">
        <v>4300</v>
      </c>
      <c r="AK31" s="13">
        <f t="shared" si="48"/>
        <v>4235</v>
      </c>
      <c r="AL31" s="13">
        <f t="shared" si="47"/>
        <v>900</v>
      </c>
      <c r="AM31" s="24" t="e">
        <f>#REF!+AI31+AJ31</f>
        <v>#REF!</v>
      </c>
      <c r="AN31" s="15" t="e">
        <f t="shared" si="14"/>
        <v>#REF!</v>
      </c>
      <c r="AO31" s="13" t="e">
        <f>#REF!+AK31</f>
        <v>#REF!</v>
      </c>
      <c r="AP31" s="15" t="e">
        <f t="shared" si="15"/>
        <v>#REF!</v>
      </c>
      <c r="AQ31" s="13" t="e">
        <f>#REF!+AL31</f>
        <v>#REF!</v>
      </c>
      <c r="AR31" s="15" t="e">
        <f t="shared" si="16"/>
        <v>#REF!</v>
      </c>
      <c r="AS31" s="13">
        <f t="shared" si="49"/>
        <v>16000</v>
      </c>
      <c r="AT31" s="15">
        <f t="shared" si="17"/>
        <v>14.284438889384878</v>
      </c>
      <c r="AU31" s="27" t="e">
        <f t="shared" si="18"/>
        <v>#REF!</v>
      </c>
      <c r="AV31" s="27" t="e">
        <f t="shared" si="19"/>
        <v>#REF!</v>
      </c>
      <c r="AW31" s="34"/>
      <c r="AX31" s="28">
        <f t="shared" si="20"/>
        <v>77.5</v>
      </c>
      <c r="AY31" s="14">
        <f t="shared" si="35"/>
        <v>50</v>
      </c>
      <c r="AZ31" s="28">
        <f t="shared" si="21"/>
        <v>31</v>
      </c>
      <c r="BA31" s="14">
        <f t="shared" si="36"/>
        <v>20</v>
      </c>
      <c r="BB31" s="28">
        <f t="shared" si="22"/>
        <v>0</v>
      </c>
      <c r="BC31" s="14">
        <v>0</v>
      </c>
      <c r="BD31" s="28">
        <f t="shared" si="23"/>
        <v>108.5</v>
      </c>
      <c r="BE31" s="29">
        <f t="shared" si="24"/>
        <v>70</v>
      </c>
      <c r="BF31" s="29">
        <f t="shared" si="25"/>
        <v>14.516124544275968</v>
      </c>
      <c r="BG31" s="128"/>
      <c r="BH31" s="129">
        <v>0.08</v>
      </c>
      <c r="BI31" s="37"/>
      <c r="BJ31" s="37"/>
      <c r="BK31" s="11"/>
      <c r="BL31" s="1" t="e">
        <f>(E31/#REF!)*#REF!</f>
        <v>#REF!</v>
      </c>
      <c r="BM31"/>
      <c r="BN31" s="12" t="e">
        <f>BN30*1.03</f>
        <v>#REF!</v>
      </c>
      <c r="BO31" s="1" t="e">
        <f>BO30*1.03</f>
        <v>#REF!</v>
      </c>
      <c r="BP31"/>
      <c r="BQ31" s="1">
        <v>14638213.173020527</v>
      </c>
      <c r="BR31" s="21">
        <f t="shared" si="26"/>
        <v>14.638213173020526</v>
      </c>
      <c r="BS31" s="2"/>
      <c r="BT31" s="2">
        <v>11158761.173020527</v>
      </c>
      <c r="BU31" s="11">
        <f t="shared" si="27"/>
        <v>11.158761173020526</v>
      </c>
    </row>
    <row r="32" spans="1:75" s="109" customFormat="1" x14ac:dyDescent="0.15">
      <c r="A32" s="11">
        <f t="shared" si="37"/>
        <v>1.2203409135019012</v>
      </c>
      <c r="B32" s="33">
        <f t="shared" si="28"/>
        <v>2034</v>
      </c>
      <c r="C32" s="13">
        <f t="shared" si="45"/>
        <v>176160.82222222205</v>
      </c>
      <c r="D32" s="13">
        <v>16830</v>
      </c>
      <c r="E32" s="13">
        <f t="shared" si="0"/>
        <v>192990.82222222205</v>
      </c>
      <c r="F32" s="24">
        <f t="shared" si="38"/>
        <v>20719.046661122222</v>
      </c>
      <c r="G32" s="13">
        <f t="shared" si="29"/>
        <v>1979.450089457516</v>
      </c>
      <c r="H32" s="27">
        <f t="shared" si="30"/>
        <v>20882.617010533362</v>
      </c>
      <c r="I32" s="24">
        <f t="shared" si="42"/>
        <v>3705.1511563246331</v>
      </c>
      <c r="J32" s="13">
        <v>135</v>
      </c>
      <c r="K32" s="27">
        <f t="shared" si="1"/>
        <v>3840.1511563246331</v>
      </c>
      <c r="L32" s="24">
        <f t="shared" si="43"/>
        <v>3661.154566354965</v>
      </c>
      <c r="M32" s="13">
        <v>40</v>
      </c>
      <c r="N32" s="27">
        <f t="shared" si="2"/>
        <v>3701.154566354965</v>
      </c>
      <c r="O32" s="13">
        <f t="shared" si="31"/>
        <v>2240</v>
      </c>
      <c r="P32" s="13">
        <f t="shared" si="3"/>
        <v>2273.9138186570372</v>
      </c>
      <c r="Q32" s="27">
        <f t="shared" si="4"/>
        <v>4513.9138186570372</v>
      </c>
      <c r="R32" s="24">
        <f t="shared" si="5"/>
        <v>32937.836551870001</v>
      </c>
      <c r="S32" s="15">
        <f t="shared" si="6"/>
        <v>29.405185901195875</v>
      </c>
      <c r="T32" s="15">
        <f t="shared" si="32"/>
        <v>62.291408982630927</v>
      </c>
      <c r="U32" s="25">
        <f t="shared" si="44"/>
        <v>142.0029304038917</v>
      </c>
      <c r="V32" s="24">
        <f t="shared" si="46"/>
        <v>7141.3333333333348</v>
      </c>
      <c r="W32" s="25">
        <f t="shared" si="8"/>
        <v>6.3761904761904775</v>
      </c>
      <c r="X32" s="15">
        <f t="shared" si="9"/>
        <v>23.028995425005398</v>
      </c>
      <c r="Y32" s="25">
        <f t="shared" si="10"/>
        <v>55.915218506440446</v>
      </c>
      <c r="Z32" s="15"/>
      <c r="AA32" s="15">
        <f t="shared" si="11"/>
        <v>55.915218506440446</v>
      </c>
      <c r="AB32" s="13">
        <f t="shared" si="39"/>
        <v>3000</v>
      </c>
      <c r="AC32" s="13">
        <f t="shared" si="12"/>
        <v>2842.3922733212962</v>
      </c>
      <c r="AD32" s="13">
        <f t="shared" si="13"/>
        <v>38780.228825191298</v>
      </c>
      <c r="AE32" s="24" t="e">
        <f>#REF!</f>
        <v>#REF!</v>
      </c>
      <c r="AF32" s="13" t="e">
        <f>SUM(AE$8:AE32)</f>
        <v>#REF!</v>
      </c>
      <c r="AG32" s="13" t="e">
        <f>#REF!</f>
        <v>#REF!</v>
      </c>
      <c r="AH32" s="13" t="e">
        <f>SUM(AG$8:AG32)</f>
        <v>#REF!</v>
      </c>
      <c r="AI32" s="27" t="e">
        <f>(AF32*0.9)*($AD32/#REF!)+(AH32*0.45)*($AD32/#REF!)</f>
        <v>#REF!</v>
      </c>
      <c r="AJ32" s="13">
        <v>4300</v>
      </c>
      <c r="AK32" s="13">
        <f t="shared" si="48"/>
        <v>4235</v>
      </c>
      <c r="AL32" s="13">
        <f t="shared" si="47"/>
        <v>900</v>
      </c>
      <c r="AM32" s="24" t="e">
        <f>#REF!+AI32+AJ32</f>
        <v>#REF!</v>
      </c>
      <c r="AN32" s="15" t="e">
        <f t="shared" si="14"/>
        <v>#REF!</v>
      </c>
      <c r="AO32" s="13" t="e">
        <f>#REF!+AK32</f>
        <v>#REF!</v>
      </c>
      <c r="AP32" s="15" t="e">
        <f t="shared" si="15"/>
        <v>#REF!</v>
      </c>
      <c r="AQ32" s="13" t="e">
        <f>#REF!+AL32</f>
        <v>#REF!</v>
      </c>
      <c r="AR32" s="15" t="e">
        <f t="shared" si="16"/>
        <v>#REF!</v>
      </c>
      <c r="AS32" s="13">
        <f t="shared" si="49"/>
        <v>16000</v>
      </c>
      <c r="AT32" s="15">
        <f t="shared" si="17"/>
        <v>14.284438889384878</v>
      </c>
      <c r="AU32" s="27" t="e">
        <f t="shared" si="18"/>
        <v>#REF!</v>
      </c>
      <c r="AV32" s="27" t="e">
        <f t="shared" si="19"/>
        <v>#REF!</v>
      </c>
      <c r="AW32" s="34"/>
      <c r="AX32" s="28">
        <f t="shared" si="20"/>
        <v>77.5</v>
      </c>
      <c r="AY32" s="14">
        <f t="shared" si="35"/>
        <v>50</v>
      </c>
      <c r="AZ32" s="28">
        <f t="shared" si="21"/>
        <v>31</v>
      </c>
      <c r="BA32" s="14">
        <f t="shared" si="36"/>
        <v>20</v>
      </c>
      <c r="BB32" s="28">
        <f t="shared" si="22"/>
        <v>0</v>
      </c>
      <c r="BC32" s="14">
        <v>0</v>
      </c>
      <c r="BD32" s="28">
        <f t="shared" si="23"/>
        <v>108.5</v>
      </c>
      <c r="BE32" s="29">
        <f t="shared" si="24"/>
        <v>70</v>
      </c>
      <c r="BF32" s="29">
        <f t="shared" si="25"/>
        <v>14.084781493559554</v>
      </c>
      <c r="BG32" s="128"/>
      <c r="BH32" s="129">
        <v>0.08</v>
      </c>
      <c r="BI32" s="37"/>
      <c r="BJ32" s="37"/>
      <c r="BK32" s="11"/>
      <c r="BL32" s="1" t="e">
        <f>(E32/#REF!)*#REF!</f>
        <v>#REF!</v>
      </c>
      <c r="BM32"/>
      <c r="BN32" s="12" t="e">
        <f>BN31</f>
        <v>#REF!</v>
      </c>
      <c r="BO32" s="1" t="e">
        <f>BO31</f>
        <v>#REF!</v>
      </c>
      <c r="BP32"/>
      <c r="BQ32" s="1">
        <v>14586935.27370479</v>
      </c>
      <c r="BR32" s="21">
        <f t="shared" si="26"/>
        <v>14.586935273704789</v>
      </c>
      <c r="BS32" s="2"/>
      <c r="BT32" s="2">
        <v>11295160.27370479</v>
      </c>
      <c r="BU32" s="11">
        <f t="shared" si="27"/>
        <v>11.29516027370479</v>
      </c>
      <c r="BW32" s="220"/>
    </row>
    <row r="33" spans="1:76" s="109" customFormat="1" x14ac:dyDescent="0.15">
      <c r="A33" s="11">
        <f t="shared" si="37"/>
        <v>1.2056281400442492</v>
      </c>
      <c r="B33" s="138">
        <f t="shared" si="28"/>
        <v>2035</v>
      </c>
      <c r="C33" s="240">
        <f t="shared" si="45"/>
        <v>178284.66666666648</v>
      </c>
      <c r="D33" s="133">
        <v>16830</v>
      </c>
      <c r="E33" s="133">
        <f t="shared" si="0"/>
        <v>195114.66666666648</v>
      </c>
      <c r="F33" s="65">
        <f t="shared" si="38"/>
        <v>20968.841318017614</v>
      </c>
      <c r="G33" s="133">
        <f t="shared" si="29"/>
        <v>1979.450089457516</v>
      </c>
      <c r="H33" s="134">
        <f t="shared" si="30"/>
        <v>21112.428094877123</v>
      </c>
      <c r="I33" s="65">
        <f t="shared" si="42"/>
        <v>3811.6601340365596</v>
      </c>
      <c r="J33" s="133">
        <v>135</v>
      </c>
      <c r="K33" s="134">
        <f t="shared" si="1"/>
        <v>3946.6601340365596</v>
      </c>
      <c r="L33" s="65">
        <f t="shared" si="43"/>
        <v>3708.6233965285383</v>
      </c>
      <c r="M33" s="133">
        <v>40</v>
      </c>
      <c r="N33" s="134">
        <f t="shared" si="2"/>
        <v>3748.6233965285383</v>
      </c>
      <c r="O33" s="133">
        <f t="shared" si="31"/>
        <v>2240</v>
      </c>
      <c r="P33" s="133">
        <f t="shared" si="3"/>
        <v>2304.6169300353777</v>
      </c>
      <c r="Q33" s="134">
        <f t="shared" si="4"/>
        <v>4544.6169300353777</v>
      </c>
      <c r="R33" s="65">
        <f t="shared" si="5"/>
        <v>33352.328555477594</v>
      </c>
      <c r="S33" s="135">
        <f t="shared" si="6"/>
        <v>29.775222785720658</v>
      </c>
      <c r="T33" s="135">
        <f t="shared" si="32"/>
        <v>63.105490128585451</v>
      </c>
      <c r="U33" s="136">
        <f t="shared" si="44"/>
        <v>142.35371120203394</v>
      </c>
      <c r="V33" s="65">
        <f t="shared" si="46"/>
        <v>7570.0000000000018</v>
      </c>
      <c r="W33" s="47">
        <f t="shared" si="8"/>
        <v>6.758928571428573</v>
      </c>
      <c r="X33" s="46">
        <f t="shared" si="9"/>
        <v>23.016294214292085</v>
      </c>
      <c r="Y33" s="47">
        <f t="shared" si="10"/>
        <v>56.346561557156875</v>
      </c>
      <c r="Z33" s="46"/>
      <c r="AA33" s="46">
        <f t="shared" si="11"/>
        <v>56.346561557156875</v>
      </c>
      <c r="AB33" s="133">
        <f t="shared" si="39"/>
        <v>3000</v>
      </c>
      <c r="AC33" s="133">
        <f t="shared" si="12"/>
        <v>2880.7711625442225</v>
      </c>
      <c r="AD33" s="133">
        <f t="shared" si="13"/>
        <v>39233.099718021818</v>
      </c>
      <c r="AE33" s="24" t="e">
        <f>#REF!</f>
        <v>#REF!</v>
      </c>
      <c r="AF33" s="13" t="e">
        <f>SUM(AE$8:AE33)</f>
        <v>#REF!</v>
      </c>
      <c r="AG33" s="13" t="e">
        <f>#REF!</f>
        <v>#REF!</v>
      </c>
      <c r="AH33" s="13" t="e">
        <f>SUM(AG$8:AG33)</f>
        <v>#REF!</v>
      </c>
      <c r="AI33" s="27" t="e">
        <f>(AF33*0.9)*($AD33/#REF!)+(AH33*0.45)*($AD33/#REF!)</f>
        <v>#REF!</v>
      </c>
      <c r="AJ33" s="13">
        <v>4300</v>
      </c>
      <c r="AK33" s="13">
        <f t="shared" si="48"/>
        <v>4235</v>
      </c>
      <c r="AL33" s="13">
        <f t="shared" si="47"/>
        <v>900</v>
      </c>
      <c r="AM33" s="24" t="e">
        <f>#REF!+AI33+AJ33</f>
        <v>#REF!</v>
      </c>
      <c r="AN33" s="15" t="e">
        <f t="shared" si="14"/>
        <v>#REF!</v>
      </c>
      <c r="AO33" s="13" t="e">
        <f>#REF!+AK33</f>
        <v>#REF!</v>
      </c>
      <c r="AP33" s="15" t="e">
        <f t="shared" si="15"/>
        <v>#REF!</v>
      </c>
      <c r="AQ33" s="13" t="e">
        <f>#REF!+AL33</f>
        <v>#REF!</v>
      </c>
      <c r="AR33" s="15" t="e">
        <f t="shared" si="16"/>
        <v>#REF!</v>
      </c>
      <c r="AS33" s="13">
        <f t="shared" si="49"/>
        <v>16000</v>
      </c>
      <c r="AT33" s="15">
        <f t="shared" si="17"/>
        <v>14.284438889384878</v>
      </c>
      <c r="AU33" s="27" t="e">
        <f t="shared" si="18"/>
        <v>#REF!</v>
      </c>
      <c r="AV33" s="27" t="e">
        <f t="shared" si="19"/>
        <v>#REF!</v>
      </c>
      <c r="AW33" s="34"/>
      <c r="AX33" s="28">
        <f t="shared" si="20"/>
        <v>77.5</v>
      </c>
      <c r="AY33" s="14">
        <f t="shared" si="35"/>
        <v>50</v>
      </c>
      <c r="AZ33" s="28">
        <f t="shared" si="21"/>
        <v>31</v>
      </c>
      <c r="BA33" s="14">
        <f t="shared" si="36"/>
        <v>20</v>
      </c>
      <c r="BB33" s="28">
        <f t="shared" si="22"/>
        <v>0</v>
      </c>
      <c r="BC33" s="14">
        <v>0</v>
      </c>
      <c r="BD33" s="28">
        <f t="shared" si="23"/>
        <v>108.5</v>
      </c>
      <c r="BE33" s="29">
        <f t="shared" si="24"/>
        <v>70</v>
      </c>
      <c r="BF33" s="29">
        <f t="shared" si="25"/>
        <v>13.653438442843125</v>
      </c>
      <c r="BG33" s="128"/>
      <c r="BH33" s="129">
        <v>0.08</v>
      </c>
      <c r="BI33" s="48"/>
      <c r="BJ33" s="48"/>
      <c r="BK33" s="49"/>
      <c r="BL33" s="50" t="e">
        <f>(E33/#REF!)*#REF!</f>
        <v>#REF!</v>
      </c>
      <c r="BM33" s="51"/>
      <c r="BN33" s="52" t="e">
        <f>BN32*1.03</f>
        <v>#REF!</v>
      </c>
      <c r="BO33" s="50" t="e">
        <f>BO32*1.03</f>
        <v>#REF!</v>
      </c>
      <c r="BP33" s="51"/>
      <c r="BQ33" s="50">
        <v>16106357.374389056</v>
      </c>
      <c r="BR33" s="53">
        <f t="shared" si="26"/>
        <v>16.106357374389056</v>
      </c>
      <c r="BS33" s="40"/>
      <c r="BT33" s="40">
        <v>11431559.374389056</v>
      </c>
      <c r="BU33" s="49">
        <f t="shared" si="27"/>
        <v>11.431559374389057</v>
      </c>
      <c r="BX33" s="220"/>
    </row>
    <row r="34" spans="1:76" s="109" customFormat="1" x14ac:dyDescent="0.15">
      <c r="A34" s="11">
        <f t="shared" si="37"/>
        <v>1.1912659030937982</v>
      </c>
      <c r="B34" s="33">
        <f t="shared" si="28"/>
        <v>2036</v>
      </c>
      <c r="C34" s="13">
        <f t="shared" si="45"/>
        <v>180408.51111111091</v>
      </c>
      <c r="D34" s="13">
        <v>16830</v>
      </c>
      <c r="E34" s="13">
        <f t="shared" si="0"/>
        <v>197238.51111111091</v>
      </c>
      <c r="F34" s="24">
        <f t="shared" si="38"/>
        <v>21218.635974912999</v>
      </c>
      <c r="G34" s="13">
        <f t="shared" si="29"/>
        <v>1979.450089457516</v>
      </c>
      <c r="H34" s="27">
        <f t="shared" si="30"/>
        <v>21342.239179220876</v>
      </c>
      <c r="I34" s="24">
        <f t="shared" si="42"/>
        <v>3918.1691117484861</v>
      </c>
      <c r="J34" s="13">
        <v>135</v>
      </c>
      <c r="K34" s="27">
        <f t="shared" si="1"/>
        <v>4053.1691117484861</v>
      </c>
      <c r="L34" s="24">
        <f t="shared" si="43"/>
        <v>3756.0922267021115</v>
      </c>
      <c r="M34" s="13">
        <v>40</v>
      </c>
      <c r="N34" s="27">
        <f t="shared" si="2"/>
        <v>3796.0922267021115</v>
      </c>
      <c r="O34" s="13">
        <f t="shared" si="31"/>
        <v>2240</v>
      </c>
      <c r="P34" s="13">
        <f t="shared" si="3"/>
        <v>2335.3200414137177</v>
      </c>
      <c r="Q34" s="27">
        <f t="shared" si="4"/>
        <v>4575.3200414137173</v>
      </c>
      <c r="R34" s="24">
        <f t="shared" si="5"/>
        <v>33766.820559085194</v>
      </c>
      <c r="S34" s="15">
        <f t="shared" si="6"/>
        <v>30.145259670245448</v>
      </c>
      <c r="T34" s="15">
        <f t="shared" si="32"/>
        <v>63.91957127453999</v>
      </c>
      <c r="U34" s="25">
        <f t="shared" si="44"/>
        <v>142.69693765548803</v>
      </c>
      <c r="V34" s="24">
        <f t="shared" si="46"/>
        <v>7998.6666666666688</v>
      </c>
      <c r="W34" s="25">
        <f t="shared" si="8"/>
        <v>7.1416666666666684</v>
      </c>
      <c r="X34" s="15">
        <f t="shared" si="9"/>
        <v>23.003593003578779</v>
      </c>
      <c r="Y34" s="25">
        <f t="shared" si="10"/>
        <v>56.777904607873324</v>
      </c>
      <c r="Z34" s="15"/>
      <c r="AA34" s="15">
        <f t="shared" si="11"/>
        <v>56.777904607873324</v>
      </c>
      <c r="AB34" s="13">
        <f t="shared" si="39"/>
        <v>3000</v>
      </c>
      <c r="AC34" s="13">
        <f t="shared" si="12"/>
        <v>2919.1500517671475</v>
      </c>
      <c r="AD34" s="13">
        <f t="shared" si="13"/>
        <v>39685.970610852339</v>
      </c>
      <c r="AE34" s="24" t="e">
        <f>#REF!</f>
        <v>#REF!</v>
      </c>
      <c r="AF34" s="13" t="e">
        <f>SUM(AE$8:AE34)</f>
        <v>#REF!</v>
      </c>
      <c r="AG34" s="13" t="e">
        <f>#REF!</f>
        <v>#REF!</v>
      </c>
      <c r="AH34" s="13" t="e">
        <f>SUM(AG$8:AG34)</f>
        <v>#REF!</v>
      </c>
      <c r="AI34" s="27" t="e">
        <f>(AF34*0.9)*($AD34/#REF!)+(AH34*0.45)*($AD34/#REF!)</f>
        <v>#REF!</v>
      </c>
      <c r="AJ34" s="13">
        <v>4300</v>
      </c>
      <c r="AK34" s="13">
        <f t="shared" si="48"/>
        <v>4235</v>
      </c>
      <c r="AL34" s="13">
        <f t="shared" si="47"/>
        <v>900</v>
      </c>
      <c r="AM34" s="24" t="e">
        <f>#REF!+AI34+AJ34</f>
        <v>#REF!</v>
      </c>
      <c r="AN34" s="15" t="e">
        <f t="shared" si="14"/>
        <v>#REF!</v>
      </c>
      <c r="AO34" s="13" t="e">
        <f>#REF!+AK34</f>
        <v>#REF!</v>
      </c>
      <c r="AP34" s="15" t="e">
        <f t="shared" si="15"/>
        <v>#REF!</v>
      </c>
      <c r="AQ34" s="13" t="e">
        <f>#REF!+AL34</f>
        <v>#REF!</v>
      </c>
      <c r="AR34" s="15" t="e">
        <f t="shared" si="16"/>
        <v>#REF!</v>
      </c>
      <c r="AS34" s="13">
        <f t="shared" si="49"/>
        <v>16000</v>
      </c>
      <c r="AT34" s="15">
        <f t="shared" si="17"/>
        <v>14.284438889384878</v>
      </c>
      <c r="AU34" s="27" t="e">
        <f t="shared" si="18"/>
        <v>#REF!</v>
      </c>
      <c r="AV34" s="27" t="e">
        <f t="shared" si="19"/>
        <v>#REF!</v>
      </c>
      <c r="AW34" s="34"/>
      <c r="AX34" s="28">
        <f t="shared" si="20"/>
        <v>77.5</v>
      </c>
      <c r="AY34" s="14">
        <f t="shared" si="35"/>
        <v>50</v>
      </c>
      <c r="AZ34" s="28">
        <f t="shared" si="21"/>
        <v>31</v>
      </c>
      <c r="BA34" s="14">
        <f t="shared" si="36"/>
        <v>20</v>
      </c>
      <c r="BB34" s="28">
        <f t="shared" si="22"/>
        <v>0</v>
      </c>
      <c r="BC34" s="14">
        <v>0</v>
      </c>
      <c r="BD34" s="28">
        <f t="shared" si="23"/>
        <v>108.5</v>
      </c>
      <c r="BE34" s="29">
        <f t="shared" si="24"/>
        <v>70</v>
      </c>
      <c r="BF34" s="29">
        <f t="shared" si="25"/>
        <v>13.222095392126676</v>
      </c>
      <c r="BG34" s="128"/>
      <c r="BH34" s="129">
        <v>0.08</v>
      </c>
      <c r="BI34" s="37"/>
      <c r="BJ34" s="37"/>
      <c r="BK34" s="11"/>
      <c r="BL34" s="1" t="e">
        <f>(E34/#REF!)*#REF!</f>
        <v>#REF!</v>
      </c>
      <c r="BM34"/>
      <c r="BN34" s="12" t="e">
        <f>BN33</f>
        <v>#REF!</v>
      </c>
      <c r="BO34" s="1" t="e">
        <f>BO33</f>
        <v>#REF!</v>
      </c>
      <c r="BP34"/>
      <c r="BQ34" s="1">
        <v>15505779.475073315</v>
      </c>
      <c r="BR34" s="21">
        <f t="shared" si="26"/>
        <v>15.505779475073314</v>
      </c>
      <c r="BS34" s="2"/>
      <c r="BT34" s="2">
        <v>11567958.475073315</v>
      </c>
      <c r="BU34" s="11">
        <f t="shared" si="27"/>
        <v>11.567958475073315</v>
      </c>
    </row>
    <row r="35" spans="1:76" s="109" customFormat="1" x14ac:dyDescent="0.15">
      <c r="A35" s="11">
        <f t="shared" si="37"/>
        <v>1.1772418226634485</v>
      </c>
      <c r="B35" s="33">
        <f t="shared" si="28"/>
        <v>2037</v>
      </c>
      <c r="C35" s="13">
        <f t="shared" si="45"/>
        <v>182532.35555555535</v>
      </c>
      <c r="D35" s="13">
        <v>16830</v>
      </c>
      <c r="E35" s="13">
        <f t="shared" ref="E35:E63" si="50">C35+D35</f>
        <v>199362.35555555535</v>
      </c>
      <c r="F35" s="24">
        <f t="shared" si="38"/>
        <v>21468.430631808387</v>
      </c>
      <c r="G35" s="13">
        <f t="shared" si="29"/>
        <v>1979.450089457516</v>
      </c>
      <c r="H35" s="27">
        <f t="shared" ref="H35:H63" si="51">SUM(F35:G35)*(1-BH35)</f>
        <v>21572.050263564633</v>
      </c>
      <c r="I35" s="24">
        <f t="shared" si="42"/>
        <v>4024.6780894604126</v>
      </c>
      <c r="J35" s="13">
        <v>135</v>
      </c>
      <c r="K35" s="27">
        <f t="shared" ref="K35:K63" si="52">SUM(I35:J35)</f>
        <v>4159.6780894604126</v>
      </c>
      <c r="L35" s="24">
        <f t="shared" si="43"/>
        <v>3803.5610568756847</v>
      </c>
      <c r="M35" s="13">
        <v>40</v>
      </c>
      <c r="N35" s="27">
        <f t="shared" ref="N35:N53" si="53">SUM(L35:M35)</f>
        <v>3843.5610568756847</v>
      </c>
      <c r="O35" s="13">
        <f t="shared" si="31"/>
        <v>2240</v>
      </c>
      <c r="P35" s="13">
        <f t="shared" si="3"/>
        <v>2366.0231527920587</v>
      </c>
      <c r="Q35" s="27">
        <f t="shared" ref="Q35:Q63" si="54">SUM(O35:P35)</f>
        <v>4606.0231527920587</v>
      </c>
      <c r="R35" s="24">
        <f t="shared" ref="R35:R62" si="55">Q35+N35+K35+H35</f>
        <v>34181.312562692794</v>
      </c>
      <c r="S35" s="15">
        <f t="shared" si="6"/>
        <v>30.515296554770231</v>
      </c>
      <c r="T35" s="15">
        <f t="shared" si="32"/>
        <v>64.733652420494508</v>
      </c>
      <c r="U35" s="25">
        <f t="shared" si="44"/>
        <v>143.03285119779278</v>
      </c>
      <c r="V35" s="24">
        <f t="shared" si="46"/>
        <v>8427.3333333333358</v>
      </c>
      <c r="W35" s="25">
        <f t="shared" si="8"/>
        <v>7.5244047619047638</v>
      </c>
      <c r="X35" s="15">
        <f t="shared" si="9"/>
        <v>22.990891792865469</v>
      </c>
      <c r="Y35" s="25">
        <f t="shared" si="10"/>
        <v>57.209247658589746</v>
      </c>
      <c r="Z35" s="15"/>
      <c r="AA35" s="15">
        <f t="shared" ref="AA35:AA53" si="56">Y35-Z35</f>
        <v>57.209247658589746</v>
      </c>
      <c r="AB35" s="13">
        <f t="shared" si="39"/>
        <v>3000</v>
      </c>
      <c r="AC35" s="13">
        <f t="shared" ref="AC35:AC53" si="57">(N35+K35+H35)*0.1</f>
        <v>2957.5289409900734</v>
      </c>
      <c r="AD35" s="13">
        <f t="shared" ref="AD35:AD53" si="58">R35+AB35+AC35</f>
        <v>40138.841503682866</v>
      </c>
      <c r="AE35" s="24" t="e">
        <f>#REF!</f>
        <v>#REF!</v>
      </c>
      <c r="AF35" s="13" t="e">
        <f>SUM(AE$8:AE35)</f>
        <v>#REF!</v>
      </c>
      <c r="AG35" s="13" t="e">
        <f>#REF!</f>
        <v>#REF!</v>
      </c>
      <c r="AH35" s="13" t="e">
        <f>SUM(AG$8:AG35)</f>
        <v>#REF!</v>
      </c>
      <c r="AI35" s="27" t="e">
        <f>(AF35*0.9)*($AD35/#REF!)+(AH35*0.45)*($AD35/#REF!)</f>
        <v>#REF!</v>
      </c>
      <c r="AJ35" s="13">
        <v>4300</v>
      </c>
      <c r="AK35" s="13">
        <f t="shared" si="48"/>
        <v>4235</v>
      </c>
      <c r="AL35" s="13">
        <f t="shared" si="47"/>
        <v>900</v>
      </c>
      <c r="AM35" s="24" t="e">
        <f>#REF!+AI35+AJ35</f>
        <v>#REF!</v>
      </c>
      <c r="AN35" s="15" t="e">
        <f t="shared" ref="AN35:AN53" si="59">AM35/1120.1</f>
        <v>#REF!</v>
      </c>
      <c r="AO35" s="13" t="e">
        <f>#REF!+AK35</f>
        <v>#REF!</v>
      </c>
      <c r="AP35" s="15" t="e">
        <f t="shared" ref="AP35:AP53" si="60">AO35/1120.1</f>
        <v>#REF!</v>
      </c>
      <c r="AQ35" s="13" t="e">
        <f>#REF!+AL35</f>
        <v>#REF!</v>
      </c>
      <c r="AR35" s="15" t="e">
        <f t="shared" ref="AR35:AR53" si="61">AQ35/1120.1</f>
        <v>#REF!</v>
      </c>
      <c r="AS35" s="13">
        <f t="shared" si="49"/>
        <v>16000</v>
      </c>
      <c r="AT35" s="15">
        <f t="shared" ref="AT35:AT53" si="62">AS35/1120.1</f>
        <v>14.284438889384878</v>
      </c>
      <c r="AU35" s="27" t="e">
        <f t="shared" ref="AU35:AU53" si="63">AM35+AO35+AQ35+AS35</f>
        <v>#REF!</v>
      </c>
      <c r="AV35" s="27" t="e">
        <f t="shared" ref="AV35:AV53" si="64">AN35+AP35+AR35+AT35</f>
        <v>#REF!</v>
      </c>
      <c r="AW35" s="34"/>
      <c r="AX35" s="28">
        <f t="shared" ref="AX35:AX53" si="65">AY35*1.55</f>
        <v>77.5</v>
      </c>
      <c r="AY35" s="14">
        <f t="shared" si="35"/>
        <v>50</v>
      </c>
      <c r="AZ35" s="28">
        <f t="shared" ref="AZ35:AZ53" si="66">BA35*1.55</f>
        <v>31</v>
      </c>
      <c r="BA35" s="14">
        <f t="shared" si="36"/>
        <v>20</v>
      </c>
      <c r="BB35" s="28">
        <f t="shared" ref="BB35:BB53" si="67">BC35*1.55</f>
        <v>0</v>
      </c>
      <c r="BC35" s="14">
        <v>0</v>
      </c>
      <c r="BD35" s="28">
        <f t="shared" ref="BD35:BD53" si="68">BE35*1.55</f>
        <v>108.5</v>
      </c>
      <c r="BE35" s="29">
        <f t="shared" ref="BE35:BE53" si="69">AY35+BA35+BC35</f>
        <v>70</v>
      </c>
      <c r="BF35" s="29">
        <f t="shared" ref="BF35:BF53" si="70">BE35-Y35</f>
        <v>12.790752341410254</v>
      </c>
      <c r="BG35" s="128"/>
      <c r="BH35" s="129">
        <v>0.08</v>
      </c>
      <c r="BI35" s="37"/>
      <c r="BJ35" s="37"/>
      <c r="BK35" s="11"/>
      <c r="BL35" s="1" t="e">
        <f>(E35/#REF!)*#REF!</f>
        <v>#REF!</v>
      </c>
      <c r="BM35"/>
      <c r="BN35" s="12" t="e">
        <f>BN34*1.03</f>
        <v>#REF!</v>
      </c>
      <c r="BO35" s="1" t="e">
        <f>BO34*1.03</f>
        <v>#REF!</v>
      </c>
      <c r="BP35"/>
      <c r="BQ35" s="1">
        <v>15340201.575757578</v>
      </c>
      <c r="BR35" s="21">
        <f t="shared" ref="BR35:BR53" si="71">BQ35/1000000</f>
        <v>15.340201575757577</v>
      </c>
      <c r="BS35" s="2"/>
      <c r="BT35" s="2">
        <v>11704357.575757578</v>
      </c>
      <c r="BU35" s="11">
        <f t="shared" ref="BU35:BU53" si="72">BT35/1000000</f>
        <v>11.704357575757578</v>
      </c>
    </row>
    <row r="36" spans="1:76" s="109" customFormat="1" x14ac:dyDescent="0.15">
      <c r="A36" s="11">
        <f t="shared" si="37"/>
        <v>1.1635440949525364</v>
      </c>
      <c r="B36" s="33">
        <f t="shared" ref="B36:B62" si="73">B35+1</f>
        <v>2038</v>
      </c>
      <c r="C36" s="13">
        <f t="shared" si="45"/>
        <v>184656.19999999978</v>
      </c>
      <c r="D36" s="13">
        <v>16830</v>
      </c>
      <c r="E36" s="13">
        <f t="shared" si="50"/>
        <v>201486.19999999978</v>
      </c>
      <c r="F36" s="24">
        <f t="shared" si="38"/>
        <v>21718.225288703776</v>
      </c>
      <c r="G36" s="13">
        <f t="shared" si="29"/>
        <v>1979.450089457516</v>
      </c>
      <c r="H36" s="27">
        <f t="shared" si="51"/>
        <v>21801.861347908391</v>
      </c>
      <c r="I36" s="24">
        <f t="shared" si="42"/>
        <v>4131.1870671723391</v>
      </c>
      <c r="J36" s="13">
        <v>135</v>
      </c>
      <c r="K36" s="27">
        <f t="shared" si="52"/>
        <v>4266.1870671723391</v>
      </c>
      <c r="L36" s="24">
        <f t="shared" si="43"/>
        <v>3851.0298870492579</v>
      </c>
      <c r="M36" s="13">
        <v>40</v>
      </c>
      <c r="N36" s="27">
        <f t="shared" si="53"/>
        <v>3891.0298870492579</v>
      </c>
      <c r="O36" s="13">
        <f t="shared" si="31"/>
        <v>2240</v>
      </c>
      <c r="P36" s="13">
        <f t="shared" si="3"/>
        <v>2396.7262641703992</v>
      </c>
      <c r="Q36" s="27">
        <f t="shared" si="54"/>
        <v>4636.7262641703992</v>
      </c>
      <c r="R36" s="24">
        <f t="shared" si="55"/>
        <v>34595.804566300387</v>
      </c>
      <c r="S36" s="15">
        <f t="shared" si="6"/>
        <v>30.885333439295014</v>
      </c>
      <c r="T36" s="15">
        <f t="shared" si="32"/>
        <v>65.54773356644904</v>
      </c>
      <c r="U36" s="25">
        <f t="shared" si="44"/>
        <v>143.36168308278661</v>
      </c>
      <c r="V36" s="24">
        <f t="shared" si="46"/>
        <v>8856.0000000000018</v>
      </c>
      <c r="W36" s="25">
        <f t="shared" si="8"/>
        <v>7.9071428571428584</v>
      </c>
      <c r="X36" s="15">
        <f t="shared" si="9"/>
        <v>22.978190582152155</v>
      </c>
      <c r="Y36" s="25">
        <f t="shared" si="10"/>
        <v>57.640590709306181</v>
      </c>
      <c r="Z36" s="15"/>
      <c r="AA36" s="15">
        <f t="shared" si="56"/>
        <v>57.640590709306181</v>
      </c>
      <c r="AB36" s="13">
        <f t="shared" si="39"/>
        <v>3000</v>
      </c>
      <c r="AC36" s="13">
        <f t="shared" si="57"/>
        <v>2995.9078302129988</v>
      </c>
      <c r="AD36" s="13">
        <f t="shared" si="58"/>
        <v>40591.712396513387</v>
      </c>
      <c r="AE36" s="24" t="e">
        <f>#REF!</f>
        <v>#REF!</v>
      </c>
      <c r="AF36" s="13" t="e">
        <f>SUM(AE$8:AE36)</f>
        <v>#REF!</v>
      </c>
      <c r="AG36" s="13" t="e">
        <f>#REF!</f>
        <v>#REF!</v>
      </c>
      <c r="AH36" s="13" t="e">
        <f>SUM(AG$8:AG36)</f>
        <v>#REF!</v>
      </c>
      <c r="AI36" s="27" t="e">
        <f>(AF36*0.9)*($AD36/#REF!)+(AH36*0.45)*($AD36/#REF!)</f>
        <v>#REF!</v>
      </c>
      <c r="AJ36" s="13">
        <v>4300</v>
      </c>
      <c r="AK36" s="13">
        <f t="shared" si="48"/>
        <v>4235</v>
      </c>
      <c r="AL36" s="13">
        <f t="shared" si="47"/>
        <v>900</v>
      </c>
      <c r="AM36" s="24" t="e">
        <f>#REF!+AI36+AJ36</f>
        <v>#REF!</v>
      </c>
      <c r="AN36" s="15" t="e">
        <f t="shared" si="59"/>
        <v>#REF!</v>
      </c>
      <c r="AO36" s="13" t="e">
        <f>#REF!+AK36</f>
        <v>#REF!</v>
      </c>
      <c r="AP36" s="15" t="e">
        <f t="shared" si="60"/>
        <v>#REF!</v>
      </c>
      <c r="AQ36" s="13" t="e">
        <f>#REF!+AL36</f>
        <v>#REF!</v>
      </c>
      <c r="AR36" s="15" t="e">
        <f t="shared" si="61"/>
        <v>#REF!</v>
      </c>
      <c r="AS36" s="13">
        <f t="shared" si="49"/>
        <v>16000</v>
      </c>
      <c r="AT36" s="15">
        <f t="shared" si="62"/>
        <v>14.284438889384878</v>
      </c>
      <c r="AU36" s="27" t="e">
        <f t="shared" si="63"/>
        <v>#REF!</v>
      </c>
      <c r="AV36" s="27" t="e">
        <f t="shared" si="64"/>
        <v>#REF!</v>
      </c>
      <c r="AW36" s="34"/>
      <c r="AX36" s="28">
        <f t="shared" si="65"/>
        <v>77.5</v>
      </c>
      <c r="AY36" s="14">
        <f t="shared" si="35"/>
        <v>50</v>
      </c>
      <c r="AZ36" s="28">
        <f t="shared" si="66"/>
        <v>31</v>
      </c>
      <c r="BA36" s="14">
        <f t="shared" si="36"/>
        <v>20</v>
      </c>
      <c r="BB36" s="28">
        <f t="shared" si="67"/>
        <v>0</v>
      </c>
      <c r="BC36" s="14">
        <v>0</v>
      </c>
      <c r="BD36" s="28">
        <f t="shared" si="68"/>
        <v>108.5</v>
      </c>
      <c r="BE36" s="29">
        <f t="shared" si="69"/>
        <v>70</v>
      </c>
      <c r="BF36" s="29">
        <f t="shared" si="70"/>
        <v>12.359409290693819</v>
      </c>
      <c r="BG36" s="128"/>
      <c r="BH36" s="129">
        <v>0.08</v>
      </c>
      <c r="BI36" s="37"/>
      <c r="BJ36" s="37"/>
      <c r="BK36" s="11"/>
      <c r="BL36" s="1" t="e">
        <f>(E36/#REF!)*#REF!</f>
        <v>#REF!</v>
      </c>
      <c r="BM36"/>
      <c r="BN36" s="12" t="e">
        <f>BN35</f>
        <v>#REF!</v>
      </c>
      <c r="BO36" s="1" t="e">
        <f>BO35</f>
        <v>#REF!</v>
      </c>
      <c r="BP36"/>
      <c r="BQ36" s="1">
        <v>15395623.676441841</v>
      </c>
      <c r="BR36" s="21">
        <f t="shared" si="71"/>
        <v>15.395623676441842</v>
      </c>
      <c r="BS36" s="2"/>
      <c r="BT36" s="2">
        <v>11840756.676441841</v>
      </c>
      <c r="BU36" s="11">
        <f t="shared" si="72"/>
        <v>11.84075667644184</v>
      </c>
      <c r="BV36" s="220"/>
    </row>
    <row r="37" spans="1:76" s="109" customFormat="1" x14ac:dyDescent="0.15">
      <c r="A37" s="11">
        <f t="shared" si="37"/>
        <v>1.1501614592114615</v>
      </c>
      <c r="B37" s="33">
        <f t="shared" si="73"/>
        <v>2039</v>
      </c>
      <c r="C37" s="13">
        <f t="shared" si="45"/>
        <v>186780.04444444421</v>
      </c>
      <c r="D37" s="13">
        <v>16830</v>
      </c>
      <c r="E37" s="13">
        <f t="shared" si="50"/>
        <v>203610.04444444421</v>
      </c>
      <c r="F37" s="24">
        <f t="shared" si="38"/>
        <v>21968.019945599164</v>
      </c>
      <c r="G37" s="13">
        <f t="shared" si="29"/>
        <v>1979.450089457516</v>
      </c>
      <c r="H37" s="27">
        <f t="shared" si="51"/>
        <v>22031.672432252148</v>
      </c>
      <c r="I37" s="24">
        <f t="shared" si="42"/>
        <v>4237.6960448842656</v>
      </c>
      <c r="J37" s="13">
        <v>135</v>
      </c>
      <c r="K37" s="27">
        <f t="shared" si="52"/>
        <v>4372.6960448842656</v>
      </c>
      <c r="L37" s="24">
        <f t="shared" si="43"/>
        <v>3898.4987172228311</v>
      </c>
      <c r="M37" s="13">
        <v>40</v>
      </c>
      <c r="N37" s="27">
        <f t="shared" si="53"/>
        <v>3938.4987172228311</v>
      </c>
      <c r="O37" s="13">
        <f t="shared" si="31"/>
        <v>2240</v>
      </c>
      <c r="P37" s="13">
        <f t="shared" si="3"/>
        <v>2427.4293755487397</v>
      </c>
      <c r="Q37" s="27">
        <f t="shared" si="54"/>
        <v>4667.4293755487397</v>
      </c>
      <c r="R37" s="24">
        <f t="shared" si="55"/>
        <v>35010.29656990798</v>
      </c>
      <c r="S37" s="15">
        <f t="shared" si="6"/>
        <v>31.255370323819793</v>
      </c>
      <c r="T37" s="15">
        <f t="shared" si="32"/>
        <v>66.361814712403557</v>
      </c>
      <c r="U37" s="25">
        <f t="shared" si="44"/>
        <v>143.68365491552709</v>
      </c>
      <c r="V37" s="24">
        <f t="shared" si="46"/>
        <v>9284.6666666666679</v>
      </c>
      <c r="W37" s="25">
        <f t="shared" si="8"/>
        <v>8.2898809523809529</v>
      </c>
      <c r="X37" s="15">
        <f t="shared" si="9"/>
        <v>22.965489371438842</v>
      </c>
      <c r="Y37" s="25">
        <f t="shared" si="10"/>
        <v>58.071933760022603</v>
      </c>
      <c r="Z37" s="15"/>
      <c r="AA37" s="15">
        <f t="shared" si="56"/>
        <v>58.071933760022603</v>
      </c>
      <c r="AB37" s="13">
        <f t="shared" si="39"/>
        <v>3000</v>
      </c>
      <c r="AC37" s="13">
        <f t="shared" si="57"/>
        <v>3034.2867194359246</v>
      </c>
      <c r="AD37" s="13">
        <f t="shared" si="58"/>
        <v>41044.583289343907</v>
      </c>
      <c r="AE37" s="24" t="e">
        <f>#REF!</f>
        <v>#REF!</v>
      </c>
      <c r="AF37" s="13" t="e">
        <f>SUM(AE$8:AE37)</f>
        <v>#REF!</v>
      </c>
      <c r="AG37" s="13" t="e">
        <f>#REF!</f>
        <v>#REF!</v>
      </c>
      <c r="AH37" s="13" t="e">
        <f>SUM(AG$8:AG37)</f>
        <v>#REF!</v>
      </c>
      <c r="AI37" s="27" t="e">
        <f>(AF37*0.9)*($AD37/#REF!)+(AH37*0.45)*($AD37/#REF!)</f>
        <v>#REF!</v>
      </c>
      <c r="AJ37" s="13">
        <v>4300</v>
      </c>
      <c r="AK37" s="13">
        <f t="shared" si="48"/>
        <v>4235</v>
      </c>
      <c r="AL37" s="13">
        <f t="shared" si="47"/>
        <v>900</v>
      </c>
      <c r="AM37" s="24" t="e">
        <f>#REF!+AI37+AJ37</f>
        <v>#REF!</v>
      </c>
      <c r="AN37" s="15" t="e">
        <f t="shared" si="59"/>
        <v>#REF!</v>
      </c>
      <c r="AO37" s="13" t="e">
        <f>#REF!+AK37</f>
        <v>#REF!</v>
      </c>
      <c r="AP37" s="15" t="e">
        <f t="shared" si="60"/>
        <v>#REF!</v>
      </c>
      <c r="AQ37" s="13" t="e">
        <f>#REF!+AL37</f>
        <v>#REF!</v>
      </c>
      <c r="AR37" s="15" t="e">
        <f t="shared" si="61"/>
        <v>#REF!</v>
      </c>
      <c r="AS37" s="13">
        <f t="shared" si="49"/>
        <v>16000</v>
      </c>
      <c r="AT37" s="15">
        <f t="shared" si="62"/>
        <v>14.284438889384878</v>
      </c>
      <c r="AU37" s="27" t="e">
        <f t="shared" si="63"/>
        <v>#REF!</v>
      </c>
      <c r="AV37" s="27" t="e">
        <f t="shared" si="64"/>
        <v>#REF!</v>
      </c>
      <c r="AW37" s="34"/>
      <c r="AX37" s="28">
        <f t="shared" si="65"/>
        <v>77.5</v>
      </c>
      <c r="AY37" s="14">
        <f t="shared" si="35"/>
        <v>50</v>
      </c>
      <c r="AZ37" s="28">
        <f t="shared" si="66"/>
        <v>31</v>
      </c>
      <c r="BA37" s="14">
        <f t="shared" si="36"/>
        <v>20</v>
      </c>
      <c r="BB37" s="28">
        <f t="shared" si="67"/>
        <v>0</v>
      </c>
      <c r="BC37" s="14">
        <v>0</v>
      </c>
      <c r="BD37" s="28">
        <f t="shared" si="68"/>
        <v>108.5</v>
      </c>
      <c r="BE37" s="29">
        <f t="shared" si="69"/>
        <v>70</v>
      </c>
      <c r="BF37" s="29">
        <f t="shared" si="70"/>
        <v>11.928066239977397</v>
      </c>
      <c r="BG37" s="128"/>
      <c r="BH37" s="129">
        <v>0.08</v>
      </c>
      <c r="BI37" s="37"/>
      <c r="BJ37" s="37"/>
      <c r="BK37" s="11"/>
      <c r="BL37" s="1" t="e">
        <f>(E37/#REF!)*#REF!</f>
        <v>#REF!</v>
      </c>
      <c r="BM37"/>
      <c r="BN37" s="12" t="e">
        <f>BN36*1.03</f>
        <v>#REF!</v>
      </c>
      <c r="BO37" s="1" t="e">
        <f>BO36*1.03</f>
        <v>#REF!</v>
      </c>
      <c r="BP37"/>
      <c r="BQ37" s="1">
        <v>15659045.777126102</v>
      </c>
      <c r="BR37" s="21">
        <f t="shared" si="71"/>
        <v>15.659045777126101</v>
      </c>
      <c r="BS37" s="2"/>
      <c r="BT37" s="2">
        <v>11977155.777126102</v>
      </c>
      <c r="BU37" s="11">
        <f t="shared" si="72"/>
        <v>11.977155777126102</v>
      </c>
    </row>
    <row r="38" spans="1:76" s="109" customFormat="1" x14ac:dyDescent="0.15">
      <c r="A38" s="11">
        <f t="shared" si="37"/>
        <v>1.1370831668669763</v>
      </c>
      <c r="B38" s="138">
        <f t="shared" si="73"/>
        <v>2040</v>
      </c>
      <c r="C38" s="240">
        <f t="shared" si="45"/>
        <v>188903.88888888864</v>
      </c>
      <c r="D38" s="133">
        <v>16830</v>
      </c>
      <c r="E38" s="133">
        <f t="shared" si="50"/>
        <v>205733.88888888864</v>
      </c>
      <c r="F38" s="65">
        <f t="shared" si="38"/>
        <v>22217.814602494549</v>
      </c>
      <c r="G38" s="133">
        <f t="shared" si="29"/>
        <v>1979.450089457516</v>
      </c>
      <c r="H38" s="134">
        <f t="shared" si="51"/>
        <v>22261.483516595901</v>
      </c>
      <c r="I38" s="65">
        <f t="shared" si="42"/>
        <v>4344.2050225961921</v>
      </c>
      <c r="J38" s="133">
        <v>135</v>
      </c>
      <c r="K38" s="134">
        <f t="shared" si="52"/>
        <v>4479.2050225961921</v>
      </c>
      <c r="L38" s="65">
        <f t="shared" si="43"/>
        <v>3945.9675473964044</v>
      </c>
      <c r="M38" s="133">
        <v>40</v>
      </c>
      <c r="N38" s="134">
        <f t="shared" si="53"/>
        <v>3985.9675473964044</v>
      </c>
      <c r="O38" s="133">
        <f t="shared" si="31"/>
        <v>2240</v>
      </c>
      <c r="P38" s="133">
        <f t="shared" si="3"/>
        <v>2458.1324869270802</v>
      </c>
      <c r="Q38" s="134">
        <f t="shared" si="54"/>
        <v>4698.1324869270802</v>
      </c>
      <c r="R38" s="65">
        <f t="shared" si="55"/>
        <v>35424.78857351558</v>
      </c>
      <c r="S38" s="135">
        <f t="shared" si="6"/>
        <v>31.625407208344583</v>
      </c>
      <c r="T38" s="135">
        <f t="shared" si="32"/>
        <v>67.175895858358089</v>
      </c>
      <c r="U38" s="136">
        <f t="shared" si="44"/>
        <v>143.99897915032508</v>
      </c>
      <c r="V38" s="65">
        <f t="shared" si="46"/>
        <v>9713.3333333333339</v>
      </c>
      <c r="W38" s="47">
        <f t="shared" si="8"/>
        <v>8.6726190476190474</v>
      </c>
      <c r="X38" s="46">
        <f t="shared" si="9"/>
        <v>22.952788160725536</v>
      </c>
      <c r="Y38" s="47">
        <f t="shared" si="10"/>
        <v>58.503276810739038</v>
      </c>
      <c r="Z38" s="46"/>
      <c r="AA38" s="46">
        <f t="shared" si="56"/>
        <v>58.503276810739038</v>
      </c>
      <c r="AB38" s="133">
        <f t="shared" si="39"/>
        <v>3000</v>
      </c>
      <c r="AC38" s="133">
        <f t="shared" si="57"/>
        <v>3072.66560865885</v>
      </c>
      <c r="AD38" s="133">
        <f t="shared" si="58"/>
        <v>41497.454182174428</v>
      </c>
      <c r="AE38" s="24" t="e">
        <f>#REF!</f>
        <v>#REF!</v>
      </c>
      <c r="AF38" s="13" t="e">
        <f>SUM(AE$8:AE38)</f>
        <v>#REF!</v>
      </c>
      <c r="AG38" s="13" t="e">
        <f>#REF!</f>
        <v>#REF!</v>
      </c>
      <c r="AH38" s="13" t="e">
        <f>SUM(AG$8:AG38)</f>
        <v>#REF!</v>
      </c>
      <c r="AI38" s="27" t="e">
        <f>(AF38*0.9)*($AD38/#REF!)+(AH38*0.45)*($AD38/#REF!)</f>
        <v>#REF!</v>
      </c>
      <c r="AJ38" s="13">
        <v>4300</v>
      </c>
      <c r="AK38" s="13">
        <f t="shared" si="48"/>
        <v>4235</v>
      </c>
      <c r="AL38" s="13">
        <f t="shared" si="47"/>
        <v>900</v>
      </c>
      <c r="AM38" s="24" t="e">
        <f>#REF!+AI38+AJ38</f>
        <v>#REF!</v>
      </c>
      <c r="AN38" s="15" t="e">
        <f t="shared" si="59"/>
        <v>#REF!</v>
      </c>
      <c r="AO38" s="13" t="e">
        <f>#REF!+AK38</f>
        <v>#REF!</v>
      </c>
      <c r="AP38" s="15" t="e">
        <f t="shared" si="60"/>
        <v>#REF!</v>
      </c>
      <c r="AQ38" s="13" t="e">
        <f>#REF!+AL38</f>
        <v>#REF!</v>
      </c>
      <c r="AR38" s="15" t="e">
        <f t="shared" si="61"/>
        <v>#REF!</v>
      </c>
      <c r="AS38" s="13">
        <f t="shared" si="49"/>
        <v>16000</v>
      </c>
      <c r="AT38" s="15">
        <f t="shared" si="62"/>
        <v>14.284438889384878</v>
      </c>
      <c r="AU38" s="27" t="e">
        <f t="shared" si="63"/>
        <v>#REF!</v>
      </c>
      <c r="AV38" s="27" t="e">
        <f t="shared" si="64"/>
        <v>#REF!</v>
      </c>
      <c r="AW38" s="34"/>
      <c r="AX38" s="28">
        <f t="shared" si="65"/>
        <v>77.5</v>
      </c>
      <c r="AY38" s="14">
        <f t="shared" si="35"/>
        <v>50</v>
      </c>
      <c r="AZ38" s="28">
        <f t="shared" si="66"/>
        <v>31</v>
      </c>
      <c r="BA38" s="14">
        <f t="shared" si="36"/>
        <v>20</v>
      </c>
      <c r="BB38" s="28">
        <f t="shared" si="67"/>
        <v>0</v>
      </c>
      <c r="BC38" s="14">
        <v>0</v>
      </c>
      <c r="BD38" s="28">
        <f t="shared" si="68"/>
        <v>108.5</v>
      </c>
      <c r="BE38" s="29">
        <f t="shared" si="69"/>
        <v>70</v>
      </c>
      <c r="BF38" s="29">
        <f t="shared" si="70"/>
        <v>11.496723189260962</v>
      </c>
      <c r="BG38" s="128"/>
      <c r="BH38" s="129">
        <v>0.08</v>
      </c>
      <c r="BI38" s="48"/>
      <c r="BJ38" s="48"/>
      <c r="BK38" s="49"/>
      <c r="BL38" s="50" t="e">
        <f>(E38/#REF!)*#REF!</f>
        <v>#REF!</v>
      </c>
      <c r="BM38" s="51"/>
      <c r="BN38" s="52" t="e">
        <f>BN37</f>
        <v>#REF!</v>
      </c>
      <c r="BO38" s="50" t="e">
        <f>BO37</f>
        <v>#REF!</v>
      </c>
      <c r="BP38" s="51"/>
      <c r="BQ38" s="50">
        <v>16503467.877810361</v>
      </c>
      <c r="BR38" s="53">
        <f t="shared" si="71"/>
        <v>16.503467877810362</v>
      </c>
      <c r="BS38" s="40"/>
      <c r="BT38" s="40">
        <v>12113554.877810361</v>
      </c>
      <c r="BU38" s="49">
        <f t="shared" si="72"/>
        <v>12.11355487781036</v>
      </c>
    </row>
    <row r="39" spans="1:76" s="109" customFormat="1" x14ac:dyDescent="0.15">
      <c r="A39" s="11">
        <f t="shared" si="37"/>
        <v>1.1242989527302194</v>
      </c>
      <c r="B39" s="33">
        <f t="shared" si="73"/>
        <v>2041</v>
      </c>
      <c r="C39" s="13">
        <f t="shared" si="45"/>
        <v>191027.73333333308</v>
      </c>
      <c r="D39" s="13">
        <v>16830</v>
      </c>
      <c r="E39" s="13">
        <f t="shared" si="50"/>
        <v>207857.73333333308</v>
      </c>
      <c r="F39" s="24">
        <f t="shared" si="38"/>
        <v>22467.609259389941</v>
      </c>
      <c r="G39" s="13">
        <f t="shared" si="29"/>
        <v>1979.450089457516</v>
      </c>
      <c r="H39" s="27">
        <f t="shared" si="51"/>
        <v>22491.294600939662</v>
      </c>
      <c r="I39" s="24">
        <f t="shared" si="42"/>
        <v>4450.7140003081186</v>
      </c>
      <c r="J39" s="13">
        <v>135</v>
      </c>
      <c r="K39" s="27">
        <f t="shared" si="52"/>
        <v>4585.7140003081186</v>
      </c>
      <c r="L39" s="24">
        <f t="shared" si="43"/>
        <v>3993.4363775699776</v>
      </c>
      <c r="M39" s="13">
        <v>40</v>
      </c>
      <c r="N39" s="27">
        <f t="shared" si="53"/>
        <v>4033.4363775699776</v>
      </c>
      <c r="O39" s="13">
        <f t="shared" si="31"/>
        <v>2240</v>
      </c>
      <c r="P39" s="13">
        <f t="shared" si="3"/>
        <v>2488.8355983054207</v>
      </c>
      <c r="Q39" s="27">
        <f t="shared" si="54"/>
        <v>4728.8355983054207</v>
      </c>
      <c r="R39" s="24">
        <f t="shared" si="55"/>
        <v>35839.28057712318</v>
      </c>
      <c r="S39" s="15">
        <f t="shared" si="6"/>
        <v>31.995444092869366</v>
      </c>
      <c r="T39" s="15">
        <f t="shared" si="32"/>
        <v>67.989977004312607</v>
      </c>
      <c r="U39" s="25">
        <f t="shared" si="44"/>
        <v>144.30785955824658</v>
      </c>
      <c r="V39" s="24">
        <f t="shared" si="46"/>
        <v>10142</v>
      </c>
      <c r="W39" s="25">
        <f t="shared" si="8"/>
        <v>9.055357142857142</v>
      </c>
      <c r="X39" s="15">
        <f t="shared" si="9"/>
        <v>22.940086950012223</v>
      </c>
      <c r="Y39" s="25">
        <f t="shared" si="10"/>
        <v>58.934619861455467</v>
      </c>
      <c r="Z39" s="15"/>
      <c r="AA39" s="15">
        <f t="shared" si="56"/>
        <v>58.934619861455467</v>
      </c>
      <c r="AB39" s="13">
        <f t="shared" si="39"/>
        <v>3000</v>
      </c>
      <c r="AC39" s="13">
        <f t="shared" si="57"/>
        <v>3111.0444978817759</v>
      </c>
      <c r="AD39" s="13">
        <f t="shared" si="58"/>
        <v>41950.325075004956</v>
      </c>
      <c r="AE39" s="24" t="e">
        <f>#REF!</f>
        <v>#REF!</v>
      </c>
      <c r="AF39" s="13" t="e">
        <f>SUM(AE$8:AE39)</f>
        <v>#REF!</v>
      </c>
      <c r="AG39" s="13" t="e">
        <f>#REF!</f>
        <v>#REF!</v>
      </c>
      <c r="AH39" s="13" t="e">
        <f>SUM(AG$8:AG39)</f>
        <v>#REF!</v>
      </c>
      <c r="AI39" s="27" t="e">
        <f>(AF39*0.9)*($AD39/#REF!)+(AH39*0.45)*($AD39/#REF!)</f>
        <v>#REF!</v>
      </c>
      <c r="AJ39" s="13">
        <v>4300</v>
      </c>
      <c r="AK39" s="13">
        <f t="shared" si="48"/>
        <v>4235</v>
      </c>
      <c r="AL39" s="13">
        <f t="shared" si="47"/>
        <v>900</v>
      </c>
      <c r="AM39" s="24" t="e">
        <f>#REF!+AI39+AJ39</f>
        <v>#REF!</v>
      </c>
      <c r="AN39" s="15" t="e">
        <f t="shared" si="59"/>
        <v>#REF!</v>
      </c>
      <c r="AO39" s="13" t="e">
        <f>#REF!+AK39</f>
        <v>#REF!</v>
      </c>
      <c r="AP39" s="15" t="e">
        <f t="shared" si="60"/>
        <v>#REF!</v>
      </c>
      <c r="AQ39" s="13" t="e">
        <f>#REF!+AL39</f>
        <v>#REF!</v>
      </c>
      <c r="AR39" s="15" t="e">
        <f t="shared" si="61"/>
        <v>#REF!</v>
      </c>
      <c r="AS39" s="13">
        <f t="shared" si="49"/>
        <v>16000</v>
      </c>
      <c r="AT39" s="15">
        <f t="shared" si="62"/>
        <v>14.284438889384878</v>
      </c>
      <c r="AU39" s="27" t="e">
        <f t="shared" si="63"/>
        <v>#REF!</v>
      </c>
      <c r="AV39" s="27" t="e">
        <f t="shared" si="64"/>
        <v>#REF!</v>
      </c>
      <c r="AW39" s="34"/>
      <c r="AX39" s="28">
        <f t="shared" si="65"/>
        <v>77.5</v>
      </c>
      <c r="AY39" s="14">
        <f t="shared" si="35"/>
        <v>50</v>
      </c>
      <c r="AZ39" s="28">
        <f t="shared" si="66"/>
        <v>31</v>
      </c>
      <c r="BA39" s="14">
        <f t="shared" si="36"/>
        <v>20</v>
      </c>
      <c r="BB39" s="28">
        <f t="shared" si="67"/>
        <v>0</v>
      </c>
      <c r="BC39" s="14">
        <v>0</v>
      </c>
      <c r="BD39" s="28">
        <f t="shared" si="68"/>
        <v>108.5</v>
      </c>
      <c r="BE39" s="29">
        <f t="shared" si="69"/>
        <v>70</v>
      </c>
      <c r="BF39" s="29">
        <f t="shared" si="70"/>
        <v>11.065380138544533</v>
      </c>
      <c r="BG39" s="128"/>
      <c r="BH39" s="129">
        <v>0.08</v>
      </c>
      <c r="BI39" s="37"/>
      <c r="BJ39" s="37"/>
      <c r="BK39" s="11"/>
      <c r="BL39" s="1" t="e">
        <f>(E39/#REF!)*#REF!</f>
        <v>#REF!</v>
      </c>
      <c r="BM39"/>
      <c r="BN39" s="12" t="e">
        <f>BN38*1.03</f>
        <v>#REF!</v>
      </c>
      <c r="BO39" s="1" t="e">
        <f>BO38*1.03</f>
        <v>#REF!</v>
      </c>
      <c r="BP39"/>
      <c r="BQ39" s="1">
        <v>16647582.725317692</v>
      </c>
      <c r="BR39" s="21">
        <f t="shared" si="71"/>
        <v>16.647582725317694</v>
      </c>
      <c r="BS39" s="2"/>
      <c r="BT39" s="2">
        <v>12244646.725317692</v>
      </c>
      <c r="BU39" s="11">
        <f t="shared" si="72"/>
        <v>12.244646725317692</v>
      </c>
    </row>
    <row r="40" spans="1:76" s="109" customFormat="1" x14ac:dyDescent="0.15">
      <c r="A40" s="11">
        <f t="shared" si="37"/>
        <v>1.1117990081254006</v>
      </c>
      <c r="B40" s="33">
        <f t="shared" si="73"/>
        <v>2042</v>
      </c>
      <c r="C40" s="13">
        <f t="shared" si="45"/>
        <v>193151.57777777751</v>
      </c>
      <c r="D40" s="13">
        <v>16830</v>
      </c>
      <c r="E40" s="13">
        <f t="shared" si="50"/>
        <v>209981.57777777751</v>
      </c>
      <c r="F40" s="24">
        <f t="shared" si="38"/>
        <v>22717.403916285326</v>
      </c>
      <c r="G40" s="13">
        <f t="shared" si="29"/>
        <v>1979.450089457516</v>
      </c>
      <c r="H40" s="27">
        <f t="shared" si="51"/>
        <v>22721.105685283415</v>
      </c>
      <c r="I40" s="24">
        <f t="shared" si="42"/>
        <v>4557.222978020045</v>
      </c>
      <c r="J40" s="13">
        <v>135</v>
      </c>
      <c r="K40" s="27">
        <f t="shared" si="52"/>
        <v>4692.222978020045</v>
      </c>
      <c r="L40" s="24">
        <f t="shared" si="43"/>
        <v>4040.9052077435508</v>
      </c>
      <c r="M40" s="13">
        <v>40</v>
      </c>
      <c r="N40" s="27">
        <f t="shared" si="53"/>
        <v>4080.9052077435508</v>
      </c>
      <c r="O40" s="13">
        <f t="shared" si="31"/>
        <v>2240</v>
      </c>
      <c r="P40" s="13">
        <f t="shared" si="3"/>
        <v>2519.5387096837608</v>
      </c>
      <c r="Q40" s="27">
        <f t="shared" si="54"/>
        <v>4759.5387096837603</v>
      </c>
      <c r="R40" s="24">
        <f t="shared" si="55"/>
        <v>36253.772580730772</v>
      </c>
      <c r="S40" s="15">
        <f t="shared" si="6"/>
        <v>32.365480977394149</v>
      </c>
      <c r="T40" s="15">
        <f t="shared" si="32"/>
        <v>68.804058150267139</v>
      </c>
      <c r="U40" s="25">
        <f t="shared" si="44"/>
        <v>144.61049166624284</v>
      </c>
      <c r="V40" s="24">
        <f t="shared" si="46"/>
        <v>10570.666666666666</v>
      </c>
      <c r="W40" s="25">
        <f t="shared" si="8"/>
        <v>9.4380952380952383</v>
      </c>
      <c r="X40" s="15">
        <f t="shared" si="9"/>
        <v>22.927385739298913</v>
      </c>
      <c r="Y40" s="25">
        <f t="shared" si="10"/>
        <v>59.365962912171902</v>
      </c>
      <c r="Z40" s="15"/>
      <c r="AA40" s="15">
        <f t="shared" si="56"/>
        <v>59.365962912171902</v>
      </c>
      <c r="AB40" s="13">
        <f t="shared" si="39"/>
        <v>3000</v>
      </c>
      <c r="AC40" s="13">
        <f t="shared" si="57"/>
        <v>3149.4233871047013</v>
      </c>
      <c r="AD40" s="13">
        <f t="shared" si="58"/>
        <v>42403.195967835476</v>
      </c>
      <c r="AE40" s="24" t="e">
        <f>#REF!</f>
        <v>#REF!</v>
      </c>
      <c r="AF40" s="13" t="e">
        <f>SUM(AE$8:AE40)</f>
        <v>#REF!</v>
      </c>
      <c r="AG40" s="13" t="e">
        <f>#REF!</f>
        <v>#REF!</v>
      </c>
      <c r="AH40" s="13" t="e">
        <f>SUM(AG$8:AG40)</f>
        <v>#REF!</v>
      </c>
      <c r="AI40" s="27" t="e">
        <f>(AF40*0.9)*($AD40/#REF!)+(AH40*0.45)*($AD40/#REF!)</f>
        <v>#REF!</v>
      </c>
      <c r="AJ40" s="13">
        <v>4300</v>
      </c>
      <c r="AK40" s="13">
        <f t="shared" si="48"/>
        <v>4235</v>
      </c>
      <c r="AL40" s="13">
        <f t="shared" si="47"/>
        <v>900</v>
      </c>
      <c r="AM40" s="24" t="e">
        <f>#REF!+AI40+AJ40</f>
        <v>#REF!</v>
      </c>
      <c r="AN40" s="15" t="e">
        <f t="shared" si="59"/>
        <v>#REF!</v>
      </c>
      <c r="AO40" s="13" t="e">
        <f>#REF!+AK40</f>
        <v>#REF!</v>
      </c>
      <c r="AP40" s="15" t="e">
        <f t="shared" si="60"/>
        <v>#REF!</v>
      </c>
      <c r="AQ40" s="13" t="e">
        <f>#REF!+AL40</f>
        <v>#REF!</v>
      </c>
      <c r="AR40" s="15" t="e">
        <f t="shared" si="61"/>
        <v>#REF!</v>
      </c>
      <c r="AS40" s="13">
        <f t="shared" si="49"/>
        <v>16000</v>
      </c>
      <c r="AT40" s="15">
        <f t="shared" si="62"/>
        <v>14.284438889384878</v>
      </c>
      <c r="AU40" s="27" t="e">
        <f t="shared" si="63"/>
        <v>#REF!</v>
      </c>
      <c r="AV40" s="27" t="e">
        <f t="shared" si="64"/>
        <v>#REF!</v>
      </c>
      <c r="AW40" s="34"/>
      <c r="AX40" s="28">
        <f t="shared" si="65"/>
        <v>77.5</v>
      </c>
      <c r="AY40" s="14">
        <f t="shared" si="35"/>
        <v>50</v>
      </c>
      <c r="AZ40" s="28">
        <f t="shared" si="66"/>
        <v>31</v>
      </c>
      <c r="BA40" s="14">
        <f t="shared" si="36"/>
        <v>20</v>
      </c>
      <c r="BB40" s="28">
        <f t="shared" si="67"/>
        <v>0</v>
      </c>
      <c r="BC40" s="14">
        <v>0</v>
      </c>
      <c r="BD40" s="28">
        <f t="shared" si="68"/>
        <v>108.5</v>
      </c>
      <c r="BE40" s="29">
        <f t="shared" si="69"/>
        <v>70</v>
      </c>
      <c r="BF40" s="29">
        <f t="shared" si="70"/>
        <v>10.634037087828098</v>
      </c>
      <c r="BG40" s="128"/>
      <c r="BH40" s="129">
        <v>0.08</v>
      </c>
      <c r="BI40" s="37"/>
      <c r="BJ40" s="37"/>
      <c r="BK40" s="11"/>
      <c r="BL40" s="1" t="e">
        <f>(E40/#REF!)*#REF!</f>
        <v>#REF!</v>
      </c>
      <c r="BM40"/>
      <c r="BN40" s="12" t="e">
        <f>BN39</f>
        <v>#REF!</v>
      </c>
      <c r="BO40" s="1" t="e">
        <f>BO39</f>
        <v>#REF!</v>
      </c>
      <c r="BP40"/>
      <c r="BQ40" s="1">
        <v>15951697.572825026</v>
      </c>
      <c r="BR40" s="21">
        <f t="shared" si="71"/>
        <v>15.951697572825026</v>
      </c>
      <c r="BS40" s="2"/>
      <c r="BT40" s="2">
        <v>12375738.572825026</v>
      </c>
      <c r="BU40" s="11">
        <f t="shared" si="72"/>
        <v>12.375738572825027</v>
      </c>
    </row>
    <row r="41" spans="1:76" s="109" customFormat="1" x14ac:dyDescent="0.15">
      <c r="A41" s="11">
        <f t="shared" si="37"/>
        <v>1.0995739557913073</v>
      </c>
      <c r="B41" s="33">
        <f t="shared" si="73"/>
        <v>2043</v>
      </c>
      <c r="C41" s="13">
        <f t="shared" si="45"/>
        <v>195275.42222222194</v>
      </c>
      <c r="D41" s="13">
        <v>16830</v>
      </c>
      <c r="E41" s="13">
        <f t="shared" si="50"/>
        <v>212105.42222222194</v>
      </c>
      <c r="F41" s="24">
        <f t="shared" si="38"/>
        <v>22967.198573180714</v>
      </c>
      <c r="G41" s="13">
        <f t="shared" si="29"/>
        <v>1979.450089457516</v>
      </c>
      <c r="H41" s="27">
        <f t="shared" si="51"/>
        <v>22950.916769627176</v>
      </c>
      <c r="I41" s="24">
        <f t="shared" si="42"/>
        <v>4663.7319557319715</v>
      </c>
      <c r="J41" s="13">
        <v>135</v>
      </c>
      <c r="K41" s="27">
        <f t="shared" si="52"/>
        <v>4798.7319557319715</v>
      </c>
      <c r="L41" s="24">
        <f t="shared" si="43"/>
        <v>4088.374037917124</v>
      </c>
      <c r="M41" s="13">
        <v>40</v>
      </c>
      <c r="N41" s="27">
        <f t="shared" si="53"/>
        <v>4128.374037917124</v>
      </c>
      <c r="O41" s="13">
        <f t="shared" si="31"/>
        <v>2240</v>
      </c>
      <c r="P41" s="13">
        <f t="shared" si="3"/>
        <v>2550.2418210621017</v>
      </c>
      <c r="Q41" s="27">
        <f t="shared" si="54"/>
        <v>4790.2418210621017</v>
      </c>
      <c r="R41" s="24">
        <f t="shared" si="55"/>
        <v>36668.264584338373</v>
      </c>
      <c r="S41" s="15">
        <f t="shared" si="6"/>
        <v>32.735517861918936</v>
      </c>
      <c r="T41" s="15">
        <f t="shared" si="32"/>
        <v>69.618139296221671</v>
      </c>
      <c r="U41" s="25">
        <f t="shared" si="44"/>
        <v>144.90706316989866</v>
      </c>
      <c r="V41" s="24">
        <f t="shared" si="46"/>
        <v>10999.333333333332</v>
      </c>
      <c r="W41" s="25">
        <f t="shared" si="8"/>
        <v>9.8208333333333329</v>
      </c>
      <c r="X41" s="15">
        <f t="shared" si="9"/>
        <v>22.914684528585603</v>
      </c>
      <c r="Y41" s="25">
        <f t="shared" si="10"/>
        <v>59.797305962888338</v>
      </c>
      <c r="Z41" s="15"/>
      <c r="AA41" s="15">
        <f t="shared" si="56"/>
        <v>59.797305962888338</v>
      </c>
      <c r="AB41" s="13">
        <f t="shared" si="39"/>
        <v>3000</v>
      </c>
      <c r="AC41" s="13">
        <f t="shared" si="57"/>
        <v>3187.8022763276276</v>
      </c>
      <c r="AD41" s="13">
        <f t="shared" si="58"/>
        <v>42856.066860666004</v>
      </c>
      <c r="AE41" s="24" t="e">
        <f>#REF!</f>
        <v>#REF!</v>
      </c>
      <c r="AF41" s="13" t="e">
        <f>SUM(AE$8:AE41)</f>
        <v>#REF!</v>
      </c>
      <c r="AG41" s="13" t="e">
        <f>#REF!</f>
        <v>#REF!</v>
      </c>
      <c r="AH41" s="13" t="e">
        <f>SUM(AG$8:AG41)</f>
        <v>#REF!</v>
      </c>
      <c r="AI41" s="27" t="e">
        <f>(AF41*0.9)*($AD41/#REF!)+(AH41*0.45)*($AD41/#REF!)</f>
        <v>#REF!</v>
      </c>
      <c r="AJ41" s="13">
        <v>4300</v>
      </c>
      <c r="AK41" s="13">
        <f t="shared" si="48"/>
        <v>4235</v>
      </c>
      <c r="AL41" s="13">
        <f t="shared" si="47"/>
        <v>900</v>
      </c>
      <c r="AM41" s="24" t="e">
        <f>#REF!+AI41+AJ41</f>
        <v>#REF!</v>
      </c>
      <c r="AN41" s="15" t="e">
        <f t="shared" si="59"/>
        <v>#REF!</v>
      </c>
      <c r="AO41" s="13" t="e">
        <f>#REF!+AK41</f>
        <v>#REF!</v>
      </c>
      <c r="AP41" s="15" t="e">
        <f t="shared" si="60"/>
        <v>#REF!</v>
      </c>
      <c r="AQ41" s="13" t="e">
        <f>#REF!+AL41</f>
        <v>#REF!</v>
      </c>
      <c r="AR41" s="15" t="e">
        <f t="shared" si="61"/>
        <v>#REF!</v>
      </c>
      <c r="AS41" s="13">
        <f t="shared" si="49"/>
        <v>16000</v>
      </c>
      <c r="AT41" s="15">
        <f t="shared" si="62"/>
        <v>14.284438889384878</v>
      </c>
      <c r="AU41" s="27" t="e">
        <f t="shared" si="63"/>
        <v>#REF!</v>
      </c>
      <c r="AV41" s="27" t="e">
        <f t="shared" si="64"/>
        <v>#REF!</v>
      </c>
      <c r="AW41" s="34"/>
      <c r="AX41" s="28">
        <f t="shared" si="65"/>
        <v>77.5</v>
      </c>
      <c r="AY41" s="14">
        <f t="shared" si="35"/>
        <v>50</v>
      </c>
      <c r="AZ41" s="28">
        <f t="shared" si="66"/>
        <v>31</v>
      </c>
      <c r="BA41" s="14">
        <f t="shared" si="36"/>
        <v>20</v>
      </c>
      <c r="BB41" s="28">
        <f t="shared" si="67"/>
        <v>0</v>
      </c>
      <c r="BC41" s="14">
        <v>0</v>
      </c>
      <c r="BD41" s="28">
        <f t="shared" si="68"/>
        <v>108.5</v>
      </c>
      <c r="BE41" s="29">
        <f t="shared" si="69"/>
        <v>70</v>
      </c>
      <c r="BF41" s="29">
        <f t="shared" si="70"/>
        <v>10.202694037111662</v>
      </c>
      <c r="BG41" s="128"/>
      <c r="BH41" s="129">
        <v>0.08</v>
      </c>
      <c r="BI41" s="37"/>
      <c r="BJ41" s="37"/>
      <c r="BK41" s="11"/>
      <c r="BL41" s="1" t="e">
        <f>(E41/#REF!)*#REF!</f>
        <v>#REF!</v>
      </c>
      <c r="BM41"/>
      <c r="BN41" s="12" t="e">
        <f>BN40*1.03</f>
        <v>#REF!</v>
      </c>
      <c r="BO41" s="1" t="e">
        <f>BO40*1.03</f>
        <v>#REF!</v>
      </c>
      <c r="BP41"/>
      <c r="BQ41" s="1">
        <v>16351812.420332357</v>
      </c>
      <c r="BR41" s="21">
        <f t="shared" si="71"/>
        <v>16.351812420332358</v>
      </c>
      <c r="BS41" s="2"/>
      <c r="BT41" s="2">
        <v>12506830.420332357</v>
      </c>
      <c r="BU41" s="11">
        <f t="shared" si="72"/>
        <v>12.506830420332358</v>
      </c>
    </row>
    <row r="42" spans="1:76" s="109" customFormat="1" x14ac:dyDescent="0.15">
      <c r="A42" s="11">
        <f t="shared" si="37"/>
        <v>1.0876148264206611</v>
      </c>
      <c r="B42" s="33">
        <f t="shared" si="73"/>
        <v>2044</v>
      </c>
      <c r="C42" s="13">
        <f t="shared" si="45"/>
        <v>197399.26666666637</v>
      </c>
      <c r="D42" s="13">
        <v>16830</v>
      </c>
      <c r="E42" s="13">
        <f t="shared" si="50"/>
        <v>214229.26666666637</v>
      </c>
      <c r="F42" s="24">
        <f t="shared" si="38"/>
        <v>23216.993230076107</v>
      </c>
      <c r="G42" s="13">
        <f t="shared" si="29"/>
        <v>1979.450089457516</v>
      </c>
      <c r="H42" s="27">
        <f t="shared" si="51"/>
        <v>23180.727853970937</v>
      </c>
      <c r="I42" s="24">
        <f t="shared" si="42"/>
        <v>4770.240933443898</v>
      </c>
      <c r="J42" s="13">
        <v>135</v>
      </c>
      <c r="K42" s="27">
        <f t="shared" si="52"/>
        <v>4905.240933443898</v>
      </c>
      <c r="L42" s="24">
        <f t="shared" si="43"/>
        <v>4135.8428680906973</v>
      </c>
      <c r="M42" s="13">
        <v>40</v>
      </c>
      <c r="N42" s="27">
        <f t="shared" si="53"/>
        <v>4175.8428680906973</v>
      </c>
      <c r="O42" s="13">
        <f t="shared" si="31"/>
        <v>2240</v>
      </c>
      <c r="P42" s="13">
        <f t="shared" si="3"/>
        <v>2580.9449324404427</v>
      </c>
      <c r="Q42" s="27">
        <f t="shared" si="54"/>
        <v>4820.9449324404432</v>
      </c>
      <c r="R42" s="24">
        <f t="shared" si="55"/>
        <v>37082.756587945973</v>
      </c>
      <c r="S42" s="15">
        <f t="shared" si="6"/>
        <v>33.10555474644373</v>
      </c>
      <c r="T42" s="15">
        <f t="shared" si="32"/>
        <v>70.432220442176217</v>
      </c>
      <c r="U42" s="25">
        <f t="shared" si="44"/>
        <v>145.19775432162857</v>
      </c>
      <c r="V42" s="24">
        <f t="shared" si="46"/>
        <v>11427.999999999998</v>
      </c>
      <c r="W42" s="25">
        <f t="shared" si="8"/>
        <v>10.203571428571427</v>
      </c>
      <c r="X42" s="15">
        <f t="shared" si="9"/>
        <v>22.9019833178723</v>
      </c>
      <c r="Y42" s="25">
        <f t="shared" si="10"/>
        <v>60.228649013604787</v>
      </c>
      <c r="Z42" s="15"/>
      <c r="AA42" s="15">
        <f t="shared" si="56"/>
        <v>60.228649013604787</v>
      </c>
      <c r="AB42" s="13">
        <f t="shared" si="39"/>
        <v>3000</v>
      </c>
      <c r="AC42" s="13">
        <f t="shared" si="57"/>
        <v>3226.1811655505535</v>
      </c>
      <c r="AD42" s="13">
        <f t="shared" si="58"/>
        <v>43308.937753496524</v>
      </c>
      <c r="AE42" s="24" t="e">
        <f>#REF!</f>
        <v>#REF!</v>
      </c>
      <c r="AF42" s="13" t="e">
        <f>SUM(AE$8:AE42)</f>
        <v>#REF!</v>
      </c>
      <c r="AG42" s="13" t="e">
        <f>#REF!</f>
        <v>#REF!</v>
      </c>
      <c r="AH42" s="13" t="e">
        <f>SUM(AG$8:AG42)</f>
        <v>#REF!</v>
      </c>
      <c r="AI42" s="27" t="e">
        <f>(AF42*0.9)*($AD42/#REF!)+(AH42*0.45)*($AD42/#REF!)</f>
        <v>#REF!</v>
      </c>
      <c r="AJ42" s="13">
        <v>4300</v>
      </c>
      <c r="AK42" s="13">
        <f t="shared" si="48"/>
        <v>4235</v>
      </c>
      <c r="AL42" s="13">
        <f t="shared" si="47"/>
        <v>900</v>
      </c>
      <c r="AM42" s="24" t="e">
        <f>#REF!+AI42+AJ42</f>
        <v>#REF!</v>
      </c>
      <c r="AN42" s="15" t="e">
        <f t="shared" si="59"/>
        <v>#REF!</v>
      </c>
      <c r="AO42" s="13" t="e">
        <f>#REF!+AK42</f>
        <v>#REF!</v>
      </c>
      <c r="AP42" s="15" t="e">
        <f t="shared" si="60"/>
        <v>#REF!</v>
      </c>
      <c r="AQ42" s="13" t="e">
        <f>#REF!+AL42</f>
        <v>#REF!</v>
      </c>
      <c r="AR42" s="15" t="e">
        <f t="shared" si="61"/>
        <v>#REF!</v>
      </c>
      <c r="AS42" s="13">
        <f t="shared" si="49"/>
        <v>16000</v>
      </c>
      <c r="AT42" s="15">
        <f t="shared" si="62"/>
        <v>14.284438889384878</v>
      </c>
      <c r="AU42" s="27" t="e">
        <f t="shared" si="63"/>
        <v>#REF!</v>
      </c>
      <c r="AV42" s="27" t="e">
        <f t="shared" si="64"/>
        <v>#REF!</v>
      </c>
      <c r="AW42" s="34"/>
      <c r="AX42" s="28">
        <f t="shared" si="65"/>
        <v>77.5</v>
      </c>
      <c r="AY42" s="14">
        <f t="shared" si="35"/>
        <v>50</v>
      </c>
      <c r="AZ42" s="28">
        <f t="shared" si="66"/>
        <v>31</v>
      </c>
      <c r="BA42" s="14">
        <f t="shared" si="36"/>
        <v>20</v>
      </c>
      <c r="BB42" s="28">
        <f t="shared" si="67"/>
        <v>0</v>
      </c>
      <c r="BC42" s="14">
        <v>0</v>
      </c>
      <c r="BD42" s="28">
        <f t="shared" si="68"/>
        <v>108.5</v>
      </c>
      <c r="BE42" s="29">
        <f t="shared" si="69"/>
        <v>70</v>
      </c>
      <c r="BF42" s="29">
        <f t="shared" si="70"/>
        <v>9.7713509863952126</v>
      </c>
      <c r="BG42" s="128"/>
      <c r="BH42" s="129">
        <v>0.08</v>
      </c>
      <c r="BI42" s="37"/>
      <c r="BJ42" s="37"/>
      <c r="BK42" s="11"/>
      <c r="BL42" s="1" t="e">
        <f>(E42/#REF!)*#REF!</f>
        <v>#REF!</v>
      </c>
      <c r="BM42"/>
      <c r="BN42" s="12" t="e">
        <f>BN41</f>
        <v>#REF!</v>
      </c>
      <c r="BO42" s="1" t="e">
        <f>BO41</f>
        <v>#REF!</v>
      </c>
      <c r="BP42"/>
      <c r="BQ42" s="1">
        <v>16259927.267839687</v>
      </c>
      <c r="BR42" s="21">
        <f t="shared" si="71"/>
        <v>16.259927267839686</v>
      </c>
      <c r="BS42" s="2"/>
      <c r="BT42" s="2">
        <v>12637922.267839687</v>
      </c>
      <c r="BU42" s="11">
        <f t="shared" si="72"/>
        <v>12.637922267839686</v>
      </c>
    </row>
    <row r="43" spans="1:76" s="109" customFormat="1" x14ac:dyDescent="0.15">
      <c r="A43" s="11">
        <f t="shared" si="37"/>
        <v>1.0759130367139671</v>
      </c>
      <c r="B43" s="138">
        <f t="shared" si="73"/>
        <v>2045</v>
      </c>
      <c r="C43" s="240">
        <f t="shared" si="45"/>
        <v>199523.1111111108</v>
      </c>
      <c r="D43" s="133">
        <v>16830</v>
      </c>
      <c r="E43" s="133">
        <f t="shared" si="50"/>
        <v>216353.1111111108</v>
      </c>
      <c r="F43" s="65">
        <f t="shared" si="38"/>
        <v>23466.787886971491</v>
      </c>
      <c r="G43" s="133">
        <f t="shared" si="29"/>
        <v>1979.450089457516</v>
      </c>
      <c r="H43" s="134">
        <f t="shared" si="51"/>
        <v>23410.53893831469</v>
      </c>
      <c r="I43" s="65">
        <f t="shared" si="42"/>
        <v>4876.7499111558245</v>
      </c>
      <c r="J43" s="133">
        <v>135</v>
      </c>
      <c r="K43" s="134">
        <f t="shared" si="52"/>
        <v>5011.7499111558245</v>
      </c>
      <c r="L43" s="65">
        <f t="shared" si="43"/>
        <v>4183.3116982642705</v>
      </c>
      <c r="M43" s="133">
        <v>40</v>
      </c>
      <c r="N43" s="134">
        <f t="shared" si="53"/>
        <v>4223.3116982642705</v>
      </c>
      <c r="O43" s="133">
        <f t="shared" si="31"/>
        <v>2240</v>
      </c>
      <c r="P43" s="133">
        <f t="shared" si="3"/>
        <v>2611.6480438187828</v>
      </c>
      <c r="Q43" s="134">
        <f t="shared" si="54"/>
        <v>4851.6480438187828</v>
      </c>
      <c r="R43" s="65">
        <f t="shared" si="55"/>
        <v>37497.248591553565</v>
      </c>
      <c r="S43" s="135">
        <f t="shared" si="6"/>
        <v>33.475591630968502</v>
      </c>
      <c r="T43" s="135">
        <f t="shared" si="32"/>
        <v>71.246301588130706</v>
      </c>
      <c r="U43" s="136">
        <f t="shared" si="44"/>
        <v>145.48273829600853</v>
      </c>
      <c r="V43" s="65">
        <f t="shared" si="46"/>
        <v>11856.666666666664</v>
      </c>
      <c r="W43" s="47">
        <f t="shared" si="8"/>
        <v>10.586309523809522</v>
      </c>
      <c r="X43" s="46">
        <f t="shared" si="9"/>
        <v>22.88928210715898</v>
      </c>
      <c r="Y43" s="47">
        <f t="shared" si="10"/>
        <v>60.659992064321187</v>
      </c>
      <c r="Z43" s="46"/>
      <c r="AA43" s="46">
        <f t="shared" si="56"/>
        <v>60.659992064321187</v>
      </c>
      <c r="AB43" s="133">
        <f t="shared" si="39"/>
        <v>3000</v>
      </c>
      <c r="AC43" s="133">
        <f t="shared" si="57"/>
        <v>3264.5600547734789</v>
      </c>
      <c r="AD43" s="133">
        <f t="shared" si="58"/>
        <v>43761.808646327045</v>
      </c>
      <c r="AE43" s="24" t="e">
        <f>#REF!</f>
        <v>#REF!</v>
      </c>
      <c r="AF43" s="13" t="e">
        <f>SUM(AE$8:AE43)</f>
        <v>#REF!</v>
      </c>
      <c r="AG43" s="13" t="e">
        <f>#REF!</f>
        <v>#REF!</v>
      </c>
      <c r="AH43" s="13" t="e">
        <f>SUM(AG$8:AG43)</f>
        <v>#REF!</v>
      </c>
      <c r="AI43" s="27" t="e">
        <f>(AF43*0.9)*($AD43/#REF!)+(AH43*0.45)*($AD43/#REF!)</f>
        <v>#REF!</v>
      </c>
      <c r="AJ43" s="13">
        <v>4300</v>
      </c>
      <c r="AK43" s="13">
        <f t="shared" si="48"/>
        <v>4235</v>
      </c>
      <c r="AL43" s="13">
        <f t="shared" si="47"/>
        <v>900</v>
      </c>
      <c r="AM43" s="24" t="e">
        <f>#REF!+AI43+AJ43</f>
        <v>#REF!</v>
      </c>
      <c r="AN43" s="15" t="e">
        <f t="shared" si="59"/>
        <v>#REF!</v>
      </c>
      <c r="AO43" s="13" t="e">
        <f>#REF!+AK43</f>
        <v>#REF!</v>
      </c>
      <c r="AP43" s="15" t="e">
        <f t="shared" si="60"/>
        <v>#REF!</v>
      </c>
      <c r="AQ43" s="13" t="e">
        <f>#REF!+AL43</f>
        <v>#REF!</v>
      </c>
      <c r="AR43" s="15" t="e">
        <f t="shared" si="61"/>
        <v>#REF!</v>
      </c>
      <c r="AS43" s="13">
        <f t="shared" si="49"/>
        <v>16000</v>
      </c>
      <c r="AT43" s="15">
        <f t="shared" si="62"/>
        <v>14.284438889384878</v>
      </c>
      <c r="AU43" s="27" t="e">
        <f t="shared" si="63"/>
        <v>#REF!</v>
      </c>
      <c r="AV43" s="27" t="e">
        <f t="shared" si="64"/>
        <v>#REF!</v>
      </c>
      <c r="AW43" s="34"/>
      <c r="AX43" s="28">
        <f t="shared" si="65"/>
        <v>77.5</v>
      </c>
      <c r="AY43" s="14">
        <f t="shared" si="35"/>
        <v>50</v>
      </c>
      <c r="AZ43" s="28">
        <f t="shared" si="66"/>
        <v>31</v>
      </c>
      <c r="BA43" s="14">
        <f t="shared" si="36"/>
        <v>20</v>
      </c>
      <c r="BB43" s="28">
        <f t="shared" si="67"/>
        <v>0</v>
      </c>
      <c r="BC43" s="14">
        <v>0</v>
      </c>
      <c r="BD43" s="28">
        <f t="shared" si="68"/>
        <v>108.5</v>
      </c>
      <c r="BE43" s="29">
        <f t="shared" si="69"/>
        <v>70</v>
      </c>
      <c r="BF43" s="29">
        <f t="shared" si="70"/>
        <v>9.3400079356788126</v>
      </c>
      <c r="BG43" s="128"/>
      <c r="BH43" s="129">
        <v>0.08</v>
      </c>
      <c r="BI43" s="48"/>
      <c r="BJ43" s="48"/>
      <c r="BK43" s="49"/>
      <c r="BL43" s="50" t="e">
        <f>(E43/#REF!)*#REF!</f>
        <v>#REF!</v>
      </c>
      <c r="BM43" s="51"/>
      <c r="BN43" s="52" t="e">
        <f>BN42*1.03</f>
        <v>#REF!</v>
      </c>
      <c r="BO43" s="50" t="e">
        <f>BO42*1.03</f>
        <v>#REF!</v>
      </c>
      <c r="BP43" s="51"/>
      <c r="BQ43" s="50">
        <v>91337218.115347013</v>
      </c>
      <c r="BR43" s="53">
        <f t="shared" si="71"/>
        <v>91.337218115347014</v>
      </c>
      <c r="BS43" s="40"/>
      <c r="BT43" s="40">
        <v>12777190.115347017</v>
      </c>
      <c r="BU43" s="49">
        <f t="shared" si="72"/>
        <v>12.777190115347016</v>
      </c>
    </row>
    <row r="44" spans="1:76" s="109" customFormat="1" x14ac:dyDescent="0.15">
      <c r="A44" s="11">
        <f t="shared" si="37"/>
        <v>1.0644603688350176</v>
      </c>
      <c r="B44" s="33">
        <f t="shared" si="73"/>
        <v>2046</v>
      </c>
      <c r="C44" s="13">
        <f t="shared" si="45"/>
        <v>201646.95555555524</v>
      </c>
      <c r="D44" s="13">
        <v>16830</v>
      </c>
      <c r="E44" s="13">
        <f t="shared" si="50"/>
        <v>218476.95555555524</v>
      </c>
      <c r="F44" s="24">
        <f t="shared" si="38"/>
        <v>23716.582543866876</v>
      </c>
      <c r="G44" s="13">
        <f t="shared" si="29"/>
        <v>1979.450089457516</v>
      </c>
      <c r="H44" s="27">
        <f t="shared" si="51"/>
        <v>23640.350022658444</v>
      </c>
      <c r="I44" s="24">
        <f t="shared" si="42"/>
        <v>4983.258888867751</v>
      </c>
      <c r="J44" s="13">
        <v>135</v>
      </c>
      <c r="K44" s="27">
        <f t="shared" si="52"/>
        <v>5118.258888867751</v>
      </c>
      <c r="L44" s="24">
        <f t="shared" si="43"/>
        <v>4230.7805284378437</v>
      </c>
      <c r="M44" s="13">
        <v>40</v>
      </c>
      <c r="N44" s="27">
        <f t="shared" si="53"/>
        <v>4270.7805284378437</v>
      </c>
      <c r="O44" s="13">
        <f t="shared" si="31"/>
        <v>2240</v>
      </c>
      <c r="P44" s="13">
        <f t="shared" si="3"/>
        <v>2642.3511551971228</v>
      </c>
      <c r="Q44" s="27">
        <f t="shared" si="54"/>
        <v>4882.3511551971224</v>
      </c>
      <c r="R44" s="24">
        <f t="shared" si="55"/>
        <v>37911.740595161158</v>
      </c>
      <c r="S44" s="15">
        <f t="shared" si="6"/>
        <v>33.845628515493281</v>
      </c>
      <c r="T44" s="15">
        <f t="shared" si="32"/>
        <v>72.060382734085223</v>
      </c>
      <c r="U44" s="25">
        <f t="shared" si="44"/>
        <v>145.76218153379961</v>
      </c>
      <c r="V44" s="24">
        <f t="shared" si="46"/>
        <v>12285.33333333333</v>
      </c>
      <c r="W44" s="25">
        <f t="shared" si="8"/>
        <v>10.969047619047616</v>
      </c>
      <c r="X44" s="15">
        <f t="shared" si="9"/>
        <v>22.876580896445667</v>
      </c>
      <c r="Y44" s="25">
        <f t="shared" si="10"/>
        <v>61.091335115037609</v>
      </c>
      <c r="Z44" s="15"/>
      <c r="AA44" s="15">
        <f t="shared" si="56"/>
        <v>61.091335115037609</v>
      </c>
      <c r="AB44" s="13">
        <f t="shared" si="39"/>
        <v>3000</v>
      </c>
      <c r="AC44" s="13">
        <f t="shared" si="57"/>
        <v>3302.9389439964043</v>
      </c>
      <c r="AD44" s="13">
        <f t="shared" si="58"/>
        <v>44214.679539157565</v>
      </c>
      <c r="AE44" s="24" t="e">
        <f>#REF!</f>
        <v>#REF!</v>
      </c>
      <c r="AF44" s="13" t="e">
        <f>SUM(AE$8:AE44)</f>
        <v>#REF!</v>
      </c>
      <c r="AG44" s="13" t="e">
        <f>#REF!</f>
        <v>#REF!</v>
      </c>
      <c r="AH44" s="13" t="e">
        <f>SUM(AG$8:AG44)</f>
        <v>#REF!</v>
      </c>
      <c r="AI44" s="27" t="e">
        <f>(AF44*0.9)*($AD44/#REF!)+(AH44*0.45)*($AD44/#REF!)</f>
        <v>#REF!</v>
      </c>
      <c r="AJ44" s="13">
        <v>4300</v>
      </c>
      <c r="AK44" s="13">
        <f t="shared" si="48"/>
        <v>4235</v>
      </c>
      <c r="AL44" s="13">
        <f t="shared" si="47"/>
        <v>900</v>
      </c>
      <c r="AM44" s="24" t="e">
        <f>#REF!+AI44+AJ44</f>
        <v>#REF!</v>
      </c>
      <c r="AN44" s="15" t="e">
        <f t="shared" si="59"/>
        <v>#REF!</v>
      </c>
      <c r="AO44" s="13" t="e">
        <f>#REF!+AK44</f>
        <v>#REF!</v>
      </c>
      <c r="AP44" s="15" t="e">
        <f t="shared" si="60"/>
        <v>#REF!</v>
      </c>
      <c r="AQ44" s="13" t="e">
        <f>#REF!+AL44</f>
        <v>#REF!</v>
      </c>
      <c r="AR44" s="15" t="e">
        <f t="shared" si="61"/>
        <v>#REF!</v>
      </c>
      <c r="AS44" s="13">
        <f t="shared" si="49"/>
        <v>16000</v>
      </c>
      <c r="AT44" s="15">
        <f t="shared" si="62"/>
        <v>14.284438889384878</v>
      </c>
      <c r="AU44" s="27" t="e">
        <f t="shared" si="63"/>
        <v>#REF!</v>
      </c>
      <c r="AV44" s="27" t="e">
        <f t="shared" si="64"/>
        <v>#REF!</v>
      </c>
      <c r="AW44" s="34"/>
      <c r="AX44" s="28">
        <f t="shared" si="65"/>
        <v>77.5</v>
      </c>
      <c r="AY44" s="14">
        <f t="shared" si="35"/>
        <v>50</v>
      </c>
      <c r="AZ44" s="28">
        <f t="shared" si="66"/>
        <v>31</v>
      </c>
      <c r="BA44" s="14">
        <f t="shared" si="36"/>
        <v>20</v>
      </c>
      <c r="BB44" s="28">
        <f t="shared" si="67"/>
        <v>0</v>
      </c>
      <c r="BC44" s="14">
        <v>0</v>
      </c>
      <c r="BD44" s="28">
        <f t="shared" si="68"/>
        <v>108.5</v>
      </c>
      <c r="BE44" s="29">
        <f t="shared" si="69"/>
        <v>70</v>
      </c>
      <c r="BF44" s="29">
        <f t="shared" si="70"/>
        <v>8.9086648849623913</v>
      </c>
      <c r="BG44" s="128"/>
      <c r="BH44" s="129">
        <v>0.08</v>
      </c>
      <c r="BI44" s="37"/>
      <c r="BJ44" s="37"/>
      <c r="BK44" s="11"/>
      <c r="BL44" s="1" t="e">
        <f>(E44/#REF!)*#REF!</f>
        <v>#REF!</v>
      </c>
      <c r="BM44"/>
      <c r="BN44" s="12" t="e">
        <f>BN43</f>
        <v>#REF!</v>
      </c>
      <c r="BO44" s="1" t="e">
        <f>BO43</f>
        <v>#REF!</v>
      </c>
      <c r="BP44"/>
      <c r="BQ44" s="1">
        <v>17076332.962854348</v>
      </c>
      <c r="BR44" s="21">
        <f t="shared" si="71"/>
        <v>17.076332962854348</v>
      </c>
      <c r="BS44" s="2"/>
      <c r="BT44" s="2">
        <v>12908281.962854346</v>
      </c>
      <c r="BU44" s="11">
        <f t="shared" si="72"/>
        <v>12.908281962854346</v>
      </c>
    </row>
    <row r="45" spans="1:76" s="109" customFormat="1" x14ac:dyDescent="0.15">
      <c r="A45" s="11">
        <f t="shared" si="37"/>
        <v>1.053248951164699</v>
      </c>
      <c r="B45" s="33">
        <f t="shared" si="73"/>
        <v>2047</v>
      </c>
      <c r="C45" s="13">
        <f t="shared" si="45"/>
        <v>203770.79999999967</v>
      </c>
      <c r="D45" s="13">
        <v>16830</v>
      </c>
      <c r="E45" s="13">
        <f t="shared" si="50"/>
        <v>220600.79999999967</v>
      </c>
      <c r="F45" s="24">
        <f t="shared" si="38"/>
        <v>23966.377200762268</v>
      </c>
      <c r="G45" s="13">
        <f t="shared" si="29"/>
        <v>1979.450089457516</v>
      </c>
      <c r="H45" s="27">
        <f t="shared" si="51"/>
        <v>23870.161107002205</v>
      </c>
      <c r="I45" s="24">
        <f t="shared" si="42"/>
        <v>5089.7678665796775</v>
      </c>
      <c r="J45" s="13">
        <v>135</v>
      </c>
      <c r="K45" s="27">
        <f t="shared" si="52"/>
        <v>5224.7678665796775</v>
      </c>
      <c r="L45" s="24">
        <f t="shared" si="43"/>
        <v>4278.2493586114169</v>
      </c>
      <c r="M45" s="13">
        <v>40</v>
      </c>
      <c r="N45" s="27">
        <f t="shared" si="53"/>
        <v>4318.2493586114169</v>
      </c>
      <c r="O45" s="13">
        <f t="shared" si="31"/>
        <v>2240</v>
      </c>
      <c r="P45" s="13">
        <f t="shared" si="3"/>
        <v>2673.0542665754638</v>
      </c>
      <c r="Q45" s="27">
        <f t="shared" si="54"/>
        <v>4913.0542665754638</v>
      </c>
      <c r="R45" s="24">
        <f t="shared" si="55"/>
        <v>38326.232598768765</v>
      </c>
      <c r="S45" s="15">
        <f t="shared" si="6"/>
        <v>34.215665400018082</v>
      </c>
      <c r="T45" s="15">
        <f t="shared" si="32"/>
        <v>72.874463880039784</v>
      </c>
      <c r="U45" s="25">
        <f t="shared" si="44"/>
        <v>146.03624406609805</v>
      </c>
      <c r="V45" s="24">
        <f t="shared" si="46"/>
        <v>12713.999999999996</v>
      </c>
      <c r="W45" s="25">
        <f t="shared" si="8"/>
        <v>11.351785714285711</v>
      </c>
      <c r="X45" s="15">
        <f t="shared" si="9"/>
        <v>22.863879685732371</v>
      </c>
      <c r="Y45" s="25">
        <f t="shared" si="10"/>
        <v>61.522678165754073</v>
      </c>
      <c r="Z45" s="15"/>
      <c r="AA45" s="15">
        <f t="shared" si="56"/>
        <v>61.522678165754073</v>
      </c>
      <c r="AB45" s="13">
        <f t="shared" si="39"/>
        <v>3000</v>
      </c>
      <c r="AC45" s="13">
        <f t="shared" si="57"/>
        <v>3341.3178332193306</v>
      </c>
      <c r="AD45" s="13">
        <f t="shared" si="58"/>
        <v>44667.550431988093</v>
      </c>
      <c r="AE45" s="24" t="e">
        <f>#REF!</f>
        <v>#REF!</v>
      </c>
      <c r="AF45" s="13" t="e">
        <f>SUM(AE$8:AE45)</f>
        <v>#REF!</v>
      </c>
      <c r="AG45" s="13" t="e">
        <f>#REF!</f>
        <v>#REF!</v>
      </c>
      <c r="AH45" s="13" t="e">
        <f>SUM(AG$8:AG45)</f>
        <v>#REF!</v>
      </c>
      <c r="AI45" s="27" t="e">
        <f>(AF45*0.9)*($AD45/#REF!)+(AH45*0.45)*($AD45/#REF!)</f>
        <v>#REF!</v>
      </c>
      <c r="AJ45" s="13">
        <v>4300</v>
      </c>
      <c r="AK45" s="13">
        <f t="shared" si="48"/>
        <v>4235</v>
      </c>
      <c r="AL45" s="13">
        <f t="shared" si="47"/>
        <v>900</v>
      </c>
      <c r="AM45" s="24" t="e">
        <f>#REF!+AI45+AJ45</f>
        <v>#REF!</v>
      </c>
      <c r="AN45" s="15" t="e">
        <f t="shared" si="59"/>
        <v>#REF!</v>
      </c>
      <c r="AO45" s="13" t="e">
        <f>#REF!+AK45</f>
        <v>#REF!</v>
      </c>
      <c r="AP45" s="15" t="e">
        <f t="shared" si="60"/>
        <v>#REF!</v>
      </c>
      <c r="AQ45" s="13" t="e">
        <f>#REF!+AL45</f>
        <v>#REF!</v>
      </c>
      <c r="AR45" s="15" t="e">
        <f t="shared" si="61"/>
        <v>#REF!</v>
      </c>
      <c r="AS45" s="13">
        <f t="shared" si="49"/>
        <v>16000</v>
      </c>
      <c r="AT45" s="15">
        <f t="shared" si="62"/>
        <v>14.284438889384878</v>
      </c>
      <c r="AU45" s="27" t="e">
        <f t="shared" si="63"/>
        <v>#REF!</v>
      </c>
      <c r="AV45" s="27" t="e">
        <f t="shared" si="64"/>
        <v>#REF!</v>
      </c>
      <c r="AW45" s="34"/>
      <c r="AX45" s="28">
        <f t="shared" si="65"/>
        <v>77.5</v>
      </c>
      <c r="AY45" s="14">
        <f t="shared" si="35"/>
        <v>50</v>
      </c>
      <c r="AZ45" s="28">
        <f t="shared" si="66"/>
        <v>31</v>
      </c>
      <c r="BA45" s="14">
        <f t="shared" si="36"/>
        <v>20</v>
      </c>
      <c r="BB45" s="28">
        <f t="shared" si="67"/>
        <v>0</v>
      </c>
      <c r="BC45" s="14">
        <v>0</v>
      </c>
      <c r="BD45" s="28">
        <f t="shared" si="68"/>
        <v>108.5</v>
      </c>
      <c r="BE45" s="29">
        <f t="shared" si="69"/>
        <v>70</v>
      </c>
      <c r="BF45" s="29">
        <f t="shared" si="70"/>
        <v>8.4773218342459273</v>
      </c>
      <c r="BG45" s="128"/>
      <c r="BH45" s="129">
        <v>0.08</v>
      </c>
      <c r="BI45" s="37"/>
      <c r="BJ45" s="37"/>
      <c r="BK45" s="11"/>
      <c r="BL45" s="1" t="e">
        <f>(E45/#REF!)*#REF!</f>
        <v>#REF!</v>
      </c>
      <c r="BM45"/>
      <c r="BN45" s="12" t="e">
        <f>BN44*1.03</f>
        <v>#REF!</v>
      </c>
      <c r="BO45" s="1" t="e">
        <f>BO44*1.03</f>
        <v>#REF!</v>
      </c>
      <c r="BP45"/>
      <c r="BQ45" s="1">
        <v>16905447.810361683</v>
      </c>
      <c r="BR45" s="21">
        <f t="shared" si="71"/>
        <v>16.905447810361682</v>
      </c>
      <c r="BS45" s="2"/>
      <c r="BT45" s="2">
        <v>13039373.810361682</v>
      </c>
      <c r="BU45" s="11">
        <f t="shared" si="72"/>
        <v>13.039373810361681</v>
      </c>
    </row>
    <row r="46" spans="1:76" s="109" customFormat="1" x14ac:dyDescent="0.15">
      <c r="A46" s="11">
        <f t="shared" si="37"/>
        <v>1.0422712402583862</v>
      </c>
      <c r="B46" s="33">
        <f t="shared" si="73"/>
        <v>2048</v>
      </c>
      <c r="C46" s="13">
        <f t="shared" si="45"/>
        <v>205894.6444444441</v>
      </c>
      <c r="D46" s="13">
        <v>16830</v>
      </c>
      <c r="E46" s="13">
        <f t="shared" si="50"/>
        <v>222724.6444444441</v>
      </c>
      <c r="F46" s="24">
        <f t="shared" si="38"/>
        <v>24216.171857657657</v>
      </c>
      <c r="G46" s="13">
        <f t="shared" si="29"/>
        <v>1979.450089457516</v>
      </c>
      <c r="H46" s="27">
        <f t="shared" si="51"/>
        <v>24099.972191345962</v>
      </c>
      <c r="I46" s="24">
        <f t="shared" si="42"/>
        <v>5196.276844291604</v>
      </c>
      <c r="J46" s="13">
        <v>135</v>
      </c>
      <c r="K46" s="27">
        <f t="shared" si="52"/>
        <v>5331.276844291604</v>
      </c>
      <c r="L46" s="24">
        <f t="shared" si="43"/>
        <v>4325.7181887849902</v>
      </c>
      <c r="M46" s="13">
        <v>40</v>
      </c>
      <c r="N46" s="27">
        <f t="shared" si="53"/>
        <v>4365.7181887849902</v>
      </c>
      <c r="O46" s="13">
        <f t="shared" si="31"/>
        <v>2240</v>
      </c>
      <c r="P46" s="13">
        <f t="shared" si="3"/>
        <v>2703.7573779538043</v>
      </c>
      <c r="Q46" s="27">
        <f t="shared" si="54"/>
        <v>4943.7573779538043</v>
      </c>
      <c r="R46" s="24">
        <f t="shared" si="55"/>
        <v>38740.724602376358</v>
      </c>
      <c r="S46" s="15">
        <f t="shared" si="6"/>
        <v>34.585702284542862</v>
      </c>
      <c r="T46" s="15">
        <f t="shared" si="32"/>
        <v>73.688545025994301</v>
      </c>
      <c r="U46" s="25">
        <f t="shared" si="44"/>
        <v>146.30507981994006</v>
      </c>
      <c r="V46" s="24">
        <f t="shared" si="46"/>
        <v>13142.666666666662</v>
      </c>
      <c r="W46" s="25">
        <f t="shared" si="8"/>
        <v>11.734523809523806</v>
      </c>
      <c r="X46" s="15">
        <f t="shared" si="9"/>
        <v>22.851178475019054</v>
      </c>
      <c r="Y46" s="25">
        <f t="shared" si="10"/>
        <v>61.954021216470494</v>
      </c>
      <c r="Z46" s="15"/>
      <c r="AA46" s="15">
        <f t="shared" si="56"/>
        <v>61.954021216470494</v>
      </c>
      <c r="AB46" s="13">
        <f t="shared" si="39"/>
        <v>3000</v>
      </c>
      <c r="AC46" s="13">
        <f t="shared" si="57"/>
        <v>3379.6967224422551</v>
      </c>
      <c r="AD46" s="13">
        <f t="shared" si="58"/>
        <v>45120.421324818613</v>
      </c>
      <c r="AE46" s="24" t="e">
        <f>#REF!</f>
        <v>#REF!</v>
      </c>
      <c r="AF46" s="13" t="e">
        <f>SUM(AE$8:AE46)</f>
        <v>#REF!</v>
      </c>
      <c r="AG46" s="13" t="e">
        <f>#REF!</f>
        <v>#REF!</v>
      </c>
      <c r="AH46" s="13" t="e">
        <f>SUM(AG$8:AG46)</f>
        <v>#REF!</v>
      </c>
      <c r="AI46" s="27" t="e">
        <f>(AF46*0.9)*($AD46/#REF!)+(AH46*0.45)*($AD46/#REF!)</f>
        <v>#REF!</v>
      </c>
      <c r="AJ46" s="13">
        <v>4300</v>
      </c>
      <c r="AK46" s="13">
        <f t="shared" si="48"/>
        <v>4235</v>
      </c>
      <c r="AL46" s="13">
        <f t="shared" si="47"/>
        <v>900</v>
      </c>
      <c r="AM46" s="24" t="e">
        <f>#REF!+AI46+AJ46</f>
        <v>#REF!</v>
      </c>
      <c r="AN46" s="15" t="e">
        <f t="shared" si="59"/>
        <v>#REF!</v>
      </c>
      <c r="AO46" s="13" t="e">
        <f>#REF!+AK46</f>
        <v>#REF!</v>
      </c>
      <c r="AP46" s="15" t="e">
        <f t="shared" si="60"/>
        <v>#REF!</v>
      </c>
      <c r="AQ46" s="13" t="e">
        <f>#REF!+AL46</f>
        <v>#REF!</v>
      </c>
      <c r="AR46" s="15" t="e">
        <f t="shared" si="61"/>
        <v>#REF!</v>
      </c>
      <c r="AS46" s="13">
        <f t="shared" si="49"/>
        <v>16000</v>
      </c>
      <c r="AT46" s="15">
        <f t="shared" si="62"/>
        <v>14.284438889384878</v>
      </c>
      <c r="AU46" s="27" t="e">
        <f t="shared" si="63"/>
        <v>#REF!</v>
      </c>
      <c r="AV46" s="27" t="e">
        <f t="shared" si="64"/>
        <v>#REF!</v>
      </c>
      <c r="AW46" s="34"/>
      <c r="AX46" s="28">
        <f t="shared" si="65"/>
        <v>77.5</v>
      </c>
      <c r="AY46" s="14">
        <f t="shared" si="35"/>
        <v>50</v>
      </c>
      <c r="AZ46" s="28">
        <f t="shared" si="66"/>
        <v>31</v>
      </c>
      <c r="BA46" s="14">
        <f t="shared" si="36"/>
        <v>20</v>
      </c>
      <c r="BB46" s="28">
        <f t="shared" si="67"/>
        <v>0</v>
      </c>
      <c r="BC46" s="14">
        <v>0</v>
      </c>
      <c r="BD46" s="28">
        <f t="shared" si="68"/>
        <v>108.5</v>
      </c>
      <c r="BE46" s="29">
        <f t="shared" si="69"/>
        <v>70</v>
      </c>
      <c r="BF46" s="29">
        <f t="shared" si="70"/>
        <v>8.045978783529506</v>
      </c>
      <c r="BG46" s="128"/>
      <c r="BH46" s="129">
        <v>0.08</v>
      </c>
      <c r="BI46" s="37"/>
      <c r="BJ46" s="37"/>
      <c r="BK46" s="11"/>
      <c r="BL46" s="1" t="e">
        <f>(E46/#REF!)*#REF!</f>
        <v>#REF!</v>
      </c>
      <c r="BM46"/>
      <c r="BN46" s="12" t="e">
        <f>BN45</f>
        <v>#REF!</v>
      </c>
      <c r="BO46" s="1" t="e">
        <f>BO45</f>
        <v>#REF!</v>
      </c>
      <c r="BP46"/>
      <c r="BQ46" s="1">
        <v>16955562.657869011</v>
      </c>
      <c r="BR46" s="21">
        <f t="shared" si="71"/>
        <v>16.95556265786901</v>
      </c>
      <c r="BS46" s="2"/>
      <c r="BT46" s="2">
        <v>13170465.657869011</v>
      </c>
      <c r="BU46" s="11">
        <f t="shared" si="72"/>
        <v>13.170465657869011</v>
      </c>
    </row>
    <row r="47" spans="1:76" s="109" customFormat="1" x14ac:dyDescent="0.15">
      <c r="A47" s="11">
        <f t="shared" si="37"/>
        <v>1.0315200039200156</v>
      </c>
      <c r="B47" s="33">
        <f t="shared" si="73"/>
        <v>2049</v>
      </c>
      <c r="C47" s="13">
        <f t="shared" si="45"/>
        <v>208018.48888888853</v>
      </c>
      <c r="D47" s="13">
        <v>16830</v>
      </c>
      <c r="E47" s="13">
        <f t="shared" si="50"/>
        <v>224848.48888888853</v>
      </c>
      <c r="F47" s="24">
        <f t="shared" si="38"/>
        <v>24465.966514553042</v>
      </c>
      <c r="G47" s="13">
        <f t="shared" si="29"/>
        <v>1979.450089457516</v>
      </c>
      <c r="H47" s="27">
        <f t="shared" si="51"/>
        <v>24329.783275689715</v>
      </c>
      <c r="I47" s="24">
        <f t="shared" si="42"/>
        <v>5302.7858220035305</v>
      </c>
      <c r="J47" s="13">
        <v>135</v>
      </c>
      <c r="K47" s="27">
        <f t="shared" si="52"/>
        <v>5437.7858220035305</v>
      </c>
      <c r="L47" s="24">
        <f t="shared" si="43"/>
        <v>4373.1870189585634</v>
      </c>
      <c r="M47" s="13">
        <v>40</v>
      </c>
      <c r="N47" s="27">
        <f t="shared" si="53"/>
        <v>4413.1870189585634</v>
      </c>
      <c r="O47" s="13">
        <f t="shared" si="31"/>
        <v>2240</v>
      </c>
      <c r="P47" s="13">
        <f t="shared" si="3"/>
        <v>2734.4604893321443</v>
      </c>
      <c r="Q47" s="27">
        <f t="shared" si="54"/>
        <v>4974.4604893321448</v>
      </c>
      <c r="R47" s="24">
        <f t="shared" si="55"/>
        <v>39155.216605983951</v>
      </c>
      <c r="S47" s="15">
        <f t="shared" si="6"/>
        <v>34.955739169067634</v>
      </c>
      <c r="T47" s="15">
        <f t="shared" si="32"/>
        <v>74.502626171948805</v>
      </c>
      <c r="U47" s="25">
        <f t="shared" si="44"/>
        <v>146.56883690658628</v>
      </c>
      <c r="V47" s="24">
        <f t="shared" si="46"/>
        <v>13571.333333333328</v>
      </c>
      <c r="W47" s="25">
        <f t="shared" si="8"/>
        <v>12.1172619047619</v>
      </c>
      <c r="X47" s="15">
        <f t="shared" si="9"/>
        <v>22.838477264305734</v>
      </c>
      <c r="Y47" s="25">
        <f t="shared" si="10"/>
        <v>62.385364267186901</v>
      </c>
      <c r="Z47" s="15"/>
      <c r="AA47" s="15">
        <f t="shared" si="56"/>
        <v>62.385364267186901</v>
      </c>
      <c r="AB47" s="13">
        <f t="shared" si="39"/>
        <v>3000</v>
      </c>
      <c r="AC47" s="13">
        <f t="shared" si="57"/>
        <v>3418.0756116651814</v>
      </c>
      <c r="AD47" s="13">
        <f t="shared" si="58"/>
        <v>45573.292217649134</v>
      </c>
      <c r="AE47" s="24" t="e">
        <f>#REF!</f>
        <v>#REF!</v>
      </c>
      <c r="AF47" s="13" t="e">
        <f>SUM(AE$8:AE47)</f>
        <v>#REF!</v>
      </c>
      <c r="AG47" s="13" t="e">
        <f>#REF!</f>
        <v>#REF!</v>
      </c>
      <c r="AH47" s="13" t="e">
        <f>SUM(AG$8:AG47)</f>
        <v>#REF!</v>
      </c>
      <c r="AI47" s="27" t="e">
        <f>(AF47*0.9)*($AD47/#REF!)+(AH47*0.45)*($AD47/#REF!)</f>
        <v>#REF!</v>
      </c>
      <c r="AJ47" s="13">
        <v>4300</v>
      </c>
      <c r="AK47" s="13">
        <f t="shared" si="48"/>
        <v>4235</v>
      </c>
      <c r="AL47" s="13">
        <f t="shared" si="47"/>
        <v>900</v>
      </c>
      <c r="AM47" s="24" t="e">
        <f>#REF!+AI47+AJ47</f>
        <v>#REF!</v>
      </c>
      <c r="AN47" s="15" t="e">
        <f t="shared" si="59"/>
        <v>#REF!</v>
      </c>
      <c r="AO47" s="13" t="e">
        <f>#REF!+AK47</f>
        <v>#REF!</v>
      </c>
      <c r="AP47" s="15" t="e">
        <f t="shared" si="60"/>
        <v>#REF!</v>
      </c>
      <c r="AQ47" s="13" t="e">
        <f>#REF!+AL47</f>
        <v>#REF!</v>
      </c>
      <c r="AR47" s="15" t="e">
        <f t="shared" si="61"/>
        <v>#REF!</v>
      </c>
      <c r="AS47" s="13">
        <f t="shared" si="49"/>
        <v>16000</v>
      </c>
      <c r="AT47" s="15">
        <f t="shared" si="62"/>
        <v>14.284438889384878</v>
      </c>
      <c r="AU47" s="27" t="e">
        <f t="shared" si="63"/>
        <v>#REF!</v>
      </c>
      <c r="AV47" s="27" t="e">
        <f t="shared" si="64"/>
        <v>#REF!</v>
      </c>
      <c r="AW47" s="34"/>
      <c r="AX47" s="28">
        <f t="shared" si="65"/>
        <v>77.5</v>
      </c>
      <c r="AY47" s="14">
        <f t="shared" si="35"/>
        <v>50</v>
      </c>
      <c r="AZ47" s="28">
        <f t="shared" si="66"/>
        <v>31</v>
      </c>
      <c r="BA47" s="14">
        <f t="shared" si="36"/>
        <v>20</v>
      </c>
      <c r="BB47" s="28">
        <f t="shared" si="67"/>
        <v>0</v>
      </c>
      <c r="BC47" s="14">
        <v>0</v>
      </c>
      <c r="BD47" s="28">
        <f t="shared" si="68"/>
        <v>108.5</v>
      </c>
      <c r="BE47" s="29">
        <f t="shared" si="69"/>
        <v>70</v>
      </c>
      <c r="BF47" s="29">
        <f t="shared" si="70"/>
        <v>7.6146357328130989</v>
      </c>
      <c r="BG47" s="128"/>
      <c r="BH47" s="129">
        <v>0.08</v>
      </c>
      <c r="BI47" s="37"/>
      <c r="BJ47" s="37"/>
      <c r="BK47" s="11"/>
      <c r="BL47" s="1" t="e">
        <f>(E47/#REF!)*#REF!</f>
        <v>#REF!</v>
      </c>
      <c r="BM47"/>
      <c r="BN47" s="12" t="e">
        <f>BN46*1.03</f>
        <v>#REF!</v>
      </c>
      <c r="BO47" s="1" t="e">
        <f>BO46*1.03</f>
        <v>#REF!</v>
      </c>
      <c r="BP47"/>
      <c r="BQ47" s="1">
        <v>17213677.505376346</v>
      </c>
      <c r="BR47" s="21">
        <f t="shared" si="71"/>
        <v>17.213677505376346</v>
      </c>
      <c r="BS47" s="2"/>
      <c r="BT47" s="2">
        <v>13301557.505376345</v>
      </c>
      <c r="BU47" s="11">
        <f t="shared" si="72"/>
        <v>13.301557505376344</v>
      </c>
    </row>
    <row r="48" spans="1:76" s="109" customFormat="1" x14ac:dyDescent="0.15">
      <c r="A48" s="11">
        <f t="shared" si="37"/>
        <v>1.020988305313028</v>
      </c>
      <c r="B48" s="39">
        <f t="shared" si="73"/>
        <v>2050</v>
      </c>
      <c r="C48" s="240">
        <f t="shared" si="45"/>
        <v>210142.33333333296</v>
      </c>
      <c r="D48" s="42">
        <v>16830</v>
      </c>
      <c r="E48" s="42">
        <f t="shared" si="50"/>
        <v>226972.33333333296</v>
      </c>
      <c r="F48" s="44">
        <f t="shared" si="38"/>
        <v>24715.761171448434</v>
      </c>
      <c r="G48" s="42">
        <f t="shared" si="29"/>
        <v>1979.450089457516</v>
      </c>
      <c r="H48" s="45">
        <f t="shared" si="51"/>
        <v>24559.594360033476</v>
      </c>
      <c r="I48" s="65">
        <f t="shared" si="42"/>
        <v>5409.294799715457</v>
      </c>
      <c r="J48" s="42">
        <v>135</v>
      </c>
      <c r="K48" s="45">
        <f t="shared" si="52"/>
        <v>5544.294799715457</v>
      </c>
      <c r="L48" s="65">
        <f t="shared" si="43"/>
        <v>4420.6558491321366</v>
      </c>
      <c r="M48" s="42">
        <v>40</v>
      </c>
      <c r="N48" s="45">
        <f t="shared" si="53"/>
        <v>4460.6558491321366</v>
      </c>
      <c r="O48" s="42">
        <f t="shared" si="31"/>
        <v>2240</v>
      </c>
      <c r="P48" s="42">
        <f t="shared" si="3"/>
        <v>2765.1636007104858</v>
      </c>
      <c r="Q48" s="45">
        <f t="shared" si="54"/>
        <v>5005.1636007104862</v>
      </c>
      <c r="R48" s="44">
        <f t="shared" si="55"/>
        <v>39569.708609591558</v>
      </c>
      <c r="S48" s="46">
        <f t="shared" si="6"/>
        <v>35.325776053592428</v>
      </c>
      <c r="T48" s="46">
        <f t="shared" si="32"/>
        <v>75.316707317903351</v>
      </c>
      <c r="U48" s="136">
        <f t="shared" si="44"/>
        <v>146.82765789362136</v>
      </c>
      <c r="V48" s="44">
        <v>14000</v>
      </c>
      <c r="W48" s="47">
        <f t="shared" si="8"/>
        <v>12.5</v>
      </c>
      <c r="X48" s="46">
        <f t="shared" si="9"/>
        <v>22.825776053592428</v>
      </c>
      <c r="Y48" s="47">
        <f t="shared" si="10"/>
        <v>62.816707317903351</v>
      </c>
      <c r="Z48" s="46"/>
      <c r="AA48" s="46">
        <f t="shared" si="56"/>
        <v>62.816707317903351</v>
      </c>
      <c r="AB48" s="133">
        <f t="shared" si="39"/>
        <v>3000</v>
      </c>
      <c r="AC48" s="133">
        <f t="shared" si="57"/>
        <v>3456.4545008881068</v>
      </c>
      <c r="AD48" s="133">
        <f t="shared" si="58"/>
        <v>46026.163110479669</v>
      </c>
      <c r="AE48" s="24" t="e">
        <f>#REF!</f>
        <v>#REF!</v>
      </c>
      <c r="AF48" s="13" t="e">
        <f>SUM(AE$8:AE48)</f>
        <v>#REF!</v>
      </c>
      <c r="AG48" s="13" t="e">
        <f>#REF!</f>
        <v>#REF!</v>
      </c>
      <c r="AH48" s="13" t="e">
        <f>SUM(AG$8:AG48)</f>
        <v>#REF!</v>
      </c>
      <c r="AI48" s="27" t="e">
        <f>(AF48*0.9)*($AD48/#REF!)+(AH48*0.45)*($AD48/#REF!)</f>
        <v>#REF!</v>
      </c>
      <c r="AJ48" s="13">
        <v>4300</v>
      </c>
      <c r="AK48" s="13">
        <f t="shared" si="48"/>
        <v>4235</v>
      </c>
      <c r="AL48" s="13">
        <f t="shared" si="47"/>
        <v>900</v>
      </c>
      <c r="AM48" s="24" t="e">
        <f>#REF!+AI48+AJ48</f>
        <v>#REF!</v>
      </c>
      <c r="AN48" s="15" t="e">
        <f t="shared" si="59"/>
        <v>#REF!</v>
      </c>
      <c r="AO48" s="13" t="e">
        <f>#REF!+AK48</f>
        <v>#REF!</v>
      </c>
      <c r="AP48" s="15" t="e">
        <f t="shared" si="60"/>
        <v>#REF!</v>
      </c>
      <c r="AQ48" s="13" t="e">
        <f>#REF!+AL48</f>
        <v>#REF!</v>
      </c>
      <c r="AR48" s="15" t="e">
        <f t="shared" si="61"/>
        <v>#REF!</v>
      </c>
      <c r="AS48" s="13">
        <f t="shared" si="49"/>
        <v>16000</v>
      </c>
      <c r="AT48" s="15">
        <f t="shared" si="62"/>
        <v>14.284438889384878</v>
      </c>
      <c r="AU48" s="27" t="e">
        <f t="shared" si="63"/>
        <v>#REF!</v>
      </c>
      <c r="AV48" s="27" t="e">
        <f t="shared" si="64"/>
        <v>#REF!</v>
      </c>
      <c r="AW48" s="34"/>
      <c r="AX48" s="28">
        <f t="shared" si="65"/>
        <v>77.5</v>
      </c>
      <c r="AY48" s="14">
        <f t="shared" si="35"/>
        <v>50</v>
      </c>
      <c r="AZ48" s="28">
        <f t="shared" si="66"/>
        <v>49.6</v>
      </c>
      <c r="BA48" s="14">
        <v>32</v>
      </c>
      <c r="BB48" s="28">
        <f t="shared" si="67"/>
        <v>0</v>
      </c>
      <c r="BC48" s="14">
        <v>0</v>
      </c>
      <c r="BD48" s="28">
        <f t="shared" si="68"/>
        <v>127.10000000000001</v>
      </c>
      <c r="BE48" s="29">
        <f t="shared" si="69"/>
        <v>82</v>
      </c>
      <c r="BF48" s="29">
        <f t="shared" si="70"/>
        <v>19.183292682096649</v>
      </c>
      <c r="BG48" s="128"/>
      <c r="BH48" s="129">
        <v>0.08</v>
      </c>
      <c r="BI48" s="48"/>
      <c r="BJ48" s="48"/>
      <c r="BK48" s="49"/>
      <c r="BL48" s="50" t="e">
        <f>(E48/#REF!)*#REF!</f>
        <v>#REF!</v>
      </c>
      <c r="BM48" s="51"/>
      <c r="BN48" s="52" t="e">
        <f>BN47</f>
        <v>#REF!</v>
      </c>
      <c r="BO48" s="50" t="e">
        <f>BO47</f>
        <v>#REF!</v>
      </c>
      <c r="BP48" s="51"/>
      <c r="BQ48" s="50">
        <v>17942792.352883674</v>
      </c>
      <c r="BR48" s="53">
        <f t="shared" si="71"/>
        <v>17.942792352883675</v>
      </c>
      <c r="BS48" s="40"/>
      <c r="BT48" s="40">
        <v>13432649.352883674</v>
      </c>
      <c r="BU48" s="49">
        <f t="shared" si="72"/>
        <v>13.432649352883674</v>
      </c>
    </row>
    <row r="49" spans="1:74" s="109" customFormat="1" x14ac:dyDescent="0.15">
      <c r="A49" s="11">
        <f t="shared" si="37"/>
        <v>1.0106694880348253</v>
      </c>
      <c r="B49" s="33">
        <f t="shared" si="73"/>
        <v>2051</v>
      </c>
      <c r="C49" s="13">
        <f t="shared" si="45"/>
        <v>212266.1777777774</v>
      </c>
      <c r="D49" s="13">
        <v>16830</v>
      </c>
      <c r="E49" s="13">
        <f t="shared" si="50"/>
        <v>229096.1777777774</v>
      </c>
      <c r="F49" s="24">
        <f t="shared" si="38"/>
        <v>24965.555828343819</v>
      </c>
      <c r="G49" s="13">
        <f t="shared" si="29"/>
        <v>1979.450089457516</v>
      </c>
      <c r="H49" s="27">
        <f t="shared" si="51"/>
        <v>24789.405444377229</v>
      </c>
      <c r="I49" s="24">
        <f t="shared" si="42"/>
        <v>5515.8037774273835</v>
      </c>
      <c r="J49" s="13">
        <v>135</v>
      </c>
      <c r="K49" s="27">
        <f t="shared" si="52"/>
        <v>5650.8037774273835</v>
      </c>
      <c r="L49" s="24">
        <f t="shared" si="43"/>
        <v>4468.1246793057098</v>
      </c>
      <c r="M49" s="13">
        <v>40</v>
      </c>
      <c r="N49" s="27">
        <f t="shared" si="53"/>
        <v>4508.1246793057098</v>
      </c>
      <c r="O49" s="13">
        <f t="shared" si="31"/>
        <v>2240</v>
      </c>
      <c r="P49" s="13">
        <f t="shared" si="3"/>
        <v>2795.8667120888258</v>
      </c>
      <c r="Q49" s="27">
        <f t="shared" si="54"/>
        <v>5035.8667120888258</v>
      </c>
      <c r="R49" s="24">
        <f t="shared" si="55"/>
        <v>39984.200613199151</v>
      </c>
      <c r="S49" s="15">
        <f t="shared" si="6"/>
        <v>35.695812938117214</v>
      </c>
      <c r="T49" s="15">
        <f t="shared" si="32"/>
        <v>76.130788463857883</v>
      </c>
      <c r="U49" s="25">
        <f t="shared" si="44"/>
        <v>147.08168006191798</v>
      </c>
      <c r="V49" s="24">
        <v>14000</v>
      </c>
      <c r="W49" s="25">
        <f t="shared" si="8"/>
        <v>12.5</v>
      </c>
      <c r="X49" s="15">
        <f t="shared" si="9"/>
        <v>23.195812938117214</v>
      </c>
      <c r="Y49" s="25">
        <f t="shared" si="10"/>
        <v>63.630788463857883</v>
      </c>
      <c r="Z49" s="15"/>
      <c r="AA49" s="15">
        <f t="shared" si="56"/>
        <v>63.630788463857883</v>
      </c>
      <c r="AB49" s="13">
        <f t="shared" si="39"/>
        <v>3000</v>
      </c>
      <c r="AC49" s="13">
        <f t="shared" si="57"/>
        <v>3494.8333901110327</v>
      </c>
      <c r="AD49" s="13">
        <f t="shared" si="58"/>
        <v>46479.034003310182</v>
      </c>
      <c r="AE49" s="24" t="e">
        <f>#REF!</f>
        <v>#REF!</v>
      </c>
      <c r="AF49" s="13" t="e">
        <f>SUM(AE$8:AE49)</f>
        <v>#REF!</v>
      </c>
      <c r="AG49" s="13" t="e">
        <f>#REF!</f>
        <v>#REF!</v>
      </c>
      <c r="AH49" s="13" t="e">
        <f>SUM(AG$8:AG49)</f>
        <v>#REF!</v>
      </c>
      <c r="AI49" s="27" t="e">
        <f>(AF49*0.9)*($AD49/#REF!)+(AH49*0.45)*($AD49/#REF!)</f>
        <v>#REF!</v>
      </c>
      <c r="AJ49" s="13">
        <v>4300</v>
      </c>
      <c r="AK49" s="13">
        <f t="shared" si="48"/>
        <v>4235</v>
      </c>
      <c r="AL49" s="13">
        <f t="shared" si="47"/>
        <v>900</v>
      </c>
      <c r="AM49" s="24" t="e">
        <f>#REF!+AI49+AJ49</f>
        <v>#REF!</v>
      </c>
      <c r="AN49" s="15" t="e">
        <f t="shared" si="59"/>
        <v>#REF!</v>
      </c>
      <c r="AO49" s="13" t="e">
        <f>#REF!+AK49</f>
        <v>#REF!</v>
      </c>
      <c r="AP49" s="15" t="e">
        <f t="shared" si="60"/>
        <v>#REF!</v>
      </c>
      <c r="AQ49" s="13" t="e">
        <f>#REF!+AL49</f>
        <v>#REF!</v>
      </c>
      <c r="AR49" s="15" t="e">
        <f t="shared" si="61"/>
        <v>#REF!</v>
      </c>
      <c r="AS49" s="13">
        <f t="shared" si="49"/>
        <v>16000</v>
      </c>
      <c r="AT49" s="15">
        <f t="shared" si="62"/>
        <v>14.284438889384878</v>
      </c>
      <c r="AU49" s="27" t="e">
        <f t="shared" si="63"/>
        <v>#REF!</v>
      </c>
      <c r="AV49" s="27" t="e">
        <f t="shared" si="64"/>
        <v>#REF!</v>
      </c>
      <c r="AW49" s="34"/>
      <c r="AX49" s="28">
        <f t="shared" si="65"/>
        <v>77.5</v>
      </c>
      <c r="AY49" s="14">
        <f t="shared" si="35"/>
        <v>50</v>
      </c>
      <c r="AZ49" s="28">
        <f t="shared" si="66"/>
        <v>49.6</v>
      </c>
      <c r="BA49" s="14">
        <f t="shared" si="36"/>
        <v>32</v>
      </c>
      <c r="BB49" s="28">
        <f t="shared" si="67"/>
        <v>0</v>
      </c>
      <c r="BC49" s="14">
        <v>0</v>
      </c>
      <c r="BD49" s="28">
        <f t="shared" si="68"/>
        <v>127.10000000000001</v>
      </c>
      <c r="BE49" s="29">
        <f t="shared" si="69"/>
        <v>82</v>
      </c>
      <c r="BF49" s="29">
        <f t="shared" si="70"/>
        <v>18.369211536142117</v>
      </c>
      <c r="BG49" s="128"/>
      <c r="BH49" s="129">
        <v>0.08</v>
      </c>
      <c r="BI49" s="37"/>
      <c r="BJ49" s="37"/>
      <c r="BK49" s="11"/>
      <c r="BL49" s="1" t="e">
        <f>(E49/#REF!)*#REF!</f>
        <v>#REF!</v>
      </c>
      <c r="BM49"/>
      <c r="BN49" s="12" t="e">
        <f>BN48*1.03</f>
        <v>#REF!</v>
      </c>
      <c r="BO49" s="1" t="e">
        <f>BO48*1.03</f>
        <v>#REF!</v>
      </c>
      <c r="BP49"/>
      <c r="BQ49" s="1">
        <v>17496508.881720431</v>
      </c>
      <c r="BR49" s="21">
        <f t="shared" si="71"/>
        <v>17.49650888172043</v>
      </c>
      <c r="BS49" s="2"/>
      <c r="BT49" s="2">
        <v>13578342.881720429</v>
      </c>
      <c r="BU49" s="11">
        <f t="shared" si="72"/>
        <v>13.578342881720429</v>
      </c>
    </row>
    <row r="50" spans="1:74" s="109" customFormat="1" x14ac:dyDescent="0.15">
      <c r="A50" s="11">
        <f t="shared" si="37"/>
        <v>1.0005571620872622</v>
      </c>
      <c r="B50" s="33">
        <f t="shared" si="73"/>
        <v>2052</v>
      </c>
      <c r="C50" s="13">
        <f t="shared" si="45"/>
        <v>214390.02222222183</v>
      </c>
      <c r="D50" s="13">
        <v>16830</v>
      </c>
      <c r="E50" s="13">
        <f t="shared" si="50"/>
        <v>231220.02222222183</v>
      </c>
      <c r="F50" s="24">
        <f t="shared" si="38"/>
        <v>25215.350485239207</v>
      </c>
      <c r="G50" s="13">
        <f t="shared" si="29"/>
        <v>1979.450089457516</v>
      </c>
      <c r="H50" s="27">
        <f t="shared" si="51"/>
        <v>25019.216528720986</v>
      </c>
      <c r="I50" s="24">
        <f t="shared" si="42"/>
        <v>5622.31275513931</v>
      </c>
      <c r="J50" s="13">
        <v>135</v>
      </c>
      <c r="K50" s="27">
        <f t="shared" si="52"/>
        <v>5757.31275513931</v>
      </c>
      <c r="L50" s="24">
        <f t="shared" si="43"/>
        <v>4515.5935094792831</v>
      </c>
      <c r="M50" s="13">
        <v>40</v>
      </c>
      <c r="N50" s="27">
        <f t="shared" si="53"/>
        <v>4555.5935094792831</v>
      </c>
      <c r="O50" s="13">
        <f t="shared" si="31"/>
        <v>2240</v>
      </c>
      <c r="P50" s="13">
        <f t="shared" si="3"/>
        <v>2826.5698234671663</v>
      </c>
      <c r="Q50" s="27">
        <f t="shared" si="54"/>
        <v>5066.5698234671663</v>
      </c>
      <c r="R50" s="24">
        <f t="shared" si="55"/>
        <v>40398.692616806744</v>
      </c>
      <c r="S50" s="15">
        <f t="shared" si="6"/>
        <v>36.065849822641994</v>
      </c>
      <c r="T50" s="15">
        <f t="shared" si="32"/>
        <v>76.944869609812386</v>
      </c>
      <c r="U50" s="25">
        <f t="shared" si="44"/>
        <v>147.33103564843915</v>
      </c>
      <c r="V50" s="24">
        <v>14000</v>
      </c>
      <c r="W50" s="25">
        <f t="shared" si="8"/>
        <v>12.5</v>
      </c>
      <c r="X50" s="15">
        <f t="shared" si="9"/>
        <v>23.565849822641994</v>
      </c>
      <c r="Y50" s="25">
        <f t="shared" si="10"/>
        <v>64.444869609812386</v>
      </c>
      <c r="Z50" s="15"/>
      <c r="AA50" s="15">
        <f t="shared" si="56"/>
        <v>64.444869609812386</v>
      </c>
      <c r="AB50" s="13">
        <f t="shared" si="39"/>
        <v>3000</v>
      </c>
      <c r="AC50" s="13">
        <f t="shared" si="57"/>
        <v>3533.2122793339581</v>
      </c>
      <c r="AD50" s="13">
        <f t="shared" si="58"/>
        <v>46931.904896140702</v>
      </c>
      <c r="AE50" s="24" t="e">
        <f>#REF!</f>
        <v>#REF!</v>
      </c>
      <c r="AF50" s="13" t="e">
        <f>SUM(AE$8:AE50)</f>
        <v>#REF!</v>
      </c>
      <c r="AG50" s="13" t="e">
        <f>#REF!</f>
        <v>#REF!</v>
      </c>
      <c r="AH50" s="13" t="e">
        <f>SUM(AG$8:AG50)</f>
        <v>#REF!</v>
      </c>
      <c r="AI50" s="27" t="e">
        <f>(AF50*0.9)*($AD50/#REF!)+(AH50*0.45)*($AD50/#REF!)</f>
        <v>#REF!</v>
      </c>
      <c r="AJ50" s="13">
        <v>4300</v>
      </c>
      <c r="AK50" s="13">
        <f t="shared" si="48"/>
        <v>4235</v>
      </c>
      <c r="AL50" s="13">
        <f t="shared" si="47"/>
        <v>900</v>
      </c>
      <c r="AM50" s="24" t="e">
        <f>#REF!+AI50+AJ50</f>
        <v>#REF!</v>
      </c>
      <c r="AN50" s="15" t="e">
        <f t="shared" si="59"/>
        <v>#REF!</v>
      </c>
      <c r="AO50" s="13" t="e">
        <f>#REF!+AK50</f>
        <v>#REF!</v>
      </c>
      <c r="AP50" s="15" t="e">
        <f t="shared" si="60"/>
        <v>#REF!</v>
      </c>
      <c r="AQ50" s="13" t="e">
        <f>#REF!+AL50</f>
        <v>#REF!</v>
      </c>
      <c r="AR50" s="15" t="e">
        <f t="shared" si="61"/>
        <v>#REF!</v>
      </c>
      <c r="AS50" s="13">
        <f t="shared" si="49"/>
        <v>16000</v>
      </c>
      <c r="AT50" s="15">
        <f t="shared" si="62"/>
        <v>14.284438889384878</v>
      </c>
      <c r="AU50" s="27" t="e">
        <f t="shared" si="63"/>
        <v>#REF!</v>
      </c>
      <c r="AV50" s="27" t="e">
        <f t="shared" si="64"/>
        <v>#REF!</v>
      </c>
      <c r="AW50" s="34"/>
      <c r="AX50" s="28">
        <f t="shared" si="65"/>
        <v>77.5</v>
      </c>
      <c r="AY50" s="14">
        <f t="shared" si="35"/>
        <v>50</v>
      </c>
      <c r="AZ50" s="28">
        <f t="shared" si="66"/>
        <v>49.6</v>
      </c>
      <c r="BA50" s="14">
        <f t="shared" si="36"/>
        <v>32</v>
      </c>
      <c r="BB50" s="28">
        <f t="shared" si="67"/>
        <v>0</v>
      </c>
      <c r="BC50" s="14">
        <v>0</v>
      </c>
      <c r="BD50" s="28">
        <f t="shared" si="68"/>
        <v>127.10000000000001</v>
      </c>
      <c r="BE50" s="29">
        <f t="shared" si="69"/>
        <v>82</v>
      </c>
      <c r="BF50" s="29">
        <f t="shared" si="70"/>
        <v>17.555130390187614</v>
      </c>
      <c r="BG50" s="128"/>
      <c r="BH50" s="129">
        <v>0.08</v>
      </c>
      <c r="BI50" s="37"/>
      <c r="BJ50" s="37"/>
      <c r="BK50" s="11"/>
      <c r="BL50" s="1" t="e">
        <f>(E50/#REF!)*#REF!</f>
        <v>#REF!</v>
      </c>
      <c r="BM50"/>
      <c r="BN50" s="12" t="e">
        <f>BN49</f>
        <v>#REF!</v>
      </c>
      <c r="BO50" s="1" t="e">
        <f>BO49</f>
        <v>#REF!</v>
      </c>
      <c r="BP50"/>
      <c r="BQ50" s="1">
        <v>16880225.410557184</v>
      </c>
      <c r="BR50" s="21">
        <f t="shared" si="71"/>
        <v>16.880225410557184</v>
      </c>
      <c r="BS50" s="2"/>
      <c r="BT50" s="2">
        <v>13724036.410557184</v>
      </c>
      <c r="BU50" s="11">
        <f t="shared" si="72"/>
        <v>13.724036410557185</v>
      </c>
    </row>
    <row r="51" spans="1:74" s="109" customFormat="1" x14ac:dyDescent="0.15">
      <c r="A51" s="11">
        <f t="shared" si="37"/>
        <v>0.99064519068103007</v>
      </c>
      <c r="B51" s="33">
        <f t="shared" si="73"/>
        <v>2053</v>
      </c>
      <c r="C51" s="13">
        <f t="shared" si="45"/>
        <v>216513.86666666626</v>
      </c>
      <c r="D51" s="13">
        <v>16830</v>
      </c>
      <c r="E51" s="13">
        <f t="shared" si="50"/>
        <v>233343.86666666626</v>
      </c>
      <c r="F51" s="24">
        <f t="shared" si="38"/>
        <v>25465.145142134596</v>
      </c>
      <c r="G51" s="13">
        <f t="shared" si="29"/>
        <v>1979.450089457516</v>
      </c>
      <c r="H51" s="27">
        <f t="shared" si="51"/>
        <v>25249.027613064743</v>
      </c>
      <c r="I51" s="24">
        <f t="shared" si="42"/>
        <v>5728.8217328512364</v>
      </c>
      <c r="J51" s="13">
        <v>135</v>
      </c>
      <c r="K51" s="27">
        <f t="shared" si="52"/>
        <v>5863.8217328512364</v>
      </c>
      <c r="L51" s="24">
        <f t="shared" si="43"/>
        <v>4563.0623396528563</v>
      </c>
      <c r="M51" s="13">
        <v>40</v>
      </c>
      <c r="N51" s="27">
        <f t="shared" si="53"/>
        <v>4603.0623396528563</v>
      </c>
      <c r="O51" s="13">
        <f t="shared" si="31"/>
        <v>2240</v>
      </c>
      <c r="P51" s="13">
        <f t="shared" si="3"/>
        <v>2857.2729348455068</v>
      </c>
      <c r="Q51" s="27">
        <f t="shared" si="54"/>
        <v>5097.2729348455068</v>
      </c>
      <c r="R51" s="24">
        <f t="shared" si="55"/>
        <v>40813.184620414344</v>
      </c>
      <c r="S51" s="15">
        <f t="shared" si="6"/>
        <v>36.43588670716678</v>
      </c>
      <c r="T51" s="15">
        <f t="shared" si="32"/>
        <v>77.758950755766918</v>
      </c>
      <c r="U51" s="25">
        <f t="shared" si="44"/>
        <v>147.57585207578128</v>
      </c>
      <c r="V51" s="24">
        <v>14000</v>
      </c>
      <c r="W51" s="25">
        <f t="shared" si="8"/>
        <v>12.5</v>
      </c>
      <c r="X51" s="15">
        <f t="shared" si="9"/>
        <v>23.93588670716678</v>
      </c>
      <c r="Y51" s="25">
        <f t="shared" si="10"/>
        <v>65.258950755766918</v>
      </c>
      <c r="Z51" s="15"/>
      <c r="AA51" s="15">
        <f t="shared" si="56"/>
        <v>65.258950755766918</v>
      </c>
      <c r="AB51" s="13">
        <f t="shared" si="39"/>
        <v>3000</v>
      </c>
      <c r="AC51" s="13">
        <f t="shared" si="57"/>
        <v>3571.5911685568835</v>
      </c>
      <c r="AD51" s="13">
        <f t="shared" si="58"/>
        <v>47384.77578897123</v>
      </c>
      <c r="AE51" s="24" t="e">
        <f>#REF!</f>
        <v>#REF!</v>
      </c>
      <c r="AF51" s="13" t="e">
        <f>SUM(AE$8:AE51)</f>
        <v>#REF!</v>
      </c>
      <c r="AG51" s="13" t="e">
        <f>#REF!</f>
        <v>#REF!</v>
      </c>
      <c r="AH51" s="13" t="e">
        <f>SUM(AG$8:AG51)</f>
        <v>#REF!</v>
      </c>
      <c r="AI51" s="27" t="e">
        <f>(AF51*0.9)*($AD51/#REF!)+(AH51*0.45)*($AD51/#REF!)</f>
        <v>#REF!</v>
      </c>
      <c r="AJ51" s="13">
        <v>4300</v>
      </c>
      <c r="AK51" s="13">
        <f t="shared" si="48"/>
        <v>4235</v>
      </c>
      <c r="AL51" s="13">
        <f t="shared" si="47"/>
        <v>900</v>
      </c>
      <c r="AM51" s="24" t="e">
        <f>#REF!+AI51+AJ51</f>
        <v>#REF!</v>
      </c>
      <c r="AN51" s="15" t="e">
        <f t="shared" si="59"/>
        <v>#REF!</v>
      </c>
      <c r="AO51" s="13" t="e">
        <f>#REF!+AK51</f>
        <v>#REF!</v>
      </c>
      <c r="AP51" s="15" t="e">
        <f t="shared" si="60"/>
        <v>#REF!</v>
      </c>
      <c r="AQ51" s="13" t="e">
        <f>#REF!+AL51</f>
        <v>#REF!</v>
      </c>
      <c r="AR51" s="15" t="e">
        <f t="shared" si="61"/>
        <v>#REF!</v>
      </c>
      <c r="AS51" s="13">
        <f t="shared" si="49"/>
        <v>16000</v>
      </c>
      <c r="AT51" s="15">
        <f t="shared" si="62"/>
        <v>14.284438889384878</v>
      </c>
      <c r="AU51" s="27" t="e">
        <f t="shared" si="63"/>
        <v>#REF!</v>
      </c>
      <c r="AV51" s="27" t="e">
        <f t="shared" si="64"/>
        <v>#REF!</v>
      </c>
      <c r="AW51" s="34"/>
      <c r="AX51" s="28">
        <f t="shared" si="65"/>
        <v>77.5</v>
      </c>
      <c r="AY51" s="14">
        <f t="shared" si="35"/>
        <v>50</v>
      </c>
      <c r="AZ51" s="28">
        <f t="shared" si="66"/>
        <v>49.6</v>
      </c>
      <c r="BA51" s="14">
        <f t="shared" si="36"/>
        <v>32</v>
      </c>
      <c r="BB51" s="28">
        <f t="shared" si="67"/>
        <v>0</v>
      </c>
      <c r="BC51" s="14">
        <v>0</v>
      </c>
      <c r="BD51" s="28">
        <f t="shared" si="68"/>
        <v>127.10000000000001</v>
      </c>
      <c r="BE51" s="29">
        <f t="shared" si="69"/>
        <v>82</v>
      </c>
      <c r="BF51" s="29">
        <f t="shared" si="70"/>
        <v>16.741049244233082</v>
      </c>
      <c r="BG51" s="128"/>
      <c r="BH51" s="129">
        <v>0.08</v>
      </c>
      <c r="BI51" s="37"/>
      <c r="BJ51" s="37"/>
      <c r="BK51" s="11"/>
      <c r="BL51" s="1" t="e">
        <f>(E51/#REF!)*#REF!</f>
        <v>#REF!</v>
      </c>
      <c r="BM51"/>
      <c r="BN51" s="12" t="e">
        <f>BN50*1.03</f>
        <v>#REF!</v>
      </c>
      <c r="BO51" s="1" t="e">
        <f>BO50*1.03</f>
        <v>#REF!</v>
      </c>
      <c r="BP51"/>
      <c r="BQ51" s="1">
        <v>17219941.939393938</v>
      </c>
      <c r="BR51" s="21">
        <f t="shared" si="71"/>
        <v>17.219941939393937</v>
      </c>
      <c r="BS51" s="2"/>
      <c r="BT51" s="2">
        <v>13869729.939393936</v>
      </c>
      <c r="BU51" s="11">
        <f t="shared" si="72"/>
        <v>13.869729939393936</v>
      </c>
    </row>
    <row r="52" spans="1:74" s="109" customFormat="1" x14ac:dyDescent="0.15">
      <c r="A52" s="11">
        <f t="shared" si="37"/>
        <v>0.98092767781668</v>
      </c>
      <c r="B52" s="33">
        <f t="shared" si="73"/>
        <v>2054</v>
      </c>
      <c r="C52" s="13">
        <f t="shared" si="45"/>
        <v>218637.71111111069</v>
      </c>
      <c r="D52" s="13">
        <v>16830</v>
      </c>
      <c r="E52" s="13">
        <f t="shared" si="50"/>
        <v>235467.71111111069</v>
      </c>
      <c r="F52" s="24">
        <f t="shared" si="38"/>
        <v>25714.939799029984</v>
      </c>
      <c r="G52" s="13">
        <f t="shared" si="29"/>
        <v>1979.450089457516</v>
      </c>
      <c r="H52" s="27">
        <f t="shared" si="51"/>
        <v>25478.838697408504</v>
      </c>
      <c r="I52" s="24">
        <f t="shared" si="42"/>
        <v>5835.3307105631629</v>
      </c>
      <c r="J52" s="13">
        <v>135</v>
      </c>
      <c r="K52" s="27">
        <f t="shared" si="52"/>
        <v>5970.3307105631629</v>
      </c>
      <c r="L52" s="24">
        <f t="shared" si="43"/>
        <v>4610.5311698264295</v>
      </c>
      <c r="M52" s="13">
        <v>40</v>
      </c>
      <c r="N52" s="27">
        <f t="shared" si="53"/>
        <v>4650.5311698264295</v>
      </c>
      <c r="O52" s="13">
        <f t="shared" si="31"/>
        <v>2240</v>
      </c>
      <c r="P52" s="13">
        <f t="shared" si="3"/>
        <v>2887.9760462238478</v>
      </c>
      <c r="Q52" s="27">
        <f t="shared" si="54"/>
        <v>5127.9760462238482</v>
      </c>
      <c r="R52" s="24">
        <f t="shared" si="55"/>
        <v>41227.676624021944</v>
      </c>
      <c r="S52" s="15">
        <f t="shared" si="6"/>
        <v>36.805923591691567</v>
      </c>
      <c r="T52" s="15">
        <f t="shared" si="32"/>
        <v>78.57303190172145</v>
      </c>
      <c r="U52" s="25">
        <f t="shared" si="44"/>
        <v>147.81625216929439</v>
      </c>
      <c r="V52" s="24">
        <v>14000</v>
      </c>
      <c r="W52" s="25">
        <f t="shared" si="8"/>
        <v>12.5</v>
      </c>
      <c r="X52" s="15">
        <f t="shared" si="9"/>
        <v>24.305923591691567</v>
      </c>
      <c r="Y52" s="25">
        <f t="shared" si="10"/>
        <v>66.07303190172145</v>
      </c>
      <c r="Z52" s="15"/>
      <c r="AA52" s="15">
        <f t="shared" si="56"/>
        <v>66.07303190172145</v>
      </c>
      <c r="AB52" s="13">
        <f t="shared" si="39"/>
        <v>3000</v>
      </c>
      <c r="AC52" s="13">
        <f t="shared" si="57"/>
        <v>3609.9700577798098</v>
      </c>
      <c r="AD52" s="13">
        <f t="shared" si="58"/>
        <v>47837.646681801751</v>
      </c>
      <c r="AE52" s="24" t="e">
        <f>#REF!</f>
        <v>#REF!</v>
      </c>
      <c r="AF52" s="13" t="e">
        <f>SUM(AE$8:AE52)</f>
        <v>#REF!</v>
      </c>
      <c r="AG52" s="13" t="e">
        <f>#REF!</f>
        <v>#REF!</v>
      </c>
      <c r="AH52" s="13" t="e">
        <f>SUM(AG$8:AG52)</f>
        <v>#REF!</v>
      </c>
      <c r="AI52" s="27" t="e">
        <f>(AF52*0.9)*($AD52/#REF!)+(AH52*0.45)*($AD52/#REF!)</f>
        <v>#REF!</v>
      </c>
      <c r="AJ52" s="13">
        <v>4300</v>
      </c>
      <c r="AK52" s="13">
        <f t="shared" si="48"/>
        <v>4235</v>
      </c>
      <c r="AL52" s="13">
        <f t="shared" si="47"/>
        <v>900</v>
      </c>
      <c r="AM52" s="24" t="e">
        <f>#REF!+AI52+AJ52</f>
        <v>#REF!</v>
      </c>
      <c r="AN52" s="15" t="e">
        <f t="shared" si="59"/>
        <v>#REF!</v>
      </c>
      <c r="AO52" s="13" t="e">
        <f>#REF!+AK52</f>
        <v>#REF!</v>
      </c>
      <c r="AP52" s="15" t="e">
        <f t="shared" si="60"/>
        <v>#REF!</v>
      </c>
      <c r="AQ52" s="13" t="e">
        <f>#REF!+AL52</f>
        <v>#REF!</v>
      </c>
      <c r="AR52" s="15" t="e">
        <f t="shared" si="61"/>
        <v>#REF!</v>
      </c>
      <c r="AS52" s="13">
        <f t="shared" si="49"/>
        <v>16000</v>
      </c>
      <c r="AT52" s="15">
        <f t="shared" si="62"/>
        <v>14.284438889384878</v>
      </c>
      <c r="AU52" s="27" t="e">
        <f t="shared" si="63"/>
        <v>#REF!</v>
      </c>
      <c r="AV52" s="27" t="e">
        <f t="shared" si="64"/>
        <v>#REF!</v>
      </c>
      <c r="AW52" s="34"/>
      <c r="AX52" s="28">
        <f t="shared" si="65"/>
        <v>77.5</v>
      </c>
      <c r="AY52" s="14">
        <f t="shared" si="35"/>
        <v>50</v>
      </c>
      <c r="AZ52" s="28">
        <f t="shared" si="66"/>
        <v>49.6</v>
      </c>
      <c r="BA52" s="14">
        <f t="shared" si="36"/>
        <v>32</v>
      </c>
      <c r="BB52" s="28">
        <f t="shared" si="67"/>
        <v>0</v>
      </c>
      <c r="BC52" s="14">
        <v>0</v>
      </c>
      <c r="BD52" s="28">
        <f t="shared" si="68"/>
        <v>127.10000000000001</v>
      </c>
      <c r="BE52" s="29">
        <f t="shared" si="69"/>
        <v>82</v>
      </c>
      <c r="BF52" s="29">
        <f t="shared" si="70"/>
        <v>15.92696809827855</v>
      </c>
      <c r="BG52" s="128"/>
      <c r="BH52" s="129">
        <v>0.08</v>
      </c>
      <c r="BI52" s="37"/>
      <c r="BJ52" s="37"/>
      <c r="BK52" s="11"/>
      <c r="BL52" s="1" t="e">
        <f>(E52/#REF!)*#REF!</f>
        <v>#REF!</v>
      </c>
      <c r="BM52"/>
      <c r="BN52" s="12" t="e">
        <f>BN51</f>
        <v>#REF!</v>
      </c>
      <c r="BO52" s="1" t="e">
        <f>BO51</f>
        <v>#REF!</v>
      </c>
      <c r="BP52"/>
      <c r="BQ52" s="1">
        <v>16967658.468230695</v>
      </c>
      <c r="BR52" s="21">
        <f t="shared" si="71"/>
        <v>16.967658468230695</v>
      </c>
      <c r="BS52" s="2"/>
      <c r="BT52" s="2">
        <v>14015423.468230695</v>
      </c>
      <c r="BU52" s="11">
        <f t="shared" si="72"/>
        <v>14.015423468230695</v>
      </c>
    </row>
    <row r="53" spans="1:74" s="109" customFormat="1" x14ac:dyDescent="0.15">
      <c r="A53" s="11">
        <f t="shared" si="37"/>
        <v>0.9713989565894714</v>
      </c>
      <c r="B53" s="39">
        <f t="shared" si="73"/>
        <v>2055</v>
      </c>
      <c r="C53" s="240">
        <f t="shared" si="45"/>
        <v>220761.55555555513</v>
      </c>
      <c r="D53" s="42">
        <v>16830</v>
      </c>
      <c r="E53" s="42">
        <f t="shared" si="50"/>
        <v>237591.55555555513</v>
      </c>
      <c r="F53" s="44">
        <f t="shared" si="38"/>
        <v>25964.734455925372</v>
      </c>
      <c r="G53" s="42">
        <f t="shared" si="29"/>
        <v>1979.450089457516</v>
      </c>
      <c r="H53" s="45">
        <f t="shared" si="51"/>
        <v>25708.649781752261</v>
      </c>
      <c r="I53" s="44">
        <v>6000</v>
      </c>
      <c r="J53" s="42">
        <v>135</v>
      </c>
      <c r="K53" s="45">
        <f t="shared" si="52"/>
        <v>6135</v>
      </c>
      <c r="L53" s="44">
        <v>4658</v>
      </c>
      <c r="M53" s="42">
        <v>40</v>
      </c>
      <c r="N53" s="45">
        <f t="shared" si="53"/>
        <v>4698</v>
      </c>
      <c r="O53" s="42">
        <f t="shared" si="31"/>
        <v>2240</v>
      </c>
      <c r="P53" s="42">
        <f t="shared" si="3"/>
        <v>2923.3319825401809</v>
      </c>
      <c r="Q53" s="45">
        <f t="shared" si="54"/>
        <v>5163.3319825401813</v>
      </c>
      <c r="R53" s="44">
        <f t="shared" si="55"/>
        <v>41704.981764292446</v>
      </c>
      <c r="S53" s="46">
        <f t="shared" si="6"/>
        <v>37.232036774904074</v>
      </c>
      <c r="T53" s="46">
        <f t="shared" si="32"/>
        <v>79.510480904788963</v>
      </c>
      <c r="U53" s="136">
        <f t="shared" si="44"/>
        <v>148.2883726603246</v>
      </c>
      <c r="V53" s="44">
        <v>14000</v>
      </c>
      <c r="W53" s="47">
        <f t="shared" si="8"/>
        <v>12.5</v>
      </c>
      <c r="X53" s="46">
        <f t="shared" si="9"/>
        <v>24.732036774904074</v>
      </c>
      <c r="Y53" s="47">
        <f t="shared" si="10"/>
        <v>67.010480904788963</v>
      </c>
      <c r="Z53" s="46"/>
      <c r="AA53" s="46">
        <f t="shared" si="56"/>
        <v>67.010480904788963</v>
      </c>
      <c r="AB53" s="133">
        <f t="shared" si="39"/>
        <v>3000</v>
      </c>
      <c r="AC53" s="133">
        <f t="shared" si="57"/>
        <v>3654.1649781752262</v>
      </c>
      <c r="AD53" s="133">
        <f t="shared" si="58"/>
        <v>48359.146742467674</v>
      </c>
      <c r="AE53" s="24" t="e">
        <f>#REF!</f>
        <v>#REF!</v>
      </c>
      <c r="AF53" s="13" t="e">
        <f>SUM(AE$8:AE53)</f>
        <v>#REF!</v>
      </c>
      <c r="AG53" s="13" t="e">
        <f>#REF!</f>
        <v>#REF!</v>
      </c>
      <c r="AH53" s="13" t="e">
        <f>SUM(AG$8:AG53)</f>
        <v>#REF!</v>
      </c>
      <c r="AI53" s="27" t="e">
        <f>(AF53*0.9)*($AD53/#REF!)+(AH53*0.45)*($AD53/#REF!)</f>
        <v>#REF!</v>
      </c>
      <c r="AJ53" s="13">
        <v>4300</v>
      </c>
      <c r="AK53" s="13">
        <f t="shared" si="48"/>
        <v>4235</v>
      </c>
      <c r="AL53" s="13">
        <f t="shared" si="47"/>
        <v>900</v>
      </c>
      <c r="AM53" s="24" t="e">
        <f>#REF!+AI53+AJ53</f>
        <v>#REF!</v>
      </c>
      <c r="AN53" s="15" t="e">
        <f t="shared" si="59"/>
        <v>#REF!</v>
      </c>
      <c r="AO53" s="13" t="e">
        <f>#REF!+AK53</f>
        <v>#REF!</v>
      </c>
      <c r="AP53" s="15" t="e">
        <f t="shared" si="60"/>
        <v>#REF!</v>
      </c>
      <c r="AQ53" s="13" t="e">
        <f>#REF!+AL53</f>
        <v>#REF!</v>
      </c>
      <c r="AR53" s="15" t="e">
        <f t="shared" si="61"/>
        <v>#REF!</v>
      </c>
      <c r="AS53" s="13">
        <f t="shared" si="49"/>
        <v>16000</v>
      </c>
      <c r="AT53" s="15">
        <f t="shared" si="62"/>
        <v>14.284438889384878</v>
      </c>
      <c r="AU53" s="27" t="e">
        <f t="shared" si="63"/>
        <v>#REF!</v>
      </c>
      <c r="AV53" s="27" t="e">
        <f t="shared" si="64"/>
        <v>#REF!</v>
      </c>
      <c r="AW53" s="34"/>
      <c r="AX53" s="28">
        <f t="shared" si="65"/>
        <v>77.5</v>
      </c>
      <c r="AY53" s="14">
        <f t="shared" si="35"/>
        <v>50</v>
      </c>
      <c r="AZ53" s="28">
        <f t="shared" si="66"/>
        <v>49.6</v>
      </c>
      <c r="BA53" s="14">
        <f t="shared" si="36"/>
        <v>32</v>
      </c>
      <c r="BB53" s="28">
        <f t="shared" si="67"/>
        <v>0</v>
      </c>
      <c r="BC53" s="14">
        <v>0</v>
      </c>
      <c r="BD53" s="28">
        <f t="shared" si="68"/>
        <v>127.10000000000001</v>
      </c>
      <c r="BE53" s="29">
        <f t="shared" si="69"/>
        <v>82</v>
      </c>
      <c r="BF53" s="29">
        <f t="shared" si="70"/>
        <v>14.989519095211037</v>
      </c>
      <c r="BG53" s="128"/>
      <c r="BH53" s="129">
        <v>0.08</v>
      </c>
      <c r="BI53" s="48"/>
      <c r="BJ53" s="48"/>
      <c r="BK53" s="49"/>
      <c r="BL53" s="50" t="e">
        <f>(E53/#REF!)*#REF!</f>
        <v>#REF!</v>
      </c>
      <c r="BM53" s="51"/>
      <c r="BN53" s="52" t="e">
        <f>BN52*1.03</f>
        <v>#REF!</v>
      </c>
      <c r="BO53" s="50" t="e">
        <f>BO52*1.03</f>
        <v>#REF!</v>
      </c>
      <c r="BP53" s="51"/>
      <c r="BQ53" s="50">
        <v>18441374.997067444</v>
      </c>
      <c r="BR53" s="53">
        <f t="shared" si="71"/>
        <v>18.441374997067445</v>
      </c>
      <c r="BS53" s="40"/>
      <c r="BT53" s="40">
        <v>14161116.997067444</v>
      </c>
      <c r="BU53" s="49">
        <f t="shared" si="72"/>
        <v>14.161116997067444</v>
      </c>
    </row>
    <row r="54" spans="1:74" s="109" customFormat="1" x14ac:dyDescent="0.15">
      <c r="A54" s="11">
        <f t="shared" si="37"/>
        <v>0.96205357816930315</v>
      </c>
      <c r="B54" s="33">
        <f t="shared" si="73"/>
        <v>2056</v>
      </c>
      <c r="C54" s="13">
        <f t="shared" si="45"/>
        <v>222885.39999999956</v>
      </c>
      <c r="D54" s="13">
        <v>16830</v>
      </c>
      <c r="E54" s="13">
        <f t="shared" si="50"/>
        <v>239715.39999999956</v>
      </c>
      <c r="F54" s="24">
        <f t="shared" si="38"/>
        <v>26214.529112820761</v>
      </c>
      <c r="G54" s="13">
        <f t="shared" si="29"/>
        <v>1979.450089457516</v>
      </c>
      <c r="H54" s="27">
        <f t="shared" si="51"/>
        <v>25938.460866096018</v>
      </c>
      <c r="I54" s="24">
        <v>6000</v>
      </c>
      <c r="J54" s="10">
        <v>135</v>
      </c>
      <c r="K54" s="27">
        <f t="shared" si="52"/>
        <v>6135</v>
      </c>
      <c r="L54" s="24">
        <v>4658</v>
      </c>
      <c r="M54" s="13">
        <v>40</v>
      </c>
      <c r="N54" s="27">
        <f t="shared" ref="N54:N63" si="74">SUM(L54:M54)</f>
        <v>4698</v>
      </c>
      <c r="O54" s="13">
        <f t="shared" si="31"/>
        <v>2240</v>
      </c>
      <c r="P54" s="13">
        <f t="shared" si="3"/>
        <v>2941.7168692876817</v>
      </c>
      <c r="Q54" s="27">
        <f t="shared" si="54"/>
        <v>5181.7168692876821</v>
      </c>
      <c r="R54" s="24">
        <f t="shared" si="55"/>
        <v>41953.177735383702</v>
      </c>
      <c r="S54" s="15">
        <f t="shared" si="6"/>
        <v>37.453613218104074</v>
      </c>
      <c r="T54" s="15">
        <f t="shared" si="32"/>
        <v>79.99794907982897</v>
      </c>
      <c r="U54" s="25">
        <f t="shared" si="44"/>
        <v>147.89888432028363</v>
      </c>
      <c r="V54" s="24">
        <v>14000</v>
      </c>
      <c r="W54" s="25">
        <f t="shared" si="8"/>
        <v>12.5</v>
      </c>
      <c r="X54" s="15">
        <f t="shared" si="9"/>
        <v>24.953613218104074</v>
      </c>
      <c r="Y54" s="25">
        <f t="shared" si="10"/>
        <v>67.49794907982897</v>
      </c>
      <c r="Z54" s="2"/>
      <c r="AA54" s="2"/>
      <c r="AB54" s="13">
        <f t="shared" si="39"/>
        <v>3000</v>
      </c>
      <c r="AC54" s="13">
        <f t="shared" ref="AC54:AC63" si="75">(N54+K54+H54)*0.1</f>
        <v>3677.1460866096022</v>
      </c>
      <c r="AD54" s="13">
        <f t="shared" ref="AD54:AD63" si="76">R54+AB54+AC54</f>
        <v>48630.323821993305</v>
      </c>
      <c r="AE54" s="121"/>
      <c r="AF54" s="34"/>
      <c r="AG54" s="34"/>
      <c r="AH54" s="34"/>
      <c r="AI54" s="113"/>
      <c r="AV54" s="113"/>
      <c r="BF54" s="110"/>
      <c r="BG54" s="34"/>
      <c r="BH54" s="129">
        <v>0.08</v>
      </c>
      <c r="BI54" s="8"/>
      <c r="BJ54" s="8"/>
      <c r="BK54"/>
      <c r="BL54"/>
      <c r="BM54"/>
      <c r="BN54" s="12"/>
      <c r="BO54"/>
      <c r="BP54"/>
      <c r="BQ54" s="1">
        <v>18525235.159335289</v>
      </c>
      <c r="BR54" s="21">
        <f>BQ54/1000000</f>
        <v>18.525235159335288</v>
      </c>
      <c r="BS54" s="2"/>
      <c r="BT54" s="1">
        <v>14952655.159335289</v>
      </c>
      <c r="BU54" s="11">
        <f>BT54/1000000</f>
        <v>14.95265515933529</v>
      </c>
    </row>
    <row r="55" spans="1:74" s="109" customFormat="1" x14ac:dyDescent="0.15">
      <c r="A55" s="11">
        <f t="shared" si="37"/>
        <v>0.95288630141069641</v>
      </c>
      <c r="B55" s="33">
        <f t="shared" si="73"/>
        <v>2057</v>
      </c>
      <c r="C55" s="13">
        <f t="shared" si="45"/>
        <v>225009.24444444399</v>
      </c>
      <c r="D55" s="13">
        <v>16830</v>
      </c>
      <c r="E55" s="13">
        <f t="shared" si="50"/>
        <v>241839.24444444399</v>
      </c>
      <c r="F55" s="24">
        <f t="shared" si="38"/>
        <v>26464.323769716149</v>
      </c>
      <c r="G55" s="13">
        <f t="shared" si="29"/>
        <v>1979.450089457516</v>
      </c>
      <c r="H55" s="27">
        <f t="shared" si="51"/>
        <v>26168.271950439776</v>
      </c>
      <c r="I55" s="24">
        <v>6000</v>
      </c>
      <c r="J55" s="10">
        <v>135</v>
      </c>
      <c r="K55" s="27">
        <f t="shared" si="52"/>
        <v>6135</v>
      </c>
      <c r="L55" s="24">
        <v>4658</v>
      </c>
      <c r="M55" s="13">
        <v>40</v>
      </c>
      <c r="N55" s="27">
        <f t="shared" si="74"/>
        <v>4698</v>
      </c>
      <c r="O55" s="13">
        <f t="shared" si="31"/>
        <v>2240</v>
      </c>
      <c r="P55" s="13">
        <f t="shared" si="3"/>
        <v>2960.101756035182</v>
      </c>
      <c r="Q55" s="27">
        <f t="shared" si="54"/>
        <v>5200.101756035182</v>
      </c>
      <c r="R55" s="24">
        <f t="shared" si="55"/>
        <v>42201.373706474958</v>
      </c>
      <c r="S55" s="15">
        <f t="shared" si="6"/>
        <v>37.675189661304067</v>
      </c>
      <c r="T55" s="15">
        <f t="shared" si="32"/>
        <v>80.485417254868949</v>
      </c>
      <c r="U55" s="25">
        <f t="shared" si="44"/>
        <v>147.51623699274307</v>
      </c>
      <c r="V55" s="24">
        <v>14000</v>
      </c>
      <c r="W55" s="25">
        <f t="shared" si="8"/>
        <v>12.5</v>
      </c>
      <c r="X55" s="15">
        <f t="shared" si="9"/>
        <v>25.175189661304067</v>
      </c>
      <c r="Y55" s="25">
        <f t="shared" si="10"/>
        <v>67.985417254868949</v>
      </c>
      <c r="Z55" s="2"/>
      <c r="AA55" s="2"/>
      <c r="AB55" s="13">
        <f t="shared" si="39"/>
        <v>3000</v>
      </c>
      <c r="AC55" s="13">
        <f t="shared" si="75"/>
        <v>3700.1271950439777</v>
      </c>
      <c r="AD55" s="13">
        <f t="shared" si="76"/>
        <v>48901.500901518935</v>
      </c>
      <c r="AE55" s="121"/>
      <c r="AF55" s="34"/>
      <c r="AG55" s="34"/>
      <c r="AH55" s="34"/>
      <c r="AI55" s="113"/>
      <c r="AV55" s="113"/>
      <c r="BF55" s="110"/>
      <c r="BG55" s="34"/>
      <c r="BH55" s="129">
        <v>0.08</v>
      </c>
      <c r="BI55" s="8"/>
      <c r="BJ55" s="8"/>
      <c r="BK55"/>
      <c r="BL55"/>
      <c r="BM55"/>
      <c r="BN55"/>
      <c r="BO55"/>
      <c r="BP55"/>
      <c r="BQ55" s="1">
        <v>19123258.159335289</v>
      </c>
      <c r="BR55" s="21">
        <f>BQ55/1000000</f>
        <v>19.12325815933529</v>
      </c>
      <c r="BS55" s="2"/>
      <c r="BT55" s="1">
        <v>14952655.159335289</v>
      </c>
      <c r="BU55" s="11">
        <f>BT55/1000000</f>
        <v>14.95265515933529</v>
      </c>
    </row>
    <row r="56" spans="1:74" s="109" customFormat="1" x14ac:dyDescent="0.15">
      <c r="A56" s="11">
        <f t="shared" si="37"/>
        <v>0.94389208305120154</v>
      </c>
      <c r="B56" s="33">
        <f t="shared" si="73"/>
        <v>2058</v>
      </c>
      <c r="C56" s="13">
        <f t="shared" si="45"/>
        <v>227133.08888888842</v>
      </c>
      <c r="D56" s="13">
        <v>16830</v>
      </c>
      <c r="E56" s="13">
        <f t="shared" si="50"/>
        <v>243963.08888888842</v>
      </c>
      <c r="F56" s="24">
        <f t="shared" si="38"/>
        <v>26714.118426611538</v>
      </c>
      <c r="G56" s="13">
        <f t="shared" si="29"/>
        <v>1979.450089457516</v>
      </c>
      <c r="H56" s="27">
        <f t="shared" si="51"/>
        <v>26398.083034783533</v>
      </c>
      <c r="I56" s="24">
        <v>6000</v>
      </c>
      <c r="J56" s="10">
        <v>135</v>
      </c>
      <c r="K56" s="27">
        <f t="shared" si="52"/>
        <v>6135</v>
      </c>
      <c r="L56" s="24">
        <v>4658</v>
      </c>
      <c r="M56" s="13">
        <v>40</v>
      </c>
      <c r="N56" s="27">
        <f t="shared" si="74"/>
        <v>4698</v>
      </c>
      <c r="O56" s="13">
        <f t="shared" si="31"/>
        <v>2240</v>
      </c>
      <c r="P56" s="13">
        <f t="shared" si="3"/>
        <v>2978.4866427826823</v>
      </c>
      <c r="Q56" s="27">
        <f t="shared" si="54"/>
        <v>5218.4866427826819</v>
      </c>
      <c r="R56" s="24">
        <f t="shared" si="55"/>
        <v>42449.569677566215</v>
      </c>
      <c r="S56" s="15">
        <f t="shared" si="6"/>
        <v>37.896766104504067</v>
      </c>
      <c r="T56" s="15">
        <f t="shared" si="32"/>
        <v>80.972885429908956</v>
      </c>
      <c r="U56" s="25">
        <f t="shared" si="44"/>
        <v>147.14025201240008</v>
      </c>
      <c r="V56" s="24">
        <v>14000</v>
      </c>
      <c r="W56" s="25">
        <f t="shared" si="8"/>
        <v>12.5</v>
      </c>
      <c r="X56" s="15">
        <f t="shared" si="9"/>
        <v>25.396766104504067</v>
      </c>
      <c r="Y56" s="25">
        <f t="shared" si="10"/>
        <v>68.472885429908956</v>
      </c>
      <c r="Z56" s="2"/>
      <c r="AA56" s="2"/>
      <c r="AB56" s="13">
        <f t="shared" si="39"/>
        <v>3000</v>
      </c>
      <c r="AC56" s="13">
        <f t="shared" si="75"/>
        <v>3723.1083034783533</v>
      </c>
      <c r="AD56" s="13">
        <f t="shared" si="76"/>
        <v>49172.677981044566</v>
      </c>
      <c r="AE56" s="121"/>
      <c r="AF56" s="34"/>
      <c r="AG56" s="34"/>
      <c r="AH56" s="34"/>
      <c r="AI56" s="113"/>
      <c r="AV56" s="113"/>
      <c r="BF56" s="110"/>
      <c r="BG56" s="34"/>
      <c r="BH56" s="129">
        <v>0.08</v>
      </c>
      <c r="BI56" s="8"/>
      <c r="BJ56" s="8"/>
      <c r="BK56"/>
      <c r="BL56"/>
      <c r="BM56"/>
      <c r="BN56"/>
      <c r="BO56"/>
      <c r="BP56"/>
      <c r="BQ56" s="1"/>
      <c r="BR56" s="2"/>
      <c r="BS56" s="2"/>
      <c r="BT56" s="2"/>
      <c r="BU56" s="2"/>
    </row>
    <row r="57" spans="1:74" s="109" customFormat="1" x14ac:dyDescent="0.15">
      <c r="A57" s="11">
        <f t="shared" si="37"/>
        <v>0.93506606845971207</v>
      </c>
      <c r="B57" s="33">
        <f t="shared" si="73"/>
        <v>2059</v>
      </c>
      <c r="C57" s="13">
        <f t="shared" si="45"/>
        <v>229256.93333333285</v>
      </c>
      <c r="D57" s="13">
        <v>16830</v>
      </c>
      <c r="E57" s="13">
        <f t="shared" si="50"/>
        <v>246086.93333333285</v>
      </c>
      <c r="F57" s="24">
        <f t="shared" si="38"/>
        <v>26963.913083506923</v>
      </c>
      <c r="G57" s="13">
        <f t="shared" si="29"/>
        <v>1979.450089457516</v>
      </c>
      <c r="H57" s="27">
        <f t="shared" si="51"/>
        <v>26627.894119127286</v>
      </c>
      <c r="I57" s="24">
        <v>6000</v>
      </c>
      <c r="J57" s="10">
        <v>135</v>
      </c>
      <c r="K57" s="27">
        <f t="shared" si="52"/>
        <v>6135</v>
      </c>
      <c r="L57" s="24">
        <v>4658</v>
      </c>
      <c r="M57" s="13">
        <v>40</v>
      </c>
      <c r="N57" s="27">
        <f t="shared" si="74"/>
        <v>4698</v>
      </c>
      <c r="O57" s="13">
        <f t="shared" si="31"/>
        <v>2240</v>
      </c>
      <c r="P57" s="13">
        <f t="shared" si="3"/>
        <v>2996.8715295301831</v>
      </c>
      <c r="Q57" s="27">
        <f t="shared" si="54"/>
        <v>5236.8715295301827</v>
      </c>
      <c r="R57" s="24">
        <f t="shared" si="55"/>
        <v>42697.765648657471</v>
      </c>
      <c r="S57" s="15">
        <f t="shared" si="6"/>
        <v>38.11834254770406</v>
      </c>
      <c r="T57" s="15">
        <f t="shared" si="32"/>
        <v>81.460353604948935</v>
      </c>
      <c r="U57" s="25">
        <f t="shared" si="44"/>
        <v>146.77075688180955</v>
      </c>
      <c r="V57" s="24">
        <v>14000</v>
      </c>
      <c r="W57" s="25">
        <f t="shared" si="8"/>
        <v>12.5</v>
      </c>
      <c r="X57" s="15">
        <f t="shared" si="9"/>
        <v>25.61834254770406</v>
      </c>
      <c r="Y57" s="25">
        <f t="shared" si="10"/>
        <v>68.960353604948935</v>
      </c>
      <c r="Z57" s="2"/>
      <c r="AA57" s="2"/>
      <c r="AB57" s="13">
        <f t="shared" si="39"/>
        <v>3000</v>
      </c>
      <c r="AC57" s="13">
        <f t="shared" si="75"/>
        <v>3746.0894119127292</v>
      </c>
      <c r="AD57" s="13">
        <f t="shared" si="76"/>
        <v>49443.855060570197</v>
      </c>
      <c r="AE57" s="121"/>
      <c r="AF57" s="34"/>
      <c r="AG57" s="34"/>
      <c r="AH57" s="34"/>
      <c r="AI57" s="113"/>
      <c r="AV57" s="113"/>
      <c r="BF57" s="110"/>
      <c r="BG57" s="34"/>
      <c r="BH57" s="129">
        <v>0.08</v>
      </c>
      <c r="BI57" s="8"/>
      <c r="BJ57" s="8"/>
      <c r="BK57"/>
      <c r="BL57"/>
      <c r="BM57"/>
      <c r="BN57"/>
      <c r="BO57"/>
      <c r="BP57"/>
      <c r="BQ57" s="1"/>
      <c r="BR57" s="2"/>
      <c r="BS57" s="2"/>
      <c r="BT57" s="2"/>
      <c r="BU57" s="2"/>
    </row>
    <row r="58" spans="1:74" s="109" customFormat="1" x14ac:dyDescent="0.15">
      <c r="A58" s="11">
        <f t="shared" si="37"/>
        <v>0.92640358289902824</v>
      </c>
      <c r="B58" s="39">
        <f t="shared" si="73"/>
        <v>2060</v>
      </c>
      <c r="C58" s="240">
        <f t="shared" si="45"/>
        <v>231380.77777777729</v>
      </c>
      <c r="D58" s="42">
        <v>16830</v>
      </c>
      <c r="E58" s="42">
        <f t="shared" si="50"/>
        <v>248210.77777777729</v>
      </c>
      <c r="F58" s="44">
        <f t="shared" si="38"/>
        <v>27213.707740402315</v>
      </c>
      <c r="G58" s="42">
        <f t="shared" si="29"/>
        <v>1979.450089457516</v>
      </c>
      <c r="H58" s="45">
        <f t="shared" si="51"/>
        <v>26857.705203471047</v>
      </c>
      <c r="I58" s="44">
        <v>6000</v>
      </c>
      <c r="J58" s="41">
        <v>135</v>
      </c>
      <c r="K58" s="45">
        <f t="shared" si="52"/>
        <v>6135</v>
      </c>
      <c r="L58" s="44">
        <v>4658</v>
      </c>
      <c r="M58" s="42">
        <v>40</v>
      </c>
      <c r="N58" s="45">
        <f t="shared" si="74"/>
        <v>4698</v>
      </c>
      <c r="O58" s="42">
        <f t="shared" si="31"/>
        <v>2240</v>
      </c>
      <c r="P58" s="42">
        <f t="shared" si="3"/>
        <v>3015.2564162776839</v>
      </c>
      <c r="Q58" s="45">
        <f t="shared" si="54"/>
        <v>5255.2564162776835</v>
      </c>
      <c r="R58" s="44">
        <f t="shared" si="55"/>
        <v>42945.961619748734</v>
      </c>
      <c r="S58" s="46">
        <f t="shared" si="6"/>
        <v>38.339918990904067</v>
      </c>
      <c r="T58" s="46">
        <f t="shared" si="32"/>
        <v>81.947821779988956</v>
      </c>
      <c r="U58" s="136">
        <f t="shared" si="44"/>
        <v>146.40758500750457</v>
      </c>
      <c r="V58" s="65">
        <v>14000</v>
      </c>
      <c r="W58" s="136">
        <f t="shared" si="8"/>
        <v>12.5</v>
      </c>
      <c r="X58" s="135">
        <f t="shared" si="9"/>
        <v>25.839918990904067</v>
      </c>
      <c r="Y58" s="136">
        <f t="shared" si="10"/>
        <v>69.447821779988956</v>
      </c>
      <c r="Z58" s="139"/>
      <c r="AA58" s="139"/>
      <c r="AB58" s="133">
        <f t="shared" si="39"/>
        <v>3000</v>
      </c>
      <c r="AC58" s="133">
        <f t="shared" si="75"/>
        <v>3769.0705203471052</v>
      </c>
      <c r="AD58" s="133">
        <f t="shared" si="76"/>
        <v>49715.032140095842</v>
      </c>
      <c r="AE58" s="121"/>
      <c r="AF58" s="34"/>
      <c r="AG58" s="34"/>
      <c r="AH58" s="34"/>
      <c r="AI58" s="113"/>
      <c r="AV58" s="113"/>
      <c r="BF58" s="110"/>
      <c r="BG58" s="34"/>
      <c r="BH58" s="129">
        <v>0.08</v>
      </c>
      <c r="BI58" s="43"/>
      <c r="BJ58" s="43"/>
      <c r="BK58" s="51"/>
      <c r="BL58" s="51"/>
      <c r="BM58" s="51"/>
      <c r="BN58" s="51"/>
      <c r="BO58" s="51"/>
      <c r="BP58" s="51"/>
      <c r="BQ58" s="50"/>
      <c r="BR58" s="40"/>
      <c r="BS58" s="40"/>
      <c r="BT58" s="40"/>
      <c r="BU58" s="40"/>
    </row>
    <row r="59" spans="1:74" s="109" customFormat="1" x14ac:dyDescent="0.15">
      <c r="A59" s="11">
        <f t="shared" si="37"/>
        <v>0.91790012326962378</v>
      </c>
      <c r="B59" s="33">
        <f t="shared" si="73"/>
        <v>2061</v>
      </c>
      <c r="C59" s="13">
        <f t="shared" si="45"/>
        <v>233504.62222222172</v>
      </c>
      <c r="D59" s="13">
        <v>16830</v>
      </c>
      <c r="E59" s="13">
        <f t="shared" si="50"/>
        <v>250334.62222222172</v>
      </c>
      <c r="F59" s="24">
        <f t="shared" si="38"/>
        <v>27463.5023972977</v>
      </c>
      <c r="G59" s="13">
        <f t="shared" si="29"/>
        <v>1979.450089457516</v>
      </c>
      <c r="H59" s="27">
        <f t="shared" si="51"/>
        <v>27087.5162878148</v>
      </c>
      <c r="I59" s="24">
        <v>6000</v>
      </c>
      <c r="J59" s="10">
        <v>135</v>
      </c>
      <c r="K59" s="27">
        <f t="shared" si="52"/>
        <v>6135</v>
      </c>
      <c r="L59" s="24">
        <v>4658</v>
      </c>
      <c r="M59" s="13">
        <v>40</v>
      </c>
      <c r="N59" s="27">
        <f t="shared" si="74"/>
        <v>4698</v>
      </c>
      <c r="O59" s="13">
        <f t="shared" si="31"/>
        <v>2240</v>
      </c>
      <c r="P59" s="13">
        <f t="shared" si="3"/>
        <v>3033.6413030251838</v>
      </c>
      <c r="Q59" s="27">
        <f t="shared" si="54"/>
        <v>5273.6413030251842</v>
      </c>
      <c r="R59" s="24">
        <f t="shared" si="55"/>
        <v>43194.157590839983</v>
      </c>
      <c r="S59" s="15">
        <f t="shared" si="6"/>
        <v>38.561495434104053</v>
      </c>
      <c r="T59" s="15">
        <f t="shared" si="32"/>
        <v>82.435289955028921</v>
      </c>
      <c r="U59" s="25">
        <f t="shared" si="44"/>
        <v>146.05057544954855</v>
      </c>
      <c r="V59" s="24">
        <v>14000</v>
      </c>
      <c r="W59" s="25">
        <f t="shared" si="8"/>
        <v>12.5</v>
      </c>
      <c r="X59" s="15">
        <f t="shared" si="9"/>
        <v>26.061495434104053</v>
      </c>
      <c r="Y59" s="25">
        <f t="shared" si="10"/>
        <v>69.935289955028921</v>
      </c>
      <c r="Z59" s="2"/>
      <c r="AA59" s="2"/>
      <c r="AB59" s="13">
        <f t="shared" si="39"/>
        <v>3000</v>
      </c>
      <c r="AC59" s="13">
        <f t="shared" si="75"/>
        <v>3792.0516287814798</v>
      </c>
      <c r="AD59" s="13">
        <f t="shared" si="76"/>
        <v>49986.209219621465</v>
      </c>
      <c r="AE59" s="121"/>
      <c r="AF59" s="34"/>
      <c r="AG59" s="34"/>
      <c r="AH59" s="34"/>
      <c r="AI59" s="113"/>
      <c r="AV59" s="113"/>
      <c r="BF59" s="110"/>
      <c r="BG59" s="34"/>
      <c r="BH59" s="129">
        <v>0.08</v>
      </c>
      <c r="BI59" s="8"/>
      <c r="BJ59" s="8"/>
      <c r="BK59"/>
      <c r="BL59"/>
      <c r="BM59"/>
      <c r="BN59"/>
      <c r="BO59"/>
      <c r="BP59"/>
      <c r="BQ59" s="1"/>
      <c r="BR59" s="2"/>
      <c r="BS59" s="2"/>
      <c r="BT59" s="2"/>
      <c r="BU59" s="2"/>
    </row>
    <row r="60" spans="1:74" s="109" customFormat="1" x14ac:dyDescent="0.15">
      <c r="A60" s="11">
        <f t="shared" si="37"/>
        <v>0.90955135030398315</v>
      </c>
      <c r="B60" s="33">
        <f t="shared" si="73"/>
        <v>2062</v>
      </c>
      <c r="C60" s="13">
        <f t="shared" si="45"/>
        <v>235628.46666666615</v>
      </c>
      <c r="D60" s="13">
        <v>16830</v>
      </c>
      <c r="E60" s="13">
        <f t="shared" si="50"/>
        <v>252458.46666666615</v>
      </c>
      <c r="F60" s="24">
        <f t="shared" si="38"/>
        <v>27713.297054193084</v>
      </c>
      <c r="G60" s="13">
        <f t="shared" si="29"/>
        <v>1979.450089457516</v>
      </c>
      <c r="H60" s="27">
        <f t="shared" si="51"/>
        <v>27317.327372158554</v>
      </c>
      <c r="I60" s="24">
        <v>6000</v>
      </c>
      <c r="J60" s="10">
        <v>135</v>
      </c>
      <c r="K60" s="27">
        <f t="shared" si="52"/>
        <v>6135</v>
      </c>
      <c r="L60" s="24">
        <v>4658</v>
      </c>
      <c r="M60" s="13">
        <v>40</v>
      </c>
      <c r="N60" s="27">
        <f t="shared" si="74"/>
        <v>4698</v>
      </c>
      <c r="O60" s="13">
        <f t="shared" si="31"/>
        <v>2240</v>
      </c>
      <c r="P60" s="13">
        <f t="shared" si="3"/>
        <v>3052.0261897726846</v>
      </c>
      <c r="Q60" s="27">
        <f t="shared" si="54"/>
        <v>5292.026189772685</v>
      </c>
      <c r="R60" s="24">
        <f t="shared" si="55"/>
        <v>43442.353561931239</v>
      </c>
      <c r="S60" s="15">
        <f t="shared" si="6"/>
        <v>38.783071877304053</v>
      </c>
      <c r="T60" s="15">
        <f t="shared" si="32"/>
        <v>82.922758130068928</v>
      </c>
      <c r="U60" s="25">
        <f t="shared" si="44"/>
        <v>145.69957268372977</v>
      </c>
      <c r="V60" s="24">
        <v>14000</v>
      </c>
      <c r="W60" s="25">
        <f t="shared" si="8"/>
        <v>12.5</v>
      </c>
      <c r="X60" s="15">
        <f t="shared" si="9"/>
        <v>26.283071877304053</v>
      </c>
      <c r="Y60" s="25">
        <f t="shared" si="10"/>
        <v>70.422758130068928</v>
      </c>
      <c r="Z60" s="2"/>
      <c r="AA60" s="2"/>
      <c r="AB60" s="13">
        <f t="shared" si="39"/>
        <v>3000</v>
      </c>
      <c r="AC60" s="13">
        <f t="shared" si="75"/>
        <v>3815.0327372158558</v>
      </c>
      <c r="AD60" s="13">
        <f t="shared" si="76"/>
        <v>50257.386299147096</v>
      </c>
      <c r="AE60" s="121"/>
      <c r="AF60" s="34"/>
      <c r="AG60" s="34"/>
      <c r="AH60" s="34"/>
      <c r="AI60" s="113"/>
      <c r="AV60" s="113"/>
      <c r="BF60" s="110"/>
      <c r="BG60" s="34"/>
      <c r="BH60" s="129">
        <v>0.08</v>
      </c>
      <c r="BI60" s="8"/>
      <c r="BJ60" s="8"/>
      <c r="BK60"/>
      <c r="BL60"/>
      <c r="BM60"/>
      <c r="BN60"/>
      <c r="BO60"/>
      <c r="BP60"/>
      <c r="BQ60" s="1"/>
      <c r="BR60" s="2"/>
      <c r="BS60" s="2"/>
      <c r="BT60" s="2"/>
      <c r="BU60" s="2"/>
    </row>
    <row r="61" spans="1:74" s="109" customFormat="1" x14ac:dyDescent="0.15">
      <c r="A61" s="11">
        <f t="shared" si="37"/>
        <v>0.90135308118307578</v>
      </c>
      <c r="B61" s="33">
        <f t="shared" si="73"/>
        <v>2063</v>
      </c>
      <c r="C61" s="13">
        <f t="shared" si="45"/>
        <v>237752.31111111058</v>
      </c>
      <c r="D61" s="13">
        <v>16830</v>
      </c>
      <c r="E61" s="13">
        <f t="shared" si="50"/>
        <v>254582.31111111058</v>
      </c>
      <c r="F61" s="24">
        <f t="shared" si="38"/>
        <v>27963.091711088477</v>
      </c>
      <c r="G61" s="13">
        <f t="shared" si="29"/>
        <v>1979.450089457516</v>
      </c>
      <c r="H61" s="27">
        <f t="shared" si="51"/>
        <v>27547.138456502315</v>
      </c>
      <c r="I61" s="24">
        <v>6000</v>
      </c>
      <c r="J61" s="10">
        <v>135</v>
      </c>
      <c r="K61" s="27">
        <f t="shared" si="52"/>
        <v>6135</v>
      </c>
      <c r="L61" s="24">
        <v>4658</v>
      </c>
      <c r="M61" s="13">
        <v>40</v>
      </c>
      <c r="N61" s="27">
        <f t="shared" si="74"/>
        <v>4698</v>
      </c>
      <c r="O61" s="13">
        <f t="shared" si="31"/>
        <v>2240</v>
      </c>
      <c r="P61" s="13">
        <f t="shared" si="3"/>
        <v>3070.4110765201854</v>
      </c>
      <c r="Q61" s="27">
        <f t="shared" si="54"/>
        <v>5310.4110765201858</v>
      </c>
      <c r="R61" s="24">
        <f t="shared" si="55"/>
        <v>43690.549533022502</v>
      </c>
      <c r="S61" s="15">
        <f t="shared" si="6"/>
        <v>39.00464832050406</v>
      </c>
      <c r="T61" s="15">
        <f t="shared" si="32"/>
        <v>83.410226305108935</v>
      </c>
      <c r="U61" s="25">
        <f t="shared" si="44"/>
        <v>145.35442637565873</v>
      </c>
      <c r="V61" s="24">
        <v>14000</v>
      </c>
      <c r="W61" s="25">
        <f t="shared" si="8"/>
        <v>12.5</v>
      </c>
      <c r="X61" s="15">
        <f t="shared" si="9"/>
        <v>26.50464832050406</v>
      </c>
      <c r="Y61" s="25">
        <f t="shared" si="10"/>
        <v>70.910226305108935</v>
      </c>
      <c r="Z61" s="2"/>
      <c r="AA61" s="2"/>
      <c r="AB61" s="13">
        <f t="shared" si="39"/>
        <v>3000</v>
      </c>
      <c r="AC61" s="13">
        <f t="shared" si="75"/>
        <v>3838.0138456502318</v>
      </c>
      <c r="AD61" s="13">
        <f t="shared" si="76"/>
        <v>50528.563378672734</v>
      </c>
      <c r="AE61" s="121"/>
      <c r="AF61" s="34"/>
      <c r="AG61" s="34"/>
      <c r="AH61" s="34"/>
      <c r="AI61" s="113"/>
      <c r="AV61" s="113"/>
      <c r="BF61" s="110"/>
      <c r="BG61" s="34"/>
      <c r="BH61" s="129">
        <v>0.08</v>
      </c>
      <c r="BI61" s="8"/>
      <c r="BJ61" s="8"/>
      <c r="BK61"/>
      <c r="BL61"/>
      <c r="BM61"/>
      <c r="BN61"/>
      <c r="BO61"/>
      <c r="BP61"/>
      <c r="BQ61" s="1"/>
      <c r="BR61" s="2"/>
      <c r="BS61" s="2"/>
      <c r="BT61" s="2"/>
      <c r="BU61" s="2"/>
    </row>
    <row r="62" spans="1:74" s="109" customFormat="1" x14ac:dyDescent="0.15">
      <c r="A62" s="11">
        <f t="shared" si="37"/>
        <v>0.89330128254857633</v>
      </c>
      <c r="B62" s="33">
        <f t="shared" si="73"/>
        <v>2064</v>
      </c>
      <c r="C62" s="13">
        <f t="shared" si="45"/>
        <v>239876.15555555501</v>
      </c>
      <c r="D62" s="13">
        <v>16830</v>
      </c>
      <c r="E62" s="13">
        <f t="shared" si="50"/>
        <v>256706.15555555501</v>
      </c>
      <c r="F62" s="24">
        <f t="shared" si="38"/>
        <v>28212.886367983861</v>
      </c>
      <c r="G62" s="13">
        <f t="shared" si="29"/>
        <v>1979.450089457516</v>
      </c>
      <c r="H62" s="27">
        <f t="shared" si="51"/>
        <v>27776.949540846072</v>
      </c>
      <c r="I62" s="24">
        <v>6000</v>
      </c>
      <c r="J62" s="10">
        <v>135</v>
      </c>
      <c r="K62" s="27">
        <f t="shared" si="52"/>
        <v>6135</v>
      </c>
      <c r="L62" s="24">
        <v>4658</v>
      </c>
      <c r="M62" s="13">
        <v>40</v>
      </c>
      <c r="N62" s="27">
        <f t="shared" si="74"/>
        <v>4698</v>
      </c>
      <c r="O62" s="13">
        <f t="shared" si="31"/>
        <v>2240</v>
      </c>
      <c r="P62" s="13">
        <f t="shared" si="3"/>
        <v>3088.7959632676857</v>
      </c>
      <c r="Q62" s="27">
        <f t="shared" si="54"/>
        <v>5328.7959632676857</v>
      </c>
      <c r="R62" s="24">
        <f t="shared" si="55"/>
        <v>43938.745504113758</v>
      </c>
      <c r="S62" s="15">
        <f t="shared" si="6"/>
        <v>39.226224763704053</v>
      </c>
      <c r="T62" s="15">
        <f t="shared" si="32"/>
        <v>83.897694480148928</v>
      </c>
      <c r="U62" s="25">
        <f t="shared" si="44"/>
        <v>145.01499116607954</v>
      </c>
      <c r="V62" s="24">
        <v>14000</v>
      </c>
      <c r="W62" s="25">
        <f t="shared" si="8"/>
        <v>12.5</v>
      </c>
      <c r="X62" s="15">
        <f t="shared" si="9"/>
        <v>26.726224763704053</v>
      </c>
      <c r="Y62" s="25">
        <f t="shared" si="10"/>
        <v>71.397694480148928</v>
      </c>
      <c r="Z62" s="2"/>
      <c r="AA62" s="2"/>
      <c r="AB62" s="13">
        <f t="shared" si="39"/>
        <v>3000</v>
      </c>
      <c r="AC62" s="13">
        <f t="shared" si="75"/>
        <v>3860.9949540846073</v>
      </c>
      <c r="AD62" s="13">
        <f t="shared" si="76"/>
        <v>50799.740458198365</v>
      </c>
      <c r="AE62" s="121"/>
      <c r="AF62" s="34"/>
      <c r="AG62" s="34"/>
      <c r="AH62" s="34"/>
      <c r="AI62" s="113"/>
      <c r="AV62" s="113"/>
      <c r="BF62" s="110"/>
      <c r="BG62" s="34"/>
      <c r="BH62" s="129">
        <v>0.08</v>
      </c>
      <c r="BI62" s="8"/>
      <c r="BJ62" s="8"/>
      <c r="BK62"/>
      <c r="BL62"/>
      <c r="BM62"/>
      <c r="BN62"/>
      <c r="BO62"/>
      <c r="BP62"/>
      <c r="BQ62" s="1"/>
      <c r="BR62" s="2"/>
      <c r="BS62" s="2"/>
      <c r="BT62" s="2"/>
      <c r="BU62" s="2"/>
    </row>
    <row r="63" spans="1:74" s="109" customFormat="1" ht="14" thickBot="1" x14ac:dyDescent="0.2">
      <c r="A63" s="11">
        <f>(C63-C62)/C62*100</f>
        <v>0.88539206388652725</v>
      </c>
      <c r="B63" s="58">
        <f>B62+1</f>
        <v>2065</v>
      </c>
      <c r="C63" s="59">
        <v>242000</v>
      </c>
      <c r="D63" s="59">
        <v>16830</v>
      </c>
      <c r="E63" s="59">
        <f t="shared" si="50"/>
        <v>258830</v>
      </c>
      <c r="F63" s="60">
        <f t="shared" si="38"/>
        <v>28462.681024879315</v>
      </c>
      <c r="G63" s="59">
        <f t="shared" si="29"/>
        <v>1979.450089457516</v>
      </c>
      <c r="H63" s="61">
        <f t="shared" si="51"/>
        <v>28006.760625189887</v>
      </c>
      <c r="I63" s="60">
        <v>6000</v>
      </c>
      <c r="J63" s="62">
        <v>135</v>
      </c>
      <c r="K63" s="61">
        <f t="shared" si="52"/>
        <v>6135</v>
      </c>
      <c r="L63" s="60">
        <v>4658</v>
      </c>
      <c r="M63" s="59">
        <v>40</v>
      </c>
      <c r="N63" s="61">
        <f t="shared" si="74"/>
        <v>4698</v>
      </c>
      <c r="O63" s="59">
        <f>O62</f>
        <v>2240</v>
      </c>
      <c r="P63" s="59">
        <f>(H63+K63+N63)*0.08</f>
        <v>3107.1808500151906</v>
      </c>
      <c r="Q63" s="61">
        <f t="shared" si="54"/>
        <v>5347.180850015191</v>
      </c>
      <c r="R63" s="60">
        <f>Q63+N63+K63+H63</f>
        <v>44186.94147520508</v>
      </c>
      <c r="S63" s="63">
        <f t="shared" si="6"/>
        <v>39.44780120690411</v>
      </c>
      <c r="T63" s="63">
        <f t="shared" si="32"/>
        <v>84.385162655189049</v>
      </c>
      <c r="U63" s="141">
        <f t="shared" si="44"/>
        <v>144.68112646675104</v>
      </c>
      <c r="V63" s="140">
        <v>14000</v>
      </c>
      <c r="W63" s="141">
        <f t="shared" si="8"/>
        <v>12.5</v>
      </c>
      <c r="X63" s="142">
        <f t="shared" si="9"/>
        <v>26.94780120690411</v>
      </c>
      <c r="Y63" s="141">
        <f>T63-W63</f>
        <v>71.885162655189049</v>
      </c>
      <c r="Z63" s="143"/>
      <c r="AA63" s="143"/>
      <c r="AB63" s="196">
        <f t="shared" si="39"/>
        <v>3000</v>
      </c>
      <c r="AC63" s="196">
        <f t="shared" si="75"/>
        <v>3883.9760625189883</v>
      </c>
      <c r="AD63" s="196">
        <f t="shared" si="76"/>
        <v>51070.917537724068</v>
      </c>
      <c r="AE63" s="130"/>
      <c r="AF63" s="131"/>
      <c r="AG63" s="131"/>
      <c r="AH63" s="131"/>
      <c r="AI63" s="123"/>
      <c r="AJ63" s="131"/>
      <c r="AK63" s="131"/>
      <c r="AL63" s="131"/>
      <c r="AM63" s="131"/>
      <c r="AN63" s="131"/>
      <c r="AO63" s="131"/>
      <c r="AP63" s="131"/>
      <c r="AQ63" s="131"/>
      <c r="AR63" s="131"/>
      <c r="AS63" s="131"/>
      <c r="AT63" s="131"/>
      <c r="AU63" s="131"/>
      <c r="AV63" s="123"/>
      <c r="AW63" s="131"/>
      <c r="AX63" s="131"/>
      <c r="AY63" s="131"/>
      <c r="AZ63" s="131"/>
      <c r="BA63" s="131"/>
      <c r="BB63" s="131"/>
      <c r="BC63" s="131"/>
      <c r="BD63" s="131"/>
      <c r="BE63" s="131"/>
      <c r="BF63" s="197"/>
      <c r="BG63" s="131"/>
      <c r="BH63" s="198">
        <v>0.08</v>
      </c>
      <c r="BI63" s="43"/>
      <c r="BJ63" s="43"/>
      <c r="BK63" s="51"/>
      <c r="BL63" s="51"/>
      <c r="BM63" s="51"/>
      <c r="BN63" s="51"/>
      <c r="BO63" s="51"/>
      <c r="BP63" s="51"/>
      <c r="BQ63" s="50"/>
      <c r="BR63" s="40"/>
      <c r="BS63" s="40"/>
      <c r="BT63" s="40"/>
      <c r="BU63" s="40"/>
      <c r="BV63" s="220"/>
    </row>
    <row r="64" spans="1:74" s="109" customFormat="1" x14ac:dyDescent="0.15">
      <c r="A64"/>
      <c r="B64"/>
      <c r="C64"/>
      <c r="D64"/>
      <c r="E64"/>
      <c r="F64"/>
      <c r="G64"/>
      <c r="H64"/>
      <c r="I64"/>
      <c r="J64"/>
      <c r="K64"/>
      <c r="L64"/>
      <c r="M64"/>
      <c r="N64"/>
      <c r="O64"/>
      <c r="P64"/>
      <c r="Q64"/>
      <c r="R64"/>
      <c r="S64"/>
      <c r="T64"/>
      <c r="U64"/>
      <c r="V64"/>
      <c r="W64"/>
      <c r="X64"/>
      <c r="Y64"/>
      <c r="Z64" s="2"/>
      <c r="AA64" s="2"/>
      <c r="BF64" s="110"/>
      <c r="BG64" s="34"/>
      <c r="BH64" s="129"/>
      <c r="BI64" s="8"/>
      <c r="BJ64" s="8"/>
      <c r="BK64"/>
      <c r="BL64"/>
      <c r="BM64"/>
      <c r="BN64"/>
      <c r="BO64"/>
      <c r="BP64"/>
      <c r="BQ64" s="1"/>
      <c r="BR64" s="2"/>
      <c r="BS64" s="2"/>
      <c r="BT64" s="2"/>
      <c r="BU64" s="2"/>
    </row>
    <row r="65" spans="1:75" x14ac:dyDescent="0.15">
      <c r="A65" s="109"/>
      <c r="B65" s="199" t="s">
        <v>120</v>
      </c>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93"/>
      <c r="AA65" s="193"/>
      <c r="BH65" s="129"/>
      <c r="BI65" s="34"/>
      <c r="BJ65" s="34"/>
      <c r="BK65" s="109"/>
      <c r="BL65" s="109"/>
      <c r="BM65" s="109"/>
      <c r="BN65" s="109"/>
      <c r="BO65" s="109"/>
      <c r="BP65" s="109"/>
      <c r="BQ65" s="195"/>
      <c r="BR65" s="193"/>
      <c r="BS65" s="193"/>
      <c r="BT65" s="193"/>
      <c r="BU65" s="193"/>
      <c r="BV65" s="109"/>
      <c r="BW65" s="109"/>
    </row>
    <row r="66" spans="1:75" ht="28.5" customHeight="1" x14ac:dyDescent="0.15">
      <c r="B66" s="232" t="s">
        <v>163</v>
      </c>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32"/>
      <c r="BH66" s="129"/>
    </row>
    <row r="67" spans="1:75" x14ac:dyDescent="0.15">
      <c r="B67" s="202" t="s">
        <v>164</v>
      </c>
      <c r="BH67" s="129"/>
    </row>
    <row r="68" spans="1:75" x14ac:dyDescent="0.15">
      <c r="B68" t="s">
        <v>165</v>
      </c>
      <c r="BH68" s="129"/>
    </row>
    <row r="69" spans="1:75" x14ac:dyDescent="0.15">
      <c r="B69" t="s">
        <v>169</v>
      </c>
      <c r="BH69" s="129"/>
    </row>
    <row r="70" spans="1:75" x14ac:dyDescent="0.15">
      <c r="BH70" s="129"/>
    </row>
    <row r="71" spans="1:75" x14ac:dyDescent="0.15">
      <c r="B71" s="199" t="s">
        <v>168</v>
      </c>
      <c r="BH71" s="129"/>
    </row>
    <row r="72" spans="1:75" x14ac:dyDescent="0.15">
      <c r="BH72" s="129"/>
    </row>
    <row r="73" spans="1:75" x14ac:dyDescent="0.15">
      <c r="BH73" s="129"/>
    </row>
    <row r="74" spans="1:75" x14ac:dyDescent="0.15">
      <c r="BH74" s="129"/>
    </row>
    <row r="75" spans="1:75" x14ac:dyDescent="0.15">
      <c r="BH75" s="129"/>
    </row>
    <row r="76" spans="1:75" x14ac:dyDescent="0.15">
      <c r="T76" s="2" t="s">
        <v>57</v>
      </c>
      <c r="U76" s="26">
        <f>AVERAGE(U8:U63)</f>
        <v>143.36280023680089</v>
      </c>
      <c r="BH76" s="129"/>
    </row>
    <row r="77" spans="1:75" x14ac:dyDescent="0.15">
      <c r="B77" s="39">
        <v>2010</v>
      </c>
      <c r="H77" s="68">
        <f>H8*325853/$E8/365</f>
        <v>99.75</v>
      </c>
      <c r="K77" s="68">
        <f>K8*325853/$E8/365</f>
        <v>11.886290872124873</v>
      </c>
      <c r="N77" s="68">
        <f>N8*325853/$E8/365</f>
        <v>18.573564065403755</v>
      </c>
      <c r="Q77" s="68">
        <f>Q8*325853/$E8/365</f>
        <v>24.937336738079676</v>
      </c>
      <c r="R77" s="68"/>
      <c r="BH77" s="129"/>
    </row>
    <row r="78" spans="1:75" x14ac:dyDescent="0.15">
      <c r="B78" s="33">
        <f t="shared" ref="B78:B92" si="77">B77+1</f>
        <v>2011</v>
      </c>
      <c r="H78" s="68">
        <f t="shared" ref="H78:H92" si="78">H9*325853/$E9/365</f>
        <v>99.75</v>
      </c>
      <c r="K78" s="68">
        <f t="shared" ref="K78:K92" si="79">K9*325853/$E9/365</f>
        <v>12.231087635703894</v>
      </c>
      <c r="N78" s="68">
        <f t="shared" ref="N78:N92" si="80">N9*325853/$E9/365</f>
        <v>18.952470555751621</v>
      </c>
      <c r="Q78" s="68">
        <f t="shared" ref="Q78:Q92" si="81">Q9*325853/$E9/365</f>
        <v>25.152542580202667</v>
      </c>
      <c r="BH78" s="129"/>
    </row>
    <row r="79" spans="1:75" x14ac:dyDescent="0.15">
      <c r="B79" s="33">
        <f t="shared" si="77"/>
        <v>2012</v>
      </c>
      <c r="H79" s="68">
        <f t="shared" si="78"/>
        <v>98.699999999999974</v>
      </c>
      <c r="K79" s="68">
        <f t="shared" si="79"/>
        <v>13.021994391340504</v>
      </c>
      <c r="N79" s="68">
        <f t="shared" si="80"/>
        <v>21.048088597291308</v>
      </c>
      <c r="Q79" s="68">
        <f t="shared" si="81"/>
        <v>25.108283765888192</v>
      </c>
      <c r="BH79" s="129"/>
    </row>
    <row r="80" spans="1:75" x14ac:dyDescent="0.15">
      <c r="B80" s="66">
        <f t="shared" si="77"/>
        <v>2013</v>
      </c>
      <c r="H80" s="68">
        <f t="shared" si="78"/>
        <v>98.7</v>
      </c>
      <c r="K80" s="68">
        <f t="shared" si="79"/>
        <v>11.35120800457741</v>
      </c>
      <c r="N80" s="68">
        <f t="shared" si="80"/>
        <v>20.83198323731969</v>
      </c>
      <c r="Q80" s="68">
        <f t="shared" si="81"/>
        <v>24.808594522429164</v>
      </c>
    </row>
    <row r="81" spans="2:17" x14ac:dyDescent="0.15">
      <c r="B81" s="66">
        <f t="shared" si="77"/>
        <v>2014</v>
      </c>
      <c r="H81" s="68">
        <f t="shared" si="78"/>
        <v>97.65</v>
      </c>
      <c r="K81" s="68">
        <f t="shared" si="79"/>
        <v>11.466851573093471</v>
      </c>
      <c r="N81" s="68">
        <f t="shared" si="80"/>
        <v>15.729640115443093</v>
      </c>
      <c r="Q81" s="68">
        <f t="shared" si="81"/>
        <v>24.22308286004964</v>
      </c>
    </row>
    <row r="82" spans="2:17" x14ac:dyDescent="0.15">
      <c r="B82" s="67">
        <f t="shared" si="77"/>
        <v>2015</v>
      </c>
      <c r="H82" s="68">
        <f t="shared" si="78"/>
        <v>97.65</v>
      </c>
      <c r="K82" s="68">
        <f t="shared" si="79"/>
        <v>11.561035173815146</v>
      </c>
      <c r="N82" s="68">
        <f t="shared" si="80"/>
        <v>15.956980551761157</v>
      </c>
      <c r="Q82" s="68">
        <f t="shared" si="81"/>
        <v>23.471560506589245</v>
      </c>
    </row>
    <row r="83" spans="2:17" x14ac:dyDescent="0.15">
      <c r="B83" s="66">
        <f t="shared" si="77"/>
        <v>2016</v>
      </c>
      <c r="H83" s="68">
        <f t="shared" si="78"/>
        <v>96.6</v>
      </c>
      <c r="K83" s="68">
        <f t="shared" si="79"/>
        <v>12.093894078820814</v>
      </c>
      <c r="N83" s="68">
        <f t="shared" si="80"/>
        <v>18.622494428618054</v>
      </c>
      <c r="Q83" s="68">
        <f t="shared" si="81"/>
        <v>23.430566362854719</v>
      </c>
    </row>
    <row r="84" spans="2:17" x14ac:dyDescent="0.15">
      <c r="B84" s="66">
        <f t="shared" si="77"/>
        <v>2017</v>
      </c>
      <c r="H84" s="68">
        <f t="shared" si="78"/>
        <v>96.6</v>
      </c>
      <c r="K84" s="68">
        <f t="shared" si="79"/>
        <v>11.744314605386986</v>
      </c>
      <c r="N84" s="68">
        <f t="shared" si="80"/>
        <v>16.748084394691627</v>
      </c>
      <c r="Q84" s="68">
        <f t="shared" si="81"/>
        <v>22.96983769639149</v>
      </c>
    </row>
    <row r="85" spans="2:17" x14ac:dyDescent="0.15">
      <c r="B85" s="66">
        <f t="shared" si="77"/>
        <v>2018</v>
      </c>
      <c r="H85" s="68">
        <f t="shared" si="78"/>
        <v>96.600000000000023</v>
      </c>
      <c r="K85" s="68">
        <f t="shared" si="79"/>
        <v>12.119794317461816</v>
      </c>
      <c r="N85" s="68">
        <f t="shared" si="80"/>
        <v>16.691061494105256</v>
      </c>
      <c r="Q85" s="68">
        <f t="shared" si="81"/>
        <v>22.742720423182853</v>
      </c>
    </row>
    <row r="86" spans="2:17" x14ac:dyDescent="0.15">
      <c r="B86" s="66">
        <f t="shared" si="77"/>
        <v>2019</v>
      </c>
      <c r="H86" s="68">
        <f t="shared" si="78"/>
        <v>96.600000000000023</v>
      </c>
      <c r="K86" s="68">
        <f t="shared" si="79"/>
        <v>12.464368807439909</v>
      </c>
      <c r="N86" s="68">
        <f t="shared" si="80"/>
        <v>16.614156726019452</v>
      </c>
      <c r="Q86" s="68">
        <f t="shared" si="81"/>
        <v>22.504663676492846</v>
      </c>
    </row>
    <row r="87" spans="2:17" x14ac:dyDescent="0.15">
      <c r="B87" s="67">
        <f t="shared" si="77"/>
        <v>2020</v>
      </c>
      <c r="H87" s="68">
        <f t="shared" si="78"/>
        <v>96.6</v>
      </c>
      <c r="K87" s="68">
        <f t="shared" si="79"/>
        <v>12.845315423605982</v>
      </c>
      <c r="N87" s="68">
        <f t="shared" si="80"/>
        <v>16.605170532464502</v>
      </c>
      <c r="Q87" s="68">
        <f t="shared" si="81"/>
        <v>22.333163858938295</v>
      </c>
    </row>
    <row r="88" spans="2:17" x14ac:dyDescent="0.15">
      <c r="B88" s="66">
        <f t="shared" si="77"/>
        <v>2021</v>
      </c>
      <c r="H88" s="68">
        <f t="shared" si="78"/>
        <v>96.6</v>
      </c>
      <c r="K88" s="68">
        <f t="shared" si="79"/>
        <v>13.255303771570151</v>
      </c>
      <c r="N88" s="68">
        <f t="shared" si="80"/>
        <v>16.64816766093017</v>
      </c>
      <c r="Q88" s="68">
        <f t="shared" si="81"/>
        <v>22.212097683097294</v>
      </c>
    </row>
    <row r="89" spans="2:17" x14ac:dyDescent="0.15">
      <c r="B89" s="33">
        <f t="shared" si="77"/>
        <v>2022</v>
      </c>
      <c r="H89" s="68">
        <f t="shared" si="78"/>
        <v>96.600000000000023</v>
      </c>
      <c r="K89" s="68">
        <f t="shared" si="79"/>
        <v>13.654895378035478</v>
      </c>
      <c r="N89" s="68">
        <f t="shared" si="80"/>
        <v>16.690074441262606</v>
      </c>
      <c r="Q89" s="68">
        <f t="shared" si="81"/>
        <v>22.094101579224731</v>
      </c>
    </row>
    <row r="90" spans="2:17" x14ac:dyDescent="0.15">
      <c r="B90" s="33">
        <f t="shared" si="77"/>
        <v>2023</v>
      </c>
      <c r="H90" s="68">
        <f t="shared" si="78"/>
        <v>96.600000000000023</v>
      </c>
      <c r="K90" s="68">
        <f t="shared" si="79"/>
        <v>14.044480762118745</v>
      </c>
      <c r="N90" s="68">
        <f t="shared" si="80"/>
        <v>16.73093182877362</v>
      </c>
      <c r="Q90" s="68">
        <f t="shared" si="81"/>
        <v>21.979060230248077</v>
      </c>
    </row>
    <row r="91" spans="2:17" x14ac:dyDescent="0.15">
      <c r="B91" s="33">
        <f t="shared" si="77"/>
        <v>2024</v>
      </c>
      <c r="H91" s="68">
        <f t="shared" si="78"/>
        <v>96.600000000000023</v>
      </c>
      <c r="K91" s="68">
        <f t="shared" si="79"/>
        <v>14.424431126712587</v>
      </c>
      <c r="N91" s="68">
        <f t="shared" si="80"/>
        <v>16.770778753004858</v>
      </c>
      <c r="Q91" s="68">
        <f t="shared" si="81"/>
        <v>21.866864023016369</v>
      </c>
    </row>
    <row r="92" spans="2:17" x14ac:dyDescent="0.15">
      <c r="B92" s="39">
        <f t="shared" si="77"/>
        <v>2025</v>
      </c>
      <c r="H92" s="68">
        <f t="shared" si="78"/>
        <v>96.600000000000023</v>
      </c>
      <c r="K92" s="68">
        <f t="shared" si="79"/>
        <v>14.795099538194107</v>
      </c>
      <c r="N92" s="68">
        <f t="shared" si="80"/>
        <v>16.809652241448557</v>
      </c>
      <c r="Q92" s="68">
        <f t="shared" si="81"/>
        <v>21.757408699942047</v>
      </c>
    </row>
  </sheetData>
  <mergeCells count="21">
    <mergeCell ref="B66:AD66"/>
    <mergeCell ref="C2:E2"/>
    <mergeCell ref="F3:H3"/>
    <mergeCell ref="I3:K3"/>
    <mergeCell ref="L3:N3"/>
    <mergeCell ref="O3:Q3"/>
    <mergeCell ref="F2:Q2"/>
    <mergeCell ref="R2:U2"/>
    <mergeCell ref="X2:Y2"/>
    <mergeCell ref="BQ2:BS2"/>
    <mergeCell ref="BK2:BP2"/>
    <mergeCell ref="AX4:AY4"/>
    <mergeCell ref="AZ4:BA4"/>
    <mergeCell ref="BB4:BC4"/>
    <mergeCell ref="BD4:BE4"/>
    <mergeCell ref="AX2:BE2"/>
    <mergeCell ref="AM2:AU2"/>
    <mergeCell ref="AE2:AI2"/>
    <mergeCell ref="AJ2:AL2"/>
    <mergeCell ref="Z2:AA2"/>
    <mergeCell ref="V2:W2"/>
  </mergeCells>
  <phoneticPr fontId="5" type="noConversion"/>
  <printOptions horizontalCentered="1"/>
  <pageMargins left="0.44" right="0.28999999999999998" top="0.85" bottom="0.7" header="0.42" footer="0.38"/>
  <pageSetup paperSize="17" scale="74" orientation="landscape" copies="7" r:id="rId1"/>
  <headerFooter alignWithMargins="0">
    <oddHeader>&amp;C&amp;"Arial,Bold"&amp;14Long Range Water Plan 
&amp;12Raw and Treated Water Demands&amp;14
&amp;12&amp;D</oddHeader>
    <oddFooter>&amp;L&amp;8&amp;Z&amp;F&amp;C&amp;8Page &amp;P of &amp;N&amp;R&amp;8&amp;D</oddFooter>
  </headerFooter>
  <colBreaks count="1" manualBreakCount="1">
    <brk id="27" max="70"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E25" workbookViewId="0">
      <selection activeCell="Y47" sqref="Y47:Z47"/>
    </sheetView>
  </sheetViews>
  <sheetFormatPr baseColWidth="10" defaultColWidth="8.83203125" defaultRowHeight="13" x14ac:dyDescent="0.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L11" sqref="L11"/>
    </sheetView>
  </sheetViews>
  <sheetFormatPr baseColWidth="10" defaultColWidth="8.83203125" defaultRowHeight="15" x14ac:dyDescent="0.2"/>
  <cols>
    <col min="1" max="1" width="17.83203125" style="204" customWidth="1"/>
    <col min="2" max="2" width="10.83203125" style="204" customWidth="1"/>
    <col min="3" max="3" width="10.1640625" style="204" bestFit="1" customWidth="1"/>
    <col min="4" max="4" width="9.33203125" style="204" bestFit="1" customWidth="1"/>
    <col min="5" max="5" width="0.6640625" style="204" customWidth="1"/>
    <col min="6" max="16384" width="8.83203125" style="204"/>
  </cols>
  <sheetData>
    <row r="1" spans="1:6" ht="19" x14ac:dyDescent="0.25">
      <c r="A1" s="203" t="s">
        <v>124</v>
      </c>
    </row>
    <row r="2" spans="1:6" x14ac:dyDescent="0.2">
      <c r="A2" s="205">
        <v>42892</v>
      </c>
    </row>
    <row r="4" spans="1:6" ht="32" x14ac:dyDescent="0.2">
      <c r="B4" s="206" t="s">
        <v>125</v>
      </c>
      <c r="C4" s="206" t="s">
        <v>126</v>
      </c>
      <c r="D4" s="206" t="s">
        <v>127</v>
      </c>
      <c r="E4" s="206"/>
      <c r="F4" s="207" t="s">
        <v>128</v>
      </c>
    </row>
    <row r="5" spans="1:6" x14ac:dyDescent="0.2">
      <c r="A5" s="208" t="s">
        <v>129</v>
      </c>
      <c r="B5" s="209">
        <f>2600*30</f>
        <v>78000</v>
      </c>
      <c r="C5" s="209">
        <f>B5*365</f>
        <v>28470000</v>
      </c>
      <c r="D5" s="209">
        <f>C5/325851.4</f>
        <v>87.371114563264101</v>
      </c>
      <c r="E5" s="209"/>
      <c r="F5" s="204" t="s">
        <v>130</v>
      </c>
    </row>
    <row r="6" spans="1:6" x14ac:dyDescent="0.2">
      <c r="A6" s="208" t="s">
        <v>131</v>
      </c>
      <c r="B6" s="209">
        <f>0.05*350000</f>
        <v>17500</v>
      </c>
      <c r="C6" s="209">
        <f>B6*365</f>
        <v>6387500</v>
      </c>
      <c r="D6" s="209">
        <f>C6/325851.4</f>
        <v>19.602493652014385</v>
      </c>
      <c r="E6" s="209"/>
      <c r="F6" s="204" t="s">
        <v>132</v>
      </c>
    </row>
    <row r="7" spans="1:6" x14ac:dyDescent="0.2">
      <c r="A7" s="208" t="s">
        <v>133</v>
      </c>
      <c r="B7" s="210" t="s">
        <v>134</v>
      </c>
      <c r="C7" s="209">
        <f>B19</f>
        <v>15455000</v>
      </c>
      <c r="D7" s="209">
        <f>C7/325851.4</f>
        <v>47.429595208122471</v>
      </c>
      <c r="E7" s="209"/>
      <c r="F7" s="204" t="s">
        <v>135</v>
      </c>
    </row>
    <row r="8" spans="1:6" ht="16" thickBot="1" x14ac:dyDescent="0.25">
      <c r="B8" s="210" t="s">
        <v>136</v>
      </c>
      <c r="C8" s="211">
        <f>SUM(C5:C7)</f>
        <v>50312500</v>
      </c>
      <c r="D8" s="211">
        <f>SUM(D5:D7)</f>
        <v>154.40320342340095</v>
      </c>
      <c r="E8" s="209"/>
    </row>
    <row r="9" spans="1:6" ht="16" thickTop="1" x14ac:dyDescent="0.2">
      <c r="B9" s="209"/>
      <c r="C9" s="212"/>
      <c r="D9" s="212"/>
      <c r="E9" s="209"/>
    </row>
    <row r="10" spans="1:6" x14ac:dyDescent="0.2">
      <c r="B10" s="209"/>
      <c r="C10" s="209"/>
      <c r="D10" s="209"/>
      <c r="E10" s="209"/>
    </row>
    <row r="11" spans="1:6" ht="19" x14ac:dyDescent="0.25">
      <c r="A11" s="203" t="s">
        <v>137</v>
      </c>
      <c r="B11" s="209"/>
      <c r="C11" s="209"/>
      <c r="D11" s="209"/>
      <c r="E11" s="209"/>
    </row>
    <row r="12" spans="1:6" x14ac:dyDescent="0.2">
      <c r="B12" s="209"/>
      <c r="C12" s="209"/>
      <c r="D12" s="209"/>
      <c r="E12" s="209"/>
    </row>
    <row r="13" spans="1:6" ht="32" x14ac:dyDescent="0.2">
      <c r="B13" s="213" t="s">
        <v>126</v>
      </c>
      <c r="C13" s="213" t="s">
        <v>127</v>
      </c>
      <c r="D13" s="213" t="s">
        <v>138</v>
      </c>
      <c r="E13" s="213"/>
      <c r="F13" s="206" t="s">
        <v>128</v>
      </c>
    </row>
    <row r="14" spans="1:6" x14ac:dyDescent="0.2">
      <c r="A14" s="214" t="s">
        <v>139</v>
      </c>
      <c r="B14" s="209">
        <f>4285*1000</f>
        <v>4285000</v>
      </c>
      <c r="C14" s="209">
        <f>B14/325851.4</f>
        <v>13.150165995911019</v>
      </c>
      <c r="D14" s="209">
        <f>AVERAGE(B14:C14)</f>
        <v>2142506.5750829978</v>
      </c>
      <c r="E14" s="209"/>
    </row>
    <row r="15" spans="1:6" x14ac:dyDescent="0.2">
      <c r="A15" s="214" t="s">
        <v>140</v>
      </c>
      <c r="B15" s="209">
        <f>1572*1000</f>
        <v>1572000</v>
      </c>
      <c r="C15" s="209">
        <f>B15/325851.4</f>
        <v>4.8242849347892935</v>
      </c>
      <c r="D15" s="209">
        <f t="shared" ref="D15:D18" si="0">AVERAGE(B15:C15)</f>
        <v>786002.41214246745</v>
      </c>
      <c r="E15" s="209"/>
    </row>
    <row r="16" spans="1:6" x14ac:dyDescent="0.2">
      <c r="A16" s="214" t="s">
        <v>141</v>
      </c>
      <c r="B16" s="209">
        <f>3462*1000</f>
        <v>3462000</v>
      </c>
      <c r="C16" s="209">
        <f t="shared" ref="C16:C18" si="1">B16/325851.4</f>
        <v>10.624474837303138</v>
      </c>
      <c r="D16" s="209">
        <f t="shared" si="0"/>
        <v>1731005.3122374187</v>
      </c>
      <c r="E16" s="209"/>
    </row>
    <row r="17" spans="1:5" x14ac:dyDescent="0.2">
      <c r="A17" s="214" t="s">
        <v>142</v>
      </c>
      <c r="B17" s="209">
        <f>3619*1000</f>
        <v>3619000</v>
      </c>
      <c r="C17" s="209">
        <f t="shared" si="1"/>
        <v>11.106289554072807</v>
      </c>
      <c r="D17" s="209">
        <f t="shared" si="0"/>
        <v>1809505.553144777</v>
      </c>
      <c r="E17" s="209"/>
    </row>
    <row r="18" spans="1:5" x14ac:dyDescent="0.2">
      <c r="A18" s="208" t="s">
        <v>143</v>
      </c>
      <c r="B18" s="209">
        <f>2517*1000</f>
        <v>2517000</v>
      </c>
      <c r="C18" s="209">
        <f t="shared" si="1"/>
        <v>7.7243798860462158</v>
      </c>
      <c r="D18" s="209">
        <f t="shared" si="0"/>
        <v>1258503.862189943</v>
      </c>
      <c r="E18" s="209"/>
    </row>
    <row r="19" spans="1:5" ht="16" thickBot="1" x14ac:dyDescent="0.25">
      <c r="A19" s="215" t="s">
        <v>136</v>
      </c>
      <c r="B19" s="211">
        <f>SUM(B14:B18)</f>
        <v>15455000</v>
      </c>
      <c r="C19" s="211">
        <f>SUM(C14:C18)</f>
        <v>47.429595208122478</v>
      </c>
    </row>
    <row r="20" spans="1:5" ht="16" thickTop="1" x14ac:dyDescent="0.2">
      <c r="C20" s="216" t="s">
        <v>144</v>
      </c>
      <c r="D20" s="209">
        <f>AVERAGE(D14:D18)</f>
        <v>1545504.742959521</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72"/>
  <sheetViews>
    <sheetView view="pageLayout" topLeftCell="A14" zoomScale="80" zoomScaleNormal="100" zoomScalePageLayoutView="80" workbookViewId="0">
      <selection activeCell="B69" sqref="B69"/>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63" si="0">E5-D5</f>
        <v>-2764.8709130392672</v>
      </c>
      <c r="I5" s="92">
        <f t="shared" ref="I5:I63"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28586.175319190566</v>
      </c>
      <c r="C10" s="85">
        <f>Data!AC15</f>
        <v>2161.6828999250529</v>
      </c>
      <c r="D10" s="85">
        <f>Data!AD15</f>
        <v>30747.85821911562</v>
      </c>
      <c r="E10" s="85">
        <f t="shared" si="4"/>
        <v>28700</v>
      </c>
      <c r="F10" s="85"/>
      <c r="G10" s="86"/>
      <c r="H10" s="87">
        <f t="shared" si="0"/>
        <v>-2047.8582191156202</v>
      </c>
      <c r="I10" s="87">
        <f t="shared" si="1"/>
        <v>113.82468080943363</v>
      </c>
      <c r="J10" s="85">
        <f>Data!C15</f>
        <v>137443</v>
      </c>
      <c r="K10" s="191">
        <f t="shared" si="5"/>
        <v>137000</v>
      </c>
    </row>
    <row r="11" spans="1:11" ht="17" customHeight="1" x14ac:dyDescent="0.2">
      <c r="A11" s="88">
        <f t="shared" si="2"/>
        <v>2018</v>
      </c>
      <c r="B11" s="89">
        <f t="shared" si="3"/>
        <v>29110.769177781862</v>
      </c>
      <c r="C11" s="89">
        <f>Data!AC16</f>
        <v>2210.2564053501719</v>
      </c>
      <c r="D11" s="89">
        <f>Data!AD16</f>
        <v>31321.025583132032</v>
      </c>
      <c r="E11" s="90">
        <f t="shared" si="4"/>
        <v>28700</v>
      </c>
      <c r="F11" s="90"/>
      <c r="G11" s="91"/>
      <c r="H11" s="92">
        <f t="shared" si="0"/>
        <v>-2621.0255831320319</v>
      </c>
      <c r="I11" s="92">
        <f t="shared" si="1"/>
        <v>-410.7691777818618</v>
      </c>
      <c r="J11" s="90">
        <f>Data!C16</f>
        <v>140509</v>
      </c>
      <c r="K11" s="191">
        <f t="shared" si="5"/>
        <v>140000</v>
      </c>
    </row>
    <row r="12" spans="1:11" ht="17" customHeight="1" x14ac:dyDescent="0.2">
      <c r="A12" s="84">
        <f t="shared" si="2"/>
        <v>2019</v>
      </c>
      <c r="B12" s="85">
        <f t="shared" si="3"/>
        <v>29660.254568321601</v>
      </c>
      <c r="C12" s="85">
        <f>Data!AC17</f>
        <v>2261.1346822520004</v>
      </c>
      <c r="D12" s="85">
        <f>Data!AD17</f>
        <v>31921.3892505736</v>
      </c>
      <c r="E12" s="85">
        <f t="shared" si="4"/>
        <v>28700</v>
      </c>
      <c r="F12" s="85">
        <v>1300</v>
      </c>
      <c r="G12" s="86" t="s">
        <v>105</v>
      </c>
      <c r="H12" s="87">
        <f t="shared" si="0"/>
        <v>-3221.3892505736003</v>
      </c>
      <c r="I12" s="87">
        <f t="shared" si="1"/>
        <v>-960.25456832160125</v>
      </c>
      <c r="J12" s="85">
        <f>Data!C17</f>
        <v>143788</v>
      </c>
      <c r="K12" s="191">
        <f t="shared" si="5"/>
        <v>143000</v>
      </c>
    </row>
    <row r="13" spans="1:11" ht="17" customHeight="1" x14ac:dyDescent="0.2">
      <c r="A13" s="88">
        <f t="shared" si="2"/>
        <v>2020</v>
      </c>
      <c r="B13" s="89">
        <f t="shared" si="3"/>
        <v>30134.948501363629</v>
      </c>
      <c r="C13" s="89">
        <f>Data!AC18</f>
        <v>2305.0878242003364</v>
      </c>
      <c r="D13" s="89">
        <f>Data!AD18</f>
        <v>32440.036325563968</v>
      </c>
      <c r="E13" s="90">
        <f t="shared" si="4"/>
        <v>30000</v>
      </c>
      <c r="F13" s="90">
        <v>1000</v>
      </c>
      <c r="G13" s="91" t="s">
        <v>90</v>
      </c>
      <c r="H13" s="92">
        <f t="shared" si="0"/>
        <v>-2440.0363255639677</v>
      </c>
      <c r="I13" s="92">
        <f t="shared" si="1"/>
        <v>-134.94850136362948</v>
      </c>
      <c r="J13" s="90">
        <f>Data!C18</f>
        <v>146427</v>
      </c>
      <c r="K13" s="191">
        <f t="shared" si="5"/>
        <v>146000</v>
      </c>
    </row>
    <row r="14" spans="1:11" ht="17" customHeight="1" x14ac:dyDescent="0.2">
      <c r="A14" s="84">
        <f t="shared" si="2"/>
        <v>2021</v>
      </c>
      <c r="B14" s="85">
        <f t="shared" si="3"/>
        <v>30549.440504971233</v>
      </c>
      <c r="C14" s="85">
        <f>Data!AC19</f>
        <v>2343.4667134232623</v>
      </c>
      <c r="D14" s="85">
        <f>Data!AD19</f>
        <v>32892.907218394495</v>
      </c>
      <c r="E14" s="85">
        <f>E13+F13</f>
        <v>31000</v>
      </c>
      <c r="F14" s="85">
        <v>1000</v>
      </c>
      <c r="G14" s="86" t="s">
        <v>94</v>
      </c>
      <c r="H14" s="87">
        <f t="shared" si="0"/>
        <v>-1892.9072183944954</v>
      </c>
      <c r="I14" s="87">
        <f t="shared" si="1"/>
        <v>450.55949502876683</v>
      </c>
      <c r="J14" s="85">
        <f>Data!C19</f>
        <v>148550.84444444443</v>
      </c>
      <c r="K14" s="191">
        <f t="shared" si="5"/>
        <v>148000</v>
      </c>
    </row>
    <row r="15" spans="1:11" ht="17" customHeight="1" x14ac:dyDescent="0.2">
      <c r="A15" s="88">
        <f t="shared" si="2"/>
        <v>2022</v>
      </c>
      <c r="B15" s="89">
        <f t="shared" si="3"/>
        <v>30963.932508578837</v>
      </c>
      <c r="C15" s="89">
        <f>Data!AC20</f>
        <v>2381.8456026461881</v>
      </c>
      <c r="D15" s="89">
        <f>Data!AD20</f>
        <v>33345.778111225023</v>
      </c>
      <c r="E15" s="90">
        <f>E14+F14</f>
        <v>32000</v>
      </c>
      <c r="F15" s="90"/>
      <c r="G15" s="91"/>
      <c r="H15" s="92">
        <f t="shared" si="0"/>
        <v>-1345.7781112250232</v>
      </c>
      <c r="I15" s="92">
        <f t="shared" si="1"/>
        <v>1036.0674914211631</v>
      </c>
      <c r="J15" s="90">
        <f>Data!C20</f>
        <v>150674.68888888886</v>
      </c>
      <c r="K15" s="191">
        <f t="shared" si="5"/>
        <v>150000</v>
      </c>
    </row>
    <row r="16" spans="1:11" ht="17" customHeight="1" x14ac:dyDescent="0.2">
      <c r="A16" s="84">
        <f t="shared" si="2"/>
        <v>2023</v>
      </c>
      <c r="B16" s="85">
        <f t="shared" si="3"/>
        <v>31378.42451218643</v>
      </c>
      <c r="C16" s="85">
        <f>Data!AC21</f>
        <v>2420.224491869114</v>
      </c>
      <c r="D16" s="85">
        <f>Data!AD21</f>
        <v>33798.649004055544</v>
      </c>
      <c r="E16" s="85">
        <f>E15+F15</f>
        <v>32000</v>
      </c>
      <c r="F16" s="85"/>
      <c r="G16" s="86"/>
      <c r="H16" s="87">
        <f t="shared" si="0"/>
        <v>-1798.6490040555436</v>
      </c>
      <c r="I16" s="87">
        <f t="shared" si="1"/>
        <v>621.57548781357036</v>
      </c>
      <c r="J16" s="85">
        <f>Data!C21</f>
        <v>152798.5333333333</v>
      </c>
      <c r="K16" s="191">
        <f t="shared" si="5"/>
        <v>152000</v>
      </c>
    </row>
    <row r="17" spans="1:11" ht="17" customHeight="1" x14ac:dyDescent="0.2">
      <c r="A17" s="88">
        <f t="shared" si="2"/>
        <v>2024</v>
      </c>
      <c r="B17" s="89">
        <f t="shared" si="3"/>
        <v>31792.91651579403</v>
      </c>
      <c r="C17" s="89">
        <f>Data!AC22</f>
        <v>2458.6033810920399</v>
      </c>
      <c r="D17" s="89">
        <f>Data!AD22</f>
        <v>34251.519896886071</v>
      </c>
      <c r="E17" s="90">
        <f t="shared" si="4"/>
        <v>32000</v>
      </c>
      <c r="F17" s="90">
        <v>2000</v>
      </c>
      <c r="G17" s="91" t="s">
        <v>145</v>
      </c>
      <c r="H17" s="92">
        <f t="shared" si="0"/>
        <v>-2251.5198968860714</v>
      </c>
      <c r="I17" s="92">
        <f t="shared" si="1"/>
        <v>207.08348420597031</v>
      </c>
      <c r="J17" s="90">
        <f>Data!C22</f>
        <v>154922.37777777773</v>
      </c>
      <c r="K17" s="191">
        <f t="shared" si="5"/>
        <v>154000</v>
      </c>
    </row>
    <row r="18" spans="1:11" ht="17" customHeight="1" x14ac:dyDescent="0.2">
      <c r="A18" s="84">
        <f t="shared" si="2"/>
        <v>2025</v>
      </c>
      <c r="B18" s="85">
        <f t="shared" si="3"/>
        <v>32207.408519401626</v>
      </c>
      <c r="C18" s="85">
        <f>Data!AC23</f>
        <v>2496.9822703149657</v>
      </c>
      <c r="D18" s="85">
        <f>Data!AD23</f>
        <v>34704.390789716592</v>
      </c>
      <c r="E18" s="85">
        <f>E17+F17</f>
        <v>34000</v>
      </c>
      <c r="F18" s="97"/>
      <c r="G18" s="98"/>
      <c r="H18" s="87">
        <f t="shared" si="0"/>
        <v>-704.39078971659183</v>
      </c>
      <c r="I18" s="87">
        <f t="shared" si="1"/>
        <v>1792.5914805983739</v>
      </c>
      <c r="J18" s="85">
        <f>Data!C23</f>
        <v>157046.22222222216</v>
      </c>
      <c r="K18" s="191">
        <f t="shared" si="5"/>
        <v>157000</v>
      </c>
    </row>
    <row r="19" spans="1:11" ht="17" customHeight="1" x14ac:dyDescent="0.2">
      <c r="A19" s="88">
        <f t="shared" si="2"/>
        <v>2026</v>
      </c>
      <c r="B19" s="89">
        <f t="shared" si="3"/>
        <v>32621.900523009223</v>
      </c>
      <c r="C19" s="89">
        <f>Data!AC24</f>
        <v>2535.3611595378911</v>
      </c>
      <c r="D19" s="89">
        <f>Data!AD24</f>
        <v>35157.261682547112</v>
      </c>
      <c r="E19" s="90">
        <f t="shared" si="4"/>
        <v>34000</v>
      </c>
      <c r="F19" s="90"/>
      <c r="G19" s="91"/>
      <c r="H19" s="92">
        <f t="shared" si="0"/>
        <v>-1157.2616825471123</v>
      </c>
      <c r="I19" s="92">
        <f t="shared" si="1"/>
        <v>1378.0994769907775</v>
      </c>
      <c r="J19" s="90">
        <f>Data!C24</f>
        <v>159170.06666666659</v>
      </c>
      <c r="K19" s="191">
        <f t="shared" si="5"/>
        <v>159000</v>
      </c>
    </row>
    <row r="20" spans="1:11" ht="17" customHeight="1" x14ac:dyDescent="0.2">
      <c r="A20" s="84">
        <f t="shared" si="2"/>
        <v>2027</v>
      </c>
      <c r="B20" s="85">
        <f t="shared" si="3"/>
        <v>33036.392526616823</v>
      </c>
      <c r="C20" s="85">
        <f>Data!AC25</f>
        <v>2573.740048760817</v>
      </c>
      <c r="D20" s="85">
        <f>Data!AD25</f>
        <v>35610.13257537764</v>
      </c>
      <c r="E20" s="85">
        <f t="shared" si="4"/>
        <v>34000</v>
      </c>
      <c r="F20" s="97"/>
      <c r="G20" s="98"/>
      <c r="H20" s="87">
        <f t="shared" si="0"/>
        <v>-1610.13257537764</v>
      </c>
      <c r="I20" s="87">
        <f t="shared" si="1"/>
        <v>963.60747338317742</v>
      </c>
      <c r="J20" s="85">
        <f>Data!C25</f>
        <v>161293.91111111103</v>
      </c>
      <c r="K20" s="191">
        <f t="shared" si="5"/>
        <v>161000</v>
      </c>
    </row>
    <row r="21" spans="1:11" ht="17" customHeight="1" x14ac:dyDescent="0.2">
      <c r="A21" s="88">
        <f t="shared" si="2"/>
        <v>2028</v>
      </c>
      <c r="B21" s="89">
        <f t="shared" si="3"/>
        <v>33450.884530224415</v>
      </c>
      <c r="C21" s="89">
        <f>Data!AC26</f>
        <v>2612.1189379837424</v>
      </c>
      <c r="D21" s="89">
        <f>Data!AD26</f>
        <v>36063.00346820816</v>
      </c>
      <c r="E21" s="90">
        <f t="shared" si="4"/>
        <v>34000</v>
      </c>
      <c r="F21" s="90"/>
      <c r="G21" s="91"/>
      <c r="H21" s="92">
        <f t="shared" si="0"/>
        <v>-2063.0034682081605</v>
      </c>
      <c r="I21" s="92">
        <f t="shared" si="1"/>
        <v>549.11546977558464</v>
      </c>
      <c r="J21" s="90">
        <f>Data!C26</f>
        <v>163417.75555555546</v>
      </c>
      <c r="K21" s="191">
        <f t="shared" si="5"/>
        <v>163000</v>
      </c>
    </row>
    <row r="22" spans="1:11" ht="17" customHeight="1" x14ac:dyDescent="0.2">
      <c r="A22" s="84">
        <f t="shared" si="2"/>
        <v>2029</v>
      </c>
      <c r="B22" s="85">
        <f t="shared" si="3"/>
        <v>33865.376533832015</v>
      </c>
      <c r="C22" s="85">
        <f>Data!AC27</f>
        <v>2650.4978272066683</v>
      </c>
      <c r="D22" s="85">
        <f>Data!AD27</f>
        <v>36515.874361038681</v>
      </c>
      <c r="E22" s="85">
        <f t="shared" si="4"/>
        <v>34000</v>
      </c>
      <c r="F22" s="85"/>
      <c r="G22" s="98"/>
      <c r="H22" s="87">
        <f t="shared" si="0"/>
        <v>-2515.8743610386809</v>
      </c>
      <c r="I22" s="87">
        <f t="shared" si="1"/>
        <v>134.62346616798459</v>
      </c>
      <c r="J22" s="85">
        <f>Data!C27</f>
        <v>165541.59999999989</v>
      </c>
      <c r="K22" s="191">
        <f t="shared" si="5"/>
        <v>165000</v>
      </c>
    </row>
    <row r="23" spans="1:11" ht="17" customHeight="1" x14ac:dyDescent="0.2">
      <c r="A23" s="88">
        <f t="shared" si="2"/>
        <v>2030</v>
      </c>
      <c r="B23" s="89">
        <f t="shared" si="3"/>
        <v>34279.868537439608</v>
      </c>
      <c r="C23" s="89">
        <f>Data!AC28</f>
        <v>2688.8767164295932</v>
      </c>
      <c r="D23" s="89">
        <f>Data!AD28</f>
        <v>36968.745253869201</v>
      </c>
      <c r="E23" s="90">
        <f t="shared" si="4"/>
        <v>34000</v>
      </c>
      <c r="F23" s="90"/>
      <c r="G23" s="91"/>
      <c r="H23" s="92">
        <f t="shared" si="0"/>
        <v>-2968.7452538692014</v>
      </c>
      <c r="I23" s="92">
        <f t="shared" si="1"/>
        <v>-279.86853743960819</v>
      </c>
      <c r="J23" s="90">
        <f>Data!C28</f>
        <v>167665.44444444432</v>
      </c>
      <c r="K23" s="191">
        <f t="shared" si="5"/>
        <v>167000</v>
      </c>
    </row>
    <row r="24" spans="1:11" ht="17" customHeight="1" x14ac:dyDescent="0.2">
      <c r="A24" s="84">
        <f t="shared" si="2"/>
        <v>2031</v>
      </c>
      <c r="B24" s="85">
        <f t="shared" si="3"/>
        <v>34694.360541047208</v>
      </c>
      <c r="C24" s="85">
        <f>Data!AC29</f>
        <v>2727.2556056525195</v>
      </c>
      <c r="D24" s="85">
        <f>Data!AD29</f>
        <v>37421.616146699729</v>
      </c>
      <c r="E24" s="85">
        <f>E23+F23</f>
        <v>34000</v>
      </c>
      <c r="F24" s="85"/>
      <c r="G24" s="86"/>
      <c r="H24" s="87">
        <f t="shared" si="0"/>
        <v>-3421.6161466997291</v>
      </c>
      <c r="I24" s="87">
        <f t="shared" si="1"/>
        <v>-694.36054104720824</v>
      </c>
      <c r="J24" s="85">
        <f>Data!C29</f>
        <v>169789.28888888875</v>
      </c>
      <c r="K24" s="191">
        <f t="shared" si="5"/>
        <v>169000</v>
      </c>
    </row>
    <row r="25" spans="1:11" ht="17" customHeight="1" x14ac:dyDescent="0.2">
      <c r="A25" s="88">
        <f t="shared" si="2"/>
        <v>2032</v>
      </c>
      <c r="B25" s="89">
        <f t="shared" si="3"/>
        <v>35108.852544654801</v>
      </c>
      <c r="C25" s="89">
        <f>Data!AC30</f>
        <v>2765.6344948754449</v>
      </c>
      <c r="D25" s="89">
        <f>Data!AD30</f>
        <v>37874.487039530242</v>
      </c>
      <c r="E25" s="90">
        <f>E24+F24</f>
        <v>34000</v>
      </c>
      <c r="F25" s="90"/>
      <c r="G25" s="91"/>
      <c r="H25" s="92">
        <f t="shared" si="0"/>
        <v>-3874.4870395302423</v>
      </c>
      <c r="I25" s="92">
        <f t="shared" si="1"/>
        <v>-1108.852544654801</v>
      </c>
      <c r="J25" s="90">
        <f>Data!C30</f>
        <v>171913.13333333319</v>
      </c>
      <c r="K25" s="191">
        <f t="shared" si="5"/>
        <v>171000</v>
      </c>
    </row>
    <row r="26" spans="1:11" ht="17" customHeight="1" x14ac:dyDescent="0.2">
      <c r="A26" s="84">
        <f t="shared" si="2"/>
        <v>2033</v>
      </c>
      <c r="B26" s="85">
        <f t="shared" si="3"/>
        <v>35523.344548262408</v>
      </c>
      <c r="C26" s="85">
        <f>Data!AC31</f>
        <v>2804.0133840983708</v>
      </c>
      <c r="D26" s="85">
        <f>Data!AD31</f>
        <v>38327.357932360777</v>
      </c>
      <c r="E26" s="85">
        <f t="shared" si="4"/>
        <v>34000</v>
      </c>
      <c r="F26" s="85"/>
      <c r="G26" s="98"/>
      <c r="H26" s="87">
        <f t="shared" si="0"/>
        <v>-4327.3579323607773</v>
      </c>
      <c r="I26" s="87">
        <f t="shared" si="1"/>
        <v>-1523.3445482624084</v>
      </c>
      <c r="J26" s="85">
        <f>Data!C31</f>
        <v>174036.97777777762</v>
      </c>
      <c r="K26" s="191">
        <f t="shared" si="5"/>
        <v>174000</v>
      </c>
    </row>
    <row r="27" spans="1:11" ht="17" customHeight="1" x14ac:dyDescent="0.2">
      <c r="A27" s="88">
        <f t="shared" si="2"/>
        <v>2034</v>
      </c>
      <c r="B27" s="89">
        <f t="shared" si="3"/>
        <v>35937.836551870001</v>
      </c>
      <c r="C27" s="89">
        <f>Data!AC32</f>
        <v>2842.3922733212962</v>
      </c>
      <c r="D27" s="89">
        <f>Data!AD32</f>
        <v>38780.228825191298</v>
      </c>
      <c r="E27" s="90">
        <f t="shared" si="4"/>
        <v>34000</v>
      </c>
      <c r="F27" s="90"/>
      <c r="G27" s="91"/>
      <c r="H27" s="92">
        <f t="shared" si="0"/>
        <v>-4780.2288251912978</v>
      </c>
      <c r="I27" s="92">
        <f t="shared" si="1"/>
        <v>-1937.8365518700011</v>
      </c>
      <c r="J27" s="90">
        <f>Data!C32</f>
        <v>176160.82222222205</v>
      </c>
      <c r="K27" s="191">
        <f t="shared" si="5"/>
        <v>176000</v>
      </c>
    </row>
    <row r="28" spans="1:11" ht="17" customHeight="1" x14ac:dyDescent="0.2">
      <c r="A28" s="84">
        <f t="shared" si="2"/>
        <v>2035</v>
      </c>
      <c r="B28" s="85">
        <f t="shared" si="3"/>
        <v>36352.328555477594</v>
      </c>
      <c r="C28" s="85">
        <f>Data!AC33</f>
        <v>2880.7711625442225</v>
      </c>
      <c r="D28" s="85">
        <f>Data!AD33</f>
        <v>39233.099718021818</v>
      </c>
      <c r="E28" s="85">
        <f>E27+F27</f>
        <v>34000</v>
      </c>
      <c r="F28" s="85"/>
      <c r="G28" s="98"/>
      <c r="H28" s="87">
        <f t="shared" si="0"/>
        <v>-5233.0997180218183</v>
      </c>
      <c r="I28" s="87">
        <f t="shared" si="1"/>
        <v>-2352.3285554775939</v>
      </c>
      <c r="J28" s="85">
        <f>Data!C33</f>
        <v>178284.66666666648</v>
      </c>
      <c r="K28" s="191">
        <f t="shared" si="5"/>
        <v>178000</v>
      </c>
    </row>
    <row r="29" spans="1:11" ht="17" customHeight="1" x14ac:dyDescent="0.2">
      <c r="A29" s="88">
        <f t="shared" si="2"/>
        <v>2036</v>
      </c>
      <c r="B29" s="89">
        <f t="shared" si="3"/>
        <v>36766.820559085194</v>
      </c>
      <c r="C29" s="89">
        <f>Data!AC34</f>
        <v>2919.1500517671475</v>
      </c>
      <c r="D29" s="89">
        <f>Data!AD34</f>
        <v>39685.970610852339</v>
      </c>
      <c r="E29" s="90">
        <f t="shared" si="4"/>
        <v>34000</v>
      </c>
      <c r="F29" s="90"/>
      <c r="G29" s="91"/>
      <c r="H29" s="92">
        <f t="shared" si="0"/>
        <v>-5685.9706108523387</v>
      </c>
      <c r="I29" s="92">
        <f t="shared" si="1"/>
        <v>-2766.820559085194</v>
      </c>
      <c r="J29" s="90">
        <f>Data!C34</f>
        <v>180408.51111111091</v>
      </c>
      <c r="K29" s="191">
        <f t="shared" si="5"/>
        <v>180000</v>
      </c>
    </row>
    <row r="30" spans="1:11" ht="17" customHeight="1" x14ac:dyDescent="0.2">
      <c r="A30" s="84">
        <f t="shared" si="2"/>
        <v>2037</v>
      </c>
      <c r="B30" s="85">
        <f t="shared" si="3"/>
        <v>37181.312562692794</v>
      </c>
      <c r="C30" s="85">
        <f>Data!AC35</f>
        <v>2957.5289409900734</v>
      </c>
      <c r="D30" s="85">
        <f>Data!AD35</f>
        <v>40138.841503682866</v>
      </c>
      <c r="E30" s="85">
        <f t="shared" si="4"/>
        <v>34000</v>
      </c>
      <c r="F30" s="85"/>
      <c r="G30" s="98"/>
      <c r="H30" s="87">
        <f t="shared" si="0"/>
        <v>-6138.8415036828665</v>
      </c>
      <c r="I30" s="87">
        <f t="shared" si="1"/>
        <v>-3181.312562692794</v>
      </c>
      <c r="J30" s="85">
        <f>Data!C35</f>
        <v>182532.35555555535</v>
      </c>
      <c r="K30" s="191">
        <f t="shared" si="5"/>
        <v>182000</v>
      </c>
    </row>
    <row r="31" spans="1:11" ht="17" customHeight="1" x14ac:dyDescent="0.2">
      <c r="A31" s="88">
        <f t="shared" si="2"/>
        <v>2038</v>
      </c>
      <c r="B31" s="89">
        <f t="shared" si="3"/>
        <v>37595.804566300387</v>
      </c>
      <c r="C31" s="89">
        <f>Data!AC36</f>
        <v>2995.9078302129988</v>
      </c>
      <c r="D31" s="89">
        <f>Data!AD36</f>
        <v>40591.712396513387</v>
      </c>
      <c r="E31" s="90">
        <f t="shared" si="4"/>
        <v>34000</v>
      </c>
      <c r="F31" s="90"/>
      <c r="G31" s="91"/>
      <c r="H31" s="92">
        <f t="shared" si="0"/>
        <v>-6591.7123965133869</v>
      </c>
      <c r="I31" s="92">
        <f t="shared" si="1"/>
        <v>-3595.8045663003868</v>
      </c>
      <c r="J31" s="90">
        <f>Data!C36</f>
        <v>184656.19999999978</v>
      </c>
      <c r="K31" s="191">
        <f t="shared" si="5"/>
        <v>184000</v>
      </c>
    </row>
    <row r="32" spans="1:11" ht="17" customHeight="1" x14ac:dyDescent="0.2">
      <c r="A32" s="84">
        <f t="shared" si="2"/>
        <v>2039</v>
      </c>
      <c r="B32" s="85">
        <f t="shared" si="3"/>
        <v>38010.29656990798</v>
      </c>
      <c r="C32" s="85">
        <f>Data!AC37</f>
        <v>3034.2867194359246</v>
      </c>
      <c r="D32" s="85">
        <f>Data!AD37</f>
        <v>41044.583289343907</v>
      </c>
      <c r="E32" s="85">
        <f t="shared" si="4"/>
        <v>34000</v>
      </c>
      <c r="F32" s="85"/>
      <c r="G32" s="98"/>
      <c r="H32" s="87">
        <f t="shared" si="0"/>
        <v>-7044.5832893439074</v>
      </c>
      <c r="I32" s="87">
        <f t="shared" si="1"/>
        <v>-4010.2965699079796</v>
      </c>
      <c r="J32" s="85">
        <f>Data!C37</f>
        <v>186780.04444444421</v>
      </c>
      <c r="K32" s="191">
        <f t="shared" si="5"/>
        <v>186000</v>
      </c>
    </row>
    <row r="33" spans="1:11" ht="17" customHeight="1" x14ac:dyDescent="0.2">
      <c r="A33" s="88">
        <f t="shared" si="2"/>
        <v>2040</v>
      </c>
      <c r="B33" s="89">
        <f t="shared" si="3"/>
        <v>38424.78857351558</v>
      </c>
      <c r="C33" s="89">
        <f>Data!AC38</f>
        <v>3072.66560865885</v>
      </c>
      <c r="D33" s="89">
        <f>Data!AD38</f>
        <v>41497.454182174428</v>
      </c>
      <c r="E33" s="90">
        <f t="shared" si="4"/>
        <v>34000</v>
      </c>
      <c r="F33" s="90"/>
      <c r="G33" s="91" t="s">
        <v>100</v>
      </c>
      <c r="H33" s="92">
        <f t="shared" si="0"/>
        <v>-7497.4541821744278</v>
      </c>
      <c r="I33" s="92">
        <f t="shared" si="1"/>
        <v>-4424.7885735155796</v>
      </c>
      <c r="J33" s="90">
        <f>Data!C38</f>
        <v>188903.88888888864</v>
      </c>
      <c r="K33" s="191">
        <f t="shared" si="5"/>
        <v>188000</v>
      </c>
    </row>
    <row r="34" spans="1:11" ht="17" customHeight="1" x14ac:dyDescent="0.2">
      <c r="A34" s="84">
        <f t="shared" si="2"/>
        <v>2041</v>
      </c>
      <c r="B34" s="85">
        <f t="shared" si="3"/>
        <v>38839.28057712318</v>
      </c>
      <c r="C34" s="85">
        <f>Data!AC39</f>
        <v>3111.0444978817759</v>
      </c>
      <c r="D34" s="85">
        <f>Data!AD39</f>
        <v>41950.325075004956</v>
      </c>
      <c r="E34" s="85">
        <f t="shared" si="4"/>
        <v>34000</v>
      </c>
      <c r="F34" s="85"/>
      <c r="G34" s="98"/>
      <c r="H34" s="87">
        <f t="shared" si="0"/>
        <v>-7950.3250750049556</v>
      </c>
      <c r="I34" s="87">
        <f t="shared" si="1"/>
        <v>-4839.2805771231797</v>
      </c>
      <c r="J34" s="85">
        <f>Data!C39</f>
        <v>191027.73333333308</v>
      </c>
      <c r="K34" s="191">
        <f t="shared" si="5"/>
        <v>191000</v>
      </c>
    </row>
    <row r="35" spans="1:11" ht="17" customHeight="1" x14ac:dyDescent="0.2">
      <c r="A35" s="88">
        <f t="shared" si="2"/>
        <v>2042</v>
      </c>
      <c r="B35" s="89">
        <f t="shared" si="3"/>
        <v>39253.772580730772</v>
      </c>
      <c r="C35" s="89">
        <f>Data!AC40</f>
        <v>3149.4233871047013</v>
      </c>
      <c r="D35" s="89">
        <f>Data!AD40</f>
        <v>42403.195967835476</v>
      </c>
      <c r="E35" s="90">
        <f t="shared" si="4"/>
        <v>34000</v>
      </c>
      <c r="F35" s="90"/>
      <c r="G35" s="91"/>
      <c r="H35" s="92">
        <f t="shared" si="0"/>
        <v>-8403.195967835476</v>
      </c>
      <c r="I35" s="92">
        <f t="shared" si="1"/>
        <v>-5253.7725807307725</v>
      </c>
      <c r="J35" s="90">
        <f>Data!C40</f>
        <v>193151.57777777751</v>
      </c>
      <c r="K35" s="191">
        <f t="shared" si="5"/>
        <v>193000</v>
      </c>
    </row>
    <row r="36" spans="1:11" ht="17" customHeight="1" x14ac:dyDescent="0.2">
      <c r="A36" s="84">
        <f t="shared" si="2"/>
        <v>2043</v>
      </c>
      <c r="B36" s="85">
        <f t="shared" si="3"/>
        <v>39668.26458433838</v>
      </c>
      <c r="C36" s="85">
        <f>Data!AC41</f>
        <v>3187.8022763276276</v>
      </c>
      <c r="D36" s="85">
        <f>Data!AD41</f>
        <v>42856.066860666004</v>
      </c>
      <c r="E36" s="85">
        <f t="shared" si="4"/>
        <v>34000</v>
      </c>
      <c r="F36" s="85"/>
      <c r="G36" s="98"/>
      <c r="H36" s="87">
        <f t="shared" si="0"/>
        <v>-8856.0668606660038</v>
      </c>
      <c r="I36" s="87">
        <f t="shared" si="1"/>
        <v>-5668.2645843383798</v>
      </c>
      <c r="J36" s="85">
        <f>Data!C41</f>
        <v>195275.42222222194</v>
      </c>
      <c r="K36" s="191">
        <f t="shared" si="5"/>
        <v>195000</v>
      </c>
    </row>
    <row r="37" spans="1:11" ht="17" customHeight="1" x14ac:dyDescent="0.2">
      <c r="A37" s="88">
        <f t="shared" si="2"/>
        <v>2044</v>
      </c>
      <c r="B37" s="89">
        <f t="shared" si="3"/>
        <v>40082.756587945973</v>
      </c>
      <c r="C37" s="89">
        <f>Data!AC42</f>
        <v>3226.1811655505535</v>
      </c>
      <c r="D37" s="89">
        <f>Data!AD42</f>
        <v>43308.937753496524</v>
      </c>
      <c r="E37" s="90">
        <f t="shared" si="4"/>
        <v>34000</v>
      </c>
      <c r="F37" s="90"/>
      <c r="G37" s="91"/>
      <c r="H37" s="92">
        <f t="shared" si="0"/>
        <v>-9308.9377534965242</v>
      </c>
      <c r="I37" s="92">
        <f t="shared" si="1"/>
        <v>-6082.7565879459726</v>
      </c>
      <c r="J37" s="90">
        <f>Data!C42</f>
        <v>197399.26666666637</v>
      </c>
      <c r="K37" s="191">
        <f t="shared" si="5"/>
        <v>197000</v>
      </c>
    </row>
    <row r="38" spans="1:11" ht="17" customHeight="1" x14ac:dyDescent="0.2">
      <c r="A38" s="84">
        <f t="shared" si="2"/>
        <v>2045</v>
      </c>
      <c r="B38" s="85">
        <f t="shared" si="3"/>
        <v>40497.248591553565</v>
      </c>
      <c r="C38" s="85">
        <f>Data!AC43</f>
        <v>3264.5600547734789</v>
      </c>
      <c r="D38" s="85">
        <f>Data!AD43</f>
        <v>43761.808646327045</v>
      </c>
      <c r="E38" s="85">
        <f t="shared" si="4"/>
        <v>34000</v>
      </c>
      <c r="F38" s="85"/>
      <c r="G38" s="98"/>
      <c r="H38" s="87">
        <f t="shared" si="0"/>
        <v>-9761.8086463270447</v>
      </c>
      <c r="I38" s="87">
        <f t="shared" si="1"/>
        <v>-6497.2485915535653</v>
      </c>
      <c r="J38" s="85">
        <f>Data!C43</f>
        <v>199523.1111111108</v>
      </c>
      <c r="K38" s="191">
        <f t="shared" si="5"/>
        <v>199000</v>
      </c>
    </row>
    <row r="39" spans="1:11" ht="17" customHeight="1" x14ac:dyDescent="0.2">
      <c r="A39" s="88">
        <f t="shared" si="2"/>
        <v>2046</v>
      </c>
      <c r="B39" s="89">
        <f t="shared" si="3"/>
        <v>40911.740595161158</v>
      </c>
      <c r="C39" s="89">
        <f>Data!AC44</f>
        <v>3302.9389439964043</v>
      </c>
      <c r="D39" s="89">
        <f>Data!AD44</f>
        <v>44214.679539157565</v>
      </c>
      <c r="E39" s="90">
        <f t="shared" si="4"/>
        <v>34000</v>
      </c>
      <c r="F39" s="90"/>
      <c r="G39" s="91"/>
      <c r="H39" s="92">
        <f t="shared" si="0"/>
        <v>-10214.679539157565</v>
      </c>
      <c r="I39" s="92">
        <f t="shared" si="1"/>
        <v>-6911.7405951611581</v>
      </c>
      <c r="J39" s="90">
        <f>Data!C44</f>
        <v>201646.95555555524</v>
      </c>
      <c r="K39" s="191">
        <f t="shared" si="5"/>
        <v>201000</v>
      </c>
    </row>
    <row r="40" spans="1:11" ht="17" customHeight="1" x14ac:dyDescent="0.2">
      <c r="A40" s="84">
        <f t="shared" si="2"/>
        <v>2047</v>
      </c>
      <c r="B40" s="85">
        <f t="shared" si="3"/>
        <v>41326.232598768765</v>
      </c>
      <c r="C40" s="85">
        <f>Data!AC45</f>
        <v>3341.3178332193306</v>
      </c>
      <c r="D40" s="85">
        <f>Data!AD45</f>
        <v>44667.550431988093</v>
      </c>
      <c r="E40" s="85">
        <f t="shared" si="4"/>
        <v>34000</v>
      </c>
      <c r="F40" s="85"/>
      <c r="G40" s="98"/>
      <c r="H40" s="87">
        <f t="shared" si="0"/>
        <v>-10667.550431988093</v>
      </c>
      <c r="I40" s="87">
        <f t="shared" si="1"/>
        <v>-7326.2325987687655</v>
      </c>
      <c r="J40" s="85">
        <f>Data!C45</f>
        <v>203770.79999999967</v>
      </c>
      <c r="K40" s="191">
        <f t="shared" si="5"/>
        <v>203000</v>
      </c>
    </row>
    <row r="41" spans="1:11" ht="17" customHeight="1" x14ac:dyDescent="0.2">
      <c r="A41" s="88">
        <f t="shared" si="2"/>
        <v>2048</v>
      </c>
      <c r="B41" s="89">
        <f t="shared" si="3"/>
        <v>41740.724602376358</v>
      </c>
      <c r="C41" s="89">
        <f>Data!AC46</f>
        <v>3379.6967224422551</v>
      </c>
      <c r="D41" s="89">
        <f>Data!AD46</f>
        <v>45120.421324818613</v>
      </c>
      <c r="E41" s="90">
        <f t="shared" si="4"/>
        <v>34000</v>
      </c>
      <c r="F41" s="90"/>
      <c r="G41" s="91"/>
      <c r="H41" s="92">
        <f t="shared" si="0"/>
        <v>-11120.421324818613</v>
      </c>
      <c r="I41" s="92">
        <f t="shared" si="1"/>
        <v>-7740.7246023763582</v>
      </c>
      <c r="J41" s="90">
        <f>Data!C46</f>
        <v>205894.6444444441</v>
      </c>
      <c r="K41" s="191">
        <f t="shared" si="5"/>
        <v>205000</v>
      </c>
    </row>
    <row r="42" spans="1:11" ht="17" customHeight="1" x14ac:dyDescent="0.2">
      <c r="A42" s="84">
        <f t="shared" si="2"/>
        <v>2049</v>
      </c>
      <c r="B42" s="85">
        <f t="shared" si="3"/>
        <v>42155.216605983951</v>
      </c>
      <c r="C42" s="85">
        <f>Data!AC47</f>
        <v>3418.0756116651814</v>
      </c>
      <c r="D42" s="85">
        <f>Data!AD47</f>
        <v>45573.292217649134</v>
      </c>
      <c r="E42" s="85">
        <f t="shared" si="4"/>
        <v>34000</v>
      </c>
      <c r="F42" s="85"/>
      <c r="G42" s="98"/>
      <c r="H42" s="87">
        <f t="shared" si="0"/>
        <v>-11573.292217649134</v>
      </c>
      <c r="I42" s="87">
        <f t="shared" si="1"/>
        <v>-8155.216605983951</v>
      </c>
      <c r="J42" s="85">
        <f>Data!C47</f>
        <v>208018.48888888853</v>
      </c>
      <c r="K42" s="191">
        <f t="shared" si="5"/>
        <v>208000</v>
      </c>
    </row>
    <row r="43" spans="1:11" ht="17" customHeight="1" x14ac:dyDescent="0.2">
      <c r="A43" s="88">
        <f t="shared" si="2"/>
        <v>2050</v>
      </c>
      <c r="B43" s="89">
        <f t="shared" si="3"/>
        <v>42569.708609591558</v>
      </c>
      <c r="C43" s="89">
        <f>Data!AC48</f>
        <v>3456.4545008881068</v>
      </c>
      <c r="D43" s="89">
        <f>Data!AD48</f>
        <v>46026.163110479669</v>
      </c>
      <c r="E43" s="90">
        <f t="shared" si="4"/>
        <v>34000</v>
      </c>
      <c r="F43" s="90"/>
      <c r="G43" s="91"/>
      <c r="H43" s="92">
        <f t="shared" si="0"/>
        <v>-12026.163110479669</v>
      </c>
      <c r="I43" s="92">
        <f t="shared" si="1"/>
        <v>-8569.7086095915583</v>
      </c>
      <c r="J43" s="90">
        <f>Data!C48</f>
        <v>210142.33333333296</v>
      </c>
      <c r="K43" s="191">
        <f t="shared" si="5"/>
        <v>210000</v>
      </c>
    </row>
    <row r="44" spans="1:11" ht="17" customHeight="1" x14ac:dyDescent="0.2">
      <c r="A44" s="84">
        <f t="shared" si="2"/>
        <v>2051</v>
      </c>
      <c r="B44" s="85">
        <f t="shared" si="3"/>
        <v>42984.200613199151</v>
      </c>
      <c r="C44" s="85">
        <f>Data!AC49</f>
        <v>3494.8333901110327</v>
      </c>
      <c r="D44" s="85">
        <f>Data!AD49</f>
        <v>46479.034003310182</v>
      </c>
      <c r="E44" s="85">
        <f t="shared" si="4"/>
        <v>34000</v>
      </c>
      <c r="F44" s="85"/>
      <c r="G44" s="98"/>
      <c r="H44" s="87">
        <f t="shared" si="0"/>
        <v>-12479.034003310182</v>
      </c>
      <c r="I44" s="87">
        <f t="shared" si="1"/>
        <v>-8984.2006131991511</v>
      </c>
      <c r="J44" s="85">
        <f>Data!C49</f>
        <v>212266.1777777774</v>
      </c>
      <c r="K44" s="191">
        <f t="shared" si="5"/>
        <v>212000</v>
      </c>
    </row>
    <row r="45" spans="1:11" ht="17" customHeight="1" x14ac:dyDescent="0.2">
      <c r="A45" s="88">
        <f t="shared" si="2"/>
        <v>2052</v>
      </c>
      <c r="B45" s="89">
        <f t="shared" si="3"/>
        <v>43398.692616806744</v>
      </c>
      <c r="C45" s="89">
        <f>Data!AC50</f>
        <v>3533.2122793339581</v>
      </c>
      <c r="D45" s="89">
        <f>Data!AD50</f>
        <v>46931.904896140702</v>
      </c>
      <c r="E45" s="90">
        <f t="shared" si="4"/>
        <v>34000</v>
      </c>
      <c r="F45" s="90"/>
      <c r="G45" s="91"/>
      <c r="H45" s="92">
        <f t="shared" si="0"/>
        <v>-12931.904896140702</v>
      </c>
      <c r="I45" s="92">
        <f t="shared" si="1"/>
        <v>-9398.6926168067439</v>
      </c>
      <c r="J45" s="90">
        <f>Data!C50</f>
        <v>214390.02222222183</v>
      </c>
      <c r="K45" s="191">
        <f t="shared" si="5"/>
        <v>214000</v>
      </c>
    </row>
    <row r="46" spans="1:11" ht="17" customHeight="1" x14ac:dyDescent="0.2">
      <c r="A46" s="84">
        <f t="shared" si="2"/>
        <v>2053</v>
      </c>
      <c r="B46" s="85">
        <f t="shared" si="3"/>
        <v>43813.184620414344</v>
      </c>
      <c r="C46" s="85">
        <f>Data!AC51</f>
        <v>3571.5911685568835</v>
      </c>
      <c r="D46" s="85">
        <f>Data!AD51</f>
        <v>47384.77578897123</v>
      </c>
      <c r="E46" s="85">
        <f t="shared" si="4"/>
        <v>34000</v>
      </c>
      <c r="F46" s="85"/>
      <c r="G46" s="98"/>
      <c r="H46" s="87">
        <f t="shared" si="0"/>
        <v>-13384.77578897123</v>
      </c>
      <c r="I46" s="87">
        <f t="shared" si="1"/>
        <v>-9813.184620414344</v>
      </c>
      <c r="J46" s="85">
        <f>Data!C51</f>
        <v>216513.86666666626</v>
      </c>
      <c r="K46" s="191">
        <f t="shared" si="5"/>
        <v>216000</v>
      </c>
    </row>
    <row r="47" spans="1:11" ht="17" customHeight="1" x14ac:dyDescent="0.2">
      <c r="A47" s="88">
        <f t="shared" si="2"/>
        <v>2054</v>
      </c>
      <c r="B47" s="89">
        <f t="shared" si="3"/>
        <v>44227.676624021944</v>
      </c>
      <c r="C47" s="89">
        <f>Data!AC52</f>
        <v>3609.9700577798098</v>
      </c>
      <c r="D47" s="89">
        <f>Data!AD52</f>
        <v>47837.646681801751</v>
      </c>
      <c r="E47" s="90">
        <f t="shared" si="4"/>
        <v>34000</v>
      </c>
      <c r="F47" s="90"/>
      <c r="G47" s="91"/>
      <c r="H47" s="92">
        <f t="shared" si="0"/>
        <v>-13837.646681801751</v>
      </c>
      <c r="I47" s="92">
        <f t="shared" si="1"/>
        <v>-10227.676624021944</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34000</v>
      </c>
      <c r="F48" s="85"/>
      <c r="G48" s="98"/>
      <c r="H48" s="87">
        <f t="shared" si="0"/>
        <v>-14359.146742467674</v>
      </c>
      <c r="I48" s="87">
        <f t="shared" si="1"/>
        <v>-10704.981764292446</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34000</v>
      </c>
      <c r="F49" s="90"/>
      <c r="G49" s="91"/>
      <c r="H49" s="92">
        <f t="shared" si="0"/>
        <v>-14630.323821993305</v>
      </c>
      <c r="I49" s="92">
        <f t="shared" si="1"/>
        <v>-10953.177735383702</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34000</v>
      </c>
      <c r="F50" s="85"/>
      <c r="G50" s="98"/>
      <c r="H50" s="87">
        <f t="shared" si="0"/>
        <v>-14901.500901518935</v>
      </c>
      <c r="I50" s="87">
        <f t="shared" si="1"/>
        <v>-11201.373706474958</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34000</v>
      </c>
      <c r="F51" s="90"/>
      <c r="G51" s="91"/>
      <c r="H51" s="92">
        <f t="shared" si="0"/>
        <v>-15172.677981044566</v>
      </c>
      <c r="I51" s="92">
        <f t="shared" si="1"/>
        <v>-11449.569677566215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34000</v>
      </c>
      <c r="F52" s="85"/>
      <c r="G52" s="98"/>
      <c r="H52" s="87">
        <f t="shared" si="0"/>
        <v>-15443.855060570197</v>
      </c>
      <c r="I52" s="87">
        <f t="shared" si="1"/>
        <v>-11697.765648657471</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34000</v>
      </c>
      <c r="F53" s="90"/>
      <c r="G53" s="91"/>
      <c r="H53" s="92">
        <f t="shared" si="0"/>
        <v>-15715.032140095842</v>
      </c>
      <c r="I53" s="92">
        <f t="shared" si="1"/>
        <v>-11945.961619748734</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34000</v>
      </c>
      <c r="F54" s="85"/>
      <c r="G54" s="98"/>
      <c r="H54" s="87">
        <f t="shared" si="0"/>
        <v>-15986.209219621465</v>
      </c>
      <c r="I54" s="87">
        <f t="shared" si="1"/>
        <v>-12194.157590839983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34000</v>
      </c>
      <c r="F55" s="90"/>
      <c r="G55" s="91"/>
      <c r="H55" s="92">
        <f t="shared" si="0"/>
        <v>-16257.386299147096</v>
      </c>
      <c r="I55" s="92">
        <f t="shared" si="1"/>
        <v>-12442.353561931239</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34000</v>
      </c>
      <c r="F56" s="85"/>
      <c r="G56" s="98"/>
      <c r="H56" s="87">
        <f t="shared" si="0"/>
        <v>-16528.563378672734</v>
      </c>
      <c r="I56" s="87">
        <f t="shared" si="1"/>
        <v>-12690.549533022502</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34000</v>
      </c>
      <c r="F57" s="90"/>
      <c r="G57" s="91"/>
      <c r="H57" s="92">
        <f t="shared" si="0"/>
        <v>-16799.740458198365</v>
      </c>
      <c r="I57" s="92">
        <f t="shared" si="1"/>
        <v>-12938.745504113758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34000</v>
      </c>
      <c r="F58" s="85"/>
      <c r="G58" s="98"/>
      <c r="H58" s="87">
        <f t="shared" si="0"/>
        <v>-17070.917537724068</v>
      </c>
      <c r="I58" s="87">
        <f t="shared" si="1"/>
        <v>-13186.94147520508</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34000</v>
      </c>
      <c r="F59" s="107"/>
      <c r="G59" s="108"/>
      <c r="H59" s="92">
        <f t="shared" si="0"/>
        <v>-17070.917537724068</v>
      </c>
      <c r="I59" s="92">
        <f t="shared" si="1"/>
        <v>-13101.165022387395</v>
      </c>
      <c r="J59" s="90">
        <f>Data!C64</f>
        <v>0</v>
      </c>
      <c r="K59" s="191">
        <f t="shared" si="5"/>
        <v>0</v>
      </c>
    </row>
    <row r="60" spans="1:11" ht="17" customHeight="1" x14ac:dyDescent="0.2">
      <c r="A60" s="84">
        <f t="shared" si="2"/>
        <v>2067</v>
      </c>
      <c r="B60" s="85">
        <f t="shared" ref="B60" si="6">D60-C60</f>
        <v>47186.94147520508</v>
      </c>
      <c r="C60" s="85">
        <f>Data!$AC$63</f>
        <v>3883.9760625189883</v>
      </c>
      <c r="D60" s="85">
        <f>Data!$AD$63</f>
        <v>51070.917537724068</v>
      </c>
      <c r="E60" s="85">
        <f t="shared" si="4"/>
        <v>34000</v>
      </c>
      <c r="F60" s="85"/>
      <c r="G60" s="98"/>
      <c r="H60" s="87">
        <f t="shared" si="0"/>
        <v>-17070.917537724068</v>
      </c>
      <c r="I60" s="87">
        <f t="shared" si="1"/>
        <v>-13186.94147520508</v>
      </c>
      <c r="J60" s="85">
        <f>Data!C65</f>
        <v>0</v>
      </c>
      <c r="K60" s="191">
        <f t="shared" si="5"/>
        <v>0</v>
      </c>
    </row>
    <row r="61" spans="1:11" ht="17" customHeight="1" x14ac:dyDescent="0.2">
      <c r="A61" s="106">
        <f t="shared" si="2"/>
        <v>2068</v>
      </c>
      <c r="B61" s="107">
        <v>47101.165022387395</v>
      </c>
      <c r="C61" s="107">
        <f>Data!$AC$63</f>
        <v>3883.9760625189883</v>
      </c>
      <c r="D61" s="107">
        <f>Data!$AD$63</f>
        <v>51070.917537724068</v>
      </c>
      <c r="E61" s="90">
        <f t="shared" si="4"/>
        <v>34000</v>
      </c>
      <c r="F61" s="107"/>
      <c r="G61" s="108"/>
      <c r="H61" s="92">
        <f t="shared" si="0"/>
        <v>-17070.917537724068</v>
      </c>
      <c r="I61" s="92">
        <f t="shared" si="1"/>
        <v>-13101.165022387395</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34000</v>
      </c>
      <c r="F62" s="85"/>
      <c r="G62" s="98"/>
      <c r="H62" s="87">
        <f t="shared" si="0"/>
        <v>-17070.917537724068</v>
      </c>
      <c r="I62" s="87">
        <f t="shared" si="1"/>
        <v>-13101.165022387395</v>
      </c>
      <c r="J62" s="85">
        <f>Data!C68</f>
        <v>0</v>
      </c>
      <c r="K62" s="191">
        <f t="shared" si="5"/>
        <v>0</v>
      </c>
    </row>
    <row r="63" spans="1:11" ht="17" customHeight="1" x14ac:dyDescent="0.2">
      <c r="A63" s="106">
        <f t="shared" si="2"/>
        <v>2070</v>
      </c>
      <c r="B63" s="107">
        <v>47101.165022387395</v>
      </c>
      <c r="C63" s="107">
        <f>Data!$AC$63</f>
        <v>3883.9760625189883</v>
      </c>
      <c r="D63" s="107">
        <f>Data!$AD$63</f>
        <v>51070.917537724068</v>
      </c>
      <c r="E63" s="90">
        <f t="shared" si="4"/>
        <v>34000</v>
      </c>
      <c r="F63" s="107"/>
      <c r="G63" s="108"/>
      <c r="H63" s="92">
        <f t="shared" si="0"/>
        <v>-17070.917537724068</v>
      </c>
      <c r="I63" s="92">
        <f t="shared" si="1"/>
        <v>-13101.165022387395</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154</v>
      </c>
      <c r="K67" s="149"/>
    </row>
    <row r="68" spans="1:11" ht="15" x14ac:dyDescent="0.2">
      <c r="B68" s="69" t="s">
        <v>151</v>
      </c>
      <c r="E68" s="164"/>
      <c r="K68" s="149"/>
    </row>
    <row r="69" spans="1:11" ht="15" x14ac:dyDescent="0.2">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No TWP
June 2017</oddHeader>
    <oddFooter>&amp;C&amp;"-,Regular"&amp;8&amp;F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34"/>
  <sheetViews>
    <sheetView view="pageLayout" topLeftCell="A125" zoomScale="70" zoomScaleNormal="100" zoomScalePageLayoutView="70" workbookViewId="0">
      <selection activeCell="B131" sqref="B131"/>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125" si="0">E5-D5</f>
        <v>-2764.8709130392672</v>
      </c>
      <c r="I5" s="92">
        <f t="shared" ref="I5:I125" si="1">E5-B5</f>
        <v>-711.91575091729464</v>
      </c>
      <c r="J5" s="90">
        <f>Data!C10</f>
        <v>121211</v>
      </c>
      <c r="K5" s="190">
        <v>2009</v>
      </c>
    </row>
    <row r="6" spans="1:11" hidden="1" x14ac:dyDescent="0.2">
      <c r="A6" s="84">
        <f t="shared" ref="A6:A125" si="2">A5+1</f>
        <v>2013</v>
      </c>
      <c r="B6" s="85">
        <f t="shared" ref="B6:B120" si="3">D6-C6</f>
        <v>27323.551291859749</v>
      </c>
      <c r="C6" s="85">
        <f>Data!AC11</f>
        <v>2044.7732677647919</v>
      </c>
      <c r="D6" s="85">
        <f>Data!AD11</f>
        <v>29368.32455962454</v>
      </c>
      <c r="E6" s="85">
        <f t="shared" ref="E6:E125"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8">
        <f t="shared" si="2"/>
        <v>2015</v>
      </c>
      <c r="B8" s="89">
        <f t="shared" si="3"/>
        <v>27739.90938935196</v>
      </c>
      <c r="C8" s="89">
        <f>Data!AC13</f>
        <v>2083.3249434585155</v>
      </c>
      <c r="D8" s="89">
        <f>Data!AD13</f>
        <v>29823.234332810476</v>
      </c>
      <c r="E8" s="89">
        <f t="shared" si="4"/>
        <v>27700</v>
      </c>
      <c r="F8" s="89">
        <v>1000</v>
      </c>
      <c r="G8" s="148" t="s">
        <v>104</v>
      </c>
      <c r="H8" s="217">
        <f t="shared" si="0"/>
        <v>-2123.2343328104762</v>
      </c>
      <c r="I8" s="217">
        <f t="shared" si="1"/>
        <v>-39.909389351960272</v>
      </c>
      <c r="J8" s="89">
        <f>Data!C13</f>
        <v>131761</v>
      </c>
      <c r="K8" s="191">
        <f>ROUNDDOWN(J8,-3)</f>
        <v>131000</v>
      </c>
    </row>
    <row r="9" spans="1:11" ht="17" customHeight="1" x14ac:dyDescent="0.2">
      <c r="A9" s="88"/>
      <c r="B9" s="89">
        <f t="shared" si="3"/>
        <v>27991.238718853958</v>
      </c>
      <c r="C9" s="89">
        <f>C8+($C$11-$C$8)/3</f>
        <v>2106.5961776716636</v>
      </c>
      <c r="D9" s="89">
        <f>D8+($D$11-$D$8)/3</f>
        <v>30097.834896525623</v>
      </c>
      <c r="E9" s="89">
        <v>27700</v>
      </c>
      <c r="F9" s="89"/>
      <c r="G9" s="148"/>
      <c r="H9" s="217"/>
      <c r="I9" s="217"/>
      <c r="J9" s="89"/>
      <c r="K9" s="191">
        <v>132000</v>
      </c>
    </row>
    <row r="10" spans="1:11" ht="17" customHeight="1" x14ac:dyDescent="0.2">
      <c r="A10" s="88"/>
      <c r="B10" s="89">
        <f t="shared" si="3"/>
        <v>28242.568048355959</v>
      </c>
      <c r="C10" s="89">
        <f>C9+($C$11-$C$8)/3</f>
        <v>2129.8674118848116</v>
      </c>
      <c r="D10" s="89">
        <f>D9+($D$11-$D$8)/3</f>
        <v>30372.435460240769</v>
      </c>
      <c r="E10" s="89">
        <v>27700</v>
      </c>
      <c r="F10" s="89"/>
      <c r="G10" s="148"/>
      <c r="H10" s="217"/>
      <c r="I10" s="217"/>
      <c r="J10" s="89"/>
      <c r="K10" s="191">
        <v>133000</v>
      </c>
    </row>
    <row r="11" spans="1:11" ht="17" customHeight="1" x14ac:dyDescent="0.2">
      <c r="A11" s="88">
        <f>A8+1</f>
        <v>2016</v>
      </c>
      <c r="B11" s="89">
        <f t="shared" si="3"/>
        <v>28493.89737785796</v>
      </c>
      <c r="C11" s="89">
        <f>Data!AC14</f>
        <v>2153.1386460979593</v>
      </c>
      <c r="D11" s="89">
        <f>Data!AD14</f>
        <v>30647.03602395592</v>
      </c>
      <c r="E11" s="89">
        <f>E8+F8</f>
        <v>28700</v>
      </c>
      <c r="F11" s="89"/>
      <c r="G11" s="148"/>
      <c r="H11" s="217">
        <f t="shared" si="0"/>
        <v>-1947.0360239559195</v>
      </c>
      <c r="I11" s="217">
        <f t="shared" si="1"/>
        <v>206.10262214203976</v>
      </c>
      <c r="J11" s="89">
        <f>Data!C14</f>
        <v>134149</v>
      </c>
      <c r="K11" s="191">
        <f t="shared" ref="K11:K125" si="5">ROUNDDOWN(J11,-3)</f>
        <v>134000</v>
      </c>
    </row>
    <row r="12" spans="1:11" ht="17" customHeight="1" x14ac:dyDescent="0.2">
      <c r="A12" s="88"/>
      <c r="B12" s="89">
        <f t="shared" si="3"/>
        <v>28516.966863191112</v>
      </c>
      <c r="C12" s="89">
        <f>C11+($C$15-$C$11)/4</f>
        <v>2155.2747095547329</v>
      </c>
      <c r="D12" s="89">
        <f>D11+($D$15-$D$11)/4</f>
        <v>30672.241572745843</v>
      </c>
      <c r="E12" s="89">
        <v>28700</v>
      </c>
      <c r="F12" s="89"/>
      <c r="G12" s="148"/>
      <c r="H12" s="217"/>
      <c r="I12" s="217"/>
      <c r="J12" s="89"/>
      <c r="K12" s="191">
        <f>K11+1000</f>
        <v>135000</v>
      </c>
    </row>
    <row r="13" spans="1:11" ht="17" customHeight="1" x14ac:dyDescent="0.2">
      <c r="A13" s="88"/>
      <c r="B13" s="89">
        <f t="shared" si="3"/>
        <v>28540.036348524263</v>
      </c>
      <c r="C13" s="89">
        <f>C12+($C$15-$C$11)/4</f>
        <v>2157.4107730115065</v>
      </c>
      <c r="D13" s="89">
        <f>D12+($D$15-$D$11)/4</f>
        <v>30697.44712153577</v>
      </c>
      <c r="E13" s="89">
        <v>28700</v>
      </c>
      <c r="F13" s="89"/>
      <c r="G13" s="148"/>
      <c r="H13" s="217"/>
      <c r="I13" s="217"/>
      <c r="J13" s="89"/>
      <c r="K13" s="191">
        <f>K12+1000</f>
        <v>136000</v>
      </c>
    </row>
    <row r="14" spans="1:11" ht="17" customHeight="1" x14ac:dyDescent="0.2">
      <c r="A14" s="88"/>
      <c r="B14" s="89">
        <f t="shared" si="3"/>
        <v>28563.105833857415</v>
      </c>
      <c r="C14" s="89">
        <f>C13+($C$15-$C$11)/4</f>
        <v>2159.5468364682802</v>
      </c>
      <c r="D14" s="89">
        <f>D13+($D$15-$D$11)/4</f>
        <v>30722.652670325697</v>
      </c>
      <c r="E14" s="89">
        <v>28700</v>
      </c>
      <c r="F14" s="89"/>
      <c r="G14" s="148"/>
      <c r="H14" s="217"/>
      <c r="I14" s="217"/>
      <c r="J14" s="89"/>
      <c r="K14" s="191">
        <f>K13+1000</f>
        <v>137000</v>
      </c>
    </row>
    <row r="15" spans="1:11" ht="17" customHeight="1" x14ac:dyDescent="0.2">
      <c r="A15" s="88">
        <f>A11+1</f>
        <v>2017</v>
      </c>
      <c r="B15" s="89">
        <f t="shared" si="3"/>
        <v>28586.175319190566</v>
      </c>
      <c r="C15" s="89">
        <f>Data!AC15</f>
        <v>2161.6828999250529</v>
      </c>
      <c r="D15" s="89">
        <f>Data!AD15</f>
        <v>30747.85821911562</v>
      </c>
      <c r="E15" s="89">
        <f>E11+F11</f>
        <v>28700</v>
      </c>
      <c r="F15" s="89"/>
      <c r="G15" s="148"/>
      <c r="H15" s="217">
        <f t="shared" si="0"/>
        <v>-2047.8582191156202</v>
      </c>
      <c r="I15" s="217">
        <f t="shared" si="1"/>
        <v>113.82468080943363</v>
      </c>
      <c r="J15" s="89">
        <f>Data!C15</f>
        <v>137443</v>
      </c>
      <c r="K15" s="191">
        <f t="shared" si="5"/>
        <v>137000</v>
      </c>
    </row>
    <row r="16" spans="1:11" ht="17" customHeight="1" x14ac:dyDescent="0.2">
      <c r="A16" s="88"/>
      <c r="B16" s="89">
        <f>B15+($B$19-$B$15)/4</f>
        <v>28717.32378383839</v>
      </c>
      <c r="C16" s="89">
        <f>C15+($C$19-$C$15)/4</f>
        <v>2173.8262762813329</v>
      </c>
      <c r="D16" s="89">
        <f>D15+($D$19-$D$15)/4</f>
        <v>30891.150060119722</v>
      </c>
      <c r="E16" s="89">
        <v>28700</v>
      </c>
      <c r="F16" s="89"/>
      <c r="G16" s="148"/>
      <c r="H16" s="217"/>
      <c r="I16" s="217"/>
      <c r="J16" s="89"/>
      <c r="K16" s="191">
        <f>K15+1000</f>
        <v>138000</v>
      </c>
    </row>
    <row r="17" spans="1:11" ht="17" customHeight="1" x14ac:dyDescent="0.2">
      <c r="A17" s="88"/>
      <c r="B17" s="89">
        <f>B16+($B$19-$B$15)/4</f>
        <v>28848.472248486214</v>
      </c>
      <c r="C17" s="89">
        <f>C16+($C$19-$C$15)/4</f>
        <v>2185.9696526376129</v>
      </c>
      <c r="D17" s="89">
        <f>D16+($D$19-$D$15)/4</f>
        <v>31034.441901123824</v>
      </c>
      <c r="E17" s="89">
        <v>28700</v>
      </c>
      <c r="F17" s="89"/>
      <c r="G17" s="148"/>
      <c r="H17" s="217"/>
      <c r="I17" s="217"/>
      <c r="J17" s="89"/>
      <c r="K17" s="191">
        <f>K16+1000</f>
        <v>139000</v>
      </c>
    </row>
    <row r="18" spans="1:11" ht="17" customHeight="1" x14ac:dyDescent="0.2">
      <c r="A18" s="88"/>
      <c r="B18" s="89">
        <f>B17+($B$19-$B$15)/4</f>
        <v>28979.620713134038</v>
      </c>
      <c r="C18" s="89">
        <f>C17+($C$19-$C$15)/4</f>
        <v>2198.1130289938928</v>
      </c>
      <c r="D18" s="89">
        <f>D17+($D$19-$D$15)/4</f>
        <v>31177.733742127926</v>
      </c>
      <c r="E18" s="89">
        <v>28700</v>
      </c>
      <c r="F18" s="89"/>
      <c r="G18" s="148"/>
      <c r="H18" s="217"/>
      <c r="I18" s="217"/>
      <c r="J18" s="89"/>
      <c r="K18" s="191">
        <f>K17+1000</f>
        <v>140000</v>
      </c>
    </row>
    <row r="19" spans="1:11" ht="17" customHeight="1" x14ac:dyDescent="0.2">
      <c r="A19" s="88">
        <f>A15+1</f>
        <v>2018</v>
      </c>
      <c r="B19" s="89">
        <f t="shared" si="3"/>
        <v>29110.769177781862</v>
      </c>
      <c r="C19" s="89">
        <f>Data!AC16</f>
        <v>2210.2564053501719</v>
      </c>
      <c r="D19" s="89">
        <f>Data!AD16</f>
        <v>31321.025583132032</v>
      </c>
      <c r="E19" s="89">
        <f>E15+F15</f>
        <v>28700</v>
      </c>
      <c r="F19" s="89"/>
      <c r="G19" s="148"/>
      <c r="H19" s="217">
        <f t="shared" si="0"/>
        <v>-2621.0255831320319</v>
      </c>
      <c r="I19" s="217">
        <f t="shared" si="1"/>
        <v>-410.7691777818618</v>
      </c>
      <c r="J19" s="89">
        <f>Data!C16</f>
        <v>140509</v>
      </c>
      <c r="K19" s="191">
        <f t="shared" si="5"/>
        <v>140000</v>
      </c>
    </row>
    <row r="20" spans="1:11" ht="17" customHeight="1" x14ac:dyDescent="0.2">
      <c r="A20" s="88"/>
      <c r="B20" s="89">
        <f>B19+($B$23-$B$19)/4</f>
        <v>29248.140525416798</v>
      </c>
      <c r="C20" s="89">
        <f>C19+($C$23-$C$19)/4</f>
        <v>2222.9759745756292</v>
      </c>
      <c r="D20" s="89">
        <f>D19+($D$23-$D$19)/4</f>
        <v>31471.116499992422</v>
      </c>
      <c r="E20" s="89">
        <v>28700</v>
      </c>
      <c r="F20" s="89"/>
      <c r="G20" s="148"/>
      <c r="H20" s="217"/>
      <c r="I20" s="217"/>
      <c r="J20" s="89"/>
      <c r="K20" s="191">
        <f>K19+1000</f>
        <v>141000</v>
      </c>
    </row>
    <row r="21" spans="1:11" ht="17" customHeight="1" x14ac:dyDescent="0.2">
      <c r="A21" s="88"/>
      <c r="B21" s="89">
        <f>B20+($B$23-$B$19)/4</f>
        <v>29385.511873051735</v>
      </c>
      <c r="C21" s="89">
        <f>C20+($C$23-$C$19)/4</f>
        <v>2235.6955438010864</v>
      </c>
      <c r="D21" s="89">
        <f>D20+($D$23-$D$19)/4</f>
        <v>31621.207416852812</v>
      </c>
      <c r="E21" s="89">
        <v>28700</v>
      </c>
      <c r="F21" s="89"/>
      <c r="G21" s="148"/>
      <c r="H21" s="217"/>
      <c r="I21" s="217"/>
      <c r="J21" s="89"/>
      <c r="K21" s="191">
        <f>K20+1000</f>
        <v>142000</v>
      </c>
    </row>
    <row r="22" spans="1:11" ht="17" customHeight="1" x14ac:dyDescent="0.2">
      <c r="A22" s="88"/>
      <c r="B22" s="89">
        <f>B21+($B$23-$B$19)/4</f>
        <v>29522.883220686672</v>
      </c>
      <c r="C22" s="89">
        <f>C21+($C$23-$C$19)/4</f>
        <v>2248.4151130265436</v>
      </c>
      <c r="D22" s="89">
        <f>D21+($D$23-$D$19)/4</f>
        <v>31771.298333713203</v>
      </c>
      <c r="E22" s="89">
        <v>28700</v>
      </c>
      <c r="F22" s="89"/>
      <c r="G22" s="148"/>
      <c r="H22" s="217"/>
      <c r="I22" s="217"/>
      <c r="J22" s="89"/>
      <c r="K22" s="191">
        <f>K21+1000</f>
        <v>143000</v>
      </c>
    </row>
    <row r="23" spans="1:11" ht="17" customHeight="1" x14ac:dyDescent="0.2">
      <c r="A23" s="88">
        <f>A19+1</f>
        <v>2019</v>
      </c>
      <c r="B23" s="89">
        <f t="shared" si="3"/>
        <v>29660.254568321601</v>
      </c>
      <c r="C23" s="89">
        <f>Data!AC17</f>
        <v>2261.1346822520004</v>
      </c>
      <c r="D23" s="89">
        <f>Data!AD17</f>
        <v>31921.3892505736</v>
      </c>
      <c r="E23" s="89">
        <f>E19+F19</f>
        <v>28700</v>
      </c>
      <c r="F23" s="89">
        <v>1300</v>
      </c>
      <c r="G23" s="148" t="s">
        <v>105</v>
      </c>
      <c r="H23" s="217">
        <f t="shared" si="0"/>
        <v>-3221.3892505736003</v>
      </c>
      <c r="I23" s="217">
        <f t="shared" si="1"/>
        <v>-960.25456832160125</v>
      </c>
      <c r="J23" s="89">
        <f>Data!C17</f>
        <v>143788</v>
      </c>
      <c r="K23" s="191">
        <f t="shared" si="5"/>
        <v>143000</v>
      </c>
    </row>
    <row r="24" spans="1:11" ht="17" customHeight="1" x14ac:dyDescent="0.2">
      <c r="A24" s="88"/>
      <c r="B24" s="89">
        <f>B23+($B$27-$B$23)/4</f>
        <v>29778.928051582108</v>
      </c>
      <c r="C24" s="89">
        <f>C23+($C$27-$C$23)/4</f>
        <v>2272.1229677390843</v>
      </c>
      <c r="D24" s="89">
        <f>D23+($D$27-$D$23)/4</f>
        <v>32051.051019321192</v>
      </c>
      <c r="E24" s="89">
        <f>E23+F23</f>
        <v>30000</v>
      </c>
      <c r="F24" s="89"/>
      <c r="G24" s="148"/>
      <c r="H24" s="217"/>
      <c r="I24" s="217"/>
      <c r="J24" s="89"/>
      <c r="K24" s="191">
        <f t="shared" ref="K24:K26" si="6">K23+1000</f>
        <v>144000</v>
      </c>
    </row>
    <row r="25" spans="1:11" ht="17" customHeight="1" x14ac:dyDescent="0.2">
      <c r="A25" s="88"/>
      <c r="B25" s="89">
        <f>B24+($B$27-$B$23)/4</f>
        <v>29897.601534842615</v>
      </c>
      <c r="C25" s="89">
        <f>C24+($C$27-$C$23)/4</f>
        <v>2283.1112532261682</v>
      </c>
      <c r="D25" s="89">
        <f>D24+($D$27-$D$23)/4</f>
        <v>32180.712788068784</v>
      </c>
      <c r="E25" s="89">
        <v>30000</v>
      </c>
      <c r="F25" s="89">
        <v>1000</v>
      </c>
      <c r="G25" s="148" t="s">
        <v>90</v>
      </c>
      <c r="H25" s="217"/>
      <c r="I25" s="217"/>
      <c r="J25" s="89"/>
      <c r="K25" s="191">
        <f t="shared" si="6"/>
        <v>145000</v>
      </c>
    </row>
    <row r="26" spans="1:11" ht="17" customHeight="1" x14ac:dyDescent="0.2">
      <c r="A26" s="88"/>
      <c r="B26" s="89">
        <f>B25+($B$27-$B$23)/4</f>
        <v>30016.275018103122</v>
      </c>
      <c r="C26" s="89">
        <f>C25+($C$27-$C$23)/4</f>
        <v>2294.0995387132521</v>
      </c>
      <c r="D26" s="89">
        <f>D25+($D$27-$D$23)/4</f>
        <v>32310.374556816376</v>
      </c>
      <c r="E26" s="89">
        <f>E25+F25</f>
        <v>31000</v>
      </c>
      <c r="F26" s="89">
        <v>1000</v>
      </c>
      <c r="G26" s="148" t="s">
        <v>94</v>
      </c>
      <c r="H26" s="217"/>
      <c r="I26" s="217"/>
      <c r="J26" s="89"/>
      <c r="K26" s="191">
        <f t="shared" si="6"/>
        <v>146000</v>
      </c>
    </row>
    <row r="27" spans="1:11" ht="17" customHeight="1" x14ac:dyDescent="0.2">
      <c r="A27" s="88">
        <f>A23+1</f>
        <v>2020</v>
      </c>
      <c r="B27" s="89">
        <f t="shared" si="3"/>
        <v>30134.948501363629</v>
      </c>
      <c r="C27" s="89">
        <f>Data!AC18</f>
        <v>2305.0878242003364</v>
      </c>
      <c r="D27" s="89">
        <f>Data!AD18</f>
        <v>32440.036325563968</v>
      </c>
      <c r="E27" s="89">
        <f>E26+F26</f>
        <v>32000</v>
      </c>
      <c r="F27" s="89"/>
      <c r="G27" s="148"/>
      <c r="H27" s="217">
        <f t="shared" si="0"/>
        <v>-440.03632556396769</v>
      </c>
      <c r="I27" s="217">
        <f t="shared" si="1"/>
        <v>1865.0514986363705</v>
      </c>
      <c r="J27" s="89">
        <f>Data!C18</f>
        <v>146427</v>
      </c>
      <c r="K27" s="191">
        <f t="shared" si="5"/>
        <v>146000</v>
      </c>
    </row>
    <row r="28" spans="1:11" ht="17" customHeight="1" x14ac:dyDescent="0.2">
      <c r="A28" s="88">
        <f t="shared" si="2"/>
        <v>2021</v>
      </c>
      <c r="B28" s="89">
        <f t="shared" si="3"/>
        <v>31110</v>
      </c>
      <c r="C28" s="89">
        <v>2395</v>
      </c>
      <c r="D28" s="89">
        <v>33505</v>
      </c>
      <c r="E28" s="89">
        <f>E27+F27</f>
        <v>32000</v>
      </c>
      <c r="F28" s="89"/>
      <c r="G28" s="148"/>
      <c r="H28" s="217">
        <f t="shared" si="0"/>
        <v>-1505</v>
      </c>
      <c r="I28" s="217">
        <f t="shared" si="1"/>
        <v>890</v>
      </c>
      <c r="J28" s="89">
        <f>Data!C19</f>
        <v>148550.84444444443</v>
      </c>
      <c r="K28" s="191">
        <f t="shared" si="5"/>
        <v>148000</v>
      </c>
    </row>
    <row r="29" spans="1:11" ht="17" customHeight="1" x14ac:dyDescent="0.2">
      <c r="A29" s="88"/>
      <c r="B29" s="89">
        <f t="shared" si="3"/>
        <v>31110</v>
      </c>
      <c r="C29" s="89">
        <v>2395</v>
      </c>
      <c r="D29" s="89">
        <v>33505</v>
      </c>
      <c r="E29" s="89">
        <f>E28+F28</f>
        <v>32000</v>
      </c>
      <c r="F29" s="89"/>
      <c r="G29" s="148"/>
      <c r="H29" s="217"/>
      <c r="I29" s="217"/>
      <c r="J29" s="89"/>
      <c r="K29" s="191">
        <f>K28+1000</f>
        <v>149000</v>
      </c>
    </row>
    <row r="30" spans="1:11" ht="17" customHeight="1" x14ac:dyDescent="0.2">
      <c r="A30" s="88">
        <f>A28+1</f>
        <v>2022</v>
      </c>
      <c r="B30" s="89">
        <f t="shared" si="3"/>
        <v>30963.932508578837</v>
      </c>
      <c r="C30" s="89">
        <f>Data!AC20</f>
        <v>2381.8456026461881</v>
      </c>
      <c r="D30" s="89">
        <f>Data!AD20</f>
        <v>33345.778111225023</v>
      </c>
      <c r="E30" s="89">
        <f>E28+F28</f>
        <v>32000</v>
      </c>
      <c r="F30" s="89"/>
      <c r="G30" s="148"/>
      <c r="H30" s="217">
        <f t="shared" si="0"/>
        <v>-1345.7781112250232</v>
      </c>
      <c r="I30" s="217">
        <f t="shared" si="1"/>
        <v>1036.0674914211631</v>
      </c>
      <c r="J30" s="89">
        <f>Data!C20</f>
        <v>150674.68888888886</v>
      </c>
      <c r="K30" s="191">
        <f t="shared" si="5"/>
        <v>150000</v>
      </c>
    </row>
    <row r="31" spans="1:11" ht="17" customHeight="1" x14ac:dyDescent="0.2">
      <c r="A31" s="88"/>
      <c r="B31" s="89">
        <f t="shared" si="3"/>
        <v>31171.17851038263</v>
      </c>
      <c r="C31" s="89">
        <f t="shared" ref="C31:D31" si="7">C30+(C32-C30)/2</f>
        <v>2401.0350472576511</v>
      </c>
      <c r="D31" s="89">
        <f t="shared" si="7"/>
        <v>33572.21355764028</v>
      </c>
      <c r="E31" s="89">
        <v>31800</v>
      </c>
      <c r="F31" s="89"/>
      <c r="G31" s="148"/>
      <c r="H31" s="217"/>
      <c r="I31" s="217"/>
      <c r="J31" s="89"/>
      <c r="K31" s="191">
        <f>K30+1000</f>
        <v>151000</v>
      </c>
    </row>
    <row r="32" spans="1:11" ht="17" customHeight="1" x14ac:dyDescent="0.2">
      <c r="A32" s="88">
        <f>A30+1</f>
        <v>2023</v>
      </c>
      <c r="B32" s="89">
        <f t="shared" si="3"/>
        <v>31378.42451218643</v>
      </c>
      <c r="C32" s="89">
        <f>Data!AC21</f>
        <v>2420.224491869114</v>
      </c>
      <c r="D32" s="89">
        <f>Data!AD21</f>
        <v>33798.649004055544</v>
      </c>
      <c r="E32" s="89">
        <f>E30+F30</f>
        <v>32000</v>
      </c>
      <c r="F32" s="89"/>
      <c r="G32" s="148"/>
      <c r="H32" s="217">
        <f t="shared" si="0"/>
        <v>-1798.6490040555436</v>
      </c>
      <c r="I32" s="217">
        <f t="shared" si="1"/>
        <v>621.57548781357036</v>
      </c>
      <c r="J32" s="89">
        <f>Data!C21</f>
        <v>152798.5333333333</v>
      </c>
      <c r="K32" s="191">
        <f t="shared" si="5"/>
        <v>152000</v>
      </c>
    </row>
    <row r="33" spans="1:11" ht="17" customHeight="1" x14ac:dyDescent="0.2">
      <c r="A33" s="88"/>
      <c r="B33" s="89">
        <f t="shared" si="3"/>
        <v>31585.67051399023</v>
      </c>
      <c r="C33" s="89">
        <f t="shared" ref="C33:D33" si="8">C32+(C34-C32)/2</f>
        <v>2439.4139364805769</v>
      </c>
      <c r="D33" s="89">
        <f t="shared" si="8"/>
        <v>34025.084450470807</v>
      </c>
      <c r="E33" s="89">
        <v>31800</v>
      </c>
      <c r="F33" s="89"/>
      <c r="G33" s="148"/>
      <c r="H33" s="217"/>
      <c r="I33" s="217"/>
      <c r="J33" s="89"/>
      <c r="K33" s="191">
        <f>K32+1000</f>
        <v>153000</v>
      </c>
    </row>
    <row r="34" spans="1:11" ht="17" customHeight="1" x14ac:dyDescent="0.2">
      <c r="A34" s="88">
        <f>A32+1</f>
        <v>2024</v>
      </c>
      <c r="B34" s="89">
        <f t="shared" si="3"/>
        <v>31792.91651579403</v>
      </c>
      <c r="C34" s="89">
        <f>Data!AC22</f>
        <v>2458.6033810920399</v>
      </c>
      <c r="D34" s="89">
        <f>Data!AD22</f>
        <v>34251.519896886071</v>
      </c>
      <c r="E34" s="89">
        <f>E32+F32</f>
        <v>32000</v>
      </c>
      <c r="F34" s="89">
        <v>2000</v>
      </c>
      <c r="G34" s="148" t="s">
        <v>145</v>
      </c>
      <c r="H34" s="217">
        <f t="shared" si="0"/>
        <v>-2251.5198968860714</v>
      </c>
      <c r="I34" s="217">
        <f t="shared" si="1"/>
        <v>207.08348420597031</v>
      </c>
      <c r="J34" s="89">
        <f>Data!C22</f>
        <v>154922.37777777773</v>
      </c>
      <c r="K34" s="191">
        <f t="shared" si="5"/>
        <v>154000</v>
      </c>
    </row>
    <row r="35" spans="1:11" ht="17" customHeight="1" x14ac:dyDescent="0.2">
      <c r="A35" s="88"/>
      <c r="B35" s="89">
        <f t="shared" si="3"/>
        <v>32000.162517597833</v>
      </c>
      <c r="C35" s="89">
        <f t="shared" ref="C35:D35" si="9">C34+(C36-C34)/2</f>
        <v>2477.7928257035028</v>
      </c>
      <c r="D35" s="89">
        <f t="shared" si="9"/>
        <v>34477.955343301335</v>
      </c>
      <c r="E35" s="89">
        <v>31800</v>
      </c>
      <c r="F35" s="89"/>
      <c r="G35" s="148"/>
      <c r="H35" s="217"/>
      <c r="I35" s="217"/>
      <c r="J35" s="89"/>
      <c r="K35" s="191">
        <f>K34+1000</f>
        <v>155000</v>
      </c>
    </row>
    <row r="36" spans="1:11" ht="17" customHeight="1" x14ac:dyDescent="0.2">
      <c r="A36" s="88">
        <f>A34+1</f>
        <v>2025</v>
      </c>
      <c r="B36" s="89">
        <f t="shared" si="3"/>
        <v>32207.408519401626</v>
      </c>
      <c r="C36" s="89">
        <f>Data!AC23</f>
        <v>2496.9822703149657</v>
      </c>
      <c r="D36" s="89">
        <f>Data!AD23</f>
        <v>34704.390789716592</v>
      </c>
      <c r="E36" s="89">
        <f>E34+F34</f>
        <v>34000</v>
      </c>
      <c r="F36" s="218"/>
      <c r="G36" s="219"/>
      <c r="H36" s="217">
        <f t="shared" si="0"/>
        <v>-704.39078971659183</v>
      </c>
      <c r="I36" s="217">
        <f t="shared" si="1"/>
        <v>1792.5914805983739</v>
      </c>
      <c r="J36" s="89">
        <f>Data!C23</f>
        <v>157046.22222222216</v>
      </c>
      <c r="K36" s="191">
        <f t="shared" si="5"/>
        <v>157000</v>
      </c>
    </row>
    <row r="37" spans="1:11" ht="17" customHeight="1" x14ac:dyDescent="0.2">
      <c r="A37" s="88"/>
      <c r="B37" s="89">
        <f t="shared" si="3"/>
        <v>32414.654521205419</v>
      </c>
      <c r="C37" s="89">
        <f t="shared" ref="C37:D37" si="10">C36+(C38-C36)/2</f>
        <v>2516.1717149264286</v>
      </c>
      <c r="D37" s="89">
        <f t="shared" si="10"/>
        <v>34930.826236131848</v>
      </c>
      <c r="E37" s="89">
        <v>33800</v>
      </c>
      <c r="F37" s="218"/>
      <c r="G37" s="219"/>
      <c r="H37" s="217"/>
      <c r="I37" s="217"/>
      <c r="J37" s="89"/>
      <c r="K37" s="191">
        <f>K36+1000</f>
        <v>158000</v>
      </c>
    </row>
    <row r="38" spans="1:11" ht="17" customHeight="1" x14ac:dyDescent="0.2">
      <c r="A38" s="88">
        <f>A36+1</f>
        <v>2026</v>
      </c>
      <c r="B38" s="89">
        <f t="shared" si="3"/>
        <v>32621.900523009223</v>
      </c>
      <c r="C38" s="89">
        <f>Data!AC24</f>
        <v>2535.3611595378911</v>
      </c>
      <c r="D38" s="89">
        <f>Data!AD24</f>
        <v>35157.261682547112</v>
      </c>
      <c r="E38" s="89">
        <f>E36+F36</f>
        <v>34000</v>
      </c>
      <c r="F38" s="89"/>
      <c r="G38" s="148"/>
      <c r="H38" s="217">
        <f t="shared" si="0"/>
        <v>-1157.2616825471123</v>
      </c>
      <c r="I38" s="217">
        <f t="shared" si="1"/>
        <v>1378.0994769907775</v>
      </c>
      <c r="J38" s="89">
        <f>Data!C24</f>
        <v>159170.06666666659</v>
      </c>
      <c r="K38" s="191">
        <f t="shared" si="5"/>
        <v>159000</v>
      </c>
    </row>
    <row r="39" spans="1:11" ht="17" customHeight="1" x14ac:dyDescent="0.2">
      <c r="A39" s="88"/>
      <c r="B39" s="89">
        <f t="shared" si="3"/>
        <v>32829.146524813019</v>
      </c>
      <c r="C39" s="89">
        <f t="shared" ref="C39:D39" si="11">C38+(C40-C38)/2</f>
        <v>2554.5506041493541</v>
      </c>
      <c r="D39" s="89">
        <f t="shared" si="11"/>
        <v>35383.697128962376</v>
      </c>
      <c r="E39" s="89">
        <v>33800</v>
      </c>
      <c r="F39" s="89"/>
      <c r="G39" s="148"/>
      <c r="H39" s="217"/>
      <c r="I39" s="217"/>
      <c r="J39" s="89"/>
      <c r="K39" s="191">
        <f>K38+1000</f>
        <v>160000</v>
      </c>
    </row>
    <row r="40" spans="1:11" ht="17" customHeight="1" x14ac:dyDescent="0.2">
      <c r="A40" s="88">
        <f>A38+1</f>
        <v>2027</v>
      </c>
      <c r="B40" s="89">
        <f t="shared" si="3"/>
        <v>33036.392526616823</v>
      </c>
      <c r="C40" s="89">
        <f>Data!AC25</f>
        <v>2573.740048760817</v>
      </c>
      <c r="D40" s="89">
        <f>Data!AD25</f>
        <v>35610.13257537764</v>
      </c>
      <c r="E40" s="89">
        <f>E38+F38</f>
        <v>34000</v>
      </c>
      <c r="F40" s="218"/>
      <c r="G40" s="219"/>
      <c r="H40" s="217">
        <f t="shared" si="0"/>
        <v>-1610.13257537764</v>
      </c>
      <c r="I40" s="217">
        <f t="shared" si="1"/>
        <v>963.60747338317742</v>
      </c>
      <c r="J40" s="89">
        <f>Data!C25</f>
        <v>161293.91111111103</v>
      </c>
      <c r="K40" s="191">
        <f t="shared" si="5"/>
        <v>161000</v>
      </c>
    </row>
    <row r="41" spans="1:11" ht="17" customHeight="1" x14ac:dyDescent="0.2">
      <c r="A41" s="88"/>
      <c r="B41" s="89">
        <f t="shared" si="3"/>
        <v>33243.638528420626</v>
      </c>
      <c r="C41" s="89">
        <f t="shared" ref="C41:D41" si="12">C40+(C42-C40)/2</f>
        <v>2592.9294933722795</v>
      </c>
      <c r="D41" s="89">
        <f t="shared" si="12"/>
        <v>35836.568021792904</v>
      </c>
      <c r="E41" s="89">
        <v>33800</v>
      </c>
      <c r="F41" s="218"/>
      <c r="G41" s="219"/>
      <c r="H41" s="217"/>
      <c r="I41" s="217"/>
      <c r="J41" s="89"/>
      <c r="K41" s="191">
        <f>K40+1000</f>
        <v>162000</v>
      </c>
    </row>
    <row r="42" spans="1:11" ht="17" customHeight="1" x14ac:dyDescent="0.2">
      <c r="A42" s="88">
        <f>A40+1</f>
        <v>2028</v>
      </c>
      <c r="B42" s="89">
        <f t="shared" si="3"/>
        <v>33450.884530224415</v>
      </c>
      <c r="C42" s="89">
        <f>Data!AC26</f>
        <v>2612.1189379837424</v>
      </c>
      <c r="D42" s="89">
        <f>Data!AD26</f>
        <v>36063.00346820816</v>
      </c>
      <c r="E42" s="89">
        <f>E40+F40</f>
        <v>34000</v>
      </c>
      <c r="F42" s="89"/>
      <c r="G42" s="148"/>
      <c r="H42" s="217">
        <f t="shared" si="0"/>
        <v>-2063.0034682081605</v>
      </c>
      <c r="I42" s="217">
        <f t="shared" si="1"/>
        <v>549.11546977558464</v>
      </c>
      <c r="J42" s="89">
        <f>Data!C26</f>
        <v>163417.75555555546</v>
      </c>
      <c r="K42" s="191">
        <f t="shared" si="5"/>
        <v>163000</v>
      </c>
    </row>
    <row r="43" spans="1:11" ht="17" customHeight="1" x14ac:dyDescent="0.2">
      <c r="A43" s="88"/>
      <c r="B43" s="89">
        <f t="shared" si="3"/>
        <v>33658.130532028212</v>
      </c>
      <c r="C43" s="89">
        <f t="shared" ref="C43:D43" si="13">C42+(C44-C42)/2</f>
        <v>2631.3083825952053</v>
      </c>
      <c r="D43" s="89">
        <f t="shared" si="13"/>
        <v>36289.438914623417</v>
      </c>
      <c r="E43" s="89">
        <v>33800</v>
      </c>
      <c r="F43" s="89"/>
      <c r="G43" s="148"/>
      <c r="H43" s="217"/>
      <c r="I43" s="217"/>
      <c r="J43" s="89"/>
      <c r="K43" s="191">
        <f>K42+1000</f>
        <v>164000</v>
      </c>
    </row>
    <row r="44" spans="1:11" ht="17" customHeight="1" x14ac:dyDescent="0.2">
      <c r="A44" s="88">
        <f>A42+1</f>
        <v>2029</v>
      </c>
      <c r="B44" s="89">
        <f t="shared" si="3"/>
        <v>33865.376533832015</v>
      </c>
      <c r="C44" s="89">
        <f>Data!AC27</f>
        <v>2650.4978272066683</v>
      </c>
      <c r="D44" s="89">
        <f>Data!AD27</f>
        <v>36515.874361038681</v>
      </c>
      <c r="E44" s="89">
        <f>E42+F42</f>
        <v>34000</v>
      </c>
      <c r="F44" s="89"/>
      <c r="G44" s="219"/>
      <c r="H44" s="217">
        <f t="shared" si="0"/>
        <v>-2515.8743610386809</v>
      </c>
      <c r="I44" s="217">
        <f t="shared" si="1"/>
        <v>134.62346616798459</v>
      </c>
      <c r="J44" s="89">
        <f>Data!C27</f>
        <v>165541.59999999989</v>
      </c>
      <c r="K44" s="191">
        <f t="shared" si="5"/>
        <v>165000</v>
      </c>
    </row>
    <row r="45" spans="1:11" ht="17" customHeight="1" x14ac:dyDescent="0.2">
      <c r="A45" s="88"/>
      <c r="B45" s="89">
        <f t="shared" si="3"/>
        <v>34072.622535635812</v>
      </c>
      <c r="C45" s="89">
        <f t="shared" ref="C45:D45" si="14">C44+(C46-C44)/2</f>
        <v>2669.6872718181307</v>
      </c>
      <c r="D45" s="89">
        <f t="shared" si="14"/>
        <v>36742.309807453945</v>
      </c>
      <c r="E45" s="89">
        <v>33800</v>
      </c>
      <c r="F45" s="89"/>
      <c r="G45" s="219"/>
      <c r="H45" s="217"/>
      <c r="I45" s="217"/>
      <c r="J45" s="89"/>
      <c r="K45" s="191">
        <f>K44+1000</f>
        <v>166000</v>
      </c>
    </row>
    <row r="46" spans="1:11" ht="17" customHeight="1" x14ac:dyDescent="0.2">
      <c r="A46" s="88">
        <f>A44+1</f>
        <v>2030</v>
      </c>
      <c r="B46" s="89">
        <f t="shared" si="3"/>
        <v>34279.868537439608</v>
      </c>
      <c r="C46" s="89">
        <f>Data!AC28</f>
        <v>2688.8767164295932</v>
      </c>
      <c r="D46" s="89">
        <f>Data!AD28</f>
        <v>36968.745253869201</v>
      </c>
      <c r="E46" s="89">
        <f>E44+F44</f>
        <v>34000</v>
      </c>
      <c r="F46" s="89"/>
      <c r="G46" s="148"/>
      <c r="H46" s="217">
        <f t="shared" si="0"/>
        <v>-2968.7452538692014</v>
      </c>
      <c r="I46" s="217">
        <f t="shared" si="1"/>
        <v>-279.86853743960819</v>
      </c>
      <c r="J46" s="89">
        <f>Data!C28</f>
        <v>167665.44444444432</v>
      </c>
      <c r="K46" s="191">
        <f t="shared" si="5"/>
        <v>167000</v>
      </c>
    </row>
    <row r="47" spans="1:11" ht="17" customHeight="1" x14ac:dyDescent="0.2">
      <c r="A47" s="88"/>
      <c r="B47" s="89">
        <f t="shared" si="3"/>
        <v>34487.114539243412</v>
      </c>
      <c r="C47" s="89">
        <f t="shared" ref="C47:D47" si="15">C46+(C48-C46)/2</f>
        <v>2708.0661610410561</v>
      </c>
      <c r="D47" s="89">
        <f t="shared" si="15"/>
        <v>37195.180700284465</v>
      </c>
      <c r="E47" s="89">
        <v>33800</v>
      </c>
      <c r="F47" s="89"/>
      <c r="G47" s="148"/>
      <c r="H47" s="217"/>
      <c r="I47" s="217"/>
      <c r="J47" s="89"/>
      <c r="K47" s="191">
        <f>K46+1000</f>
        <v>168000</v>
      </c>
    </row>
    <row r="48" spans="1:11" ht="17" customHeight="1" x14ac:dyDescent="0.2">
      <c r="A48" s="88">
        <f>A46+1</f>
        <v>2031</v>
      </c>
      <c r="B48" s="89">
        <f t="shared" si="3"/>
        <v>34694.360541047208</v>
      </c>
      <c r="C48" s="89">
        <f>Data!AC29</f>
        <v>2727.2556056525195</v>
      </c>
      <c r="D48" s="89">
        <f>Data!AD29</f>
        <v>37421.616146699729</v>
      </c>
      <c r="E48" s="89">
        <f>E46+F46</f>
        <v>34000</v>
      </c>
      <c r="F48" s="89"/>
      <c r="G48" s="148"/>
      <c r="H48" s="217">
        <f t="shared" si="0"/>
        <v>-3421.6161466997291</v>
      </c>
      <c r="I48" s="217">
        <f t="shared" si="1"/>
        <v>-694.36054104720824</v>
      </c>
      <c r="J48" s="89">
        <f>Data!C29</f>
        <v>169789.28888888875</v>
      </c>
      <c r="K48" s="191">
        <f t="shared" si="5"/>
        <v>169000</v>
      </c>
    </row>
    <row r="49" spans="1:11" ht="17" customHeight="1" x14ac:dyDescent="0.2">
      <c r="A49" s="88"/>
      <c r="B49" s="89">
        <f t="shared" si="3"/>
        <v>34901.606542851005</v>
      </c>
      <c r="C49" s="89">
        <f t="shared" ref="C49:D49" si="16">C48+(C50-C48)/2</f>
        <v>2746.445050263982</v>
      </c>
      <c r="D49" s="89">
        <f t="shared" si="16"/>
        <v>37648.051593114986</v>
      </c>
      <c r="E49" s="89">
        <v>33800</v>
      </c>
      <c r="F49" s="89"/>
      <c r="G49" s="148"/>
      <c r="H49" s="217"/>
      <c r="I49" s="217"/>
      <c r="J49" s="89"/>
      <c r="K49" s="191">
        <f>K48+1000</f>
        <v>170000</v>
      </c>
    </row>
    <row r="50" spans="1:11" ht="17" customHeight="1" x14ac:dyDescent="0.2">
      <c r="A50" s="88">
        <f>A48+1</f>
        <v>2032</v>
      </c>
      <c r="B50" s="89">
        <f t="shared" si="3"/>
        <v>35108.852544654801</v>
      </c>
      <c r="C50" s="89">
        <f>Data!AC30</f>
        <v>2765.6344948754449</v>
      </c>
      <c r="D50" s="89">
        <f>Data!AD30</f>
        <v>37874.487039530242</v>
      </c>
      <c r="E50" s="89">
        <f>E48+F48</f>
        <v>34000</v>
      </c>
      <c r="F50" s="89"/>
      <c r="G50" s="148"/>
      <c r="H50" s="217">
        <f t="shared" si="0"/>
        <v>-3874.4870395302423</v>
      </c>
      <c r="I50" s="217">
        <f t="shared" si="1"/>
        <v>-1108.852544654801</v>
      </c>
      <c r="J50" s="89">
        <f>Data!C30</f>
        <v>171913.13333333319</v>
      </c>
      <c r="K50" s="191">
        <f t="shared" si="5"/>
        <v>171000</v>
      </c>
    </row>
    <row r="51" spans="1:11" ht="17" customHeight="1" x14ac:dyDescent="0.2">
      <c r="A51" s="88"/>
      <c r="B51" s="89">
        <f t="shared" si="3"/>
        <v>35316.098546458605</v>
      </c>
      <c r="C51" s="89">
        <f t="shared" ref="C51:D51" si="17">C50+(C52-C50)/2</f>
        <v>2784.8239394869079</v>
      </c>
      <c r="D51" s="89">
        <f t="shared" si="17"/>
        <v>38100.922485945513</v>
      </c>
      <c r="E51" s="89">
        <v>33800</v>
      </c>
      <c r="F51" s="89"/>
      <c r="G51" s="148"/>
      <c r="H51" s="217"/>
      <c r="I51" s="217"/>
      <c r="J51" s="89"/>
      <c r="K51" s="191">
        <f>K50+1000</f>
        <v>172000</v>
      </c>
    </row>
    <row r="52" spans="1:11" ht="17" customHeight="1" x14ac:dyDescent="0.2">
      <c r="A52" s="88">
        <f>A50+1</f>
        <v>2033</v>
      </c>
      <c r="B52" s="89">
        <f t="shared" si="3"/>
        <v>35523.344548262408</v>
      </c>
      <c r="C52" s="89">
        <f>Data!AC31</f>
        <v>2804.0133840983708</v>
      </c>
      <c r="D52" s="89">
        <f>Data!AD31</f>
        <v>38327.357932360777</v>
      </c>
      <c r="E52" s="89">
        <f>E50+F50</f>
        <v>34000</v>
      </c>
      <c r="F52" s="89"/>
      <c r="G52" s="219"/>
      <c r="H52" s="217">
        <f t="shared" si="0"/>
        <v>-4327.3579323607773</v>
      </c>
      <c r="I52" s="217">
        <f t="shared" si="1"/>
        <v>-1523.3445482624084</v>
      </c>
      <c r="J52" s="89">
        <f>Data!C31</f>
        <v>174036.97777777762</v>
      </c>
      <c r="K52" s="191">
        <f t="shared" si="5"/>
        <v>174000</v>
      </c>
    </row>
    <row r="53" spans="1:11" ht="17" customHeight="1" x14ac:dyDescent="0.2">
      <c r="A53" s="88"/>
      <c r="B53" s="89">
        <f t="shared" si="3"/>
        <v>35730.590550066205</v>
      </c>
      <c r="C53" s="89">
        <f t="shared" ref="C53:D53" si="18">C52+(C54-C52)/2</f>
        <v>2823.2028287098337</v>
      </c>
      <c r="D53" s="89">
        <f t="shared" si="18"/>
        <v>38553.793378776041</v>
      </c>
      <c r="E53" s="89">
        <v>33800</v>
      </c>
      <c r="F53" s="89"/>
      <c r="G53" s="219"/>
      <c r="H53" s="217"/>
      <c r="I53" s="217"/>
      <c r="J53" s="89"/>
      <c r="K53" s="191">
        <f>K52+1000</f>
        <v>175000</v>
      </c>
    </row>
    <row r="54" spans="1:11" ht="17" customHeight="1" x14ac:dyDescent="0.2">
      <c r="A54" s="88">
        <f>A52+1</f>
        <v>2034</v>
      </c>
      <c r="B54" s="89">
        <f t="shared" si="3"/>
        <v>35937.836551870001</v>
      </c>
      <c r="C54" s="89">
        <f>Data!AC32</f>
        <v>2842.3922733212962</v>
      </c>
      <c r="D54" s="89">
        <f>Data!AD32</f>
        <v>38780.228825191298</v>
      </c>
      <c r="E54" s="89">
        <f>E52+F52</f>
        <v>34000</v>
      </c>
      <c r="F54" s="89"/>
      <c r="G54" s="148"/>
      <c r="H54" s="217">
        <f t="shared" si="0"/>
        <v>-4780.2288251912978</v>
      </c>
      <c r="I54" s="217">
        <f t="shared" si="1"/>
        <v>-1937.8365518700011</v>
      </c>
      <c r="J54" s="89">
        <f>Data!C32</f>
        <v>176160.82222222205</v>
      </c>
      <c r="K54" s="191">
        <f t="shared" si="5"/>
        <v>176000</v>
      </c>
    </row>
    <row r="55" spans="1:11" ht="17" customHeight="1" x14ac:dyDescent="0.2">
      <c r="A55" s="88"/>
      <c r="B55" s="89">
        <f t="shared" si="3"/>
        <v>36145.082553673798</v>
      </c>
      <c r="C55" s="89">
        <f t="shared" ref="C55:D55" si="19">C54+(C56-C54)/2</f>
        <v>2861.5817179327596</v>
      </c>
      <c r="D55" s="89">
        <f t="shared" si="19"/>
        <v>39006.664271606554</v>
      </c>
      <c r="E55" s="89">
        <v>33800</v>
      </c>
      <c r="F55" s="89"/>
      <c r="G55" s="148"/>
      <c r="H55" s="217"/>
      <c r="I55" s="217"/>
      <c r="J55" s="89"/>
      <c r="K55" s="191">
        <f>K54+1000</f>
        <v>177000</v>
      </c>
    </row>
    <row r="56" spans="1:11" ht="17" customHeight="1" x14ac:dyDescent="0.2">
      <c r="A56" s="88">
        <f>A54+1</f>
        <v>2035</v>
      </c>
      <c r="B56" s="89">
        <f t="shared" si="3"/>
        <v>36352.328555477594</v>
      </c>
      <c r="C56" s="89">
        <f>Data!AC33</f>
        <v>2880.7711625442225</v>
      </c>
      <c r="D56" s="89">
        <f>Data!AD33</f>
        <v>39233.099718021818</v>
      </c>
      <c r="E56" s="89">
        <f>E54+F54</f>
        <v>34000</v>
      </c>
      <c r="F56" s="89"/>
      <c r="G56" s="219"/>
      <c r="H56" s="217">
        <f t="shared" si="0"/>
        <v>-5233.0997180218183</v>
      </c>
      <c r="I56" s="217">
        <f t="shared" si="1"/>
        <v>-2352.3285554775939</v>
      </c>
      <c r="J56" s="89">
        <f>Data!C33</f>
        <v>178284.66666666648</v>
      </c>
      <c r="K56" s="191">
        <f t="shared" si="5"/>
        <v>178000</v>
      </c>
    </row>
    <row r="57" spans="1:11" ht="17" customHeight="1" x14ac:dyDescent="0.2">
      <c r="A57" s="88"/>
      <c r="B57" s="89">
        <f t="shared" si="3"/>
        <v>36559.574557281398</v>
      </c>
      <c r="C57" s="89">
        <f t="shared" ref="C57:D57" si="20">C56+(C58-C56)/2</f>
        <v>2899.960607155685</v>
      </c>
      <c r="D57" s="89">
        <f t="shared" si="20"/>
        <v>39459.535164437082</v>
      </c>
      <c r="E57" s="89">
        <v>33800</v>
      </c>
      <c r="F57" s="89"/>
      <c r="G57" s="219"/>
      <c r="H57" s="217"/>
      <c r="I57" s="217"/>
      <c r="J57" s="89"/>
      <c r="K57" s="191">
        <f>K56+1000</f>
        <v>179000</v>
      </c>
    </row>
    <row r="58" spans="1:11" ht="17" customHeight="1" x14ac:dyDescent="0.2">
      <c r="A58" s="88">
        <f>A56+1</f>
        <v>2036</v>
      </c>
      <c r="B58" s="89">
        <f t="shared" si="3"/>
        <v>36766.820559085194</v>
      </c>
      <c r="C58" s="89">
        <f>Data!AC34</f>
        <v>2919.1500517671475</v>
      </c>
      <c r="D58" s="89">
        <f>Data!AD34</f>
        <v>39685.970610852339</v>
      </c>
      <c r="E58" s="89">
        <f>E56+F56</f>
        <v>34000</v>
      </c>
      <c r="F58" s="89"/>
      <c r="G58" s="148"/>
      <c r="H58" s="217">
        <f t="shared" si="0"/>
        <v>-5685.9706108523387</v>
      </c>
      <c r="I58" s="217">
        <f t="shared" si="1"/>
        <v>-2766.820559085194</v>
      </c>
      <c r="J58" s="89">
        <f>Data!C34</f>
        <v>180408.51111111091</v>
      </c>
      <c r="K58" s="191">
        <f t="shared" si="5"/>
        <v>180000</v>
      </c>
    </row>
    <row r="59" spans="1:11" ht="17" customHeight="1" x14ac:dyDescent="0.2">
      <c r="A59" s="88"/>
      <c r="B59" s="89">
        <f t="shared" si="3"/>
        <v>36974.06656088899</v>
      </c>
      <c r="C59" s="89">
        <f t="shared" ref="C59:D59" si="21">C58+(C60-C58)/2</f>
        <v>2938.3394963786104</v>
      </c>
      <c r="D59" s="89">
        <f t="shared" si="21"/>
        <v>39912.406057267603</v>
      </c>
      <c r="E59" s="89">
        <v>33800</v>
      </c>
      <c r="F59" s="89"/>
      <c r="G59" s="148"/>
      <c r="H59" s="217"/>
      <c r="I59" s="217"/>
      <c r="J59" s="89"/>
      <c r="K59" s="191">
        <f>K58+1000</f>
        <v>181000</v>
      </c>
    </row>
    <row r="60" spans="1:11" ht="17" customHeight="1" x14ac:dyDescent="0.2">
      <c r="A60" s="88">
        <f>A58+1</f>
        <v>2037</v>
      </c>
      <c r="B60" s="89">
        <f t="shared" si="3"/>
        <v>37181.312562692794</v>
      </c>
      <c r="C60" s="89">
        <f>Data!AC35</f>
        <v>2957.5289409900734</v>
      </c>
      <c r="D60" s="89">
        <f>Data!AD35</f>
        <v>40138.841503682866</v>
      </c>
      <c r="E60" s="89">
        <f>E58+F58</f>
        <v>34000</v>
      </c>
      <c r="F60" s="89"/>
      <c r="G60" s="219"/>
      <c r="H60" s="217">
        <f t="shared" si="0"/>
        <v>-6138.8415036828665</v>
      </c>
      <c r="I60" s="217">
        <f t="shared" si="1"/>
        <v>-3181.312562692794</v>
      </c>
      <c r="J60" s="89">
        <f>Data!C35</f>
        <v>182532.35555555535</v>
      </c>
      <c r="K60" s="191">
        <f t="shared" si="5"/>
        <v>182000</v>
      </c>
    </row>
    <row r="61" spans="1:11" ht="17" customHeight="1" x14ac:dyDescent="0.2">
      <c r="A61" s="88"/>
      <c r="B61" s="89">
        <f t="shared" si="3"/>
        <v>37388.55856449659</v>
      </c>
      <c r="C61" s="89">
        <f t="shared" ref="C61:D61" si="22">C60+(C62-C60)/2</f>
        <v>2976.7183856015363</v>
      </c>
      <c r="D61" s="89">
        <f t="shared" si="22"/>
        <v>40365.276950098123</v>
      </c>
      <c r="E61" s="89">
        <v>33800</v>
      </c>
      <c r="F61" s="89"/>
      <c r="G61" s="219"/>
      <c r="H61" s="217"/>
      <c r="I61" s="217"/>
      <c r="J61" s="89"/>
      <c r="K61" s="191">
        <f>K60+1000</f>
        <v>183000</v>
      </c>
    </row>
    <row r="62" spans="1:11" ht="17" customHeight="1" x14ac:dyDescent="0.2">
      <c r="A62" s="88">
        <f>A60+1</f>
        <v>2038</v>
      </c>
      <c r="B62" s="89">
        <f t="shared" si="3"/>
        <v>37595.804566300387</v>
      </c>
      <c r="C62" s="89">
        <f>Data!AC36</f>
        <v>2995.9078302129988</v>
      </c>
      <c r="D62" s="89">
        <f>Data!AD36</f>
        <v>40591.712396513387</v>
      </c>
      <c r="E62" s="89">
        <f>E60+F60</f>
        <v>34000</v>
      </c>
      <c r="F62" s="89"/>
      <c r="G62" s="148"/>
      <c r="H62" s="217">
        <f t="shared" si="0"/>
        <v>-6591.7123965133869</v>
      </c>
      <c r="I62" s="217">
        <f t="shared" si="1"/>
        <v>-3595.8045663003868</v>
      </c>
      <c r="J62" s="89">
        <f>Data!C36</f>
        <v>184656.19999999978</v>
      </c>
      <c r="K62" s="191">
        <f t="shared" si="5"/>
        <v>184000</v>
      </c>
    </row>
    <row r="63" spans="1:11" ht="17" customHeight="1" x14ac:dyDescent="0.2">
      <c r="A63" s="88"/>
      <c r="B63" s="89">
        <f t="shared" si="3"/>
        <v>37803.05056810419</v>
      </c>
      <c r="C63" s="89">
        <f t="shared" ref="C63:D63" si="23">C62+(C64-C62)/2</f>
        <v>3015.0972748244617</v>
      </c>
      <c r="D63" s="89">
        <f t="shared" si="23"/>
        <v>40818.147842928651</v>
      </c>
      <c r="E63" s="89">
        <v>33800</v>
      </c>
      <c r="F63" s="89"/>
      <c r="G63" s="148"/>
      <c r="H63" s="217"/>
      <c r="I63" s="217"/>
      <c r="J63" s="89"/>
      <c r="K63" s="191">
        <f>K62+1000</f>
        <v>185000</v>
      </c>
    </row>
    <row r="64" spans="1:11" ht="17" customHeight="1" x14ac:dyDescent="0.2">
      <c r="A64" s="88">
        <f>A62+1</f>
        <v>2039</v>
      </c>
      <c r="B64" s="89">
        <f t="shared" si="3"/>
        <v>38010.29656990798</v>
      </c>
      <c r="C64" s="89">
        <f>Data!AC37</f>
        <v>3034.2867194359246</v>
      </c>
      <c r="D64" s="89">
        <f>Data!AD37</f>
        <v>41044.583289343907</v>
      </c>
      <c r="E64" s="89">
        <f>E62+F62</f>
        <v>34000</v>
      </c>
      <c r="F64" s="89"/>
      <c r="G64" s="219"/>
      <c r="H64" s="217">
        <f t="shared" si="0"/>
        <v>-7044.5832893439074</v>
      </c>
      <c r="I64" s="217">
        <f t="shared" si="1"/>
        <v>-4010.2965699079796</v>
      </c>
      <c r="J64" s="89">
        <f>Data!C37</f>
        <v>186780.04444444421</v>
      </c>
      <c r="K64" s="191">
        <f t="shared" si="5"/>
        <v>186000</v>
      </c>
    </row>
    <row r="65" spans="1:11" ht="17" customHeight="1" x14ac:dyDescent="0.2">
      <c r="A65" s="88"/>
      <c r="B65" s="89">
        <f t="shared" si="3"/>
        <v>38217.542571711776</v>
      </c>
      <c r="C65" s="89">
        <f t="shared" ref="C65:D65" si="24">C64+(C66-C64)/2</f>
        <v>3053.4761640473871</v>
      </c>
      <c r="D65" s="89">
        <f t="shared" si="24"/>
        <v>41271.018735759164</v>
      </c>
      <c r="E65" s="89">
        <v>33800</v>
      </c>
      <c r="F65" s="89"/>
      <c r="G65" s="219"/>
      <c r="H65" s="217"/>
      <c r="I65" s="217"/>
      <c r="J65" s="89"/>
      <c r="K65" s="191">
        <f>K64+1000</f>
        <v>187000</v>
      </c>
    </row>
    <row r="66" spans="1:11" ht="17" customHeight="1" x14ac:dyDescent="0.2">
      <c r="A66" s="88">
        <f>A64+1</f>
        <v>2040</v>
      </c>
      <c r="B66" s="89">
        <f t="shared" si="3"/>
        <v>38424.78857351558</v>
      </c>
      <c r="C66" s="89">
        <f>Data!AC38</f>
        <v>3072.66560865885</v>
      </c>
      <c r="D66" s="89">
        <f>Data!AD38</f>
        <v>41497.454182174428</v>
      </c>
      <c r="E66" s="89">
        <f>E64+F64</f>
        <v>34000</v>
      </c>
      <c r="F66" s="89"/>
      <c r="G66" s="148" t="s">
        <v>100</v>
      </c>
      <c r="H66" s="217">
        <f t="shared" si="0"/>
        <v>-7497.4541821744278</v>
      </c>
      <c r="I66" s="217">
        <f t="shared" si="1"/>
        <v>-4424.7885735155796</v>
      </c>
      <c r="J66" s="89">
        <f>Data!C38</f>
        <v>188903.88888888864</v>
      </c>
      <c r="K66" s="191">
        <f t="shared" si="5"/>
        <v>188000</v>
      </c>
    </row>
    <row r="67" spans="1:11" ht="17" customHeight="1" x14ac:dyDescent="0.2">
      <c r="A67" s="88"/>
      <c r="B67" s="89">
        <f t="shared" si="3"/>
        <v>38632.034575319376</v>
      </c>
      <c r="C67" s="89">
        <f t="shared" ref="C67:D67" si="25">C66+(C68-C66)/2</f>
        <v>3091.855053270313</v>
      </c>
      <c r="D67" s="89">
        <f t="shared" si="25"/>
        <v>41723.889628589692</v>
      </c>
      <c r="E67" s="89">
        <v>33800</v>
      </c>
      <c r="F67" s="89"/>
      <c r="G67" s="148"/>
      <c r="H67" s="217"/>
      <c r="I67" s="217"/>
      <c r="J67" s="89"/>
      <c r="K67" s="191">
        <f>K66+1000</f>
        <v>189000</v>
      </c>
    </row>
    <row r="68" spans="1:11" ht="17" customHeight="1" x14ac:dyDescent="0.2">
      <c r="A68" s="88">
        <f>A66+1</f>
        <v>2041</v>
      </c>
      <c r="B68" s="89">
        <f t="shared" si="3"/>
        <v>38839.28057712318</v>
      </c>
      <c r="C68" s="89">
        <f>Data!AC39</f>
        <v>3111.0444978817759</v>
      </c>
      <c r="D68" s="89">
        <f>Data!AD39</f>
        <v>41950.325075004956</v>
      </c>
      <c r="E68" s="89">
        <f>E66+F66</f>
        <v>34000</v>
      </c>
      <c r="F68" s="89"/>
      <c r="G68" s="219"/>
      <c r="H68" s="217">
        <f t="shared" si="0"/>
        <v>-7950.3250750049556</v>
      </c>
      <c r="I68" s="217">
        <f t="shared" si="1"/>
        <v>-4839.2805771231797</v>
      </c>
      <c r="J68" s="89">
        <f>Data!C39</f>
        <v>191027.73333333308</v>
      </c>
      <c r="K68" s="191">
        <f t="shared" si="5"/>
        <v>191000</v>
      </c>
    </row>
    <row r="69" spans="1:11" ht="17" customHeight="1" x14ac:dyDescent="0.2">
      <c r="A69" s="88"/>
      <c r="B69" s="89">
        <f t="shared" si="3"/>
        <v>39046.526578926983</v>
      </c>
      <c r="C69" s="89">
        <f t="shared" ref="C69:D69" si="26">C68+(C70-C68)/2</f>
        <v>3130.2339424932388</v>
      </c>
      <c r="D69" s="89">
        <f t="shared" si="26"/>
        <v>42176.760521420219</v>
      </c>
      <c r="E69" s="89">
        <v>33800</v>
      </c>
      <c r="F69" s="89"/>
      <c r="G69" s="219"/>
      <c r="H69" s="217"/>
      <c r="I69" s="217"/>
      <c r="J69" s="89"/>
      <c r="K69" s="191">
        <f>K68+1000</f>
        <v>192000</v>
      </c>
    </row>
    <row r="70" spans="1:11" ht="17" customHeight="1" x14ac:dyDescent="0.2">
      <c r="A70" s="88">
        <f>A68+1</f>
        <v>2042</v>
      </c>
      <c r="B70" s="89">
        <f t="shared" si="3"/>
        <v>39253.772580730772</v>
      </c>
      <c r="C70" s="89">
        <f>Data!AC40</f>
        <v>3149.4233871047013</v>
      </c>
      <c r="D70" s="89">
        <f>Data!AD40</f>
        <v>42403.195967835476</v>
      </c>
      <c r="E70" s="89">
        <f>E68+F68</f>
        <v>34000</v>
      </c>
      <c r="F70" s="89"/>
      <c r="G70" s="148"/>
      <c r="H70" s="217">
        <f t="shared" si="0"/>
        <v>-8403.195967835476</v>
      </c>
      <c r="I70" s="217">
        <f t="shared" si="1"/>
        <v>-5253.7725807307725</v>
      </c>
      <c r="J70" s="89">
        <f>Data!C40</f>
        <v>193151.57777777751</v>
      </c>
      <c r="K70" s="191">
        <f t="shared" si="5"/>
        <v>193000</v>
      </c>
    </row>
    <row r="71" spans="1:11" ht="17" customHeight="1" x14ac:dyDescent="0.2">
      <c r="A71" s="88"/>
      <c r="B71" s="89">
        <f t="shared" si="3"/>
        <v>39461.018582534576</v>
      </c>
      <c r="C71" s="89">
        <f t="shared" ref="C71:D71" si="27">C70+(C72-C70)/2</f>
        <v>3168.6128317161647</v>
      </c>
      <c r="D71" s="89">
        <f t="shared" si="27"/>
        <v>42629.63141425074</v>
      </c>
      <c r="E71" s="89">
        <v>33800</v>
      </c>
      <c r="F71" s="89"/>
      <c r="G71" s="148"/>
      <c r="H71" s="217"/>
      <c r="I71" s="217"/>
      <c r="J71" s="89"/>
      <c r="K71" s="191">
        <f>K70+1000</f>
        <v>194000</v>
      </c>
    </row>
    <row r="72" spans="1:11" ht="17" customHeight="1" x14ac:dyDescent="0.2">
      <c r="A72" s="88">
        <f>A70+1</f>
        <v>2043</v>
      </c>
      <c r="B72" s="89">
        <f t="shared" si="3"/>
        <v>39668.26458433838</v>
      </c>
      <c r="C72" s="89">
        <f>Data!AC41</f>
        <v>3187.8022763276276</v>
      </c>
      <c r="D72" s="89">
        <f>Data!AD41</f>
        <v>42856.066860666004</v>
      </c>
      <c r="E72" s="89">
        <f>E70+F70</f>
        <v>34000</v>
      </c>
      <c r="F72" s="89"/>
      <c r="G72" s="219"/>
      <c r="H72" s="217">
        <f t="shared" si="0"/>
        <v>-8856.0668606660038</v>
      </c>
      <c r="I72" s="217">
        <f t="shared" si="1"/>
        <v>-5668.2645843383798</v>
      </c>
      <c r="J72" s="89">
        <f>Data!C41</f>
        <v>195275.42222222194</v>
      </c>
      <c r="K72" s="191">
        <f t="shared" si="5"/>
        <v>195000</v>
      </c>
    </row>
    <row r="73" spans="1:11" ht="17" customHeight="1" x14ac:dyDescent="0.2">
      <c r="A73" s="88">
        <f>A72+1</f>
        <v>2044</v>
      </c>
      <c r="B73" s="89">
        <f t="shared" si="3"/>
        <v>40082.756587945973</v>
      </c>
      <c r="C73" s="89">
        <f>Data!AC42</f>
        <v>3226.1811655505535</v>
      </c>
      <c r="D73" s="89">
        <f>Data!AD42</f>
        <v>43308.937753496524</v>
      </c>
      <c r="E73" s="89">
        <f>E72+F72</f>
        <v>34000</v>
      </c>
      <c r="F73" s="89"/>
      <c r="G73" s="148"/>
      <c r="H73" s="217">
        <f t="shared" si="0"/>
        <v>-9308.9377534965242</v>
      </c>
      <c r="I73" s="217">
        <f t="shared" si="1"/>
        <v>-6082.7565879459726</v>
      </c>
      <c r="J73" s="89">
        <f>Data!C42</f>
        <v>197399.26666666637</v>
      </c>
      <c r="K73" s="191">
        <f t="shared" si="5"/>
        <v>197000</v>
      </c>
    </row>
    <row r="74" spans="1:11" ht="17" customHeight="1" x14ac:dyDescent="0.2">
      <c r="A74" s="88"/>
      <c r="B74" s="89">
        <f t="shared" si="3"/>
        <v>40290.002589749769</v>
      </c>
      <c r="C74" s="89">
        <f t="shared" ref="C74:D74" si="28">C73+(C75-C73)/2</f>
        <v>3245.3706101620164</v>
      </c>
      <c r="D74" s="89">
        <f t="shared" si="28"/>
        <v>43535.373199911788</v>
      </c>
      <c r="E74" s="89">
        <v>33800</v>
      </c>
      <c r="F74" s="89"/>
      <c r="G74" s="148"/>
      <c r="H74" s="217"/>
      <c r="I74" s="217"/>
      <c r="J74" s="89"/>
      <c r="K74" s="191">
        <f>K73+1000</f>
        <v>198000</v>
      </c>
    </row>
    <row r="75" spans="1:11" ht="17" customHeight="1" x14ac:dyDescent="0.2">
      <c r="A75" s="88">
        <f>A73+1</f>
        <v>2045</v>
      </c>
      <c r="B75" s="89">
        <f t="shared" si="3"/>
        <v>40497.248591553565</v>
      </c>
      <c r="C75" s="89">
        <f>Data!AC43</f>
        <v>3264.5600547734789</v>
      </c>
      <c r="D75" s="89">
        <f>Data!AD43</f>
        <v>43761.808646327045</v>
      </c>
      <c r="E75" s="89">
        <f>E73+F73</f>
        <v>34000</v>
      </c>
      <c r="F75" s="89"/>
      <c r="G75" s="219"/>
      <c r="H75" s="217">
        <f t="shared" si="0"/>
        <v>-9761.8086463270447</v>
      </c>
      <c r="I75" s="217">
        <f t="shared" si="1"/>
        <v>-6497.2485915535653</v>
      </c>
      <c r="J75" s="89">
        <f>Data!C43</f>
        <v>199523.1111111108</v>
      </c>
      <c r="K75" s="191">
        <f t="shared" si="5"/>
        <v>199000</v>
      </c>
    </row>
    <row r="76" spans="1:11" ht="17" customHeight="1" x14ac:dyDescent="0.2">
      <c r="A76" s="88"/>
      <c r="B76" s="89">
        <f t="shared" si="3"/>
        <v>40704.494593357362</v>
      </c>
      <c r="C76" s="89">
        <f t="shared" ref="C76:D76" si="29">C75+(C77-C75)/2</f>
        <v>3283.7494993849414</v>
      </c>
      <c r="D76" s="89">
        <f t="shared" si="29"/>
        <v>43988.244092742301</v>
      </c>
      <c r="E76" s="89">
        <v>33800</v>
      </c>
      <c r="F76" s="89"/>
      <c r="G76" s="219"/>
      <c r="H76" s="217"/>
      <c r="I76" s="217"/>
      <c r="J76" s="89"/>
      <c r="K76" s="191">
        <f>K75+1000</f>
        <v>200000</v>
      </c>
    </row>
    <row r="77" spans="1:11" ht="17" customHeight="1" x14ac:dyDescent="0.2">
      <c r="A77" s="88">
        <f>A75+1</f>
        <v>2046</v>
      </c>
      <c r="B77" s="89">
        <f t="shared" si="3"/>
        <v>40911.740595161158</v>
      </c>
      <c r="C77" s="89">
        <f>Data!AC44</f>
        <v>3302.9389439964043</v>
      </c>
      <c r="D77" s="89">
        <f>Data!AD44</f>
        <v>44214.679539157565</v>
      </c>
      <c r="E77" s="89">
        <f>E75+F75</f>
        <v>34000</v>
      </c>
      <c r="F77" s="89"/>
      <c r="G77" s="148"/>
      <c r="H77" s="217">
        <f t="shared" si="0"/>
        <v>-10214.679539157565</v>
      </c>
      <c r="I77" s="217">
        <f t="shared" si="1"/>
        <v>-6911.7405951611581</v>
      </c>
      <c r="J77" s="89">
        <f>Data!C44</f>
        <v>201646.95555555524</v>
      </c>
      <c r="K77" s="191">
        <f t="shared" si="5"/>
        <v>201000</v>
      </c>
    </row>
    <row r="78" spans="1:11" ht="17" customHeight="1" x14ac:dyDescent="0.2">
      <c r="A78" s="88"/>
      <c r="B78" s="89">
        <f t="shared" si="3"/>
        <v>41118.986596964962</v>
      </c>
      <c r="C78" s="89">
        <f t="shared" ref="C78:D78" si="30">C77+(C79-C77)/2</f>
        <v>3322.1283886078672</v>
      </c>
      <c r="D78" s="89">
        <f t="shared" si="30"/>
        <v>44441.114985572829</v>
      </c>
      <c r="E78" s="89">
        <v>33800</v>
      </c>
      <c r="F78" s="89"/>
      <c r="G78" s="148"/>
      <c r="H78" s="217"/>
      <c r="I78" s="217"/>
      <c r="J78" s="89"/>
      <c r="K78" s="191">
        <f>K77+1000</f>
        <v>202000</v>
      </c>
    </row>
    <row r="79" spans="1:11" ht="17" customHeight="1" x14ac:dyDescent="0.2">
      <c r="A79" s="88">
        <f>A77+1</f>
        <v>2047</v>
      </c>
      <c r="B79" s="89">
        <f t="shared" si="3"/>
        <v>41326.232598768765</v>
      </c>
      <c r="C79" s="89">
        <f>Data!AC45</f>
        <v>3341.3178332193306</v>
      </c>
      <c r="D79" s="89">
        <f>Data!AD45</f>
        <v>44667.550431988093</v>
      </c>
      <c r="E79" s="89">
        <f>E77+F77</f>
        <v>34000</v>
      </c>
      <c r="F79" s="89"/>
      <c r="G79" s="219"/>
      <c r="H79" s="217">
        <f t="shared" si="0"/>
        <v>-10667.550431988093</v>
      </c>
      <c r="I79" s="217">
        <f t="shared" si="1"/>
        <v>-7326.2325987687655</v>
      </c>
      <c r="J79" s="89">
        <f>Data!C45</f>
        <v>203770.79999999967</v>
      </c>
      <c r="K79" s="191">
        <f t="shared" si="5"/>
        <v>203000</v>
      </c>
    </row>
    <row r="80" spans="1:11" ht="17" customHeight="1" x14ac:dyDescent="0.2">
      <c r="A80" s="88"/>
      <c r="B80" s="89">
        <f t="shared" si="3"/>
        <v>41533.478600572562</v>
      </c>
      <c r="C80" s="89">
        <f t="shared" ref="C80:D80" si="31">C79+(C81-C79)/2</f>
        <v>3360.5072778307931</v>
      </c>
      <c r="D80" s="89">
        <f t="shared" si="31"/>
        <v>44893.985878403357</v>
      </c>
      <c r="E80" s="89">
        <v>33800</v>
      </c>
      <c r="F80" s="89"/>
      <c r="G80" s="219"/>
      <c r="H80" s="217"/>
      <c r="I80" s="217"/>
      <c r="J80" s="89"/>
      <c r="K80" s="191">
        <f>K79+1000</f>
        <v>204000</v>
      </c>
    </row>
    <row r="81" spans="1:11" ht="17" customHeight="1" x14ac:dyDescent="0.2">
      <c r="A81" s="88">
        <f>A79+1</f>
        <v>2048</v>
      </c>
      <c r="B81" s="89">
        <f t="shared" si="3"/>
        <v>41740.724602376358</v>
      </c>
      <c r="C81" s="89">
        <f>Data!AC46</f>
        <v>3379.6967224422551</v>
      </c>
      <c r="D81" s="89">
        <f>Data!AD46</f>
        <v>45120.421324818613</v>
      </c>
      <c r="E81" s="89">
        <f>E79+F79</f>
        <v>34000</v>
      </c>
      <c r="F81" s="89"/>
      <c r="G81" s="148"/>
      <c r="H81" s="217">
        <f t="shared" si="0"/>
        <v>-11120.421324818613</v>
      </c>
      <c r="I81" s="217">
        <f t="shared" si="1"/>
        <v>-7740.7246023763582</v>
      </c>
      <c r="J81" s="89">
        <f>Data!C46</f>
        <v>205894.6444444441</v>
      </c>
      <c r="K81" s="191">
        <f t="shared" si="5"/>
        <v>205000</v>
      </c>
    </row>
    <row r="82" spans="1:11" ht="17" customHeight="1" x14ac:dyDescent="0.2">
      <c r="A82" s="88"/>
      <c r="B82" s="89">
        <f t="shared" si="3"/>
        <v>41947.970604180155</v>
      </c>
      <c r="C82" s="89">
        <f t="shared" ref="C82:D82" si="32">C81+(C83-C81)/2</f>
        <v>3398.8861670537181</v>
      </c>
      <c r="D82" s="89">
        <f t="shared" si="32"/>
        <v>45346.85677123387</v>
      </c>
      <c r="E82" s="89">
        <v>33800</v>
      </c>
      <c r="F82" s="89"/>
      <c r="G82" s="148"/>
      <c r="H82" s="217"/>
      <c r="I82" s="217"/>
      <c r="J82" s="89"/>
      <c r="K82" s="191">
        <f>K81+1000</f>
        <v>206000</v>
      </c>
    </row>
    <row r="83" spans="1:11" ht="17" customHeight="1" x14ac:dyDescent="0.2">
      <c r="A83" s="88">
        <f>A81+1</f>
        <v>2049</v>
      </c>
      <c r="B83" s="89">
        <f t="shared" si="3"/>
        <v>42155.216605983951</v>
      </c>
      <c r="C83" s="89">
        <f>Data!AC47</f>
        <v>3418.0756116651814</v>
      </c>
      <c r="D83" s="89">
        <f>Data!AD47</f>
        <v>45573.292217649134</v>
      </c>
      <c r="E83" s="89">
        <f>E81+F81</f>
        <v>34000</v>
      </c>
      <c r="F83" s="89"/>
      <c r="G83" s="219"/>
      <c r="H83" s="217">
        <f t="shared" si="0"/>
        <v>-11573.292217649134</v>
      </c>
      <c r="I83" s="217">
        <f t="shared" si="1"/>
        <v>-8155.216605983951</v>
      </c>
      <c r="J83" s="89">
        <f>Data!C47</f>
        <v>208018.48888888853</v>
      </c>
      <c r="K83" s="191">
        <f t="shared" si="5"/>
        <v>208000</v>
      </c>
    </row>
    <row r="84" spans="1:11" ht="17" customHeight="1" x14ac:dyDescent="0.2">
      <c r="A84" s="88"/>
      <c r="B84" s="89">
        <f t="shared" si="3"/>
        <v>42362.462607787755</v>
      </c>
      <c r="C84" s="89">
        <f t="shared" ref="C84:D84" si="33">C83+(C85-C83)/2</f>
        <v>3437.2650562766439</v>
      </c>
      <c r="D84" s="89">
        <f t="shared" si="33"/>
        <v>45799.727664064398</v>
      </c>
      <c r="E84" s="89">
        <v>33800</v>
      </c>
      <c r="F84" s="89"/>
      <c r="G84" s="219"/>
      <c r="H84" s="217"/>
      <c r="I84" s="217"/>
      <c r="J84" s="89"/>
      <c r="K84" s="191">
        <f>K83+1000</f>
        <v>209000</v>
      </c>
    </row>
    <row r="85" spans="1:11" ht="17" customHeight="1" x14ac:dyDescent="0.2">
      <c r="A85" s="88">
        <f>A83+1</f>
        <v>2050</v>
      </c>
      <c r="B85" s="89">
        <f t="shared" si="3"/>
        <v>42569.708609591558</v>
      </c>
      <c r="C85" s="89">
        <f>Data!AC48</f>
        <v>3456.4545008881068</v>
      </c>
      <c r="D85" s="89">
        <f>Data!AD48</f>
        <v>46026.163110479669</v>
      </c>
      <c r="E85" s="89">
        <f>E83+F83</f>
        <v>34000</v>
      </c>
      <c r="F85" s="89"/>
      <c r="G85" s="148"/>
      <c r="H85" s="217">
        <f t="shared" si="0"/>
        <v>-12026.163110479669</v>
      </c>
      <c r="I85" s="217">
        <f t="shared" si="1"/>
        <v>-8569.7086095915583</v>
      </c>
      <c r="J85" s="89">
        <f>Data!C48</f>
        <v>210142.33333333296</v>
      </c>
      <c r="K85" s="191">
        <f t="shared" si="5"/>
        <v>210000</v>
      </c>
    </row>
    <row r="86" spans="1:11" ht="17" customHeight="1" x14ac:dyDescent="0.2">
      <c r="A86" s="88"/>
      <c r="B86" s="89">
        <f t="shared" si="3"/>
        <v>42776.954611395355</v>
      </c>
      <c r="C86" s="89">
        <f t="shared" ref="C86:D86" si="34">C85+(C87-C85)/2</f>
        <v>3475.6439454995698</v>
      </c>
      <c r="D86" s="89">
        <f t="shared" si="34"/>
        <v>46252.598556894925</v>
      </c>
      <c r="E86" s="89">
        <v>33800</v>
      </c>
      <c r="F86" s="89"/>
      <c r="G86" s="148"/>
      <c r="H86" s="217"/>
      <c r="I86" s="217"/>
      <c r="J86" s="89"/>
      <c r="K86" s="191">
        <f>K85+1000</f>
        <v>211000</v>
      </c>
    </row>
    <row r="87" spans="1:11" ht="17" customHeight="1" x14ac:dyDescent="0.2">
      <c r="A87" s="88">
        <f>A85+1</f>
        <v>2051</v>
      </c>
      <c r="B87" s="89">
        <f t="shared" si="3"/>
        <v>42984.200613199151</v>
      </c>
      <c r="C87" s="89">
        <f>Data!AC49</f>
        <v>3494.8333901110327</v>
      </c>
      <c r="D87" s="89">
        <f>Data!AD49</f>
        <v>46479.034003310182</v>
      </c>
      <c r="E87" s="89">
        <f>E85+F85</f>
        <v>34000</v>
      </c>
      <c r="F87" s="89"/>
      <c r="G87" s="219"/>
      <c r="H87" s="217">
        <f t="shared" si="0"/>
        <v>-12479.034003310182</v>
      </c>
      <c r="I87" s="217">
        <f t="shared" si="1"/>
        <v>-8984.2006131991511</v>
      </c>
      <c r="J87" s="89">
        <f>Data!C49</f>
        <v>212266.1777777774</v>
      </c>
      <c r="K87" s="191">
        <f t="shared" si="5"/>
        <v>212000</v>
      </c>
    </row>
    <row r="88" spans="1:11" ht="17" customHeight="1" x14ac:dyDescent="0.2">
      <c r="A88" s="88"/>
      <c r="B88" s="89">
        <f t="shared" si="3"/>
        <v>43191.44661500294</v>
      </c>
      <c r="C88" s="89">
        <f t="shared" ref="C88:D88" si="35">C87+(C89-C87)/2</f>
        <v>3514.0228347224956</v>
      </c>
      <c r="D88" s="89">
        <f t="shared" si="35"/>
        <v>46705.469449725439</v>
      </c>
      <c r="E88" s="89">
        <v>33800</v>
      </c>
      <c r="F88" s="89"/>
      <c r="G88" s="219"/>
      <c r="H88" s="217"/>
      <c r="I88" s="217"/>
      <c r="J88" s="89"/>
      <c r="K88" s="191">
        <f>K87+1000</f>
        <v>213000</v>
      </c>
    </row>
    <row r="89" spans="1:11" ht="17" customHeight="1" x14ac:dyDescent="0.2">
      <c r="A89" s="88">
        <f>A87+1</f>
        <v>2052</v>
      </c>
      <c r="B89" s="89">
        <f t="shared" si="3"/>
        <v>43398.692616806744</v>
      </c>
      <c r="C89" s="89">
        <f>Data!AC50</f>
        <v>3533.2122793339581</v>
      </c>
      <c r="D89" s="89">
        <f>Data!AD50</f>
        <v>46931.904896140702</v>
      </c>
      <c r="E89" s="89">
        <f>E87+F87</f>
        <v>34000</v>
      </c>
      <c r="F89" s="89"/>
      <c r="G89" s="148"/>
      <c r="H89" s="217">
        <f t="shared" si="0"/>
        <v>-12931.904896140702</v>
      </c>
      <c r="I89" s="217">
        <f t="shared" si="1"/>
        <v>-9398.6926168067439</v>
      </c>
      <c r="J89" s="89">
        <f>Data!C50</f>
        <v>214390.02222222183</v>
      </c>
      <c r="K89" s="191">
        <f t="shared" si="5"/>
        <v>214000</v>
      </c>
    </row>
    <row r="90" spans="1:11" ht="17" customHeight="1" x14ac:dyDescent="0.2">
      <c r="A90" s="88"/>
      <c r="B90" s="89">
        <f t="shared" si="3"/>
        <v>43605.938618610548</v>
      </c>
      <c r="C90" s="89">
        <f t="shared" ref="C90:D90" si="36">C89+(C91-C89)/2</f>
        <v>3552.4017239454206</v>
      </c>
      <c r="D90" s="89">
        <f t="shared" si="36"/>
        <v>47158.340342555966</v>
      </c>
      <c r="E90" s="89">
        <v>33800</v>
      </c>
      <c r="F90" s="89"/>
      <c r="G90" s="148"/>
      <c r="H90" s="217"/>
      <c r="I90" s="217"/>
      <c r="J90" s="89"/>
      <c r="K90" s="191">
        <f>K89+1000</f>
        <v>215000</v>
      </c>
    </row>
    <row r="91" spans="1:11" ht="17" customHeight="1" x14ac:dyDescent="0.2">
      <c r="A91" s="88">
        <f>A89+1</f>
        <v>2053</v>
      </c>
      <c r="B91" s="89">
        <f t="shared" si="3"/>
        <v>43813.184620414344</v>
      </c>
      <c r="C91" s="89">
        <f>Data!AC51</f>
        <v>3571.5911685568835</v>
      </c>
      <c r="D91" s="89">
        <f>Data!AD51</f>
        <v>47384.77578897123</v>
      </c>
      <c r="E91" s="89">
        <f>E89+F89</f>
        <v>34000</v>
      </c>
      <c r="F91" s="89"/>
      <c r="G91" s="219"/>
      <c r="H91" s="217">
        <f t="shared" si="0"/>
        <v>-13384.77578897123</v>
      </c>
      <c r="I91" s="217">
        <f t="shared" si="1"/>
        <v>-9813.184620414344</v>
      </c>
      <c r="J91" s="89">
        <f>Data!C51</f>
        <v>216513.86666666626</v>
      </c>
      <c r="K91" s="191">
        <f t="shared" si="5"/>
        <v>216000</v>
      </c>
    </row>
    <row r="92" spans="1:11" ht="17" customHeight="1" x14ac:dyDescent="0.2">
      <c r="A92" s="88"/>
      <c r="B92" s="89">
        <f t="shared" si="3"/>
        <v>44020.430622218148</v>
      </c>
      <c r="C92" s="89">
        <f t="shared" ref="C92:D92" si="37">C91+(C93-C91)/2</f>
        <v>3590.7806131683465</v>
      </c>
      <c r="D92" s="89">
        <f t="shared" si="37"/>
        <v>47611.211235386494</v>
      </c>
      <c r="E92" s="89">
        <v>33800</v>
      </c>
      <c r="F92" s="89"/>
      <c r="G92" s="219"/>
      <c r="H92" s="217"/>
      <c r="I92" s="217"/>
      <c r="J92" s="89"/>
      <c r="K92" s="191">
        <f>K91+1000</f>
        <v>217000</v>
      </c>
    </row>
    <row r="93" spans="1:11" ht="17" customHeight="1" x14ac:dyDescent="0.2">
      <c r="A93" s="88">
        <f>A91+1</f>
        <v>2054</v>
      </c>
      <c r="B93" s="89">
        <f t="shared" si="3"/>
        <v>44227.676624021944</v>
      </c>
      <c r="C93" s="89">
        <f>Data!AC52</f>
        <v>3609.9700577798098</v>
      </c>
      <c r="D93" s="89">
        <f>Data!AD52</f>
        <v>47837.646681801751</v>
      </c>
      <c r="E93" s="89">
        <f>E91+F91</f>
        <v>34000</v>
      </c>
      <c r="F93" s="89"/>
      <c r="G93" s="148"/>
      <c r="H93" s="217">
        <f t="shared" si="0"/>
        <v>-13837.646681801751</v>
      </c>
      <c r="I93" s="217">
        <f t="shared" si="1"/>
        <v>-10227.676624021944</v>
      </c>
      <c r="J93" s="89">
        <f>Data!C52</f>
        <v>218637.71111111069</v>
      </c>
      <c r="K93" s="191">
        <f t="shared" si="5"/>
        <v>218000</v>
      </c>
    </row>
    <row r="94" spans="1:11" ht="17" customHeight="1" x14ac:dyDescent="0.2">
      <c r="A94" s="88"/>
      <c r="B94" s="89">
        <f t="shared" si="3"/>
        <v>44466.329194157188</v>
      </c>
      <c r="C94" s="89">
        <f t="shared" ref="C94:D94" si="38">C93+(C95-C93)/2</f>
        <v>3632.067517977518</v>
      </c>
      <c r="D94" s="89">
        <f t="shared" si="38"/>
        <v>48098.396712134709</v>
      </c>
      <c r="E94" s="89">
        <v>33800</v>
      </c>
      <c r="F94" s="89"/>
      <c r="G94" s="148"/>
      <c r="H94" s="217"/>
      <c r="I94" s="217"/>
      <c r="J94" s="89"/>
      <c r="K94" s="191">
        <f>K93+1000</f>
        <v>219000</v>
      </c>
    </row>
    <row r="95" spans="1:11" ht="17" customHeight="1" x14ac:dyDescent="0.2">
      <c r="A95" s="88">
        <f>A93+1</f>
        <v>2055</v>
      </c>
      <c r="B95" s="89">
        <f t="shared" si="3"/>
        <v>44704.981764292446</v>
      </c>
      <c r="C95" s="89">
        <f>Data!AC53</f>
        <v>3654.1649781752262</v>
      </c>
      <c r="D95" s="89">
        <f>Data!AD53</f>
        <v>48359.146742467674</v>
      </c>
      <c r="E95" s="89">
        <f>E93+F93</f>
        <v>34000</v>
      </c>
      <c r="F95" s="89"/>
      <c r="G95" s="219"/>
      <c r="H95" s="217">
        <f t="shared" si="0"/>
        <v>-14359.146742467674</v>
      </c>
      <c r="I95" s="217">
        <f t="shared" si="1"/>
        <v>-10704.981764292446</v>
      </c>
      <c r="J95" s="89">
        <f>Data!C53</f>
        <v>220761.55555555513</v>
      </c>
      <c r="K95" s="191">
        <f t="shared" si="5"/>
        <v>220000</v>
      </c>
    </row>
    <row r="96" spans="1:11" ht="17" customHeight="1" x14ac:dyDescent="0.2">
      <c r="A96" s="88"/>
      <c r="B96" s="89">
        <f t="shared" si="3"/>
        <v>44829.079749838078</v>
      </c>
      <c r="C96" s="89">
        <f t="shared" ref="C96:D96" si="39">C95+(C97-C95)/2</f>
        <v>3665.655532392414</v>
      </c>
      <c r="D96" s="89">
        <f t="shared" si="39"/>
        <v>48494.735282230489</v>
      </c>
      <c r="E96" s="89">
        <v>33800</v>
      </c>
      <c r="F96" s="89"/>
      <c r="G96" s="219"/>
      <c r="H96" s="217"/>
      <c r="I96" s="217"/>
      <c r="J96" s="89"/>
      <c r="K96" s="191">
        <f>K95+1000</f>
        <v>221000</v>
      </c>
    </row>
    <row r="97" spans="1:11" ht="17" customHeight="1" x14ac:dyDescent="0.2">
      <c r="A97" s="88">
        <f>A95+1</f>
        <v>2056</v>
      </c>
      <c r="B97" s="89">
        <f t="shared" si="3"/>
        <v>44953.177735383702</v>
      </c>
      <c r="C97" s="89">
        <f>Data!AC54</f>
        <v>3677.1460866096022</v>
      </c>
      <c r="D97" s="89">
        <f>Data!AD54</f>
        <v>48630.323821993305</v>
      </c>
      <c r="E97" s="89">
        <f>E95+F95</f>
        <v>34000</v>
      </c>
      <c r="F97" s="89"/>
      <c r="G97" s="148"/>
      <c r="H97" s="217">
        <f t="shared" si="0"/>
        <v>-14630.323821993305</v>
      </c>
      <c r="I97" s="217">
        <f t="shared" si="1"/>
        <v>-10953.177735383702</v>
      </c>
      <c r="J97" s="89">
        <f>Data!C54</f>
        <v>222885.39999999956</v>
      </c>
      <c r="K97" s="191">
        <f t="shared" si="5"/>
        <v>222000</v>
      </c>
    </row>
    <row r="98" spans="1:11" ht="17" customHeight="1" x14ac:dyDescent="0.2">
      <c r="A98" s="88"/>
      <c r="B98" s="89">
        <f t="shared" si="3"/>
        <v>45077.275720929327</v>
      </c>
      <c r="C98" s="89">
        <f t="shared" ref="C98:D98" si="40">C97+(C99-C97)/2</f>
        <v>3688.63664082679</v>
      </c>
      <c r="D98" s="89">
        <f t="shared" si="40"/>
        <v>48765.91236175612</v>
      </c>
      <c r="E98" s="89">
        <v>33800</v>
      </c>
      <c r="F98" s="89"/>
      <c r="G98" s="148"/>
      <c r="H98" s="217"/>
      <c r="I98" s="217"/>
      <c r="J98" s="89"/>
      <c r="K98" s="191">
        <f>K97+1000</f>
        <v>223000</v>
      </c>
    </row>
    <row r="99" spans="1:11" ht="17" customHeight="1" x14ac:dyDescent="0.2">
      <c r="A99" s="88">
        <f>A97+1</f>
        <v>2057</v>
      </c>
      <c r="B99" s="89">
        <f t="shared" si="3"/>
        <v>45201.373706474958</v>
      </c>
      <c r="C99" s="89">
        <f>Data!AC55</f>
        <v>3700.1271950439777</v>
      </c>
      <c r="D99" s="89">
        <f>Data!AD55</f>
        <v>48901.500901518935</v>
      </c>
      <c r="E99" s="89">
        <f>E97+F97</f>
        <v>34000</v>
      </c>
      <c r="F99" s="89"/>
      <c r="G99" s="219"/>
      <c r="H99" s="217">
        <f t="shared" si="0"/>
        <v>-14901.500901518935</v>
      </c>
      <c r="I99" s="217">
        <f t="shared" si="1"/>
        <v>-11201.373706474958</v>
      </c>
      <c r="J99" s="89">
        <f>Data!C55</f>
        <v>225009.24444444399</v>
      </c>
      <c r="K99" s="191">
        <f t="shared" si="5"/>
        <v>225000</v>
      </c>
    </row>
    <row r="100" spans="1:11" ht="17" customHeight="1" x14ac:dyDescent="0.2">
      <c r="A100" s="88"/>
      <c r="B100" s="89">
        <f t="shared" si="3"/>
        <v>45325.471692020583</v>
      </c>
      <c r="C100" s="89">
        <f t="shared" ref="C100:D100" si="41">C99+(C101-C99)/2</f>
        <v>3711.6177492611655</v>
      </c>
      <c r="D100" s="89">
        <f t="shared" si="41"/>
        <v>49037.089441281751</v>
      </c>
      <c r="E100" s="89">
        <v>33800</v>
      </c>
      <c r="F100" s="89"/>
      <c r="G100" s="219"/>
      <c r="H100" s="217"/>
      <c r="I100" s="217"/>
      <c r="J100" s="89"/>
      <c r="K100" s="191">
        <f>K99+1000</f>
        <v>226000</v>
      </c>
    </row>
    <row r="101" spans="1:11" ht="17" customHeight="1" x14ac:dyDescent="0.2">
      <c r="A101" s="88">
        <f>A99+1</f>
        <v>2058</v>
      </c>
      <c r="B101" s="89">
        <f t="shared" si="3"/>
        <v>45449.569677566215</v>
      </c>
      <c r="C101" s="89">
        <f>Data!AC56</f>
        <v>3723.1083034783533</v>
      </c>
      <c r="D101" s="89">
        <f>Data!AD56</f>
        <v>49172.677981044566</v>
      </c>
      <c r="E101" s="89">
        <f>E99+F99</f>
        <v>34000</v>
      </c>
      <c r="F101" s="89"/>
      <c r="G101" s="148"/>
      <c r="H101" s="217">
        <f t="shared" si="0"/>
        <v>-15172.677981044566</v>
      </c>
      <c r="I101" s="217">
        <f t="shared" si="1"/>
        <v>-11449.569677566215</v>
      </c>
      <c r="J101" s="89">
        <f>Data!C56</f>
        <v>227133.08888888842</v>
      </c>
      <c r="K101" s="191">
        <f t="shared" si="5"/>
        <v>227000</v>
      </c>
    </row>
    <row r="102" spans="1:11" ht="17" customHeight="1" x14ac:dyDescent="0.2">
      <c r="A102" s="88"/>
      <c r="B102" s="89">
        <f t="shared" si="3"/>
        <v>45573.667663111839</v>
      </c>
      <c r="C102" s="89">
        <f t="shared" ref="C102:D102" si="42">C101+(C103-C101)/2</f>
        <v>3734.5988576955415</v>
      </c>
      <c r="D102" s="89">
        <f t="shared" si="42"/>
        <v>49308.266520807381</v>
      </c>
      <c r="E102" s="89">
        <v>33800</v>
      </c>
      <c r="F102" s="89"/>
      <c r="G102" s="148"/>
      <c r="H102" s="217"/>
      <c r="I102" s="217"/>
      <c r="J102" s="89"/>
      <c r="K102" s="191">
        <f>K101+1000</f>
        <v>228000</v>
      </c>
    </row>
    <row r="103" spans="1:11" ht="17" customHeight="1" x14ac:dyDescent="0.2">
      <c r="A103" s="88">
        <f>A101+1</f>
        <v>2059</v>
      </c>
      <c r="B103" s="89">
        <f t="shared" si="3"/>
        <v>45697.765648657471</v>
      </c>
      <c r="C103" s="89">
        <f>Data!AC57</f>
        <v>3746.0894119127292</v>
      </c>
      <c r="D103" s="89">
        <f>Data!AD57</f>
        <v>49443.855060570197</v>
      </c>
      <c r="E103" s="89">
        <f>E101+F101</f>
        <v>34000</v>
      </c>
      <c r="F103" s="89"/>
      <c r="G103" s="219"/>
      <c r="H103" s="217">
        <f t="shared" si="0"/>
        <v>-15443.855060570197</v>
      </c>
      <c r="I103" s="217">
        <f t="shared" si="1"/>
        <v>-11697.765648657471</v>
      </c>
      <c r="J103" s="89">
        <f>Data!C57</f>
        <v>229256.93333333285</v>
      </c>
      <c r="K103" s="191">
        <f t="shared" si="5"/>
        <v>229000</v>
      </c>
    </row>
    <row r="104" spans="1:11" ht="17" customHeight="1" x14ac:dyDescent="0.2">
      <c r="A104" s="88"/>
      <c r="B104" s="89">
        <f t="shared" si="3"/>
        <v>45821.863634203102</v>
      </c>
      <c r="C104" s="89">
        <f t="shared" ref="C104:D104" si="43">C103+(C105-C103)/2</f>
        <v>3757.579966129917</v>
      </c>
      <c r="D104" s="89">
        <f t="shared" si="43"/>
        <v>49579.443600333019</v>
      </c>
      <c r="E104" s="89">
        <v>33800</v>
      </c>
      <c r="F104" s="89"/>
      <c r="G104" s="219"/>
      <c r="H104" s="217"/>
      <c r="I104" s="217"/>
      <c r="J104" s="89"/>
      <c r="K104" s="191">
        <f>K103+1000</f>
        <v>230000</v>
      </c>
    </row>
    <row r="105" spans="1:11" ht="17" customHeight="1" x14ac:dyDescent="0.2">
      <c r="A105" s="88">
        <f>A103+1</f>
        <v>2060</v>
      </c>
      <c r="B105" s="89">
        <f t="shared" si="3"/>
        <v>45945.961619748734</v>
      </c>
      <c r="C105" s="89">
        <f>Data!AC58</f>
        <v>3769.0705203471052</v>
      </c>
      <c r="D105" s="89">
        <f>Data!AD58</f>
        <v>49715.032140095842</v>
      </c>
      <c r="E105" s="89">
        <f>E103+F103</f>
        <v>34000</v>
      </c>
      <c r="F105" s="89"/>
      <c r="G105" s="148"/>
      <c r="H105" s="217">
        <f t="shared" si="0"/>
        <v>-15715.032140095842</v>
      </c>
      <c r="I105" s="217">
        <f t="shared" si="1"/>
        <v>-11945.961619748734</v>
      </c>
      <c r="J105" s="89">
        <f>Data!C58</f>
        <v>231380.77777777729</v>
      </c>
      <c r="K105" s="191">
        <f t="shared" si="5"/>
        <v>231000</v>
      </c>
    </row>
    <row r="106" spans="1:11" ht="17" customHeight="1" x14ac:dyDescent="0.2">
      <c r="A106" s="88"/>
      <c r="B106" s="89">
        <f t="shared" si="3"/>
        <v>46070.059605294358</v>
      </c>
      <c r="C106" s="89">
        <f t="shared" ref="C106:D106" si="44">C105+(C107-C105)/2</f>
        <v>3780.5610745642925</v>
      </c>
      <c r="D106" s="89">
        <f t="shared" si="44"/>
        <v>49850.62067985865</v>
      </c>
      <c r="E106" s="89">
        <v>33800</v>
      </c>
      <c r="F106" s="89"/>
      <c r="G106" s="148"/>
      <c r="H106" s="217"/>
      <c r="I106" s="217"/>
      <c r="J106" s="89"/>
      <c r="K106" s="191">
        <f>K105+1000</f>
        <v>232000</v>
      </c>
    </row>
    <row r="107" spans="1:11" ht="17" customHeight="1" x14ac:dyDescent="0.2">
      <c r="A107" s="88">
        <f>A105+1</f>
        <v>2061</v>
      </c>
      <c r="B107" s="89">
        <f t="shared" si="3"/>
        <v>46194.157590839983</v>
      </c>
      <c r="C107" s="89">
        <f>Data!AC59</f>
        <v>3792.0516287814798</v>
      </c>
      <c r="D107" s="89">
        <f>Data!AD59</f>
        <v>49986.209219621465</v>
      </c>
      <c r="E107" s="89">
        <f>E105+F105</f>
        <v>34000</v>
      </c>
      <c r="F107" s="89"/>
      <c r="G107" s="219"/>
      <c r="H107" s="217">
        <f t="shared" si="0"/>
        <v>-15986.209219621465</v>
      </c>
      <c r="I107" s="217">
        <f t="shared" si="1"/>
        <v>-12194.157590839983</v>
      </c>
      <c r="J107" s="89">
        <f>Data!C59</f>
        <v>233504.62222222172</v>
      </c>
      <c r="K107" s="191">
        <f t="shared" si="5"/>
        <v>233000</v>
      </c>
    </row>
    <row r="108" spans="1:11" ht="17" customHeight="1" x14ac:dyDescent="0.2">
      <c r="A108" s="88"/>
      <c r="B108" s="89">
        <f t="shared" si="3"/>
        <v>46318.255576385614</v>
      </c>
      <c r="C108" s="89">
        <f t="shared" ref="C108:D108" si="45">C107+(C109-C107)/2</f>
        <v>3803.5421829986681</v>
      </c>
      <c r="D108" s="89">
        <f t="shared" si="45"/>
        <v>50121.797759384281</v>
      </c>
      <c r="E108" s="89">
        <v>33800</v>
      </c>
      <c r="F108" s="89"/>
      <c r="G108" s="219"/>
      <c r="H108" s="217"/>
      <c r="I108" s="217"/>
      <c r="J108" s="89"/>
      <c r="K108" s="191">
        <f>K107+1000</f>
        <v>234000</v>
      </c>
    </row>
    <row r="109" spans="1:11" ht="17" customHeight="1" x14ac:dyDescent="0.2">
      <c r="A109" s="88">
        <f>A107+1</f>
        <v>2062</v>
      </c>
      <c r="B109" s="89">
        <f t="shared" si="3"/>
        <v>46442.353561931239</v>
      </c>
      <c r="C109" s="89">
        <f>Data!AC60</f>
        <v>3815.0327372158558</v>
      </c>
      <c r="D109" s="89">
        <f>Data!AD60</f>
        <v>50257.386299147096</v>
      </c>
      <c r="E109" s="89">
        <f>E107+F107</f>
        <v>34000</v>
      </c>
      <c r="F109" s="89"/>
      <c r="G109" s="148"/>
      <c r="H109" s="217">
        <f t="shared" si="0"/>
        <v>-16257.386299147096</v>
      </c>
      <c r="I109" s="217">
        <f t="shared" si="1"/>
        <v>-12442.353561931239</v>
      </c>
      <c r="J109" s="89">
        <f>Data!C60</f>
        <v>235628.46666666615</v>
      </c>
      <c r="K109" s="191">
        <f t="shared" si="5"/>
        <v>235000</v>
      </c>
    </row>
    <row r="110" spans="1:11" ht="17" customHeight="1" x14ac:dyDescent="0.2">
      <c r="A110" s="88"/>
      <c r="B110" s="89">
        <f t="shared" si="3"/>
        <v>46566.45154747687</v>
      </c>
      <c r="C110" s="89">
        <f t="shared" ref="C110:D110" si="46">C109+(C111-C109)/2</f>
        <v>3826.5232914330436</v>
      </c>
      <c r="D110" s="89">
        <f t="shared" si="46"/>
        <v>50392.974838909911</v>
      </c>
      <c r="E110" s="89">
        <v>33800</v>
      </c>
      <c r="F110" s="89"/>
      <c r="G110" s="148"/>
      <c r="H110" s="217"/>
      <c r="I110" s="217"/>
      <c r="J110" s="89"/>
      <c r="K110" s="191">
        <f>K109+1000</f>
        <v>236000</v>
      </c>
    </row>
    <row r="111" spans="1:11" ht="17" customHeight="1" x14ac:dyDescent="0.2">
      <c r="A111" s="88">
        <f>A109+1</f>
        <v>2063</v>
      </c>
      <c r="B111" s="89">
        <f t="shared" si="3"/>
        <v>46690.549533022502</v>
      </c>
      <c r="C111" s="89">
        <f>Data!AC61</f>
        <v>3838.0138456502318</v>
      </c>
      <c r="D111" s="89">
        <f>Data!AD61</f>
        <v>50528.563378672734</v>
      </c>
      <c r="E111" s="89">
        <f>E109+F109</f>
        <v>34000</v>
      </c>
      <c r="F111" s="89"/>
      <c r="G111" s="219"/>
      <c r="H111" s="217">
        <f t="shared" si="0"/>
        <v>-16528.563378672734</v>
      </c>
      <c r="I111" s="217">
        <f t="shared" si="1"/>
        <v>-12690.549533022502</v>
      </c>
      <c r="J111" s="89">
        <f>Data!C61</f>
        <v>237752.31111111058</v>
      </c>
      <c r="K111" s="191">
        <f t="shared" si="5"/>
        <v>237000</v>
      </c>
    </row>
    <row r="112" spans="1:11" ht="17" customHeight="1" x14ac:dyDescent="0.2">
      <c r="A112" s="88"/>
      <c r="B112" s="89">
        <f t="shared" si="3"/>
        <v>46814.647518568127</v>
      </c>
      <c r="C112" s="89">
        <f t="shared" ref="C112:D112" si="47">C111+(C113-C111)/2</f>
        <v>3849.5043998674196</v>
      </c>
      <c r="D112" s="89">
        <f t="shared" si="47"/>
        <v>50664.151918435549</v>
      </c>
      <c r="E112" s="89">
        <v>33800</v>
      </c>
      <c r="F112" s="89"/>
      <c r="G112" s="219"/>
      <c r="H112" s="217"/>
      <c r="I112" s="217"/>
      <c r="J112" s="89"/>
      <c r="K112" s="191">
        <f>K111+1000</f>
        <v>238000</v>
      </c>
    </row>
    <row r="113" spans="1:11" ht="17" customHeight="1" x14ac:dyDescent="0.2">
      <c r="A113" s="88">
        <f>A111+1</f>
        <v>2064</v>
      </c>
      <c r="B113" s="89">
        <f t="shared" si="3"/>
        <v>46938.745504113758</v>
      </c>
      <c r="C113" s="89">
        <f>Data!AC62</f>
        <v>3860.9949540846073</v>
      </c>
      <c r="D113" s="89">
        <f>Data!AD62</f>
        <v>50799.740458198365</v>
      </c>
      <c r="E113" s="89">
        <f>E111+F111</f>
        <v>34000</v>
      </c>
      <c r="F113" s="89"/>
      <c r="G113" s="148"/>
      <c r="H113" s="217">
        <f t="shared" si="0"/>
        <v>-16799.740458198365</v>
      </c>
      <c r="I113" s="217">
        <f t="shared" si="1"/>
        <v>-12938.745504113758</v>
      </c>
      <c r="J113" s="89">
        <f>Data!C62</f>
        <v>239876.15555555501</v>
      </c>
      <c r="K113" s="191">
        <f t="shared" si="5"/>
        <v>239000</v>
      </c>
    </row>
    <row r="114" spans="1:11" ht="17" customHeight="1" x14ac:dyDescent="0.2">
      <c r="A114" s="88"/>
      <c r="B114" s="89">
        <f t="shared" ref="B114:B119" si="48">B113+($B$120-$B$113)/7</f>
        <v>46974.202071412517</v>
      </c>
      <c r="C114" s="89">
        <f>C113+($C$120-$C$113)/7</f>
        <v>3864.2779695752333</v>
      </c>
      <c r="D114" s="89">
        <f>D113+($D$120-$D$113)/7</f>
        <v>50838.48004098775</v>
      </c>
      <c r="E114" s="89">
        <v>33800</v>
      </c>
      <c r="F114" s="89"/>
      <c r="G114" s="148"/>
      <c r="H114" s="217"/>
      <c r="I114" s="217"/>
      <c r="J114" s="89"/>
      <c r="K114" s="191">
        <f t="shared" ref="K114:K119" si="49">K113+1000</f>
        <v>240000</v>
      </c>
    </row>
    <row r="115" spans="1:11" ht="17" customHeight="1" x14ac:dyDescent="0.2">
      <c r="A115" s="88"/>
      <c r="B115" s="89">
        <f t="shared" si="48"/>
        <v>47009.658638711277</v>
      </c>
      <c r="C115" s="89">
        <f t="shared" ref="C115:C119" si="50">C114+($C$120-$C$113)/7</f>
        <v>3867.5609850658593</v>
      </c>
      <c r="D115" s="89">
        <f t="shared" ref="D115:D119" si="51">D114+($D$120-$D$113)/7</f>
        <v>50877.219623777135</v>
      </c>
      <c r="E115" s="89">
        <v>33800</v>
      </c>
      <c r="F115" s="89"/>
      <c r="G115" s="148"/>
      <c r="H115" s="217"/>
      <c r="I115" s="217"/>
      <c r="J115" s="89"/>
      <c r="K115" s="191">
        <f t="shared" si="49"/>
        <v>241000</v>
      </c>
    </row>
    <row r="116" spans="1:11" ht="17" customHeight="1" x14ac:dyDescent="0.2">
      <c r="A116" s="88"/>
      <c r="B116" s="89">
        <f t="shared" si="48"/>
        <v>47045.115206010036</v>
      </c>
      <c r="C116" s="89">
        <f t="shared" si="50"/>
        <v>3870.8440005564853</v>
      </c>
      <c r="D116" s="89">
        <f t="shared" si="51"/>
        <v>50915.95920656652</v>
      </c>
      <c r="E116" s="89">
        <v>33800</v>
      </c>
      <c r="F116" s="89"/>
      <c r="G116" s="148"/>
      <c r="H116" s="217"/>
      <c r="I116" s="217"/>
      <c r="J116" s="89"/>
      <c r="K116" s="191">
        <f t="shared" si="49"/>
        <v>242000</v>
      </c>
    </row>
    <row r="117" spans="1:11" ht="17" customHeight="1" x14ac:dyDescent="0.2">
      <c r="A117" s="88"/>
      <c r="B117" s="89">
        <f t="shared" si="48"/>
        <v>47080.571773308795</v>
      </c>
      <c r="C117" s="89">
        <f t="shared" si="50"/>
        <v>3874.1270160471113</v>
      </c>
      <c r="D117" s="89">
        <f t="shared" si="51"/>
        <v>50954.698789355905</v>
      </c>
      <c r="E117" s="89">
        <v>33800</v>
      </c>
      <c r="F117" s="89"/>
      <c r="G117" s="148"/>
      <c r="H117" s="217"/>
      <c r="I117" s="217"/>
      <c r="J117" s="89"/>
      <c r="K117" s="191">
        <f t="shared" si="49"/>
        <v>243000</v>
      </c>
    </row>
    <row r="118" spans="1:11" ht="17" customHeight="1" x14ac:dyDescent="0.2">
      <c r="A118" s="88"/>
      <c r="B118" s="89">
        <f t="shared" si="48"/>
        <v>47116.028340607554</v>
      </c>
      <c r="C118" s="89">
        <f t="shared" si="50"/>
        <v>3877.4100315377373</v>
      </c>
      <c r="D118" s="89">
        <f t="shared" si="51"/>
        <v>50993.43837214529</v>
      </c>
      <c r="E118" s="89">
        <v>33800</v>
      </c>
      <c r="F118" s="89"/>
      <c r="G118" s="148"/>
      <c r="H118" s="217"/>
      <c r="I118" s="217"/>
      <c r="J118" s="89"/>
      <c r="K118" s="191">
        <f t="shared" si="49"/>
        <v>244000</v>
      </c>
    </row>
    <row r="119" spans="1:11" ht="17" customHeight="1" x14ac:dyDescent="0.2">
      <c r="A119" s="88"/>
      <c r="B119" s="89">
        <f t="shared" si="48"/>
        <v>47151.484907906313</v>
      </c>
      <c r="C119" s="89">
        <f t="shared" si="50"/>
        <v>3880.6930470283633</v>
      </c>
      <c r="D119" s="89">
        <f t="shared" si="51"/>
        <v>51032.177954934676</v>
      </c>
      <c r="E119" s="89">
        <v>33800</v>
      </c>
      <c r="F119" s="89"/>
      <c r="G119" s="148"/>
      <c r="H119" s="217"/>
      <c r="I119" s="217"/>
      <c r="J119" s="89"/>
      <c r="K119" s="191">
        <f t="shared" si="49"/>
        <v>245000</v>
      </c>
    </row>
    <row r="120" spans="1:11" ht="17" customHeight="1" x14ac:dyDescent="0.2">
      <c r="A120" s="88">
        <f>A113+1</f>
        <v>2065</v>
      </c>
      <c r="B120" s="89">
        <f t="shared" si="3"/>
        <v>47186.94147520508</v>
      </c>
      <c r="C120" s="89">
        <f>Data!$AC$63</f>
        <v>3883.9760625189883</v>
      </c>
      <c r="D120" s="89">
        <f>Data!$AD$63</f>
        <v>51070.917537724068</v>
      </c>
      <c r="E120" s="89">
        <f>E113+F113</f>
        <v>34000</v>
      </c>
      <c r="F120" s="89"/>
      <c r="G120" s="219"/>
      <c r="H120" s="217">
        <f t="shared" si="0"/>
        <v>-17070.917537724068</v>
      </c>
      <c r="I120" s="217">
        <f t="shared" si="1"/>
        <v>-13186.94147520508</v>
      </c>
      <c r="J120" s="89">
        <f>Data!C63</f>
        <v>242000</v>
      </c>
      <c r="K120" s="191">
        <f t="shared" si="5"/>
        <v>242000</v>
      </c>
    </row>
    <row r="121" spans="1:11" ht="17" customHeight="1" x14ac:dyDescent="0.2">
      <c r="A121" s="88">
        <f t="shared" si="2"/>
        <v>2066</v>
      </c>
      <c r="B121" s="89">
        <v>47101.165022387395</v>
      </c>
      <c r="C121" s="89">
        <f>Data!$AC$63</f>
        <v>3883.9760625189883</v>
      </c>
      <c r="D121" s="89">
        <f>Data!$AD$63</f>
        <v>51070.917537724068</v>
      </c>
      <c r="E121" s="89">
        <f t="shared" si="4"/>
        <v>34000</v>
      </c>
      <c r="F121" s="89"/>
      <c r="G121" s="219"/>
      <c r="H121" s="217">
        <f t="shared" si="0"/>
        <v>-17070.917537724068</v>
      </c>
      <c r="I121" s="217">
        <f t="shared" si="1"/>
        <v>-13101.165022387395</v>
      </c>
      <c r="J121" s="89">
        <f>Data!C64</f>
        <v>0</v>
      </c>
      <c r="K121" s="191">
        <f t="shared" si="5"/>
        <v>0</v>
      </c>
    </row>
    <row r="122" spans="1:11" ht="17" customHeight="1" x14ac:dyDescent="0.2">
      <c r="A122" s="88">
        <f t="shared" si="2"/>
        <v>2067</v>
      </c>
      <c r="B122" s="89">
        <f t="shared" ref="B122" si="52">D122-C122</f>
        <v>47186.94147520508</v>
      </c>
      <c r="C122" s="89">
        <f>Data!$AC$63</f>
        <v>3883.9760625189883</v>
      </c>
      <c r="D122" s="89">
        <f>Data!$AD$63</f>
        <v>51070.917537724068</v>
      </c>
      <c r="E122" s="89">
        <f t="shared" si="4"/>
        <v>34000</v>
      </c>
      <c r="F122" s="89"/>
      <c r="G122" s="219"/>
      <c r="H122" s="217">
        <f t="shared" si="0"/>
        <v>-17070.917537724068</v>
      </c>
      <c r="I122" s="217">
        <f t="shared" si="1"/>
        <v>-13186.94147520508</v>
      </c>
      <c r="J122" s="89">
        <f>Data!C65</f>
        <v>0</v>
      </c>
      <c r="K122" s="191">
        <f t="shared" si="5"/>
        <v>0</v>
      </c>
    </row>
    <row r="123" spans="1:11" ht="17" customHeight="1" x14ac:dyDescent="0.2">
      <c r="A123" s="88">
        <f t="shared" si="2"/>
        <v>2068</v>
      </c>
      <c r="B123" s="89">
        <v>47101.165022387395</v>
      </c>
      <c r="C123" s="89">
        <f>Data!$AC$63</f>
        <v>3883.9760625189883</v>
      </c>
      <c r="D123" s="89">
        <f>Data!$AD$63</f>
        <v>51070.917537724068</v>
      </c>
      <c r="E123" s="89">
        <f t="shared" si="4"/>
        <v>34000</v>
      </c>
      <c r="F123" s="89"/>
      <c r="G123" s="219"/>
      <c r="H123" s="217">
        <f t="shared" si="0"/>
        <v>-17070.917537724068</v>
      </c>
      <c r="I123" s="217">
        <f t="shared" si="1"/>
        <v>-13101.165022387395</v>
      </c>
      <c r="J123" s="89">
        <v>242000</v>
      </c>
      <c r="K123" s="191">
        <f t="shared" si="5"/>
        <v>242000</v>
      </c>
    </row>
    <row r="124" spans="1:11" ht="17" customHeight="1" x14ac:dyDescent="0.2">
      <c r="A124" s="88">
        <f t="shared" si="2"/>
        <v>2069</v>
      </c>
      <c r="B124" s="89">
        <v>47101.165022387395</v>
      </c>
      <c r="C124" s="89">
        <f>Data!$AC$63</f>
        <v>3883.9760625189883</v>
      </c>
      <c r="D124" s="89">
        <f>Data!$AD$63</f>
        <v>51070.917537724068</v>
      </c>
      <c r="E124" s="89">
        <f t="shared" si="4"/>
        <v>34000</v>
      </c>
      <c r="F124" s="89"/>
      <c r="G124" s="219"/>
      <c r="H124" s="217">
        <f t="shared" si="0"/>
        <v>-17070.917537724068</v>
      </c>
      <c r="I124" s="217">
        <f t="shared" si="1"/>
        <v>-13101.165022387395</v>
      </c>
      <c r="J124" s="89">
        <f>Data!C68</f>
        <v>0</v>
      </c>
      <c r="K124" s="191">
        <f t="shared" si="5"/>
        <v>0</v>
      </c>
    </row>
    <row r="125" spans="1:11" ht="17" customHeight="1" x14ac:dyDescent="0.2">
      <c r="A125" s="88">
        <f t="shared" si="2"/>
        <v>2070</v>
      </c>
      <c r="B125" s="89">
        <v>47101.165022387395</v>
      </c>
      <c r="C125" s="89">
        <f>Data!$AC$63</f>
        <v>3883.9760625189883</v>
      </c>
      <c r="D125" s="89">
        <f>Data!$AD$63</f>
        <v>51070.917537724068</v>
      </c>
      <c r="E125" s="89">
        <f t="shared" si="4"/>
        <v>34000</v>
      </c>
      <c r="F125" s="89"/>
      <c r="G125" s="219"/>
      <c r="H125" s="217">
        <f t="shared" si="0"/>
        <v>-17070.917537724068</v>
      </c>
      <c r="I125" s="217">
        <f t="shared" si="1"/>
        <v>-13101.165022387395</v>
      </c>
      <c r="J125" s="89">
        <v>242000</v>
      </c>
      <c r="K125" s="191">
        <f t="shared" si="5"/>
        <v>242000</v>
      </c>
    </row>
    <row r="126" spans="1:11" ht="15" x14ac:dyDescent="0.2">
      <c r="K126" s="149"/>
    </row>
    <row r="127" spans="1:11" ht="15" x14ac:dyDescent="0.2">
      <c r="K127" s="149"/>
    </row>
    <row r="128" spans="1:11" ht="15" x14ac:dyDescent="0.2">
      <c r="A128" s="69" t="s">
        <v>148</v>
      </c>
      <c r="B128" s="69" t="s">
        <v>149</v>
      </c>
      <c r="K128" s="149"/>
    </row>
    <row r="129" spans="2:11" ht="15" x14ac:dyDescent="0.2">
      <c r="B129" s="69" t="s">
        <v>154</v>
      </c>
      <c r="K129" s="149"/>
    </row>
    <row r="130" spans="2:11" ht="15" x14ac:dyDescent="0.2">
      <c r="B130" s="69" t="s">
        <v>151</v>
      </c>
      <c r="E130" s="164"/>
      <c r="K130" s="149"/>
    </row>
    <row r="131" spans="2:11" ht="15" x14ac:dyDescent="0.2">
      <c r="B131" s="69" t="s">
        <v>155</v>
      </c>
      <c r="K131" s="149"/>
    </row>
    <row r="132" spans="2:11" ht="15" x14ac:dyDescent="0.2">
      <c r="B132" s="69" t="s">
        <v>153</v>
      </c>
      <c r="K132" s="149"/>
    </row>
    <row r="133" spans="2:11" ht="15" x14ac:dyDescent="0.2">
      <c r="K133" s="149"/>
    </row>
    <row r="134" spans="2:11" ht="15" x14ac:dyDescent="0.2">
      <c r="K134" s="149"/>
    </row>
  </sheetData>
  <pageMargins left="0.7" right="0.7" top="0.75" bottom="0.75" header="0.3" footer="0.3"/>
  <pageSetup scale="31" orientation="portrait" r:id="rId1"/>
  <headerFooter>
    <oddHeader>&amp;C&amp;"-,Regular" Firm Yield / Demand - By Year No TWP
June 2017</oddHeader>
    <oddFooter>&amp;C&amp;"-,Regular"&amp;8&amp;F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34"/>
  <sheetViews>
    <sheetView view="pageLayout" topLeftCell="A35" zoomScale="70" zoomScaleNormal="100" zoomScalePageLayoutView="70" workbookViewId="0">
      <selection activeCell="H133" sqref="H133"/>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125" si="0">E5-D5</f>
        <v>-2764.8709130392672</v>
      </c>
      <c r="I5" s="92">
        <f t="shared" ref="I5:I125" si="1">E5-B5</f>
        <v>-711.91575091729464</v>
      </c>
      <c r="J5" s="90">
        <f>Data!C10</f>
        <v>121211</v>
      </c>
      <c r="K5" s="190">
        <v>2009</v>
      </c>
    </row>
    <row r="6" spans="1:11" hidden="1" x14ac:dyDescent="0.2">
      <c r="A6" s="84">
        <f t="shared" ref="A6:A28" si="2">A5+1</f>
        <v>2013</v>
      </c>
      <c r="B6" s="85">
        <f t="shared" ref="B6:B120" si="3">D6-C6</f>
        <v>27323.551291859749</v>
      </c>
      <c r="C6" s="85">
        <f>Data!AC11</f>
        <v>2044.7732677647919</v>
      </c>
      <c r="D6" s="85">
        <f>Data!AD11</f>
        <v>29368.32455962454</v>
      </c>
      <c r="E6" s="85">
        <f t="shared" ref="E6:E69"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8">
        <f t="shared" si="2"/>
        <v>2015</v>
      </c>
      <c r="B8" s="89">
        <f t="shared" si="3"/>
        <v>27739.90938935196</v>
      </c>
      <c r="C8" s="89">
        <f>Data!AC13</f>
        <v>2083.3249434585155</v>
      </c>
      <c r="D8" s="89">
        <f>Data!AD13</f>
        <v>29823.234332810476</v>
      </c>
      <c r="E8" s="89">
        <f t="shared" si="4"/>
        <v>27700</v>
      </c>
      <c r="F8" s="89">
        <v>1000</v>
      </c>
      <c r="G8" s="148" t="s">
        <v>104</v>
      </c>
      <c r="H8" s="217">
        <f t="shared" si="0"/>
        <v>-2123.2343328104762</v>
      </c>
      <c r="I8" s="217">
        <f t="shared" si="1"/>
        <v>-39.909389351960272</v>
      </c>
      <c r="J8" s="89">
        <f>Data!C13</f>
        <v>131761</v>
      </c>
      <c r="K8" s="191">
        <f>ROUNDDOWN(J8,-3)</f>
        <v>131000</v>
      </c>
    </row>
    <row r="9" spans="1:11" ht="17" customHeight="1" x14ac:dyDescent="0.2">
      <c r="A9" s="88"/>
      <c r="B9" s="89">
        <f t="shared" si="3"/>
        <v>27991.238718853958</v>
      </c>
      <c r="C9" s="89">
        <f>C8+($C$11-$C$8)/3</f>
        <v>2106.5961776716636</v>
      </c>
      <c r="D9" s="89">
        <f>D8+($D$11-$D$8)/3</f>
        <v>30097.834896525623</v>
      </c>
      <c r="E9" s="89">
        <f t="shared" si="4"/>
        <v>28700</v>
      </c>
      <c r="F9" s="89"/>
      <c r="G9" s="148"/>
      <c r="H9" s="217"/>
      <c r="I9" s="217"/>
      <c r="J9" s="89"/>
      <c r="K9" s="191">
        <v>132000</v>
      </c>
    </row>
    <row r="10" spans="1:11" ht="17" customHeight="1" x14ac:dyDescent="0.2">
      <c r="A10" s="88"/>
      <c r="B10" s="89">
        <f t="shared" si="3"/>
        <v>28242.568048355959</v>
      </c>
      <c r="C10" s="89">
        <f>C9+($C$11-$C$8)/3</f>
        <v>2129.8674118848116</v>
      </c>
      <c r="D10" s="89">
        <f>D9+($D$11-$D$8)/3</f>
        <v>30372.435460240769</v>
      </c>
      <c r="E10" s="89">
        <f t="shared" si="4"/>
        <v>28700</v>
      </c>
      <c r="F10" s="89"/>
      <c r="G10" s="148"/>
      <c r="H10" s="217"/>
      <c r="I10" s="217"/>
      <c r="J10" s="89"/>
      <c r="K10" s="191">
        <v>133000</v>
      </c>
    </row>
    <row r="11" spans="1:11" ht="17" customHeight="1" x14ac:dyDescent="0.2">
      <c r="A11" s="88">
        <f>A8+1</f>
        <v>2016</v>
      </c>
      <c r="B11" s="89">
        <f t="shared" si="3"/>
        <v>28493.89737785796</v>
      </c>
      <c r="C11" s="89">
        <f>Data!AC14</f>
        <v>2153.1386460979593</v>
      </c>
      <c r="D11" s="89">
        <f>Data!AD14</f>
        <v>30647.03602395592</v>
      </c>
      <c r="E11" s="89">
        <f t="shared" si="4"/>
        <v>28700</v>
      </c>
      <c r="F11" s="89"/>
      <c r="G11" s="148"/>
      <c r="H11" s="217">
        <f t="shared" si="0"/>
        <v>-1947.0360239559195</v>
      </c>
      <c r="I11" s="217">
        <f t="shared" si="1"/>
        <v>206.10262214203976</v>
      </c>
      <c r="J11" s="89">
        <f>Data!C14</f>
        <v>134149</v>
      </c>
      <c r="K11" s="191">
        <f t="shared" ref="K11:K125" si="5">ROUNDDOWN(J11,-3)</f>
        <v>134000</v>
      </c>
    </row>
    <row r="12" spans="1:11" ht="17" customHeight="1" x14ac:dyDescent="0.2">
      <c r="A12" s="88"/>
      <c r="B12" s="89">
        <f t="shared" si="3"/>
        <v>28516.966863191112</v>
      </c>
      <c r="C12" s="89">
        <f>C11+($C$15-$C$11)/4</f>
        <v>2155.2747095547329</v>
      </c>
      <c r="D12" s="89">
        <f>D11+($D$15-$D$11)/4</f>
        <v>30672.241572745843</v>
      </c>
      <c r="E12" s="89">
        <f t="shared" si="4"/>
        <v>28700</v>
      </c>
      <c r="F12" s="89"/>
      <c r="G12" s="148"/>
      <c r="H12" s="217"/>
      <c r="I12" s="217"/>
      <c r="J12" s="89"/>
      <c r="K12" s="191">
        <f>K11+1000</f>
        <v>135000</v>
      </c>
    </row>
    <row r="13" spans="1:11" ht="17" customHeight="1" x14ac:dyDescent="0.2">
      <c r="A13" s="88"/>
      <c r="B13" s="89">
        <f t="shared" si="3"/>
        <v>28540.036348524263</v>
      </c>
      <c r="C13" s="89">
        <f>C12+($C$15-$C$11)/4</f>
        <v>2157.4107730115065</v>
      </c>
      <c r="D13" s="89">
        <f>D12+($D$15-$D$11)/4</f>
        <v>30697.44712153577</v>
      </c>
      <c r="E13" s="89">
        <f t="shared" si="4"/>
        <v>28700</v>
      </c>
      <c r="F13" s="89"/>
      <c r="G13" s="148"/>
      <c r="H13" s="217"/>
      <c r="I13" s="217"/>
      <c r="J13" s="89"/>
      <c r="K13" s="191">
        <f>K12+1000</f>
        <v>136000</v>
      </c>
    </row>
    <row r="14" spans="1:11" ht="17" customHeight="1" x14ac:dyDescent="0.2">
      <c r="A14" s="88"/>
      <c r="B14" s="89">
        <f t="shared" si="3"/>
        <v>28563.105833857415</v>
      </c>
      <c r="C14" s="89">
        <f>C13+($C$15-$C$11)/4</f>
        <v>2159.5468364682802</v>
      </c>
      <c r="D14" s="89">
        <f>D13+($D$15-$D$11)/4</f>
        <v>30722.652670325697</v>
      </c>
      <c r="E14" s="89">
        <f t="shared" si="4"/>
        <v>28700</v>
      </c>
      <c r="F14" s="89"/>
      <c r="G14" s="148"/>
      <c r="H14" s="217"/>
      <c r="I14" s="217"/>
      <c r="J14" s="89"/>
      <c r="K14" s="191">
        <f>K13+1000</f>
        <v>137000</v>
      </c>
    </row>
    <row r="15" spans="1:11" ht="17" customHeight="1" x14ac:dyDescent="0.2">
      <c r="A15" s="88">
        <f>A11+1</f>
        <v>2017</v>
      </c>
      <c r="B15" s="89">
        <f t="shared" si="3"/>
        <v>28586.175319190566</v>
      </c>
      <c r="C15" s="89">
        <f>Data!AC15</f>
        <v>2161.6828999250529</v>
      </c>
      <c r="D15" s="89">
        <f>Data!AD15</f>
        <v>30747.85821911562</v>
      </c>
      <c r="E15" s="89">
        <f t="shared" si="4"/>
        <v>28700</v>
      </c>
      <c r="F15" s="89"/>
      <c r="G15" s="148"/>
      <c r="H15" s="217">
        <f t="shared" si="0"/>
        <v>-2047.8582191156202</v>
      </c>
      <c r="I15" s="217">
        <f t="shared" si="1"/>
        <v>113.82468080943363</v>
      </c>
      <c r="J15" s="89">
        <f>Data!C15</f>
        <v>137443</v>
      </c>
      <c r="K15" s="191">
        <f t="shared" si="5"/>
        <v>137000</v>
      </c>
    </row>
    <row r="16" spans="1:11" ht="17" customHeight="1" x14ac:dyDescent="0.2">
      <c r="A16" s="88"/>
      <c r="B16" s="89">
        <f>B15+($B$19-$B$15)/4</f>
        <v>28717.32378383839</v>
      </c>
      <c r="C16" s="89">
        <f>C15+($C$19-$C$15)/4</f>
        <v>2173.8262762813329</v>
      </c>
      <c r="D16" s="89">
        <f>D15+($D$19-$D$15)/4</f>
        <v>30891.150060119722</v>
      </c>
      <c r="E16" s="89">
        <f t="shared" si="4"/>
        <v>28700</v>
      </c>
      <c r="F16" s="89"/>
      <c r="G16" s="148"/>
      <c r="H16" s="217"/>
      <c r="I16" s="217"/>
      <c r="J16" s="89"/>
      <c r="K16" s="191">
        <f>K15+1000</f>
        <v>138000</v>
      </c>
    </row>
    <row r="17" spans="1:11" ht="17" customHeight="1" x14ac:dyDescent="0.2">
      <c r="A17" s="88"/>
      <c r="B17" s="89">
        <f>B16+($B$19-$B$15)/4</f>
        <v>28848.472248486214</v>
      </c>
      <c r="C17" s="89">
        <f>C16+($C$19-$C$15)/4</f>
        <v>2185.9696526376129</v>
      </c>
      <c r="D17" s="89">
        <f>D16+($D$19-$D$15)/4</f>
        <v>31034.441901123824</v>
      </c>
      <c r="E17" s="89">
        <f t="shared" si="4"/>
        <v>28700</v>
      </c>
      <c r="F17" s="89"/>
      <c r="G17" s="148"/>
      <c r="H17" s="217"/>
      <c r="I17" s="217"/>
      <c r="J17" s="89"/>
      <c r="K17" s="191">
        <f>K16+1000</f>
        <v>139000</v>
      </c>
    </row>
    <row r="18" spans="1:11" ht="17" customHeight="1" x14ac:dyDescent="0.2">
      <c r="A18" s="88"/>
      <c r="B18" s="89">
        <f>B17+($B$19-$B$15)/4</f>
        <v>28979.620713134038</v>
      </c>
      <c r="C18" s="89">
        <f>C17+($C$19-$C$15)/4</f>
        <v>2198.1130289938928</v>
      </c>
      <c r="D18" s="89">
        <f>D17+($D$19-$D$15)/4</f>
        <v>31177.733742127926</v>
      </c>
      <c r="E18" s="89">
        <f t="shared" si="4"/>
        <v>28700</v>
      </c>
      <c r="F18" s="89"/>
      <c r="G18" s="148"/>
      <c r="H18" s="217"/>
      <c r="I18" s="217"/>
      <c r="J18" s="89"/>
      <c r="K18" s="191">
        <f>K17+1000</f>
        <v>140000</v>
      </c>
    </row>
    <row r="19" spans="1:11" ht="17" customHeight="1" x14ac:dyDescent="0.2">
      <c r="A19" s="88">
        <f>A15+1</f>
        <v>2018</v>
      </c>
      <c r="B19" s="89">
        <f t="shared" si="3"/>
        <v>29110.769177781862</v>
      </c>
      <c r="C19" s="89">
        <f>Data!AC16</f>
        <v>2210.2564053501719</v>
      </c>
      <c r="D19" s="89">
        <f>Data!AD16</f>
        <v>31321.025583132032</v>
      </c>
      <c r="E19" s="89">
        <f t="shared" si="4"/>
        <v>28700</v>
      </c>
      <c r="F19" s="89"/>
      <c r="G19" s="148"/>
      <c r="H19" s="217">
        <f t="shared" si="0"/>
        <v>-2621.0255831320319</v>
      </c>
      <c r="I19" s="217">
        <f t="shared" si="1"/>
        <v>-410.7691777818618</v>
      </c>
      <c r="J19" s="89">
        <f>Data!C16</f>
        <v>140509</v>
      </c>
      <c r="K19" s="191">
        <f t="shared" si="5"/>
        <v>140000</v>
      </c>
    </row>
    <row r="20" spans="1:11" ht="17" customHeight="1" x14ac:dyDescent="0.2">
      <c r="A20" s="88"/>
      <c r="B20" s="89">
        <f>B19+($B$23-$B$19)/4</f>
        <v>29248.140525416798</v>
      </c>
      <c r="C20" s="89">
        <f>C19+($C$23-$C$19)/4</f>
        <v>2222.9759745756292</v>
      </c>
      <c r="D20" s="89">
        <f>D19+($D$23-$D$19)/4</f>
        <v>31471.116499992422</v>
      </c>
      <c r="E20" s="89">
        <f t="shared" si="4"/>
        <v>28700</v>
      </c>
      <c r="F20" s="89"/>
      <c r="G20" s="148"/>
      <c r="H20" s="217"/>
      <c r="I20" s="217"/>
      <c r="J20" s="89"/>
      <c r="K20" s="191">
        <f>K19+1000</f>
        <v>141000</v>
      </c>
    </row>
    <row r="21" spans="1:11" ht="17" customHeight="1" x14ac:dyDescent="0.2">
      <c r="A21" s="88"/>
      <c r="B21" s="89">
        <f>B20+($B$23-$B$19)/4</f>
        <v>29385.511873051735</v>
      </c>
      <c r="C21" s="89">
        <f>C20+($C$23-$C$19)/4</f>
        <v>2235.6955438010864</v>
      </c>
      <c r="D21" s="89">
        <f>D20+($D$23-$D$19)/4</f>
        <v>31621.207416852812</v>
      </c>
      <c r="E21" s="89">
        <f t="shared" si="4"/>
        <v>28700</v>
      </c>
      <c r="F21" s="89"/>
      <c r="G21" s="148"/>
      <c r="H21" s="217"/>
      <c r="I21" s="217"/>
      <c r="J21" s="89"/>
      <c r="K21" s="191">
        <f>K20+1000</f>
        <v>142000</v>
      </c>
    </row>
    <row r="22" spans="1:11" ht="17" customHeight="1" x14ac:dyDescent="0.2">
      <c r="A22" s="88"/>
      <c r="B22" s="89">
        <f>B21+($B$23-$B$19)/4</f>
        <v>29522.883220686672</v>
      </c>
      <c r="C22" s="89">
        <f>C21+($C$23-$C$19)/4</f>
        <v>2248.4151130265436</v>
      </c>
      <c r="D22" s="89">
        <f>D21+($D$23-$D$19)/4</f>
        <v>31771.298333713203</v>
      </c>
      <c r="E22" s="89">
        <f t="shared" si="4"/>
        <v>28700</v>
      </c>
      <c r="F22" s="89"/>
      <c r="G22" s="148"/>
      <c r="H22" s="217"/>
      <c r="I22" s="217"/>
      <c r="J22" s="89"/>
      <c r="K22" s="191">
        <f>K21+1000</f>
        <v>143000</v>
      </c>
    </row>
    <row r="23" spans="1:11" ht="17" customHeight="1" x14ac:dyDescent="0.2">
      <c r="A23" s="88">
        <f>A19+1</f>
        <v>2019</v>
      </c>
      <c r="B23" s="89">
        <f t="shared" si="3"/>
        <v>29660.254568321601</v>
      </c>
      <c r="C23" s="89">
        <f>Data!AC17</f>
        <v>2261.1346822520004</v>
      </c>
      <c r="D23" s="89">
        <f>Data!AD17</f>
        <v>31921.3892505736</v>
      </c>
      <c r="E23" s="89">
        <f t="shared" si="4"/>
        <v>28700</v>
      </c>
      <c r="F23" s="89">
        <v>1300</v>
      </c>
      <c r="G23" s="148" t="s">
        <v>105</v>
      </c>
      <c r="H23" s="217">
        <f t="shared" si="0"/>
        <v>-3221.3892505736003</v>
      </c>
      <c r="I23" s="217">
        <f t="shared" si="1"/>
        <v>-960.25456832160125</v>
      </c>
      <c r="J23" s="89">
        <f>Data!C17</f>
        <v>143788</v>
      </c>
      <c r="K23" s="191">
        <f t="shared" si="5"/>
        <v>143000</v>
      </c>
    </row>
    <row r="24" spans="1:11" ht="17" customHeight="1" x14ac:dyDescent="0.2">
      <c r="A24" s="88"/>
      <c r="B24" s="89">
        <f>B23+($B$27-$B$23)/4</f>
        <v>29778.928051582108</v>
      </c>
      <c r="C24" s="89">
        <f>C23+($C$27-$C$23)/4</f>
        <v>2272.1229677390843</v>
      </c>
      <c r="D24" s="89">
        <f>D23+($D$27-$D$23)/4</f>
        <v>32051.051019321192</v>
      </c>
      <c r="E24" s="89">
        <f t="shared" si="4"/>
        <v>30000</v>
      </c>
      <c r="F24" s="89"/>
      <c r="G24" s="148"/>
      <c r="H24" s="217"/>
      <c r="I24" s="217"/>
      <c r="J24" s="89"/>
      <c r="K24" s="191">
        <f t="shared" ref="K24:K26" si="6">K23+1000</f>
        <v>144000</v>
      </c>
    </row>
    <row r="25" spans="1:11" ht="17" customHeight="1" x14ac:dyDescent="0.2">
      <c r="A25" s="88"/>
      <c r="B25" s="89">
        <f>B24+($B$27-$B$23)/4</f>
        <v>29897.601534842615</v>
      </c>
      <c r="C25" s="89">
        <f>C24+($C$27-$C$23)/4</f>
        <v>2283.1112532261682</v>
      </c>
      <c r="D25" s="89">
        <f>D24+($D$27-$D$23)/4</f>
        <v>32180.712788068784</v>
      </c>
      <c r="E25" s="89">
        <f t="shared" si="4"/>
        <v>30000</v>
      </c>
      <c r="F25" s="89"/>
      <c r="G25" s="148"/>
      <c r="H25" s="217"/>
      <c r="I25" s="217"/>
      <c r="J25" s="89"/>
      <c r="K25" s="191">
        <f t="shared" si="6"/>
        <v>145000</v>
      </c>
    </row>
    <row r="26" spans="1:11" ht="17" customHeight="1" x14ac:dyDescent="0.2">
      <c r="A26" s="88"/>
      <c r="B26" s="89">
        <f>B25+($B$27-$B$23)/4</f>
        <v>30016.275018103122</v>
      </c>
      <c r="C26" s="89">
        <f>C25+($C$27-$C$23)/4</f>
        <v>2294.0995387132521</v>
      </c>
      <c r="D26" s="89">
        <f>D25+($D$27-$D$23)/4</f>
        <v>32310.374556816376</v>
      </c>
      <c r="E26" s="89">
        <f t="shared" si="4"/>
        <v>30000</v>
      </c>
      <c r="F26" s="89"/>
      <c r="G26" s="148"/>
      <c r="H26" s="217"/>
      <c r="I26" s="217"/>
      <c r="J26" s="89"/>
      <c r="K26" s="191">
        <f t="shared" si="6"/>
        <v>146000</v>
      </c>
    </row>
    <row r="27" spans="1:11" ht="17" customHeight="1" x14ac:dyDescent="0.2">
      <c r="A27" s="88">
        <f>A23+1</f>
        <v>2020</v>
      </c>
      <c r="B27" s="89">
        <f t="shared" si="3"/>
        <v>30134.948501363629</v>
      </c>
      <c r="C27" s="89">
        <f>Data!AC18</f>
        <v>2305.0878242003364</v>
      </c>
      <c r="D27" s="89">
        <f>Data!AD18</f>
        <v>32440.036325563968</v>
      </c>
      <c r="E27" s="89">
        <f t="shared" si="4"/>
        <v>30000</v>
      </c>
      <c r="F27" s="89"/>
      <c r="G27" s="148"/>
      <c r="H27" s="217">
        <f t="shared" si="0"/>
        <v>-2440.0363255639677</v>
      </c>
      <c r="I27" s="217">
        <f t="shared" si="1"/>
        <v>-134.94850136362948</v>
      </c>
      <c r="J27" s="89">
        <f>Data!C18</f>
        <v>146427</v>
      </c>
      <c r="K27" s="191">
        <f t="shared" si="5"/>
        <v>146000</v>
      </c>
    </row>
    <row r="28" spans="1:11" ht="17" customHeight="1" x14ac:dyDescent="0.2">
      <c r="A28" s="88">
        <f t="shared" si="2"/>
        <v>2021</v>
      </c>
      <c r="B28" s="89">
        <f t="shared" si="3"/>
        <v>30549.440504971233</v>
      </c>
      <c r="C28" s="89">
        <f>Data!AC19</f>
        <v>2343.4667134232623</v>
      </c>
      <c r="D28" s="89">
        <f>Data!AD19</f>
        <v>32892.907218394495</v>
      </c>
      <c r="E28" s="89">
        <f t="shared" si="4"/>
        <v>30000</v>
      </c>
      <c r="F28" s="89"/>
      <c r="G28" s="148"/>
      <c r="H28" s="217">
        <f t="shared" si="0"/>
        <v>-2892.9072183944954</v>
      </c>
      <c r="I28" s="217">
        <f t="shared" si="1"/>
        <v>-549.44050497123317</v>
      </c>
      <c r="J28" s="89">
        <f>Data!C19</f>
        <v>148550.84444444443</v>
      </c>
      <c r="K28" s="191">
        <f t="shared" si="5"/>
        <v>148000</v>
      </c>
    </row>
    <row r="29" spans="1:11" ht="17" customHeight="1" x14ac:dyDescent="0.2">
      <c r="A29" s="88"/>
      <c r="B29" s="89">
        <f t="shared" si="3"/>
        <v>30756.686506775033</v>
      </c>
      <c r="C29" s="89">
        <f t="shared" ref="C29" si="7">C28+(C30-C28)/2</f>
        <v>2362.6561580347252</v>
      </c>
      <c r="D29" s="89">
        <f t="shared" ref="D29" si="8">D28+(D30-D28)/2</f>
        <v>33119.342664809759</v>
      </c>
      <c r="E29" s="89">
        <f t="shared" si="4"/>
        <v>30000</v>
      </c>
      <c r="F29" s="89"/>
      <c r="G29" s="148"/>
      <c r="H29" s="217"/>
      <c r="I29" s="217"/>
      <c r="J29" s="89"/>
      <c r="K29" s="191">
        <f>K28+1000</f>
        <v>149000</v>
      </c>
    </row>
    <row r="30" spans="1:11" ht="17" customHeight="1" x14ac:dyDescent="0.2">
      <c r="A30" s="88">
        <f>A28+1</f>
        <v>2022</v>
      </c>
      <c r="B30" s="89">
        <f t="shared" si="3"/>
        <v>30963.932508578837</v>
      </c>
      <c r="C30" s="89">
        <f>Data!AC20</f>
        <v>2381.8456026461881</v>
      </c>
      <c r="D30" s="89">
        <f>Data!AD20</f>
        <v>33345.778111225023</v>
      </c>
      <c r="E30" s="89">
        <f t="shared" si="4"/>
        <v>30000</v>
      </c>
      <c r="F30" s="89"/>
      <c r="G30" s="148"/>
      <c r="H30" s="217">
        <f t="shared" si="0"/>
        <v>-3345.7781112250232</v>
      </c>
      <c r="I30" s="217">
        <f t="shared" si="1"/>
        <v>-963.93250857883686</v>
      </c>
      <c r="J30" s="89">
        <f>Data!C20</f>
        <v>150674.68888888886</v>
      </c>
      <c r="K30" s="191">
        <f t="shared" si="5"/>
        <v>150000</v>
      </c>
    </row>
    <row r="31" spans="1:11" ht="17" customHeight="1" x14ac:dyDescent="0.2">
      <c r="A31" s="88"/>
      <c r="B31" s="89">
        <f t="shared" si="3"/>
        <v>31171.17851038263</v>
      </c>
      <c r="C31" s="89">
        <f t="shared" ref="C31:D31" si="9">C30+(C32-C30)/2</f>
        <v>2401.0350472576511</v>
      </c>
      <c r="D31" s="89">
        <f t="shared" si="9"/>
        <v>33572.21355764028</v>
      </c>
      <c r="E31" s="89">
        <f t="shared" si="4"/>
        <v>30000</v>
      </c>
      <c r="F31" s="89"/>
      <c r="G31" s="148"/>
      <c r="H31" s="217"/>
      <c r="I31" s="217"/>
      <c r="J31" s="89"/>
      <c r="K31" s="191">
        <f>K30+1000</f>
        <v>151000</v>
      </c>
    </row>
    <row r="32" spans="1:11" ht="17" customHeight="1" x14ac:dyDescent="0.2">
      <c r="A32" s="88">
        <f>A30+1</f>
        <v>2023</v>
      </c>
      <c r="B32" s="89">
        <f t="shared" si="3"/>
        <v>31378.42451218643</v>
      </c>
      <c r="C32" s="89">
        <f>Data!AC21</f>
        <v>2420.224491869114</v>
      </c>
      <c r="D32" s="89">
        <f>Data!AD21</f>
        <v>33798.649004055544</v>
      </c>
      <c r="E32" s="89">
        <f t="shared" si="4"/>
        <v>30000</v>
      </c>
      <c r="F32" s="89"/>
      <c r="G32" s="148"/>
      <c r="H32" s="217">
        <f t="shared" si="0"/>
        <v>-3798.6490040555436</v>
      </c>
      <c r="I32" s="217">
        <f t="shared" si="1"/>
        <v>-1378.4245121864296</v>
      </c>
      <c r="J32" s="89">
        <f>Data!C21</f>
        <v>152798.5333333333</v>
      </c>
      <c r="K32" s="191">
        <f t="shared" si="5"/>
        <v>152000</v>
      </c>
    </row>
    <row r="33" spans="1:11" ht="17" customHeight="1" x14ac:dyDescent="0.2">
      <c r="A33" s="88"/>
      <c r="B33" s="89">
        <f t="shared" si="3"/>
        <v>31585.67051399023</v>
      </c>
      <c r="C33" s="89">
        <f t="shared" ref="C33:D33" si="10">C32+(C34-C32)/2</f>
        <v>2439.4139364805769</v>
      </c>
      <c r="D33" s="89">
        <f t="shared" si="10"/>
        <v>34025.084450470807</v>
      </c>
      <c r="E33" s="89">
        <f t="shared" si="4"/>
        <v>30000</v>
      </c>
      <c r="F33" s="89"/>
      <c r="G33" s="148"/>
      <c r="H33" s="217"/>
      <c r="I33" s="217"/>
      <c r="J33" s="89"/>
      <c r="K33" s="191">
        <f>K32+1000</f>
        <v>153000</v>
      </c>
    </row>
    <row r="34" spans="1:11" ht="17" customHeight="1" x14ac:dyDescent="0.2">
      <c r="A34" s="88">
        <f>A32+1</f>
        <v>2024</v>
      </c>
      <c r="B34" s="89">
        <f t="shared" si="3"/>
        <v>31792.91651579403</v>
      </c>
      <c r="C34" s="89">
        <f>Data!AC22</f>
        <v>2458.6033810920399</v>
      </c>
      <c r="D34" s="89">
        <f>Data!AD22</f>
        <v>34251.519896886071</v>
      </c>
      <c r="E34" s="89">
        <f t="shared" si="4"/>
        <v>30000</v>
      </c>
      <c r="F34" s="89"/>
      <c r="G34" s="148"/>
      <c r="H34" s="217">
        <f t="shared" si="0"/>
        <v>-4251.5198968860714</v>
      </c>
      <c r="I34" s="217">
        <f t="shared" si="1"/>
        <v>-1792.9165157940297</v>
      </c>
      <c r="J34" s="89">
        <f>Data!C22</f>
        <v>154922.37777777773</v>
      </c>
      <c r="K34" s="191">
        <f t="shared" si="5"/>
        <v>154000</v>
      </c>
    </row>
    <row r="35" spans="1:11" ht="17" customHeight="1" x14ac:dyDescent="0.2">
      <c r="A35" s="88"/>
      <c r="B35" s="89">
        <f t="shared" si="3"/>
        <v>32000.162517597833</v>
      </c>
      <c r="C35" s="89">
        <f t="shared" ref="C35:D35" si="11">C34+(C36-C34)/2</f>
        <v>2477.7928257035028</v>
      </c>
      <c r="D35" s="89">
        <f t="shared" si="11"/>
        <v>34477.955343301335</v>
      </c>
      <c r="E35" s="89">
        <f t="shared" si="4"/>
        <v>30000</v>
      </c>
      <c r="F35" s="89"/>
      <c r="G35" s="148"/>
      <c r="H35" s="217"/>
      <c r="I35" s="217"/>
      <c r="J35" s="89"/>
      <c r="K35" s="191">
        <f>K34+1000</f>
        <v>155000</v>
      </c>
    </row>
    <row r="36" spans="1:11" ht="17" customHeight="1" x14ac:dyDescent="0.2">
      <c r="A36" s="88">
        <f>A34+1</f>
        <v>2025</v>
      </c>
      <c r="B36" s="89">
        <f t="shared" si="3"/>
        <v>32207.408519401626</v>
      </c>
      <c r="C36" s="89">
        <f>Data!AC23</f>
        <v>2496.9822703149657</v>
      </c>
      <c r="D36" s="89">
        <f>Data!AD23</f>
        <v>34704.390789716592</v>
      </c>
      <c r="E36" s="89">
        <f t="shared" si="4"/>
        <v>30000</v>
      </c>
      <c r="F36" s="218"/>
      <c r="G36" s="219"/>
      <c r="H36" s="217">
        <f t="shared" si="0"/>
        <v>-4704.3907897165918</v>
      </c>
      <c r="I36" s="217">
        <f t="shared" si="1"/>
        <v>-2207.4085194016261</v>
      </c>
      <c r="J36" s="89">
        <f>Data!C23</f>
        <v>157046.22222222216</v>
      </c>
      <c r="K36" s="191">
        <f t="shared" si="5"/>
        <v>157000</v>
      </c>
    </row>
    <row r="37" spans="1:11" ht="17" customHeight="1" x14ac:dyDescent="0.2">
      <c r="A37" s="88"/>
      <c r="B37" s="89">
        <f t="shared" si="3"/>
        <v>32414.654521205419</v>
      </c>
      <c r="C37" s="89">
        <f t="shared" ref="C37:D37" si="12">C36+(C38-C36)/2</f>
        <v>2516.1717149264286</v>
      </c>
      <c r="D37" s="89">
        <f t="shared" si="12"/>
        <v>34930.826236131848</v>
      </c>
      <c r="E37" s="89">
        <f t="shared" si="4"/>
        <v>30000</v>
      </c>
      <c r="F37" s="218">
        <v>5000</v>
      </c>
      <c r="G37" s="219" t="s">
        <v>118</v>
      </c>
      <c r="H37" s="217"/>
      <c r="I37" s="217"/>
      <c r="J37" s="89"/>
      <c r="K37" s="191">
        <f>K36+1000</f>
        <v>158000</v>
      </c>
    </row>
    <row r="38" spans="1:11" ht="17" customHeight="1" x14ac:dyDescent="0.2">
      <c r="A38" s="88">
        <f>A36+1</f>
        <v>2026</v>
      </c>
      <c r="B38" s="89">
        <f t="shared" si="3"/>
        <v>32621.900523009223</v>
      </c>
      <c r="C38" s="89">
        <f>Data!AC24</f>
        <v>2535.3611595378911</v>
      </c>
      <c r="D38" s="89">
        <f>Data!AD24</f>
        <v>35157.261682547112</v>
      </c>
      <c r="E38" s="89">
        <f t="shared" si="4"/>
        <v>35000</v>
      </c>
      <c r="F38" s="89"/>
      <c r="G38" s="148"/>
      <c r="H38" s="217">
        <f t="shared" si="0"/>
        <v>-157.26168254711229</v>
      </c>
      <c r="I38" s="217">
        <f t="shared" si="1"/>
        <v>2378.0994769907775</v>
      </c>
      <c r="J38" s="89">
        <f>Data!C24</f>
        <v>159170.06666666659</v>
      </c>
      <c r="K38" s="191">
        <f t="shared" si="5"/>
        <v>159000</v>
      </c>
    </row>
    <row r="39" spans="1:11" ht="17" customHeight="1" x14ac:dyDescent="0.2">
      <c r="A39" s="88"/>
      <c r="B39" s="89">
        <f t="shared" si="3"/>
        <v>32829.146524813019</v>
      </c>
      <c r="C39" s="89">
        <f t="shared" ref="C39:D39" si="13">C38+(C40-C38)/2</f>
        <v>2554.5506041493541</v>
      </c>
      <c r="D39" s="89">
        <f t="shared" si="13"/>
        <v>35383.697128962376</v>
      </c>
      <c r="E39" s="89">
        <f t="shared" si="4"/>
        <v>35000</v>
      </c>
      <c r="F39" s="89"/>
      <c r="G39" s="148"/>
      <c r="H39" s="217"/>
      <c r="I39" s="217"/>
      <c r="J39" s="89"/>
      <c r="K39" s="191">
        <f>K38+1000</f>
        <v>160000</v>
      </c>
    </row>
    <row r="40" spans="1:11" ht="17" customHeight="1" x14ac:dyDescent="0.2">
      <c r="A40" s="88">
        <f>A38+1</f>
        <v>2027</v>
      </c>
      <c r="B40" s="89">
        <f t="shared" si="3"/>
        <v>33036.392526616823</v>
      </c>
      <c r="C40" s="89">
        <f>Data!AC25</f>
        <v>2573.740048760817</v>
      </c>
      <c r="D40" s="89">
        <f>Data!AD25</f>
        <v>35610.13257537764</v>
      </c>
      <c r="E40" s="89">
        <f t="shared" si="4"/>
        <v>35000</v>
      </c>
      <c r="F40" s="218"/>
      <c r="G40" s="219"/>
      <c r="H40" s="217">
        <f t="shared" si="0"/>
        <v>-610.13257537764002</v>
      </c>
      <c r="I40" s="217">
        <f t="shared" si="1"/>
        <v>1963.6074733831774</v>
      </c>
      <c r="J40" s="89">
        <f>Data!C25</f>
        <v>161293.91111111103</v>
      </c>
      <c r="K40" s="191">
        <f t="shared" si="5"/>
        <v>161000</v>
      </c>
    </row>
    <row r="41" spans="1:11" ht="17" customHeight="1" x14ac:dyDescent="0.2">
      <c r="A41" s="88"/>
      <c r="B41" s="89">
        <f t="shared" si="3"/>
        <v>33243.638528420626</v>
      </c>
      <c r="C41" s="89">
        <f t="shared" ref="C41:D41" si="14">C40+(C42-C40)/2</f>
        <v>2592.9294933722795</v>
      </c>
      <c r="D41" s="89">
        <f t="shared" si="14"/>
        <v>35836.568021792904</v>
      </c>
      <c r="E41" s="89">
        <f t="shared" si="4"/>
        <v>35000</v>
      </c>
      <c r="F41" s="218"/>
      <c r="G41" s="219"/>
      <c r="H41" s="217"/>
      <c r="I41" s="217"/>
      <c r="J41" s="89"/>
      <c r="K41" s="191">
        <f>K40+1000</f>
        <v>162000</v>
      </c>
    </row>
    <row r="42" spans="1:11" ht="17" customHeight="1" x14ac:dyDescent="0.2">
      <c r="A42" s="88">
        <f>A40+1</f>
        <v>2028</v>
      </c>
      <c r="B42" s="89">
        <f t="shared" si="3"/>
        <v>33450.884530224415</v>
      </c>
      <c r="C42" s="89">
        <f>Data!AC26</f>
        <v>2612.1189379837424</v>
      </c>
      <c r="D42" s="89">
        <f>Data!AD26</f>
        <v>36063.00346820816</v>
      </c>
      <c r="E42" s="89">
        <f t="shared" si="4"/>
        <v>35000</v>
      </c>
      <c r="F42" s="89"/>
      <c r="G42" s="148"/>
      <c r="H42" s="217">
        <f t="shared" si="0"/>
        <v>-1063.0034682081605</v>
      </c>
      <c r="I42" s="217">
        <f t="shared" si="1"/>
        <v>1549.1154697755846</v>
      </c>
      <c r="J42" s="89">
        <f>Data!C26</f>
        <v>163417.75555555546</v>
      </c>
      <c r="K42" s="191">
        <f t="shared" si="5"/>
        <v>163000</v>
      </c>
    </row>
    <row r="43" spans="1:11" ht="17" customHeight="1" x14ac:dyDescent="0.2">
      <c r="A43" s="88"/>
      <c r="B43" s="89">
        <f t="shared" si="3"/>
        <v>33658.130532028212</v>
      </c>
      <c r="C43" s="89">
        <f t="shared" ref="C43:D43" si="15">C42+(C44-C42)/2</f>
        <v>2631.3083825952053</v>
      </c>
      <c r="D43" s="89">
        <f t="shared" si="15"/>
        <v>36289.438914623417</v>
      </c>
      <c r="E43" s="89">
        <f t="shared" si="4"/>
        <v>35000</v>
      </c>
      <c r="F43" s="89"/>
      <c r="G43" s="148"/>
      <c r="H43" s="217"/>
      <c r="I43" s="217"/>
      <c r="J43" s="89"/>
      <c r="K43" s="191">
        <f>K42+1000</f>
        <v>164000</v>
      </c>
    </row>
    <row r="44" spans="1:11" ht="17" customHeight="1" x14ac:dyDescent="0.2">
      <c r="A44" s="88">
        <f>A42+1</f>
        <v>2029</v>
      </c>
      <c r="B44" s="89">
        <f t="shared" si="3"/>
        <v>33865.376533832015</v>
      </c>
      <c r="C44" s="89">
        <f>Data!AC27</f>
        <v>2650.4978272066683</v>
      </c>
      <c r="D44" s="89">
        <f>Data!AD27</f>
        <v>36515.874361038681</v>
      </c>
      <c r="E44" s="89">
        <f t="shared" si="4"/>
        <v>35000</v>
      </c>
      <c r="F44" s="89"/>
      <c r="G44" s="219"/>
      <c r="H44" s="217">
        <f t="shared" si="0"/>
        <v>-1515.8743610386809</v>
      </c>
      <c r="I44" s="217">
        <f t="shared" si="1"/>
        <v>1134.6234661679846</v>
      </c>
      <c r="J44" s="89">
        <f>Data!C27</f>
        <v>165541.59999999989</v>
      </c>
      <c r="K44" s="191">
        <f t="shared" si="5"/>
        <v>165000</v>
      </c>
    </row>
    <row r="45" spans="1:11" ht="17" customHeight="1" x14ac:dyDescent="0.2">
      <c r="A45" s="88"/>
      <c r="B45" s="89">
        <f t="shared" si="3"/>
        <v>34072.622535635812</v>
      </c>
      <c r="C45" s="89">
        <f t="shared" ref="C45:D45" si="16">C44+(C46-C44)/2</f>
        <v>2669.6872718181307</v>
      </c>
      <c r="D45" s="89">
        <f t="shared" si="16"/>
        <v>36742.309807453945</v>
      </c>
      <c r="E45" s="89">
        <f t="shared" si="4"/>
        <v>35000</v>
      </c>
      <c r="F45" s="89"/>
      <c r="G45" s="219"/>
      <c r="H45" s="217"/>
      <c r="I45" s="217"/>
      <c r="J45" s="89"/>
      <c r="K45" s="191">
        <f>K44+1000</f>
        <v>166000</v>
      </c>
    </row>
    <row r="46" spans="1:11" ht="17" customHeight="1" x14ac:dyDescent="0.2">
      <c r="A46" s="88">
        <f>A44+1</f>
        <v>2030</v>
      </c>
      <c r="B46" s="89">
        <f t="shared" si="3"/>
        <v>34279.868537439608</v>
      </c>
      <c r="C46" s="89">
        <f>Data!AC28</f>
        <v>2688.8767164295932</v>
      </c>
      <c r="D46" s="89">
        <f>Data!AD28</f>
        <v>36968.745253869201</v>
      </c>
      <c r="E46" s="89">
        <f t="shared" si="4"/>
        <v>35000</v>
      </c>
      <c r="F46" s="90">
        <v>1000</v>
      </c>
      <c r="G46" s="91" t="s">
        <v>146</v>
      </c>
      <c r="H46" s="217">
        <f t="shared" si="0"/>
        <v>-1968.7452538692014</v>
      </c>
      <c r="I46" s="217">
        <f t="shared" si="1"/>
        <v>720.13146256039181</v>
      </c>
      <c r="J46" s="89">
        <f>Data!C28</f>
        <v>167665.44444444432</v>
      </c>
      <c r="K46" s="191">
        <f t="shared" si="5"/>
        <v>167000</v>
      </c>
    </row>
    <row r="47" spans="1:11" ht="17" customHeight="1" x14ac:dyDescent="0.2">
      <c r="A47" s="88"/>
      <c r="B47" s="89">
        <f t="shared" si="3"/>
        <v>34487.114539243412</v>
      </c>
      <c r="C47" s="89">
        <f t="shared" ref="C47:D47" si="17">C46+(C48-C46)/2</f>
        <v>2708.0661610410561</v>
      </c>
      <c r="D47" s="89">
        <f t="shared" si="17"/>
        <v>37195.180700284465</v>
      </c>
      <c r="E47" s="89">
        <f t="shared" si="4"/>
        <v>36000</v>
      </c>
      <c r="F47" s="89"/>
      <c r="G47" s="148"/>
      <c r="H47" s="217"/>
      <c r="I47" s="217"/>
      <c r="J47" s="89"/>
      <c r="K47" s="191">
        <f>K46+1000</f>
        <v>168000</v>
      </c>
    </row>
    <row r="48" spans="1:11" ht="17" customHeight="1" x14ac:dyDescent="0.2">
      <c r="A48" s="88">
        <f>A46+1</f>
        <v>2031</v>
      </c>
      <c r="B48" s="89">
        <f t="shared" si="3"/>
        <v>34694.360541047208</v>
      </c>
      <c r="C48" s="89">
        <f>Data!AC29</f>
        <v>2727.2556056525195</v>
      </c>
      <c r="D48" s="89">
        <f>Data!AD29</f>
        <v>37421.616146699729</v>
      </c>
      <c r="E48" s="89">
        <f>E47+F47</f>
        <v>36000</v>
      </c>
      <c r="F48" s="89">
        <v>1000</v>
      </c>
      <c r="G48" s="148" t="s">
        <v>147</v>
      </c>
      <c r="H48" s="217">
        <f t="shared" si="0"/>
        <v>-1421.6161466997291</v>
      </c>
      <c r="I48" s="217">
        <f t="shared" si="1"/>
        <v>1305.6394589527918</v>
      </c>
      <c r="J48" s="89">
        <f>Data!C29</f>
        <v>169789.28888888875</v>
      </c>
      <c r="K48" s="191">
        <f t="shared" si="5"/>
        <v>169000</v>
      </c>
    </row>
    <row r="49" spans="1:11" ht="17" customHeight="1" x14ac:dyDescent="0.2">
      <c r="A49" s="88"/>
      <c r="B49" s="89">
        <f t="shared" si="3"/>
        <v>34901.606542851005</v>
      </c>
      <c r="C49" s="89">
        <f t="shared" ref="C49:D49" si="18">C48+(C50-C48)/2</f>
        <v>2746.445050263982</v>
      </c>
      <c r="D49" s="89">
        <f t="shared" si="18"/>
        <v>37648.051593114986</v>
      </c>
      <c r="E49" s="89">
        <f>E48+F48</f>
        <v>37000</v>
      </c>
      <c r="F49" s="89"/>
      <c r="G49" s="148"/>
      <c r="H49" s="217"/>
      <c r="I49" s="217"/>
      <c r="J49" s="89"/>
      <c r="K49" s="191">
        <f>K48+1000</f>
        <v>170000</v>
      </c>
    </row>
    <row r="50" spans="1:11" ht="17" customHeight="1" x14ac:dyDescent="0.2">
      <c r="A50" s="88">
        <f>A48+1</f>
        <v>2032</v>
      </c>
      <c r="B50" s="89">
        <f t="shared" si="3"/>
        <v>35108.852544654801</v>
      </c>
      <c r="C50" s="89">
        <f>Data!AC30</f>
        <v>2765.6344948754449</v>
      </c>
      <c r="D50" s="89">
        <f>Data!AD30</f>
        <v>37874.487039530242</v>
      </c>
      <c r="E50" s="89">
        <f t="shared" si="4"/>
        <v>37000</v>
      </c>
      <c r="F50" s="89"/>
      <c r="G50" s="148"/>
      <c r="H50" s="217">
        <f t="shared" si="0"/>
        <v>-874.48703953024233</v>
      </c>
      <c r="I50" s="217">
        <f t="shared" si="1"/>
        <v>1891.147455345199</v>
      </c>
      <c r="J50" s="89">
        <f>Data!C30</f>
        <v>171913.13333333319</v>
      </c>
      <c r="K50" s="191">
        <f t="shared" si="5"/>
        <v>171000</v>
      </c>
    </row>
    <row r="51" spans="1:11" ht="17" customHeight="1" x14ac:dyDescent="0.2">
      <c r="A51" s="88"/>
      <c r="B51" s="89">
        <f t="shared" si="3"/>
        <v>35316.098546458605</v>
      </c>
      <c r="C51" s="89">
        <f t="shared" ref="C51:D51" si="19">C50+(C52-C50)/2</f>
        <v>2784.8239394869079</v>
      </c>
      <c r="D51" s="89">
        <f t="shared" si="19"/>
        <v>38100.922485945513</v>
      </c>
      <c r="E51" s="89">
        <f t="shared" si="4"/>
        <v>37000</v>
      </c>
      <c r="F51" s="89"/>
      <c r="G51" s="148"/>
      <c r="H51" s="217"/>
      <c r="I51" s="217"/>
      <c r="J51" s="89"/>
      <c r="K51" s="191">
        <f>K50+1000</f>
        <v>172000</v>
      </c>
    </row>
    <row r="52" spans="1:11" ht="17" customHeight="1" x14ac:dyDescent="0.2">
      <c r="A52" s="88">
        <f>A50+1</f>
        <v>2033</v>
      </c>
      <c r="B52" s="89">
        <f t="shared" si="3"/>
        <v>35523.344548262408</v>
      </c>
      <c r="C52" s="89">
        <f>Data!AC31</f>
        <v>2804.0133840983708</v>
      </c>
      <c r="D52" s="89">
        <f>Data!AD31</f>
        <v>38327.357932360777</v>
      </c>
      <c r="E52" s="89">
        <f t="shared" si="4"/>
        <v>37000</v>
      </c>
      <c r="F52" s="89">
        <v>5000</v>
      </c>
      <c r="G52" s="219" t="s">
        <v>118</v>
      </c>
      <c r="H52" s="217">
        <f t="shared" si="0"/>
        <v>-1327.3579323607773</v>
      </c>
      <c r="I52" s="217">
        <f t="shared" si="1"/>
        <v>1476.6554517375916</v>
      </c>
      <c r="J52" s="89">
        <f>Data!C31</f>
        <v>174036.97777777762</v>
      </c>
      <c r="K52" s="191">
        <f t="shared" si="5"/>
        <v>174000</v>
      </c>
    </row>
    <row r="53" spans="1:11" ht="17" customHeight="1" x14ac:dyDescent="0.2">
      <c r="A53" s="88"/>
      <c r="B53" s="89">
        <f t="shared" si="3"/>
        <v>35730.590550066205</v>
      </c>
      <c r="C53" s="89">
        <f t="shared" ref="C53:D53" si="20">C52+(C54-C52)/2</f>
        <v>2823.2028287098337</v>
      </c>
      <c r="D53" s="89">
        <f t="shared" si="20"/>
        <v>38553.793378776041</v>
      </c>
      <c r="E53" s="89">
        <f t="shared" si="4"/>
        <v>42000</v>
      </c>
      <c r="F53" s="89"/>
      <c r="G53" s="219"/>
      <c r="H53" s="217"/>
      <c r="I53" s="217"/>
      <c r="J53" s="89"/>
      <c r="K53" s="191">
        <f>K52+1000</f>
        <v>175000</v>
      </c>
    </row>
    <row r="54" spans="1:11" ht="17" customHeight="1" x14ac:dyDescent="0.2">
      <c r="A54" s="88">
        <f>A52+1</f>
        <v>2034</v>
      </c>
      <c r="B54" s="89">
        <f t="shared" si="3"/>
        <v>35937.836551870001</v>
      </c>
      <c r="C54" s="89">
        <f>Data!AC32</f>
        <v>2842.3922733212962</v>
      </c>
      <c r="D54" s="89">
        <f>Data!AD32</f>
        <v>38780.228825191298</v>
      </c>
      <c r="E54" s="89">
        <f t="shared" si="4"/>
        <v>42000</v>
      </c>
      <c r="F54" s="89"/>
      <c r="G54" s="148"/>
      <c r="H54" s="217">
        <f t="shared" si="0"/>
        <v>3219.7711748087022</v>
      </c>
      <c r="I54" s="217">
        <f t="shared" si="1"/>
        <v>6062.1634481299989</v>
      </c>
      <c r="J54" s="89">
        <f>Data!C32</f>
        <v>176160.82222222205</v>
      </c>
      <c r="K54" s="191">
        <f t="shared" si="5"/>
        <v>176000</v>
      </c>
    </row>
    <row r="55" spans="1:11" ht="17" customHeight="1" x14ac:dyDescent="0.2">
      <c r="A55" s="88"/>
      <c r="B55" s="89">
        <f t="shared" si="3"/>
        <v>36145.082553673798</v>
      </c>
      <c r="C55" s="89">
        <f t="shared" ref="C55:D55" si="21">C54+(C56-C54)/2</f>
        <v>2861.5817179327596</v>
      </c>
      <c r="D55" s="89">
        <f t="shared" si="21"/>
        <v>39006.664271606554</v>
      </c>
      <c r="E55" s="89">
        <f t="shared" si="4"/>
        <v>42000</v>
      </c>
      <c r="F55" s="89"/>
      <c r="G55" s="148"/>
      <c r="H55" s="217"/>
      <c r="I55" s="217"/>
      <c r="J55" s="89"/>
      <c r="K55" s="191">
        <f>K54+1000</f>
        <v>177000</v>
      </c>
    </row>
    <row r="56" spans="1:11" ht="17" customHeight="1" x14ac:dyDescent="0.2">
      <c r="A56" s="88">
        <f>A54+1</f>
        <v>2035</v>
      </c>
      <c r="B56" s="89">
        <f t="shared" si="3"/>
        <v>36352.328555477594</v>
      </c>
      <c r="C56" s="89">
        <f>Data!AC33</f>
        <v>2880.7711625442225</v>
      </c>
      <c r="D56" s="89">
        <f>Data!AD33</f>
        <v>39233.099718021818</v>
      </c>
      <c r="E56" s="89">
        <f t="shared" si="4"/>
        <v>42000</v>
      </c>
      <c r="F56" s="89"/>
      <c r="G56" s="219"/>
      <c r="H56" s="217">
        <f t="shared" si="0"/>
        <v>2766.9002819781817</v>
      </c>
      <c r="I56" s="217">
        <f t="shared" si="1"/>
        <v>5647.6714445224061</v>
      </c>
      <c r="J56" s="89">
        <f>Data!C33</f>
        <v>178284.66666666648</v>
      </c>
      <c r="K56" s="191">
        <f t="shared" si="5"/>
        <v>178000</v>
      </c>
    </row>
    <row r="57" spans="1:11" ht="17" customHeight="1" x14ac:dyDescent="0.2">
      <c r="A57" s="88"/>
      <c r="B57" s="89">
        <f t="shared" si="3"/>
        <v>36559.574557281398</v>
      </c>
      <c r="C57" s="89">
        <f t="shared" ref="C57:D57" si="22">C56+(C58-C56)/2</f>
        <v>2899.960607155685</v>
      </c>
      <c r="D57" s="89">
        <f t="shared" si="22"/>
        <v>39459.535164437082</v>
      </c>
      <c r="E57" s="89">
        <f t="shared" si="4"/>
        <v>42000</v>
      </c>
      <c r="F57" s="89"/>
      <c r="G57" s="219"/>
      <c r="H57" s="217"/>
      <c r="I57" s="217"/>
      <c r="J57" s="89"/>
      <c r="K57" s="191">
        <f>K56+1000</f>
        <v>179000</v>
      </c>
    </row>
    <row r="58" spans="1:11" ht="17" customHeight="1" x14ac:dyDescent="0.2">
      <c r="A58" s="88">
        <f>A56+1</f>
        <v>2036</v>
      </c>
      <c r="B58" s="89">
        <f t="shared" si="3"/>
        <v>36766.820559085194</v>
      </c>
      <c r="C58" s="89">
        <f>Data!AC34</f>
        <v>2919.1500517671475</v>
      </c>
      <c r="D58" s="89">
        <f>Data!AD34</f>
        <v>39685.970610852339</v>
      </c>
      <c r="E58" s="89">
        <f t="shared" si="4"/>
        <v>42000</v>
      </c>
      <c r="F58" s="89"/>
      <c r="G58" s="148"/>
      <c r="H58" s="217">
        <f t="shared" si="0"/>
        <v>2314.0293891476613</v>
      </c>
      <c r="I58" s="217">
        <f t="shared" si="1"/>
        <v>5233.179440914806</v>
      </c>
      <c r="J58" s="89">
        <f>Data!C34</f>
        <v>180408.51111111091</v>
      </c>
      <c r="K58" s="191">
        <f t="shared" si="5"/>
        <v>180000</v>
      </c>
    </row>
    <row r="59" spans="1:11" ht="17" customHeight="1" x14ac:dyDescent="0.2">
      <c r="A59" s="88"/>
      <c r="B59" s="89">
        <f t="shared" si="3"/>
        <v>36974.06656088899</v>
      </c>
      <c r="C59" s="89">
        <f t="shared" ref="C59:D59" si="23">C58+(C60-C58)/2</f>
        <v>2938.3394963786104</v>
      </c>
      <c r="D59" s="89">
        <f t="shared" si="23"/>
        <v>39912.406057267603</v>
      </c>
      <c r="E59" s="89">
        <f t="shared" si="4"/>
        <v>42000</v>
      </c>
      <c r="F59" s="89"/>
      <c r="G59" s="148"/>
      <c r="H59" s="217"/>
      <c r="I59" s="217"/>
      <c r="J59" s="89"/>
      <c r="K59" s="191">
        <f>K58+1000</f>
        <v>181000</v>
      </c>
    </row>
    <row r="60" spans="1:11" ht="17" customHeight="1" x14ac:dyDescent="0.2">
      <c r="A60" s="88">
        <f>A58+1</f>
        <v>2037</v>
      </c>
      <c r="B60" s="89">
        <f t="shared" si="3"/>
        <v>37181.312562692794</v>
      </c>
      <c r="C60" s="89">
        <f>Data!AC35</f>
        <v>2957.5289409900734</v>
      </c>
      <c r="D60" s="89">
        <f>Data!AD35</f>
        <v>40138.841503682866</v>
      </c>
      <c r="E60" s="89">
        <f t="shared" si="4"/>
        <v>42000</v>
      </c>
      <c r="F60" s="89"/>
      <c r="G60" s="219"/>
      <c r="H60" s="217">
        <f t="shared" si="0"/>
        <v>1861.1584963171335</v>
      </c>
      <c r="I60" s="217">
        <f t="shared" si="1"/>
        <v>4818.687437307206</v>
      </c>
      <c r="J60" s="89">
        <f>Data!C35</f>
        <v>182532.35555555535</v>
      </c>
      <c r="K60" s="191">
        <f t="shared" si="5"/>
        <v>182000</v>
      </c>
    </row>
    <row r="61" spans="1:11" ht="17" customHeight="1" x14ac:dyDescent="0.2">
      <c r="A61" s="88"/>
      <c r="B61" s="89">
        <f t="shared" si="3"/>
        <v>37388.55856449659</v>
      </c>
      <c r="C61" s="89">
        <f t="shared" ref="C61:D61" si="24">C60+(C62-C60)/2</f>
        <v>2976.7183856015363</v>
      </c>
      <c r="D61" s="89">
        <f t="shared" si="24"/>
        <v>40365.276950098123</v>
      </c>
      <c r="E61" s="89">
        <f t="shared" si="4"/>
        <v>42000</v>
      </c>
      <c r="F61" s="89"/>
      <c r="G61" s="219"/>
      <c r="H61" s="217"/>
      <c r="I61" s="217"/>
      <c r="J61" s="89"/>
      <c r="K61" s="191">
        <f>K60+1000</f>
        <v>183000</v>
      </c>
    </row>
    <row r="62" spans="1:11" ht="17" customHeight="1" x14ac:dyDescent="0.2">
      <c r="A62" s="88">
        <f>A60+1</f>
        <v>2038</v>
      </c>
      <c r="B62" s="89">
        <f t="shared" si="3"/>
        <v>37595.804566300387</v>
      </c>
      <c r="C62" s="89">
        <f>Data!AC36</f>
        <v>2995.9078302129988</v>
      </c>
      <c r="D62" s="89">
        <f>Data!AD36</f>
        <v>40591.712396513387</v>
      </c>
      <c r="E62" s="89">
        <f t="shared" si="4"/>
        <v>42000</v>
      </c>
      <c r="F62" s="89"/>
      <c r="G62" s="148"/>
      <c r="H62" s="217">
        <f t="shared" si="0"/>
        <v>1408.2876034866131</v>
      </c>
      <c r="I62" s="217">
        <f t="shared" si="1"/>
        <v>4404.1954336996132</v>
      </c>
      <c r="J62" s="89">
        <f>Data!C36</f>
        <v>184656.19999999978</v>
      </c>
      <c r="K62" s="191">
        <f t="shared" si="5"/>
        <v>184000</v>
      </c>
    </row>
    <row r="63" spans="1:11" ht="17" customHeight="1" x14ac:dyDescent="0.2">
      <c r="A63" s="88"/>
      <c r="B63" s="89">
        <f t="shared" si="3"/>
        <v>37803.05056810419</v>
      </c>
      <c r="C63" s="89">
        <f t="shared" ref="C63:D63" si="25">C62+(C64-C62)/2</f>
        <v>3015.0972748244617</v>
      </c>
      <c r="D63" s="89">
        <f t="shared" si="25"/>
        <v>40818.147842928651</v>
      </c>
      <c r="E63" s="89">
        <f t="shared" si="4"/>
        <v>42000</v>
      </c>
      <c r="F63" s="89"/>
      <c r="G63" s="148"/>
      <c r="H63" s="217"/>
      <c r="I63" s="217"/>
      <c r="J63" s="89"/>
      <c r="K63" s="191">
        <f>K62+1000</f>
        <v>185000</v>
      </c>
    </row>
    <row r="64" spans="1:11" ht="17" customHeight="1" x14ac:dyDescent="0.2">
      <c r="A64" s="88">
        <f>A62+1</f>
        <v>2039</v>
      </c>
      <c r="B64" s="89">
        <f t="shared" si="3"/>
        <v>38010.29656990798</v>
      </c>
      <c r="C64" s="89">
        <f>Data!AC37</f>
        <v>3034.2867194359246</v>
      </c>
      <c r="D64" s="89">
        <f>Data!AD37</f>
        <v>41044.583289343907</v>
      </c>
      <c r="E64" s="89">
        <f t="shared" si="4"/>
        <v>42000</v>
      </c>
      <c r="F64" s="89"/>
      <c r="G64" s="219"/>
      <c r="H64" s="217">
        <f t="shared" si="0"/>
        <v>955.41671065609262</v>
      </c>
      <c r="I64" s="217">
        <f t="shared" si="1"/>
        <v>3989.7034300920204</v>
      </c>
      <c r="J64" s="89">
        <f>Data!C37</f>
        <v>186780.04444444421</v>
      </c>
      <c r="K64" s="191">
        <f t="shared" si="5"/>
        <v>186000</v>
      </c>
    </row>
    <row r="65" spans="1:11" ht="17" customHeight="1" x14ac:dyDescent="0.2">
      <c r="A65" s="88"/>
      <c r="B65" s="89">
        <f t="shared" si="3"/>
        <v>38217.542571711776</v>
      </c>
      <c r="C65" s="89">
        <f t="shared" ref="C65:D65" si="26">C64+(C66-C64)/2</f>
        <v>3053.4761640473871</v>
      </c>
      <c r="D65" s="89">
        <f t="shared" si="26"/>
        <v>41271.018735759164</v>
      </c>
      <c r="E65" s="89">
        <f t="shared" si="4"/>
        <v>42000</v>
      </c>
      <c r="F65" s="89"/>
      <c r="G65" s="219"/>
      <c r="H65" s="217"/>
      <c r="I65" s="217"/>
      <c r="J65" s="89"/>
      <c r="K65" s="191">
        <f>K64+1000</f>
        <v>187000</v>
      </c>
    </row>
    <row r="66" spans="1:11" ht="17" customHeight="1" x14ac:dyDescent="0.2">
      <c r="A66" s="88">
        <f>A64+1</f>
        <v>2040</v>
      </c>
      <c r="B66" s="89">
        <f t="shared" si="3"/>
        <v>38424.78857351558</v>
      </c>
      <c r="C66" s="89">
        <f>Data!AC38</f>
        <v>3072.66560865885</v>
      </c>
      <c r="D66" s="89">
        <f>Data!AD38</f>
        <v>41497.454182174428</v>
      </c>
      <c r="E66" s="89">
        <f t="shared" si="4"/>
        <v>42000</v>
      </c>
      <c r="F66" s="89"/>
      <c r="G66" s="148" t="s">
        <v>100</v>
      </c>
      <c r="H66" s="217">
        <f t="shared" si="0"/>
        <v>502.54581782557216</v>
      </c>
      <c r="I66" s="217">
        <f t="shared" si="1"/>
        <v>3575.2114264844204</v>
      </c>
      <c r="J66" s="89">
        <f>Data!C38</f>
        <v>188903.88888888864</v>
      </c>
      <c r="K66" s="191">
        <f t="shared" si="5"/>
        <v>188000</v>
      </c>
    </row>
    <row r="67" spans="1:11" ht="17" customHeight="1" x14ac:dyDescent="0.2">
      <c r="A67" s="88"/>
      <c r="B67" s="89">
        <f t="shared" si="3"/>
        <v>38632.034575319376</v>
      </c>
      <c r="C67" s="89">
        <f t="shared" ref="C67:D67" si="27">C66+(C68-C66)/2</f>
        <v>3091.855053270313</v>
      </c>
      <c r="D67" s="89">
        <f t="shared" si="27"/>
        <v>41723.889628589692</v>
      </c>
      <c r="E67" s="89">
        <f t="shared" si="4"/>
        <v>42000</v>
      </c>
      <c r="F67" s="89"/>
      <c r="G67" s="148"/>
      <c r="H67" s="217"/>
      <c r="I67" s="217"/>
      <c r="J67" s="89"/>
      <c r="K67" s="191">
        <f>K66+1000</f>
        <v>189000</v>
      </c>
    </row>
    <row r="68" spans="1:11" ht="17" customHeight="1" x14ac:dyDescent="0.2">
      <c r="A68" s="88">
        <f>A66+1</f>
        <v>2041</v>
      </c>
      <c r="B68" s="89">
        <f t="shared" si="3"/>
        <v>38839.28057712318</v>
      </c>
      <c r="C68" s="89">
        <f>Data!AC39</f>
        <v>3111.0444978817759</v>
      </c>
      <c r="D68" s="89">
        <f>Data!AD39</f>
        <v>41950.325075004956</v>
      </c>
      <c r="E68" s="89">
        <f t="shared" si="4"/>
        <v>42000</v>
      </c>
      <c r="F68" s="89"/>
      <c r="G68" s="219"/>
      <c r="H68" s="217">
        <f t="shared" si="0"/>
        <v>49.674924995044421</v>
      </c>
      <c r="I68" s="217">
        <f t="shared" si="1"/>
        <v>3160.7194228768203</v>
      </c>
      <c r="J68" s="89">
        <f>Data!C39</f>
        <v>191027.73333333308</v>
      </c>
      <c r="K68" s="191">
        <f t="shared" si="5"/>
        <v>191000</v>
      </c>
    </row>
    <row r="69" spans="1:11" ht="17" customHeight="1" x14ac:dyDescent="0.2">
      <c r="A69" s="88"/>
      <c r="B69" s="89">
        <f t="shared" si="3"/>
        <v>39046.526578926983</v>
      </c>
      <c r="C69" s="89">
        <f t="shared" ref="C69:D69" si="28">C68+(C70-C68)/2</f>
        <v>3130.2339424932388</v>
      </c>
      <c r="D69" s="89">
        <f t="shared" si="28"/>
        <v>42176.760521420219</v>
      </c>
      <c r="E69" s="89">
        <f t="shared" si="4"/>
        <v>42000</v>
      </c>
      <c r="F69" s="89"/>
      <c r="G69" s="219"/>
      <c r="H69" s="217"/>
      <c r="I69" s="217"/>
      <c r="J69" s="89"/>
      <c r="K69" s="191">
        <f>K68+1000</f>
        <v>192000</v>
      </c>
    </row>
    <row r="70" spans="1:11" ht="17" customHeight="1" x14ac:dyDescent="0.2">
      <c r="A70" s="88">
        <f>A68+1</f>
        <v>2042</v>
      </c>
      <c r="B70" s="89">
        <f t="shared" si="3"/>
        <v>39253.772580730772</v>
      </c>
      <c r="C70" s="89">
        <f>Data!AC40</f>
        <v>3149.4233871047013</v>
      </c>
      <c r="D70" s="89">
        <f>Data!AD40</f>
        <v>42403.195967835476</v>
      </c>
      <c r="E70" s="89">
        <f t="shared" ref="E70:E125" si="29">E69+F69</f>
        <v>42000</v>
      </c>
      <c r="F70" s="89"/>
      <c r="G70" s="148"/>
      <c r="H70" s="217">
        <f t="shared" si="0"/>
        <v>-403.19596783547604</v>
      </c>
      <c r="I70" s="217">
        <f t="shared" si="1"/>
        <v>2746.2274192692275</v>
      </c>
      <c r="J70" s="89">
        <f>Data!C40</f>
        <v>193151.57777777751</v>
      </c>
      <c r="K70" s="191">
        <f t="shared" si="5"/>
        <v>193000</v>
      </c>
    </row>
    <row r="71" spans="1:11" ht="17" customHeight="1" x14ac:dyDescent="0.2">
      <c r="A71" s="88"/>
      <c r="B71" s="89">
        <f t="shared" si="3"/>
        <v>39461.018582534576</v>
      </c>
      <c r="C71" s="89">
        <f t="shared" ref="C71:D71" si="30">C70+(C72-C70)/2</f>
        <v>3168.6128317161647</v>
      </c>
      <c r="D71" s="89">
        <f t="shared" si="30"/>
        <v>42629.63141425074</v>
      </c>
      <c r="E71" s="89">
        <f t="shared" si="29"/>
        <v>42000</v>
      </c>
      <c r="F71" s="89"/>
      <c r="G71" s="148"/>
      <c r="H71" s="217"/>
      <c r="I71" s="217"/>
      <c r="J71" s="89"/>
      <c r="K71" s="191">
        <f>K70+1000</f>
        <v>194000</v>
      </c>
    </row>
    <row r="72" spans="1:11" ht="17" customHeight="1" x14ac:dyDescent="0.2">
      <c r="A72" s="88">
        <f>A70+1</f>
        <v>2043</v>
      </c>
      <c r="B72" s="89">
        <f t="shared" si="3"/>
        <v>39668.26458433838</v>
      </c>
      <c r="C72" s="89">
        <f>Data!AC41</f>
        <v>3187.8022763276276</v>
      </c>
      <c r="D72" s="89">
        <f>Data!AD41</f>
        <v>42856.066860666004</v>
      </c>
      <c r="E72" s="89">
        <f t="shared" si="29"/>
        <v>42000</v>
      </c>
      <c r="F72" s="89">
        <v>4000</v>
      </c>
      <c r="G72" s="219" t="s">
        <v>118</v>
      </c>
      <c r="H72" s="217">
        <f t="shared" si="0"/>
        <v>-856.06686066600378</v>
      </c>
      <c r="I72" s="217">
        <f t="shared" si="1"/>
        <v>2331.7354156616202</v>
      </c>
      <c r="J72" s="89">
        <f>Data!C41</f>
        <v>195275.42222222194</v>
      </c>
      <c r="K72" s="191">
        <f t="shared" si="5"/>
        <v>195000</v>
      </c>
    </row>
    <row r="73" spans="1:11" ht="17" customHeight="1" x14ac:dyDescent="0.2">
      <c r="A73" s="88">
        <f>A72+1</f>
        <v>2044</v>
      </c>
      <c r="B73" s="89">
        <f t="shared" si="3"/>
        <v>40082.756587945973</v>
      </c>
      <c r="C73" s="89">
        <f>Data!AC42</f>
        <v>3226.1811655505535</v>
      </c>
      <c r="D73" s="89">
        <f>Data!AD42</f>
        <v>43308.937753496524</v>
      </c>
      <c r="E73" s="89">
        <f t="shared" si="29"/>
        <v>46000</v>
      </c>
      <c r="F73" s="89"/>
      <c r="G73" s="148"/>
      <c r="H73" s="217">
        <f t="shared" si="0"/>
        <v>2691.0622465034758</v>
      </c>
      <c r="I73" s="217">
        <f t="shared" si="1"/>
        <v>5917.2434120540274</v>
      </c>
      <c r="J73" s="89">
        <f>Data!C42</f>
        <v>197399.26666666637</v>
      </c>
      <c r="K73" s="191">
        <f t="shared" si="5"/>
        <v>197000</v>
      </c>
    </row>
    <row r="74" spans="1:11" ht="17" customHeight="1" x14ac:dyDescent="0.2">
      <c r="A74" s="88"/>
      <c r="B74" s="89">
        <f t="shared" si="3"/>
        <v>40290.002589749769</v>
      </c>
      <c r="C74" s="89">
        <f t="shared" ref="C74:D74" si="31">C73+(C75-C73)/2</f>
        <v>3245.3706101620164</v>
      </c>
      <c r="D74" s="89">
        <f t="shared" si="31"/>
        <v>43535.373199911788</v>
      </c>
      <c r="E74" s="89">
        <f t="shared" si="29"/>
        <v>46000</v>
      </c>
      <c r="F74" s="89"/>
      <c r="G74" s="148"/>
      <c r="H74" s="217"/>
      <c r="I74" s="217"/>
      <c r="J74" s="89"/>
      <c r="K74" s="191">
        <f>K73+1000</f>
        <v>198000</v>
      </c>
    </row>
    <row r="75" spans="1:11" ht="17" customHeight="1" x14ac:dyDescent="0.2">
      <c r="A75" s="88">
        <f>A73+1</f>
        <v>2045</v>
      </c>
      <c r="B75" s="89">
        <f t="shared" si="3"/>
        <v>40497.248591553565</v>
      </c>
      <c r="C75" s="89">
        <f>Data!AC43</f>
        <v>3264.5600547734789</v>
      </c>
      <c r="D75" s="89">
        <f>Data!AD43</f>
        <v>43761.808646327045</v>
      </c>
      <c r="E75" s="89">
        <f t="shared" si="29"/>
        <v>46000</v>
      </c>
      <c r="F75" s="89"/>
      <c r="G75" s="219"/>
      <c r="H75" s="217">
        <f t="shared" si="0"/>
        <v>2238.1913536729553</v>
      </c>
      <c r="I75" s="217">
        <f t="shared" si="1"/>
        <v>5502.7514084464347</v>
      </c>
      <c r="J75" s="89">
        <f>Data!C43</f>
        <v>199523.1111111108</v>
      </c>
      <c r="K75" s="191">
        <f t="shared" si="5"/>
        <v>199000</v>
      </c>
    </row>
    <row r="76" spans="1:11" ht="17" customHeight="1" x14ac:dyDescent="0.2">
      <c r="A76" s="88"/>
      <c r="B76" s="89">
        <f t="shared" si="3"/>
        <v>40704.494593357362</v>
      </c>
      <c r="C76" s="89">
        <f t="shared" ref="C76:D76" si="32">C75+(C77-C75)/2</f>
        <v>3283.7494993849414</v>
      </c>
      <c r="D76" s="89">
        <f t="shared" si="32"/>
        <v>43988.244092742301</v>
      </c>
      <c r="E76" s="89">
        <f t="shared" si="29"/>
        <v>46000</v>
      </c>
      <c r="F76" s="89"/>
      <c r="G76" s="219"/>
      <c r="H76" s="217"/>
      <c r="I76" s="217"/>
      <c r="J76" s="89"/>
      <c r="K76" s="191">
        <f>K75+1000</f>
        <v>200000</v>
      </c>
    </row>
    <row r="77" spans="1:11" ht="17" customHeight="1" x14ac:dyDescent="0.2">
      <c r="A77" s="88">
        <f>A75+1</f>
        <v>2046</v>
      </c>
      <c r="B77" s="89">
        <f t="shared" si="3"/>
        <v>40911.740595161158</v>
      </c>
      <c r="C77" s="89">
        <f>Data!AC44</f>
        <v>3302.9389439964043</v>
      </c>
      <c r="D77" s="89">
        <f>Data!AD44</f>
        <v>44214.679539157565</v>
      </c>
      <c r="E77" s="89">
        <f t="shared" si="29"/>
        <v>46000</v>
      </c>
      <c r="F77" s="89"/>
      <c r="G77" s="148"/>
      <c r="H77" s="217">
        <f t="shared" si="0"/>
        <v>1785.3204608424348</v>
      </c>
      <c r="I77" s="217">
        <f t="shared" si="1"/>
        <v>5088.2594048388419</v>
      </c>
      <c r="J77" s="89">
        <f>Data!C44</f>
        <v>201646.95555555524</v>
      </c>
      <c r="K77" s="191">
        <f t="shared" si="5"/>
        <v>201000</v>
      </c>
    </row>
    <row r="78" spans="1:11" ht="17" customHeight="1" x14ac:dyDescent="0.2">
      <c r="A78" s="88"/>
      <c r="B78" s="89">
        <f t="shared" si="3"/>
        <v>41118.986596964962</v>
      </c>
      <c r="C78" s="89">
        <f t="shared" ref="C78:D78" si="33">C77+(C79-C77)/2</f>
        <v>3322.1283886078672</v>
      </c>
      <c r="D78" s="89">
        <f t="shared" si="33"/>
        <v>44441.114985572829</v>
      </c>
      <c r="E78" s="89">
        <f t="shared" si="29"/>
        <v>46000</v>
      </c>
      <c r="F78" s="89"/>
      <c r="G78" s="148"/>
      <c r="H78" s="217"/>
      <c r="I78" s="217"/>
      <c r="J78" s="89"/>
      <c r="K78" s="191">
        <f>K77+1000</f>
        <v>202000</v>
      </c>
    </row>
    <row r="79" spans="1:11" ht="17" customHeight="1" x14ac:dyDescent="0.2">
      <c r="A79" s="88">
        <f>A77+1</f>
        <v>2047</v>
      </c>
      <c r="B79" s="89">
        <f t="shared" si="3"/>
        <v>41326.232598768765</v>
      </c>
      <c r="C79" s="89">
        <f>Data!AC45</f>
        <v>3341.3178332193306</v>
      </c>
      <c r="D79" s="89">
        <f>Data!AD45</f>
        <v>44667.550431988093</v>
      </c>
      <c r="E79" s="89">
        <f t="shared" si="29"/>
        <v>46000</v>
      </c>
      <c r="F79" s="89"/>
      <c r="G79" s="219"/>
      <c r="H79" s="217">
        <f t="shared" si="0"/>
        <v>1332.4495680119071</v>
      </c>
      <c r="I79" s="217">
        <f t="shared" si="1"/>
        <v>4673.7674012312345</v>
      </c>
      <c r="J79" s="89">
        <f>Data!C45</f>
        <v>203770.79999999967</v>
      </c>
      <c r="K79" s="191">
        <f t="shared" si="5"/>
        <v>203000</v>
      </c>
    </row>
    <row r="80" spans="1:11" ht="17" customHeight="1" x14ac:dyDescent="0.2">
      <c r="A80" s="88"/>
      <c r="B80" s="89">
        <f t="shared" si="3"/>
        <v>41533.478600572562</v>
      </c>
      <c r="C80" s="89">
        <f t="shared" ref="C80:D80" si="34">C79+(C81-C79)/2</f>
        <v>3360.5072778307931</v>
      </c>
      <c r="D80" s="89">
        <f t="shared" si="34"/>
        <v>44893.985878403357</v>
      </c>
      <c r="E80" s="89">
        <f t="shared" si="29"/>
        <v>46000</v>
      </c>
      <c r="F80" s="89"/>
      <c r="G80" s="219"/>
      <c r="H80" s="217"/>
      <c r="I80" s="217"/>
      <c r="J80" s="89"/>
      <c r="K80" s="191">
        <f>K79+1000</f>
        <v>204000</v>
      </c>
    </row>
    <row r="81" spans="1:11" ht="17" customHeight="1" x14ac:dyDescent="0.2">
      <c r="A81" s="88">
        <f>A79+1</f>
        <v>2048</v>
      </c>
      <c r="B81" s="89">
        <f t="shared" si="3"/>
        <v>41740.724602376358</v>
      </c>
      <c r="C81" s="89">
        <f>Data!AC46</f>
        <v>3379.6967224422551</v>
      </c>
      <c r="D81" s="89">
        <f>Data!AD46</f>
        <v>45120.421324818613</v>
      </c>
      <c r="E81" s="89">
        <f t="shared" si="29"/>
        <v>46000</v>
      </c>
      <c r="F81" s="89"/>
      <c r="G81" s="148"/>
      <c r="H81" s="217">
        <f t="shared" si="0"/>
        <v>879.57867518138664</v>
      </c>
      <c r="I81" s="217">
        <f t="shared" si="1"/>
        <v>4259.2753976236418</v>
      </c>
      <c r="J81" s="89">
        <f>Data!C46</f>
        <v>205894.6444444441</v>
      </c>
      <c r="K81" s="191">
        <f t="shared" si="5"/>
        <v>205000</v>
      </c>
    </row>
    <row r="82" spans="1:11" ht="17" customHeight="1" x14ac:dyDescent="0.2">
      <c r="A82" s="88"/>
      <c r="B82" s="89">
        <f t="shared" si="3"/>
        <v>41947.970604180155</v>
      </c>
      <c r="C82" s="89">
        <f t="shared" ref="C82:D82" si="35">C81+(C83-C81)/2</f>
        <v>3398.8861670537181</v>
      </c>
      <c r="D82" s="89">
        <f t="shared" si="35"/>
        <v>45346.85677123387</v>
      </c>
      <c r="E82" s="89">
        <f t="shared" si="29"/>
        <v>46000</v>
      </c>
      <c r="F82" s="89"/>
      <c r="G82" s="148"/>
      <c r="H82" s="217"/>
      <c r="I82" s="217"/>
      <c r="J82" s="89"/>
      <c r="K82" s="191">
        <f>K81+1000</f>
        <v>206000</v>
      </c>
    </row>
    <row r="83" spans="1:11" ht="17" customHeight="1" x14ac:dyDescent="0.2">
      <c r="A83" s="88">
        <f>A81+1</f>
        <v>2049</v>
      </c>
      <c r="B83" s="89">
        <f t="shared" si="3"/>
        <v>42155.216605983951</v>
      </c>
      <c r="C83" s="89">
        <f>Data!AC47</f>
        <v>3418.0756116651814</v>
      </c>
      <c r="D83" s="89">
        <f>Data!AD47</f>
        <v>45573.292217649134</v>
      </c>
      <c r="E83" s="89">
        <f t="shared" si="29"/>
        <v>46000</v>
      </c>
      <c r="F83" s="89"/>
      <c r="G83" s="219"/>
      <c r="H83" s="217">
        <f t="shared" si="0"/>
        <v>426.70778235086618</v>
      </c>
      <c r="I83" s="217">
        <f t="shared" si="1"/>
        <v>3844.783394016049</v>
      </c>
      <c r="J83" s="89">
        <f>Data!C47</f>
        <v>208018.48888888853</v>
      </c>
      <c r="K83" s="191">
        <f t="shared" si="5"/>
        <v>208000</v>
      </c>
    </row>
    <row r="84" spans="1:11" ht="17" customHeight="1" x14ac:dyDescent="0.2">
      <c r="A84" s="88"/>
      <c r="B84" s="89">
        <f t="shared" si="3"/>
        <v>42362.462607787755</v>
      </c>
      <c r="C84" s="89">
        <f t="shared" ref="C84:D84" si="36">C83+(C85-C83)/2</f>
        <v>3437.2650562766439</v>
      </c>
      <c r="D84" s="89">
        <f t="shared" si="36"/>
        <v>45799.727664064398</v>
      </c>
      <c r="E84" s="89">
        <f t="shared" si="29"/>
        <v>46000</v>
      </c>
      <c r="F84" s="89"/>
      <c r="G84" s="219"/>
      <c r="H84" s="217"/>
      <c r="I84" s="217"/>
      <c r="J84" s="89"/>
      <c r="K84" s="191">
        <f>K83+1000</f>
        <v>209000</v>
      </c>
    </row>
    <row r="85" spans="1:11" ht="17" customHeight="1" x14ac:dyDescent="0.2">
      <c r="A85" s="88">
        <f>A83+1</f>
        <v>2050</v>
      </c>
      <c r="B85" s="89">
        <f t="shared" si="3"/>
        <v>42569.708609591558</v>
      </c>
      <c r="C85" s="89">
        <f>Data!AC48</f>
        <v>3456.4545008881068</v>
      </c>
      <c r="D85" s="89">
        <f>Data!AD48</f>
        <v>46026.163110479669</v>
      </c>
      <c r="E85" s="89">
        <f t="shared" si="29"/>
        <v>46000</v>
      </c>
      <c r="F85" s="89"/>
      <c r="G85" s="148"/>
      <c r="H85" s="217">
        <f t="shared" si="0"/>
        <v>-26.163110479668831</v>
      </c>
      <c r="I85" s="217">
        <f t="shared" si="1"/>
        <v>3430.2913904084417</v>
      </c>
      <c r="J85" s="89">
        <f>Data!C48</f>
        <v>210142.33333333296</v>
      </c>
      <c r="K85" s="191">
        <f t="shared" si="5"/>
        <v>210000</v>
      </c>
    </row>
    <row r="86" spans="1:11" ht="17" customHeight="1" x14ac:dyDescent="0.2">
      <c r="A86" s="88"/>
      <c r="B86" s="89">
        <f t="shared" si="3"/>
        <v>42776.954611395355</v>
      </c>
      <c r="C86" s="89">
        <f t="shared" ref="C86:D86" si="37">C85+(C87-C85)/2</f>
        <v>3475.6439454995698</v>
      </c>
      <c r="D86" s="89">
        <f t="shared" si="37"/>
        <v>46252.598556894925</v>
      </c>
      <c r="E86" s="89">
        <f t="shared" si="29"/>
        <v>46000</v>
      </c>
      <c r="F86" s="89"/>
      <c r="G86" s="148"/>
      <c r="H86" s="217"/>
      <c r="I86" s="217"/>
      <c r="J86" s="89"/>
      <c r="K86" s="191">
        <f>K85+1000</f>
        <v>211000</v>
      </c>
    </row>
    <row r="87" spans="1:11" ht="17" customHeight="1" x14ac:dyDescent="0.2">
      <c r="A87" s="88">
        <f>A85+1</f>
        <v>2051</v>
      </c>
      <c r="B87" s="89">
        <f t="shared" si="3"/>
        <v>42984.200613199151</v>
      </c>
      <c r="C87" s="89">
        <f>Data!AC49</f>
        <v>3494.8333901110327</v>
      </c>
      <c r="D87" s="89">
        <f>Data!AD49</f>
        <v>46479.034003310182</v>
      </c>
      <c r="E87" s="89">
        <f t="shared" si="29"/>
        <v>46000</v>
      </c>
      <c r="F87" s="89">
        <v>2000</v>
      </c>
      <c r="G87" s="219" t="s">
        <v>145</v>
      </c>
      <c r="H87" s="217">
        <f t="shared" si="0"/>
        <v>-479.03400331018202</v>
      </c>
      <c r="I87" s="217">
        <f t="shared" si="1"/>
        <v>3015.7993868008489</v>
      </c>
      <c r="J87" s="89">
        <f>Data!C49</f>
        <v>212266.1777777774</v>
      </c>
      <c r="K87" s="191">
        <f t="shared" si="5"/>
        <v>212000</v>
      </c>
    </row>
    <row r="88" spans="1:11" ht="17" customHeight="1" x14ac:dyDescent="0.2">
      <c r="A88" s="88"/>
      <c r="B88" s="89">
        <f t="shared" si="3"/>
        <v>43191.44661500294</v>
      </c>
      <c r="C88" s="89">
        <f t="shared" ref="C88:D88" si="38">C87+(C89-C87)/2</f>
        <v>3514.0228347224956</v>
      </c>
      <c r="D88" s="89">
        <f t="shared" si="38"/>
        <v>46705.469449725439</v>
      </c>
      <c r="E88" s="89">
        <f t="shared" si="29"/>
        <v>48000</v>
      </c>
      <c r="F88" s="89"/>
      <c r="G88" s="219"/>
      <c r="H88" s="217"/>
      <c r="I88" s="217"/>
      <c r="J88" s="89"/>
      <c r="K88" s="191">
        <f>K87+1000</f>
        <v>213000</v>
      </c>
    </row>
    <row r="89" spans="1:11" ht="17" customHeight="1" x14ac:dyDescent="0.2">
      <c r="A89" s="88">
        <f>A87+1</f>
        <v>2052</v>
      </c>
      <c r="B89" s="89">
        <f t="shared" si="3"/>
        <v>43398.692616806744</v>
      </c>
      <c r="C89" s="89">
        <f>Data!AC50</f>
        <v>3533.2122793339581</v>
      </c>
      <c r="D89" s="89">
        <f>Data!AD50</f>
        <v>46931.904896140702</v>
      </c>
      <c r="E89" s="89">
        <f t="shared" si="29"/>
        <v>48000</v>
      </c>
      <c r="F89" s="89"/>
      <c r="G89" s="148"/>
      <c r="H89" s="217">
        <f t="shared" si="0"/>
        <v>1068.0951038592975</v>
      </c>
      <c r="I89" s="217">
        <f t="shared" si="1"/>
        <v>4601.3073831932561</v>
      </c>
      <c r="J89" s="89">
        <f>Data!C50</f>
        <v>214390.02222222183</v>
      </c>
      <c r="K89" s="191">
        <f t="shared" si="5"/>
        <v>214000</v>
      </c>
    </row>
    <row r="90" spans="1:11" ht="17" customHeight="1" x14ac:dyDescent="0.2">
      <c r="A90" s="88"/>
      <c r="B90" s="89">
        <f t="shared" si="3"/>
        <v>43605.938618610548</v>
      </c>
      <c r="C90" s="89">
        <f t="shared" ref="C90:D90" si="39">C89+(C91-C89)/2</f>
        <v>3552.4017239454206</v>
      </c>
      <c r="D90" s="89">
        <f t="shared" si="39"/>
        <v>47158.340342555966</v>
      </c>
      <c r="E90" s="89">
        <f t="shared" si="29"/>
        <v>48000</v>
      </c>
      <c r="F90" s="89"/>
      <c r="G90" s="148"/>
      <c r="H90" s="217"/>
      <c r="I90" s="217"/>
      <c r="J90" s="89"/>
      <c r="K90" s="191">
        <f>K89+1000</f>
        <v>215000</v>
      </c>
    </row>
    <row r="91" spans="1:11" ht="17" customHeight="1" x14ac:dyDescent="0.2">
      <c r="A91" s="88">
        <f>A89+1</f>
        <v>2053</v>
      </c>
      <c r="B91" s="89">
        <f t="shared" si="3"/>
        <v>43813.184620414344</v>
      </c>
      <c r="C91" s="89">
        <f>Data!AC51</f>
        <v>3571.5911685568835</v>
      </c>
      <c r="D91" s="89">
        <f>Data!AD51</f>
        <v>47384.77578897123</v>
      </c>
      <c r="E91" s="89">
        <f t="shared" si="29"/>
        <v>48000</v>
      </c>
      <c r="F91" s="89"/>
      <c r="G91" s="219"/>
      <c r="H91" s="217">
        <f t="shared" si="0"/>
        <v>615.22421102876979</v>
      </c>
      <c r="I91" s="217">
        <f t="shared" si="1"/>
        <v>4186.815379585656</v>
      </c>
      <c r="J91" s="89">
        <f>Data!C51</f>
        <v>216513.86666666626</v>
      </c>
      <c r="K91" s="191">
        <f t="shared" si="5"/>
        <v>216000</v>
      </c>
    </row>
    <row r="92" spans="1:11" ht="17" customHeight="1" x14ac:dyDescent="0.2">
      <c r="A92" s="88"/>
      <c r="B92" s="89">
        <f t="shared" si="3"/>
        <v>44020.430622218148</v>
      </c>
      <c r="C92" s="89">
        <f t="shared" ref="C92:D92" si="40">C91+(C93-C91)/2</f>
        <v>3590.7806131683465</v>
      </c>
      <c r="D92" s="89">
        <f t="shared" si="40"/>
        <v>47611.211235386494</v>
      </c>
      <c r="E92" s="89">
        <f t="shared" si="29"/>
        <v>48000</v>
      </c>
      <c r="F92" s="89"/>
      <c r="G92" s="219"/>
      <c r="H92" s="217"/>
      <c r="I92" s="217"/>
      <c r="J92" s="89"/>
      <c r="K92" s="191">
        <f>K91+1000</f>
        <v>217000</v>
      </c>
    </row>
    <row r="93" spans="1:11" ht="17" customHeight="1" x14ac:dyDescent="0.2">
      <c r="A93" s="88">
        <f>A91+1</f>
        <v>2054</v>
      </c>
      <c r="B93" s="89">
        <f t="shared" si="3"/>
        <v>44227.676624021944</v>
      </c>
      <c r="C93" s="89">
        <f>Data!AC52</f>
        <v>3609.9700577798098</v>
      </c>
      <c r="D93" s="89">
        <f>Data!AD52</f>
        <v>47837.646681801751</v>
      </c>
      <c r="E93" s="89">
        <f t="shared" si="29"/>
        <v>48000</v>
      </c>
      <c r="F93" s="89"/>
      <c r="G93" s="148"/>
      <c r="H93" s="217">
        <f t="shared" si="0"/>
        <v>162.35331819824933</v>
      </c>
      <c r="I93" s="217">
        <f t="shared" si="1"/>
        <v>3772.323375978056</v>
      </c>
      <c r="J93" s="89">
        <f>Data!C52</f>
        <v>218637.71111111069</v>
      </c>
      <c r="K93" s="191">
        <f t="shared" si="5"/>
        <v>218000</v>
      </c>
    </row>
    <row r="94" spans="1:11" ht="17" customHeight="1" x14ac:dyDescent="0.2">
      <c r="A94" s="88"/>
      <c r="B94" s="89">
        <f t="shared" si="3"/>
        <v>44466.329194157188</v>
      </c>
      <c r="C94" s="89">
        <f t="shared" ref="C94:D94" si="41">C93+(C95-C93)/2</f>
        <v>3632.067517977518</v>
      </c>
      <c r="D94" s="89">
        <f t="shared" si="41"/>
        <v>48098.396712134709</v>
      </c>
      <c r="E94" s="89">
        <f t="shared" si="29"/>
        <v>48000</v>
      </c>
      <c r="F94" s="89"/>
      <c r="G94" s="148"/>
      <c r="H94" s="217"/>
      <c r="I94" s="217"/>
      <c r="J94" s="89"/>
      <c r="K94" s="191">
        <f>K93+1000</f>
        <v>219000</v>
      </c>
    </row>
    <row r="95" spans="1:11" ht="17" customHeight="1" x14ac:dyDescent="0.2">
      <c r="A95" s="88">
        <f>A93+1</f>
        <v>2055</v>
      </c>
      <c r="B95" s="89">
        <f t="shared" si="3"/>
        <v>44704.981764292446</v>
      </c>
      <c r="C95" s="89">
        <f>Data!AC53</f>
        <v>3654.1649781752262</v>
      </c>
      <c r="D95" s="89">
        <f>Data!AD53</f>
        <v>48359.146742467674</v>
      </c>
      <c r="E95" s="89">
        <f t="shared" si="29"/>
        <v>48000</v>
      </c>
      <c r="F95" s="89"/>
      <c r="G95" s="219"/>
      <c r="H95" s="217">
        <f t="shared" si="0"/>
        <v>-359.1467424676739</v>
      </c>
      <c r="I95" s="217">
        <f t="shared" si="1"/>
        <v>3295.0182357075537</v>
      </c>
      <c r="J95" s="89">
        <f>Data!C53</f>
        <v>220761.55555555513</v>
      </c>
      <c r="K95" s="191">
        <f t="shared" si="5"/>
        <v>220000</v>
      </c>
    </row>
    <row r="96" spans="1:11" ht="17" customHeight="1" x14ac:dyDescent="0.2">
      <c r="A96" s="88"/>
      <c r="B96" s="89">
        <f t="shared" si="3"/>
        <v>44829.079749838078</v>
      </c>
      <c r="C96" s="89">
        <f t="shared" ref="C96:D96" si="42">C95+(C97-C95)/2</f>
        <v>3665.655532392414</v>
      </c>
      <c r="D96" s="89">
        <f t="shared" si="42"/>
        <v>48494.735282230489</v>
      </c>
      <c r="E96" s="89">
        <f t="shared" si="29"/>
        <v>48000</v>
      </c>
      <c r="F96" s="89"/>
      <c r="G96" s="219"/>
      <c r="H96" s="217"/>
      <c r="I96" s="217"/>
      <c r="J96" s="89"/>
      <c r="K96" s="191">
        <f>K95+1000</f>
        <v>221000</v>
      </c>
    </row>
    <row r="97" spans="1:11" ht="17" customHeight="1" x14ac:dyDescent="0.2">
      <c r="A97" s="88">
        <f>A95+1</f>
        <v>2056</v>
      </c>
      <c r="B97" s="89">
        <f t="shared" si="3"/>
        <v>44953.177735383702</v>
      </c>
      <c r="C97" s="89">
        <f>Data!AC54</f>
        <v>3677.1460866096022</v>
      </c>
      <c r="D97" s="89">
        <f>Data!AD54</f>
        <v>48630.323821993305</v>
      </c>
      <c r="E97" s="89">
        <f t="shared" si="29"/>
        <v>48000</v>
      </c>
      <c r="F97" s="89"/>
      <c r="G97" s="148"/>
      <c r="H97" s="217">
        <f t="shared" si="0"/>
        <v>-630.32382199330459</v>
      </c>
      <c r="I97" s="217">
        <f t="shared" si="1"/>
        <v>3046.8222646162976</v>
      </c>
      <c r="J97" s="89">
        <f>Data!C54</f>
        <v>222885.39999999956</v>
      </c>
      <c r="K97" s="191">
        <f t="shared" si="5"/>
        <v>222000</v>
      </c>
    </row>
    <row r="98" spans="1:11" ht="17" customHeight="1" x14ac:dyDescent="0.2">
      <c r="A98" s="88"/>
      <c r="B98" s="89">
        <f t="shared" si="3"/>
        <v>45077.275720929327</v>
      </c>
      <c r="C98" s="89">
        <f t="shared" ref="C98:D98" si="43">C97+(C99-C97)/2</f>
        <v>3688.63664082679</v>
      </c>
      <c r="D98" s="89">
        <f t="shared" si="43"/>
        <v>48765.91236175612</v>
      </c>
      <c r="E98" s="89">
        <f t="shared" si="29"/>
        <v>48000</v>
      </c>
      <c r="F98" s="89"/>
      <c r="G98" s="148"/>
      <c r="H98" s="217"/>
      <c r="I98" s="217"/>
      <c r="J98" s="89"/>
      <c r="K98" s="191">
        <f>K97+1000</f>
        <v>223000</v>
      </c>
    </row>
    <row r="99" spans="1:11" ht="17" customHeight="1" x14ac:dyDescent="0.2">
      <c r="A99" s="88">
        <f>A97+1</f>
        <v>2057</v>
      </c>
      <c r="B99" s="89">
        <f t="shared" si="3"/>
        <v>45201.373706474958</v>
      </c>
      <c r="C99" s="89">
        <f>Data!AC55</f>
        <v>3700.1271950439777</v>
      </c>
      <c r="D99" s="89">
        <f>Data!AD55</f>
        <v>48901.500901518935</v>
      </c>
      <c r="E99" s="89">
        <f t="shared" si="29"/>
        <v>48000</v>
      </c>
      <c r="F99" s="89"/>
      <c r="G99" s="219"/>
      <c r="H99" s="217">
        <f t="shared" si="0"/>
        <v>-901.50090151893528</v>
      </c>
      <c r="I99" s="217">
        <f t="shared" si="1"/>
        <v>2798.6262935250415</v>
      </c>
      <c r="J99" s="89">
        <f>Data!C55</f>
        <v>225009.24444444399</v>
      </c>
      <c r="K99" s="191">
        <f t="shared" si="5"/>
        <v>225000</v>
      </c>
    </row>
    <row r="100" spans="1:11" ht="17" customHeight="1" x14ac:dyDescent="0.2">
      <c r="A100" s="88"/>
      <c r="B100" s="89">
        <f t="shared" si="3"/>
        <v>45325.471692020583</v>
      </c>
      <c r="C100" s="89">
        <f t="shared" ref="C100:D100" si="44">C99+(C101-C99)/2</f>
        <v>3711.6177492611655</v>
      </c>
      <c r="D100" s="89">
        <f t="shared" si="44"/>
        <v>49037.089441281751</v>
      </c>
      <c r="E100" s="89">
        <f t="shared" si="29"/>
        <v>48000</v>
      </c>
      <c r="F100" s="89"/>
      <c r="G100" s="219"/>
      <c r="H100" s="217"/>
      <c r="I100" s="217"/>
      <c r="J100" s="89"/>
      <c r="K100" s="191">
        <f>K99+1000</f>
        <v>226000</v>
      </c>
    </row>
    <row r="101" spans="1:11" ht="17" customHeight="1" x14ac:dyDescent="0.2">
      <c r="A101" s="88">
        <f>A99+1</f>
        <v>2058</v>
      </c>
      <c r="B101" s="89">
        <f t="shared" si="3"/>
        <v>45449.569677566215</v>
      </c>
      <c r="C101" s="89">
        <f>Data!AC56</f>
        <v>3723.1083034783533</v>
      </c>
      <c r="D101" s="89">
        <f>Data!AD56</f>
        <v>49172.677981044566</v>
      </c>
      <c r="E101" s="89">
        <f t="shared" si="29"/>
        <v>48000</v>
      </c>
      <c r="F101" s="89"/>
      <c r="G101" s="148"/>
      <c r="H101" s="217">
        <f t="shared" si="0"/>
        <v>-1172.677981044566</v>
      </c>
      <c r="I101" s="217">
        <f t="shared" si="1"/>
        <v>2550.4303224337855</v>
      </c>
      <c r="J101" s="89">
        <f>Data!C56</f>
        <v>227133.08888888842</v>
      </c>
      <c r="K101" s="191">
        <f t="shared" si="5"/>
        <v>227000</v>
      </c>
    </row>
    <row r="102" spans="1:11" ht="17" customHeight="1" x14ac:dyDescent="0.2">
      <c r="A102" s="88"/>
      <c r="B102" s="89">
        <f t="shared" si="3"/>
        <v>45573.667663111839</v>
      </c>
      <c r="C102" s="89">
        <f t="shared" ref="C102:D102" si="45">C101+(C103-C101)/2</f>
        <v>3734.5988576955415</v>
      </c>
      <c r="D102" s="89">
        <f t="shared" si="45"/>
        <v>49308.266520807381</v>
      </c>
      <c r="E102" s="89">
        <f t="shared" si="29"/>
        <v>48000</v>
      </c>
      <c r="F102" s="89"/>
      <c r="G102" s="148"/>
      <c r="H102" s="217"/>
      <c r="I102" s="217"/>
      <c r="J102" s="89"/>
      <c r="K102" s="191">
        <f>K101+1000</f>
        <v>228000</v>
      </c>
    </row>
    <row r="103" spans="1:11" ht="17" customHeight="1" x14ac:dyDescent="0.2">
      <c r="A103" s="88">
        <f>A101+1</f>
        <v>2059</v>
      </c>
      <c r="B103" s="89">
        <f t="shared" si="3"/>
        <v>45697.765648657471</v>
      </c>
      <c r="C103" s="89">
        <f>Data!AC57</f>
        <v>3746.0894119127292</v>
      </c>
      <c r="D103" s="89">
        <f>Data!AD57</f>
        <v>49443.855060570197</v>
      </c>
      <c r="E103" s="89">
        <f t="shared" si="29"/>
        <v>48000</v>
      </c>
      <c r="F103" s="89">
        <v>2000</v>
      </c>
      <c r="G103" s="219" t="s">
        <v>145</v>
      </c>
      <c r="H103" s="217">
        <f t="shared" si="0"/>
        <v>-1443.8550605701967</v>
      </c>
      <c r="I103" s="217">
        <f t="shared" si="1"/>
        <v>2302.2343513425294</v>
      </c>
      <c r="J103" s="89">
        <f>Data!C57</f>
        <v>229256.93333333285</v>
      </c>
      <c r="K103" s="191">
        <f t="shared" si="5"/>
        <v>229000</v>
      </c>
    </row>
    <row r="104" spans="1:11" ht="17" customHeight="1" x14ac:dyDescent="0.2">
      <c r="A104" s="88"/>
      <c r="B104" s="89">
        <f t="shared" si="3"/>
        <v>45821.863634203102</v>
      </c>
      <c r="C104" s="89">
        <f t="shared" ref="C104:D104" si="46">C103+(C105-C103)/2</f>
        <v>3757.579966129917</v>
      </c>
      <c r="D104" s="89">
        <f t="shared" si="46"/>
        <v>49579.443600333019</v>
      </c>
      <c r="E104" s="89">
        <f t="shared" si="29"/>
        <v>50000</v>
      </c>
      <c r="F104" s="89"/>
      <c r="G104" s="219"/>
      <c r="H104" s="217"/>
      <c r="I104" s="217"/>
      <c r="J104" s="89"/>
      <c r="K104" s="191">
        <f>K103+1000</f>
        <v>230000</v>
      </c>
    </row>
    <row r="105" spans="1:11" ht="17" customHeight="1" x14ac:dyDescent="0.2">
      <c r="A105" s="88">
        <f>A103+1</f>
        <v>2060</v>
      </c>
      <c r="B105" s="89">
        <f t="shared" si="3"/>
        <v>45945.961619748734</v>
      </c>
      <c r="C105" s="89">
        <f>Data!AC58</f>
        <v>3769.0705203471052</v>
      </c>
      <c r="D105" s="89">
        <f>Data!AD58</f>
        <v>49715.032140095842</v>
      </c>
      <c r="E105" s="89">
        <f t="shared" si="29"/>
        <v>50000</v>
      </c>
      <c r="F105" s="89"/>
      <c r="G105" s="148"/>
      <c r="H105" s="217">
        <f t="shared" si="0"/>
        <v>284.9678599041581</v>
      </c>
      <c r="I105" s="217">
        <f t="shared" si="1"/>
        <v>4054.0383802512661</v>
      </c>
      <c r="J105" s="89">
        <f>Data!C58</f>
        <v>231380.77777777729</v>
      </c>
      <c r="K105" s="191">
        <f t="shared" si="5"/>
        <v>231000</v>
      </c>
    </row>
    <row r="106" spans="1:11" ht="17" customHeight="1" x14ac:dyDescent="0.2">
      <c r="A106" s="88"/>
      <c r="B106" s="89">
        <f t="shared" si="3"/>
        <v>46070.059605294358</v>
      </c>
      <c r="C106" s="89">
        <f t="shared" ref="C106:D106" si="47">C105+(C107-C105)/2</f>
        <v>3780.5610745642925</v>
      </c>
      <c r="D106" s="89">
        <f t="shared" si="47"/>
        <v>49850.62067985865</v>
      </c>
      <c r="E106" s="89">
        <f t="shared" si="29"/>
        <v>50000</v>
      </c>
      <c r="F106" s="89"/>
      <c r="G106" s="148"/>
      <c r="H106" s="217"/>
      <c r="I106" s="217"/>
      <c r="J106" s="89"/>
      <c r="K106" s="191">
        <f>K105+1000</f>
        <v>232000</v>
      </c>
    </row>
    <row r="107" spans="1:11" ht="17" customHeight="1" x14ac:dyDescent="0.2">
      <c r="A107" s="88">
        <f>A105+1</f>
        <v>2061</v>
      </c>
      <c r="B107" s="89">
        <f t="shared" si="3"/>
        <v>46194.157590839983</v>
      </c>
      <c r="C107" s="89">
        <f>Data!AC59</f>
        <v>3792.0516287814798</v>
      </c>
      <c r="D107" s="89">
        <f>Data!AD59</f>
        <v>49986.209219621465</v>
      </c>
      <c r="E107" s="89">
        <f t="shared" si="29"/>
        <v>50000</v>
      </c>
      <c r="F107" s="89"/>
      <c r="G107" s="219"/>
      <c r="H107" s="217">
        <f t="shared" si="0"/>
        <v>13.790780378534691</v>
      </c>
      <c r="I107" s="217">
        <f t="shared" si="1"/>
        <v>3805.8424091600173</v>
      </c>
      <c r="J107" s="89">
        <f>Data!C59</f>
        <v>233504.62222222172</v>
      </c>
      <c r="K107" s="191">
        <f t="shared" si="5"/>
        <v>233000</v>
      </c>
    </row>
    <row r="108" spans="1:11" ht="17" customHeight="1" x14ac:dyDescent="0.2">
      <c r="A108" s="88"/>
      <c r="B108" s="89">
        <f t="shared" si="3"/>
        <v>46318.255576385614</v>
      </c>
      <c r="C108" s="89">
        <f t="shared" ref="C108:D108" si="48">C107+(C109-C107)/2</f>
        <v>3803.5421829986681</v>
      </c>
      <c r="D108" s="89">
        <f t="shared" si="48"/>
        <v>50121.797759384281</v>
      </c>
      <c r="E108" s="89">
        <f t="shared" si="29"/>
        <v>50000</v>
      </c>
      <c r="F108" s="89"/>
      <c r="G108" s="219"/>
      <c r="H108" s="217"/>
      <c r="I108" s="217"/>
      <c r="J108" s="89"/>
      <c r="K108" s="191">
        <f>K107+1000</f>
        <v>234000</v>
      </c>
    </row>
    <row r="109" spans="1:11" ht="17" customHeight="1" x14ac:dyDescent="0.2">
      <c r="A109" s="88">
        <f>A107+1</f>
        <v>2062</v>
      </c>
      <c r="B109" s="89">
        <f t="shared" si="3"/>
        <v>46442.353561931239</v>
      </c>
      <c r="C109" s="89">
        <f>Data!AC60</f>
        <v>3815.0327372158558</v>
      </c>
      <c r="D109" s="89">
        <f>Data!AD60</f>
        <v>50257.386299147096</v>
      </c>
      <c r="E109" s="89">
        <f t="shared" si="29"/>
        <v>50000</v>
      </c>
      <c r="F109" s="89"/>
      <c r="G109" s="148"/>
      <c r="H109" s="217">
        <f t="shared" si="0"/>
        <v>-257.386299147096</v>
      </c>
      <c r="I109" s="217">
        <f t="shared" si="1"/>
        <v>3557.6464380687612</v>
      </c>
      <c r="J109" s="89">
        <f>Data!C60</f>
        <v>235628.46666666615</v>
      </c>
      <c r="K109" s="191">
        <f t="shared" si="5"/>
        <v>235000</v>
      </c>
    </row>
    <row r="110" spans="1:11" ht="17" customHeight="1" x14ac:dyDescent="0.2">
      <c r="A110" s="88"/>
      <c r="B110" s="89">
        <f t="shared" si="3"/>
        <v>46566.45154747687</v>
      </c>
      <c r="C110" s="89">
        <f t="shared" ref="C110:D110" si="49">C109+(C111-C109)/2</f>
        <v>3826.5232914330436</v>
      </c>
      <c r="D110" s="89">
        <f t="shared" si="49"/>
        <v>50392.974838909911</v>
      </c>
      <c r="E110" s="89">
        <f t="shared" si="29"/>
        <v>50000</v>
      </c>
      <c r="F110" s="89"/>
      <c r="G110" s="148"/>
      <c r="H110" s="217"/>
      <c r="I110" s="217"/>
      <c r="J110" s="89"/>
      <c r="K110" s="191">
        <f>K109+1000</f>
        <v>236000</v>
      </c>
    </row>
    <row r="111" spans="1:11" ht="17" customHeight="1" x14ac:dyDescent="0.2">
      <c r="A111" s="88">
        <f>A109+1</f>
        <v>2063</v>
      </c>
      <c r="B111" s="89">
        <f t="shared" si="3"/>
        <v>46690.549533022502</v>
      </c>
      <c r="C111" s="89">
        <f>Data!AC61</f>
        <v>3838.0138456502318</v>
      </c>
      <c r="D111" s="89">
        <f>Data!AD61</f>
        <v>50528.563378672734</v>
      </c>
      <c r="E111" s="89">
        <f t="shared" si="29"/>
        <v>50000</v>
      </c>
      <c r="F111" s="89"/>
      <c r="G111" s="219"/>
      <c r="H111" s="217">
        <f t="shared" si="0"/>
        <v>-528.56337867273396</v>
      </c>
      <c r="I111" s="217">
        <f t="shared" si="1"/>
        <v>3309.4504669774979</v>
      </c>
      <c r="J111" s="89">
        <f>Data!C61</f>
        <v>237752.31111111058</v>
      </c>
      <c r="K111" s="191">
        <f t="shared" si="5"/>
        <v>237000</v>
      </c>
    </row>
    <row r="112" spans="1:11" ht="17" customHeight="1" x14ac:dyDescent="0.2">
      <c r="A112" s="88"/>
      <c r="B112" s="89">
        <f t="shared" si="3"/>
        <v>46814.647518568127</v>
      </c>
      <c r="C112" s="89">
        <f t="shared" ref="C112:D112" si="50">C111+(C113-C111)/2</f>
        <v>3849.5043998674196</v>
      </c>
      <c r="D112" s="89">
        <f t="shared" si="50"/>
        <v>50664.151918435549</v>
      </c>
      <c r="E112" s="89">
        <f t="shared" si="29"/>
        <v>50000</v>
      </c>
      <c r="F112" s="89"/>
      <c r="G112" s="219"/>
      <c r="H112" s="217"/>
      <c r="I112" s="217"/>
      <c r="J112" s="89"/>
      <c r="K112" s="191">
        <f>K111+1000</f>
        <v>238000</v>
      </c>
    </row>
    <row r="113" spans="1:11" ht="17" customHeight="1" x14ac:dyDescent="0.2">
      <c r="A113" s="88">
        <f>A111+1</f>
        <v>2064</v>
      </c>
      <c r="B113" s="89">
        <f t="shared" si="3"/>
        <v>46938.745504113758</v>
      </c>
      <c r="C113" s="89">
        <f>Data!AC62</f>
        <v>3860.9949540846073</v>
      </c>
      <c r="D113" s="89">
        <f>Data!AD62</f>
        <v>50799.740458198365</v>
      </c>
      <c r="E113" s="89">
        <f t="shared" si="29"/>
        <v>50000</v>
      </c>
      <c r="F113" s="89"/>
      <c r="G113" s="148"/>
      <c r="H113" s="217">
        <f t="shared" si="0"/>
        <v>-799.74045819836465</v>
      </c>
      <c r="I113" s="217">
        <f t="shared" si="1"/>
        <v>3061.2544958862418</v>
      </c>
      <c r="J113" s="89">
        <f>Data!C62</f>
        <v>239876.15555555501</v>
      </c>
      <c r="K113" s="191">
        <f t="shared" si="5"/>
        <v>239000</v>
      </c>
    </row>
    <row r="114" spans="1:11" ht="17" customHeight="1" x14ac:dyDescent="0.2">
      <c r="A114" s="88"/>
      <c r="B114" s="89">
        <f t="shared" ref="B114:B119" si="51">B113+($B$120-$B$113)/7</f>
        <v>46974.202071412517</v>
      </c>
      <c r="C114" s="89">
        <f>C113+($C$120-$C$113)/7</f>
        <v>3864.2779695752333</v>
      </c>
      <c r="D114" s="89">
        <f>D113+($D$120-$D$113)/7</f>
        <v>50838.48004098775</v>
      </c>
      <c r="E114" s="89">
        <f t="shared" si="29"/>
        <v>50000</v>
      </c>
      <c r="F114" s="89"/>
      <c r="G114" s="148"/>
      <c r="H114" s="217"/>
      <c r="I114" s="217"/>
      <c r="J114" s="89"/>
      <c r="K114" s="191">
        <f t="shared" ref="K114:K119" si="52">K113+1000</f>
        <v>240000</v>
      </c>
    </row>
    <row r="115" spans="1:11" ht="17" customHeight="1" x14ac:dyDescent="0.2">
      <c r="A115" s="88"/>
      <c r="B115" s="89">
        <f t="shared" si="51"/>
        <v>47009.658638711277</v>
      </c>
      <c r="C115" s="89">
        <f t="shared" ref="C115:C119" si="53">C114+($C$120-$C$113)/7</f>
        <v>3867.5609850658593</v>
      </c>
      <c r="D115" s="89">
        <f t="shared" ref="D115:D119" si="54">D114+($D$120-$D$113)/7</f>
        <v>50877.219623777135</v>
      </c>
      <c r="E115" s="89">
        <f t="shared" si="29"/>
        <v>50000</v>
      </c>
      <c r="F115" s="89"/>
      <c r="G115" s="148"/>
      <c r="H115" s="217"/>
      <c r="I115" s="217"/>
      <c r="J115" s="89"/>
      <c r="K115" s="191">
        <f t="shared" si="52"/>
        <v>241000</v>
      </c>
    </row>
    <row r="116" spans="1:11" ht="17" customHeight="1" x14ac:dyDescent="0.2">
      <c r="A116" s="88"/>
      <c r="B116" s="89">
        <f t="shared" si="51"/>
        <v>47045.115206010036</v>
      </c>
      <c r="C116" s="89">
        <f t="shared" si="53"/>
        <v>3870.8440005564853</v>
      </c>
      <c r="D116" s="89">
        <f t="shared" si="54"/>
        <v>50915.95920656652</v>
      </c>
      <c r="E116" s="89">
        <f t="shared" si="29"/>
        <v>50000</v>
      </c>
      <c r="F116" s="89"/>
      <c r="G116" s="148"/>
      <c r="H116" s="217"/>
      <c r="I116" s="217"/>
      <c r="J116" s="89"/>
      <c r="K116" s="191">
        <f t="shared" si="52"/>
        <v>242000</v>
      </c>
    </row>
    <row r="117" spans="1:11" ht="17" customHeight="1" x14ac:dyDescent="0.2">
      <c r="A117" s="88"/>
      <c r="B117" s="89">
        <f t="shared" si="51"/>
        <v>47080.571773308795</v>
      </c>
      <c r="C117" s="89">
        <f t="shared" si="53"/>
        <v>3874.1270160471113</v>
      </c>
      <c r="D117" s="89">
        <f t="shared" si="54"/>
        <v>50954.698789355905</v>
      </c>
      <c r="E117" s="89">
        <f t="shared" si="29"/>
        <v>50000</v>
      </c>
      <c r="F117" s="89"/>
      <c r="G117" s="148"/>
      <c r="H117" s="217"/>
      <c r="I117" s="217"/>
      <c r="J117" s="89"/>
      <c r="K117" s="191">
        <f t="shared" si="52"/>
        <v>243000</v>
      </c>
    </row>
    <row r="118" spans="1:11" ht="17" customHeight="1" x14ac:dyDescent="0.2">
      <c r="A118" s="88"/>
      <c r="B118" s="89">
        <f t="shared" si="51"/>
        <v>47116.028340607554</v>
      </c>
      <c r="C118" s="89">
        <f t="shared" si="53"/>
        <v>3877.4100315377373</v>
      </c>
      <c r="D118" s="89">
        <f t="shared" si="54"/>
        <v>50993.43837214529</v>
      </c>
      <c r="E118" s="89">
        <f t="shared" si="29"/>
        <v>50000</v>
      </c>
      <c r="F118" s="89"/>
      <c r="G118" s="148"/>
      <c r="H118" s="217"/>
      <c r="I118" s="217"/>
      <c r="J118" s="89"/>
      <c r="K118" s="191">
        <f t="shared" si="52"/>
        <v>244000</v>
      </c>
    </row>
    <row r="119" spans="1:11" ht="17" customHeight="1" x14ac:dyDescent="0.2">
      <c r="A119" s="88"/>
      <c r="B119" s="89">
        <f t="shared" si="51"/>
        <v>47151.484907906313</v>
      </c>
      <c r="C119" s="89">
        <f t="shared" si="53"/>
        <v>3880.6930470283633</v>
      </c>
      <c r="D119" s="89">
        <f t="shared" si="54"/>
        <v>51032.177954934676</v>
      </c>
      <c r="E119" s="89">
        <f t="shared" si="29"/>
        <v>50000</v>
      </c>
      <c r="F119" s="89">
        <v>2000</v>
      </c>
      <c r="G119" s="219" t="s">
        <v>145</v>
      </c>
      <c r="H119" s="217"/>
      <c r="I119" s="217"/>
      <c r="J119" s="89"/>
      <c r="K119" s="191">
        <f t="shared" si="52"/>
        <v>245000</v>
      </c>
    </row>
    <row r="120" spans="1:11" ht="17" customHeight="1" x14ac:dyDescent="0.2">
      <c r="A120" s="88">
        <f>A113+1</f>
        <v>2065</v>
      </c>
      <c r="B120" s="89">
        <f t="shared" si="3"/>
        <v>47186.94147520508</v>
      </c>
      <c r="C120" s="89">
        <f>Data!$AC$63</f>
        <v>3883.9760625189883</v>
      </c>
      <c r="D120" s="89">
        <f>Data!$AD$63</f>
        <v>51070.917537724068</v>
      </c>
      <c r="E120" s="89">
        <f t="shared" si="29"/>
        <v>52000</v>
      </c>
      <c r="F120" s="89"/>
      <c r="G120" s="219"/>
      <c r="H120" s="217">
        <f t="shared" si="0"/>
        <v>929.0824622759319</v>
      </c>
      <c r="I120" s="217">
        <f t="shared" si="1"/>
        <v>4813.0585247949202</v>
      </c>
      <c r="J120" s="89">
        <f>Data!C63</f>
        <v>242000</v>
      </c>
      <c r="K120" s="191">
        <f t="shared" si="5"/>
        <v>242000</v>
      </c>
    </row>
    <row r="121" spans="1:11" ht="17" customHeight="1" x14ac:dyDescent="0.2">
      <c r="A121" s="88">
        <f t="shared" ref="A121:A125" si="55">A120+1</f>
        <v>2066</v>
      </c>
      <c r="B121" s="89">
        <v>47101.165022387395</v>
      </c>
      <c r="C121" s="89">
        <f>Data!$AC$63</f>
        <v>3883.9760625189883</v>
      </c>
      <c r="D121" s="89">
        <f>Data!$AD$63</f>
        <v>51070.917537724068</v>
      </c>
      <c r="E121" s="89">
        <f t="shared" si="29"/>
        <v>52000</v>
      </c>
      <c r="F121" s="89"/>
      <c r="G121" s="219"/>
      <c r="H121" s="217">
        <f t="shared" si="0"/>
        <v>929.0824622759319</v>
      </c>
      <c r="I121" s="217">
        <f t="shared" si="1"/>
        <v>4898.8349776126051</v>
      </c>
      <c r="J121" s="89">
        <f>Data!C64</f>
        <v>0</v>
      </c>
      <c r="K121" s="191">
        <v>242000</v>
      </c>
    </row>
    <row r="122" spans="1:11" ht="17" customHeight="1" x14ac:dyDescent="0.2">
      <c r="A122" s="88">
        <f t="shared" si="55"/>
        <v>2067</v>
      </c>
      <c r="B122" s="89">
        <f t="shared" ref="B122" si="56">D122-C122</f>
        <v>47186.94147520508</v>
      </c>
      <c r="C122" s="89">
        <f>Data!$AC$63</f>
        <v>3883.9760625189883</v>
      </c>
      <c r="D122" s="89">
        <f>Data!$AD$63</f>
        <v>51070.917537724068</v>
      </c>
      <c r="E122" s="89">
        <f t="shared" si="29"/>
        <v>52000</v>
      </c>
      <c r="F122" s="89"/>
      <c r="G122" s="219"/>
      <c r="H122" s="217">
        <f t="shared" si="0"/>
        <v>929.0824622759319</v>
      </c>
      <c r="I122" s="217">
        <f t="shared" si="1"/>
        <v>4813.0585247949202</v>
      </c>
      <c r="J122" s="89">
        <f>Data!C65</f>
        <v>0</v>
      </c>
      <c r="K122" s="191">
        <v>242000</v>
      </c>
    </row>
    <row r="123" spans="1:11" ht="17" customHeight="1" x14ac:dyDescent="0.2">
      <c r="A123" s="88">
        <f t="shared" si="55"/>
        <v>2068</v>
      </c>
      <c r="B123" s="89">
        <v>47101.165022387395</v>
      </c>
      <c r="C123" s="89">
        <f>Data!$AC$63</f>
        <v>3883.9760625189883</v>
      </c>
      <c r="D123" s="89">
        <f>Data!$AD$63</f>
        <v>51070.917537724068</v>
      </c>
      <c r="E123" s="89">
        <f t="shared" si="29"/>
        <v>52000</v>
      </c>
      <c r="F123" s="89"/>
      <c r="G123" s="219"/>
      <c r="H123" s="217">
        <f t="shared" si="0"/>
        <v>929.0824622759319</v>
      </c>
      <c r="I123" s="217">
        <f t="shared" si="1"/>
        <v>4898.8349776126051</v>
      </c>
      <c r="J123" s="89">
        <v>242000</v>
      </c>
      <c r="K123" s="191">
        <f t="shared" si="5"/>
        <v>242000</v>
      </c>
    </row>
    <row r="124" spans="1:11" ht="17" customHeight="1" x14ac:dyDescent="0.2">
      <c r="A124" s="88">
        <f t="shared" si="55"/>
        <v>2069</v>
      </c>
      <c r="B124" s="89">
        <v>47101.165022387395</v>
      </c>
      <c r="C124" s="89">
        <f>Data!$AC$63</f>
        <v>3883.9760625189883</v>
      </c>
      <c r="D124" s="89">
        <f>Data!$AD$63</f>
        <v>51070.917537724068</v>
      </c>
      <c r="E124" s="89">
        <f t="shared" si="29"/>
        <v>52000</v>
      </c>
      <c r="F124" s="89"/>
      <c r="G124" s="219"/>
      <c r="H124" s="217">
        <f t="shared" si="0"/>
        <v>929.0824622759319</v>
      </c>
      <c r="I124" s="217">
        <f t="shared" si="1"/>
        <v>4898.8349776126051</v>
      </c>
      <c r="J124" s="89">
        <f>Data!C68</f>
        <v>0</v>
      </c>
      <c r="K124" s="191">
        <v>242000</v>
      </c>
    </row>
    <row r="125" spans="1:11" ht="17" customHeight="1" x14ac:dyDescent="0.2">
      <c r="A125" s="88">
        <f t="shared" si="55"/>
        <v>2070</v>
      </c>
      <c r="B125" s="89">
        <v>47101.165022387395</v>
      </c>
      <c r="C125" s="89">
        <f>Data!$AC$63</f>
        <v>3883.9760625189883</v>
      </c>
      <c r="D125" s="89">
        <f>Data!$AD$63</f>
        <v>51070.917537724068</v>
      </c>
      <c r="E125" s="89">
        <f t="shared" si="29"/>
        <v>52000</v>
      </c>
      <c r="F125" s="89"/>
      <c r="G125" s="219"/>
      <c r="H125" s="217">
        <f t="shared" si="0"/>
        <v>929.0824622759319</v>
      </c>
      <c r="I125" s="217">
        <f t="shared" si="1"/>
        <v>4898.8349776126051</v>
      </c>
      <c r="J125" s="89">
        <v>242000</v>
      </c>
      <c r="K125" s="191">
        <f t="shared" si="5"/>
        <v>242000</v>
      </c>
    </row>
    <row r="126" spans="1:11" ht="15" x14ac:dyDescent="0.2">
      <c r="K126" s="149"/>
    </row>
    <row r="127" spans="1:11" ht="15" x14ac:dyDescent="0.2">
      <c r="K127" s="149"/>
    </row>
    <row r="128" spans="1:11" ht="15" x14ac:dyDescent="0.2">
      <c r="A128" s="69" t="s">
        <v>148</v>
      </c>
      <c r="B128" s="69" t="s">
        <v>149</v>
      </c>
      <c r="K128" s="149"/>
    </row>
    <row r="129" spans="2:11" ht="15" x14ac:dyDescent="0.2">
      <c r="B129" s="69" t="s">
        <v>156</v>
      </c>
      <c r="K129" s="149"/>
    </row>
    <row r="130" spans="2:11" ht="15" x14ac:dyDescent="0.2">
      <c r="B130" s="69" t="s">
        <v>151</v>
      </c>
      <c r="E130" s="164"/>
      <c r="K130" s="149"/>
    </row>
    <row r="131" spans="2:11" ht="15" x14ac:dyDescent="0.2">
      <c r="B131" s="69" t="s">
        <v>158</v>
      </c>
      <c r="K131" s="149"/>
    </row>
    <row r="132" spans="2:11" ht="15" x14ac:dyDescent="0.2">
      <c r="B132" s="69" t="s">
        <v>153</v>
      </c>
      <c r="K132" s="149"/>
    </row>
    <row r="133" spans="2:11" ht="15" x14ac:dyDescent="0.2">
      <c r="K133" s="149"/>
    </row>
    <row r="134" spans="2:11" ht="15" x14ac:dyDescent="0.2">
      <c r="K134" s="149"/>
    </row>
  </sheetData>
  <pageMargins left="0.7" right="0.7" top="0.75" bottom="0.75" header="0.3" footer="0.3"/>
  <pageSetup scale="31" orientation="portrait" r:id="rId1"/>
  <headerFooter>
    <oddHeader>&amp;C&amp;"-,Regular" Firm Yield / Demand - By Year No TWP
June 2017</oddHeader>
    <oddFooter>&amp;C&amp;"-,Regular"&amp;8&amp;F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72"/>
  <sheetViews>
    <sheetView view="pageLayout" topLeftCell="A11" zoomScale="80" zoomScaleNormal="100" zoomScalePageLayoutView="80" workbookViewId="0">
      <selection activeCell="G26" sqref="G26"/>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58" si="0">E5-D5</f>
        <v>-2764.8709130392672</v>
      </c>
      <c r="I5" s="92">
        <f t="shared" ref="I5:I58"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28586.175319190566</v>
      </c>
      <c r="C10" s="85">
        <f>Data!AC15</f>
        <v>2161.6828999250529</v>
      </c>
      <c r="D10" s="85">
        <f>Data!AD15</f>
        <v>30747.85821911562</v>
      </c>
      <c r="E10" s="85">
        <f t="shared" si="4"/>
        <v>28700</v>
      </c>
      <c r="F10" s="85"/>
      <c r="G10" s="86"/>
      <c r="H10" s="87">
        <f t="shared" si="0"/>
        <v>-2047.8582191156202</v>
      </c>
      <c r="I10" s="87">
        <f t="shared" si="1"/>
        <v>113.82468080943363</v>
      </c>
      <c r="J10" s="85">
        <f>Data!C15</f>
        <v>137443</v>
      </c>
      <c r="K10" s="191">
        <f t="shared" si="5"/>
        <v>137000</v>
      </c>
    </row>
    <row r="11" spans="1:11" ht="17" customHeight="1" x14ac:dyDescent="0.2">
      <c r="A11" s="88">
        <f t="shared" si="2"/>
        <v>2018</v>
      </c>
      <c r="B11" s="89">
        <f t="shared" si="3"/>
        <v>29110.769177781862</v>
      </c>
      <c r="C11" s="89">
        <f>Data!AC16</f>
        <v>2210.2564053501719</v>
      </c>
      <c r="D11" s="89">
        <f>Data!AD16</f>
        <v>31321.025583132032</v>
      </c>
      <c r="E11" s="90">
        <f t="shared" si="4"/>
        <v>28700</v>
      </c>
      <c r="F11" s="90"/>
      <c r="G11" s="91"/>
      <c r="H11" s="92">
        <f t="shared" si="0"/>
        <v>-2621.0255831320319</v>
      </c>
      <c r="I11" s="92">
        <f t="shared" si="1"/>
        <v>-410.7691777818618</v>
      </c>
      <c r="J11" s="90">
        <f>Data!C16</f>
        <v>140509</v>
      </c>
      <c r="K11" s="191">
        <f t="shared" si="5"/>
        <v>140000</v>
      </c>
    </row>
    <row r="12" spans="1:11" ht="17" customHeight="1" x14ac:dyDescent="0.2">
      <c r="A12" s="84">
        <f t="shared" si="2"/>
        <v>2019</v>
      </c>
      <c r="B12" s="85">
        <f t="shared" si="3"/>
        <v>29660.254568321601</v>
      </c>
      <c r="C12" s="85">
        <f>Data!AC17</f>
        <v>2261.1346822520004</v>
      </c>
      <c r="D12" s="85">
        <f>Data!AD17</f>
        <v>31921.3892505736</v>
      </c>
      <c r="E12" s="85">
        <f t="shared" si="4"/>
        <v>28700</v>
      </c>
      <c r="F12" s="85">
        <v>1300</v>
      </c>
      <c r="G12" s="86" t="s">
        <v>105</v>
      </c>
      <c r="H12" s="87">
        <f t="shared" si="0"/>
        <v>-3221.3892505736003</v>
      </c>
      <c r="I12" s="87">
        <f t="shared" si="1"/>
        <v>-960.25456832160125</v>
      </c>
      <c r="J12" s="85">
        <f>Data!C17</f>
        <v>143788</v>
      </c>
      <c r="K12" s="191">
        <f t="shared" si="5"/>
        <v>143000</v>
      </c>
    </row>
    <row r="13" spans="1:11" ht="17" customHeight="1" x14ac:dyDescent="0.2">
      <c r="A13" s="88">
        <f t="shared" si="2"/>
        <v>2020</v>
      </c>
      <c r="B13" s="89">
        <f t="shared" si="3"/>
        <v>30134.948501363629</v>
      </c>
      <c r="C13" s="89">
        <f>Data!AC18</f>
        <v>2305.0878242003364</v>
      </c>
      <c r="D13" s="89">
        <f>Data!AD18</f>
        <v>32440.036325563968</v>
      </c>
      <c r="E13" s="90">
        <f t="shared" si="4"/>
        <v>30000</v>
      </c>
      <c r="F13" s="90"/>
      <c r="G13" s="91"/>
      <c r="H13" s="92">
        <f t="shared" si="0"/>
        <v>-2440.0363255639677</v>
      </c>
      <c r="I13" s="92">
        <f t="shared" si="1"/>
        <v>-134.94850136362948</v>
      </c>
      <c r="J13" s="90">
        <f>Data!C18</f>
        <v>146427</v>
      </c>
      <c r="K13" s="191">
        <f t="shared" si="5"/>
        <v>146000</v>
      </c>
    </row>
    <row r="14" spans="1:11" ht="17" customHeight="1" x14ac:dyDescent="0.2">
      <c r="A14" s="84">
        <f t="shared" si="2"/>
        <v>2021</v>
      </c>
      <c r="B14" s="85">
        <f t="shared" si="3"/>
        <v>30549.440504971233</v>
      </c>
      <c r="C14" s="85">
        <f>Data!AC19</f>
        <v>2343.4667134232623</v>
      </c>
      <c r="D14" s="85">
        <f>Data!AD19</f>
        <v>32892.907218394495</v>
      </c>
      <c r="E14" s="85">
        <f t="shared" si="4"/>
        <v>30000</v>
      </c>
      <c r="F14" s="85"/>
      <c r="G14" s="86"/>
      <c r="H14" s="87">
        <f t="shared" si="0"/>
        <v>-2892.9072183944954</v>
      </c>
      <c r="I14" s="87">
        <f t="shared" si="1"/>
        <v>-549.44050497123317</v>
      </c>
      <c r="J14" s="85">
        <f>Data!C19</f>
        <v>148550.84444444443</v>
      </c>
      <c r="K14" s="191">
        <f t="shared" si="5"/>
        <v>148000</v>
      </c>
    </row>
    <row r="15" spans="1:11" ht="17" customHeight="1" x14ac:dyDescent="0.2">
      <c r="A15" s="88">
        <f t="shared" si="2"/>
        <v>2022</v>
      </c>
      <c r="B15" s="89">
        <f t="shared" si="3"/>
        <v>30963.932508578837</v>
      </c>
      <c r="C15" s="89">
        <f>Data!AC20</f>
        <v>2381.8456026461881</v>
      </c>
      <c r="D15" s="89">
        <f>Data!AD20</f>
        <v>33345.778111225023</v>
      </c>
      <c r="E15" s="90">
        <f t="shared" si="4"/>
        <v>30000</v>
      </c>
      <c r="F15" s="90"/>
      <c r="G15" s="91"/>
      <c r="H15" s="92">
        <f t="shared" si="0"/>
        <v>-3345.7781112250232</v>
      </c>
      <c r="I15" s="92">
        <f t="shared" si="1"/>
        <v>-963.93250857883686</v>
      </c>
      <c r="J15" s="90">
        <f>Data!C20</f>
        <v>150674.68888888886</v>
      </c>
      <c r="K15" s="191">
        <f t="shared" si="5"/>
        <v>150000</v>
      </c>
    </row>
    <row r="16" spans="1:11" ht="17" customHeight="1" x14ac:dyDescent="0.2">
      <c r="A16" s="84">
        <f t="shared" si="2"/>
        <v>2023</v>
      </c>
      <c r="B16" s="85">
        <f t="shared" si="3"/>
        <v>31378.42451218643</v>
      </c>
      <c r="C16" s="85">
        <f>Data!AC21</f>
        <v>2420.224491869114</v>
      </c>
      <c r="D16" s="85">
        <f>Data!AD21</f>
        <v>33798.649004055544</v>
      </c>
      <c r="E16" s="85">
        <f t="shared" si="4"/>
        <v>30000</v>
      </c>
      <c r="F16" s="85"/>
      <c r="G16" s="86"/>
      <c r="H16" s="87">
        <f t="shared" si="0"/>
        <v>-3798.6490040555436</v>
      </c>
      <c r="I16" s="87">
        <f t="shared" si="1"/>
        <v>-1378.4245121864296</v>
      </c>
      <c r="J16" s="85">
        <f>Data!C21</f>
        <v>152798.5333333333</v>
      </c>
      <c r="K16" s="191">
        <f t="shared" si="5"/>
        <v>152000</v>
      </c>
    </row>
    <row r="17" spans="1:11" ht="17" customHeight="1" x14ac:dyDescent="0.2">
      <c r="A17" s="88">
        <f t="shared" si="2"/>
        <v>2024</v>
      </c>
      <c r="B17" s="89">
        <f t="shared" si="3"/>
        <v>31792.91651579403</v>
      </c>
      <c r="C17" s="89">
        <f>Data!AC22</f>
        <v>2458.6033810920399</v>
      </c>
      <c r="D17" s="89">
        <f>Data!AD22</f>
        <v>34251.519896886071</v>
      </c>
      <c r="E17" s="90">
        <f t="shared" si="4"/>
        <v>30000</v>
      </c>
      <c r="F17" s="90"/>
      <c r="G17" s="91"/>
      <c r="H17" s="92">
        <f t="shared" si="0"/>
        <v>-4251.5198968860714</v>
      </c>
      <c r="I17" s="92">
        <f t="shared" si="1"/>
        <v>-1792.9165157940297</v>
      </c>
      <c r="J17" s="90">
        <f>Data!C22</f>
        <v>154922.37777777773</v>
      </c>
      <c r="K17" s="191">
        <f t="shared" si="5"/>
        <v>154000</v>
      </c>
    </row>
    <row r="18" spans="1:11" ht="17" customHeight="1" x14ac:dyDescent="0.2">
      <c r="A18" s="84">
        <f t="shared" si="2"/>
        <v>2025</v>
      </c>
      <c r="B18" s="85">
        <f t="shared" si="3"/>
        <v>32207.408519401626</v>
      </c>
      <c r="C18" s="85">
        <f>Data!AC23</f>
        <v>2496.9822703149657</v>
      </c>
      <c r="D18" s="85">
        <f>Data!AD23</f>
        <v>34704.390789716592</v>
      </c>
      <c r="E18" s="85">
        <f t="shared" si="4"/>
        <v>30000</v>
      </c>
      <c r="F18" s="97">
        <v>5000</v>
      </c>
      <c r="G18" s="98" t="s">
        <v>118</v>
      </c>
      <c r="H18" s="87">
        <f t="shared" si="0"/>
        <v>-4704.3907897165918</v>
      </c>
      <c r="I18" s="87">
        <f t="shared" si="1"/>
        <v>-2207.4085194016261</v>
      </c>
      <c r="J18" s="85">
        <f>Data!C23</f>
        <v>157046.22222222216</v>
      </c>
      <c r="K18" s="191">
        <f t="shared" si="5"/>
        <v>157000</v>
      </c>
    </row>
    <row r="19" spans="1:11" ht="17" customHeight="1" x14ac:dyDescent="0.2">
      <c r="A19" s="88">
        <f t="shared" si="2"/>
        <v>2026</v>
      </c>
      <c r="B19" s="89">
        <f t="shared" si="3"/>
        <v>32621.900523009223</v>
      </c>
      <c r="C19" s="89">
        <f>Data!AC24</f>
        <v>2535.3611595378911</v>
      </c>
      <c r="D19" s="89">
        <f>Data!AD24</f>
        <v>35157.261682547112</v>
      </c>
      <c r="E19" s="90">
        <f t="shared" si="4"/>
        <v>35000</v>
      </c>
      <c r="F19" s="90"/>
      <c r="G19" s="91"/>
      <c r="H19" s="92">
        <f t="shared" si="0"/>
        <v>-157.26168254711229</v>
      </c>
      <c r="I19" s="92">
        <f t="shared" si="1"/>
        <v>2378.0994769907775</v>
      </c>
      <c r="J19" s="90">
        <f>Data!C24</f>
        <v>159170.06666666659</v>
      </c>
      <c r="K19" s="191">
        <f t="shared" si="5"/>
        <v>159000</v>
      </c>
    </row>
    <row r="20" spans="1:11" ht="17" customHeight="1" x14ac:dyDescent="0.2">
      <c r="A20" s="84">
        <f t="shared" si="2"/>
        <v>2027</v>
      </c>
      <c r="B20" s="85">
        <f t="shared" si="3"/>
        <v>33036.392526616823</v>
      </c>
      <c r="C20" s="85">
        <f>Data!AC25</f>
        <v>2573.740048760817</v>
      </c>
      <c r="D20" s="85">
        <f>Data!AD25</f>
        <v>35610.13257537764</v>
      </c>
      <c r="E20" s="85">
        <f t="shared" si="4"/>
        <v>35000</v>
      </c>
      <c r="F20" s="97"/>
      <c r="G20" s="98"/>
      <c r="H20" s="87">
        <f t="shared" si="0"/>
        <v>-610.13257537764002</v>
      </c>
      <c r="I20" s="87">
        <f t="shared" si="1"/>
        <v>1963.6074733831774</v>
      </c>
      <c r="J20" s="85">
        <f>Data!C25</f>
        <v>161293.91111111103</v>
      </c>
      <c r="K20" s="191">
        <f t="shared" si="5"/>
        <v>161000</v>
      </c>
    </row>
    <row r="21" spans="1:11" ht="17" customHeight="1" x14ac:dyDescent="0.2">
      <c r="A21" s="88">
        <f t="shared" si="2"/>
        <v>2028</v>
      </c>
      <c r="B21" s="89">
        <f t="shared" si="3"/>
        <v>33450.884530224415</v>
      </c>
      <c r="C21" s="89">
        <f>Data!AC26</f>
        <v>2612.1189379837424</v>
      </c>
      <c r="D21" s="89">
        <f>Data!AD26</f>
        <v>36063.00346820816</v>
      </c>
      <c r="E21" s="90">
        <f t="shared" si="4"/>
        <v>35000</v>
      </c>
      <c r="F21" s="90"/>
      <c r="G21" s="91"/>
      <c r="H21" s="92">
        <f t="shared" si="0"/>
        <v>-1063.0034682081605</v>
      </c>
      <c r="I21" s="92">
        <f t="shared" si="1"/>
        <v>1549.1154697755846</v>
      </c>
      <c r="J21" s="90">
        <f>Data!C26</f>
        <v>163417.75555555546</v>
      </c>
      <c r="K21" s="191">
        <f t="shared" si="5"/>
        <v>163000</v>
      </c>
    </row>
    <row r="22" spans="1:11" ht="17" customHeight="1" x14ac:dyDescent="0.2">
      <c r="A22" s="84">
        <f t="shared" si="2"/>
        <v>2029</v>
      </c>
      <c r="B22" s="85">
        <f t="shared" si="3"/>
        <v>33865.376533832015</v>
      </c>
      <c r="C22" s="85">
        <f>Data!AC27</f>
        <v>2650.4978272066683</v>
      </c>
      <c r="D22" s="85">
        <f>Data!AD27</f>
        <v>36515.874361038681</v>
      </c>
      <c r="E22" s="85">
        <f t="shared" si="4"/>
        <v>35000</v>
      </c>
      <c r="F22" s="85"/>
      <c r="G22" s="98"/>
      <c r="H22" s="87">
        <f t="shared" si="0"/>
        <v>-1515.8743610386809</v>
      </c>
      <c r="I22" s="87">
        <f t="shared" si="1"/>
        <v>1134.6234661679846</v>
      </c>
      <c r="J22" s="85">
        <f>Data!C27</f>
        <v>165541.59999999989</v>
      </c>
      <c r="K22" s="191">
        <f t="shared" si="5"/>
        <v>165000</v>
      </c>
    </row>
    <row r="23" spans="1:11" ht="17" customHeight="1" x14ac:dyDescent="0.2">
      <c r="A23" s="88">
        <f t="shared" si="2"/>
        <v>2030</v>
      </c>
      <c r="B23" s="89">
        <f t="shared" si="3"/>
        <v>34279.868537439608</v>
      </c>
      <c r="C23" s="89">
        <f>Data!AC28</f>
        <v>2688.8767164295932</v>
      </c>
      <c r="D23" s="89">
        <f>Data!AD28</f>
        <v>36968.745253869201</v>
      </c>
      <c r="E23" s="90">
        <f t="shared" si="4"/>
        <v>35000</v>
      </c>
      <c r="F23" s="90">
        <v>1000</v>
      </c>
      <c r="G23" s="91" t="s">
        <v>146</v>
      </c>
      <c r="H23" s="92">
        <f t="shared" si="0"/>
        <v>-1968.7452538692014</v>
      </c>
      <c r="I23" s="92">
        <f t="shared" si="1"/>
        <v>720.13146256039181</v>
      </c>
      <c r="J23" s="90">
        <f>Data!C28</f>
        <v>167665.44444444432</v>
      </c>
      <c r="K23" s="191">
        <f t="shared" si="5"/>
        <v>167000</v>
      </c>
    </row>
    <row r="24" spans="1:11" ht="17" customHeight="1" x14ac:dyDescent="0.2">
      <c r="A24" s="84">
        <f t="shared" si="2"/>
        <v>2031</v>
      </c>
      <c r="B24" s="85">
        <f t="shared" si="3"/>
        <v>34694.360541047208</v>
      </c>
      <c r="C24" s="85">
        <f>Data!AC29</f>
        <v>2727.2556056525195</v>
      </c>
      <c r="D24" s="85">
        <f>Data!AD29</f>
        <v>37421.616146699729</v>
      </c>
      <c r="E24" s="85">
        <f>E23+F23</f>
        <v>36000</v>
      </c>
      <c r="F24" s="85"/>
      <c r="G24" s="86"/>
      <c r="H24" s="87">
        <f t="shared" si="0"/>
        <v>-1421.6161466997291</v>
      </c>
      <c r="I24" s="87">
        <f t="shared" si="1"/>
        <v>1305.6394589527918</v>
      </c>
      <c r="J24" s="85">
        <f>Data!C29</f>
        <v>169789.28888888875</v>
      </c>
      <c r="K24" s="191">
        <f t="shared" si="5"/>
        <v>169000</v>
      </c>
    </row>
    <row r="25" spans="1:11" ht="17" customHeight="1" x14ac:dyDescent="0.2">
      <c r="A25" s="88">
        <f t="shared" si="2"/>
        <v>2032</v>
      </c>
      <c r="B25" s="89">
        <f t="shared" si="3"/>
        <v>35108.852544654801</v>
      </c>
      <c r="C25" s="89">
        <f>Data!AC30</f>
        <v>2765.6344948754449</v>
      </c>
      <c r="D25" s="89">
        <f>Data!AD30</f>
        <v>37874.487039530242</v>
      </c>
      <c r="E25" s="90">
        <f t="shared" si="4"/>
        <v>36000</v>
      </c>
      <c r="F25" s="90">
        <v>1000</v>
      </c>
      <c r="G25" s="91" t="s">
        <v>147</v>
      </c>
      <c r="H25" s="92">
        <f t="shared" si="0"/>
        <v>-1874.4870395302423</v>
      </c>
      <c r="I25" s="92">
        <f t="shared" si="1"/>
        <v>891.14745534519898</v>
      </c>
      <c r="J25" s="90">
        <f>Data!C30</f>
        <v>171913.13333333319</v>
      </c>
      <c r="K25" s="191">
        <f t="shared" si="5"/>
        <v>171000</v>
      </c>
    </row>
    <row r="26" spans="1:11" ht="17" customHeight="1" x14ac:dyDescent="0.2">
      <c r="A26" s="84">
        <f t="shared" si="2"/>
        <v>2033</v>
      </c>
      <c r="B26" s="85">
        <f t="shared" si="3"/>
        <v>35523.344548262408</v>
      </c>
      <c r="C26" s="85">
        <f>Data!AC31</f>
        <v>2804.0133840983708</v>
      </c>
      <c r="D26" s="85">
        <f>Data!AD31</f>
        <v>38327.357932360777</v>
      </c>
      <c r="E26" s="85">
        <f t="shared" si="4"/>
        <v>37000</v>
      </c>
      <c r="F26" s="85"/>
      <c r="G26" s="98"/>
      <c r="H26" s="87">
        <f t="shared" si="0"/>
        <v>-1327.3579323607773</v>
      </c>
      <c r="I26" s="87">
        <f t="shared" si="1"/>
        <v>1476.6554517375916</v>
      </c>
      <c r="J26" s="85">
        <f>Data!C31</f>
        <v>174036.97777777762</v>
      </c>
      <c r="K26" s="191">
        <f t="shared" si="5"/>
        <v>174000</v>
      </c>
    </row>
    <row r="27" spans="1:11" ht="17" customHeight="1" x14ac:dyDescent="0.2">
      <c r="A27" s="88">
        <f t="shared" si="2"/>
        <v>2034</v>
      </c>
      <c r="B27" s="89">
        <f t="shared" si="3"/>
        <v>35937.836551870001</v>
      </c>
      <c r="C27" s="89">
        <f>Data!AC32</f>
        <v>2842.3922733212962</v>
      </c>
      <c r="D27" s="89">
        <f>Data!AD32</f>
        <v>38780.228825191298</v>
      </c>
      <c r="E27" s="90">
        <f t="shared" si="4"/>
        <v>37000</v>
      </c>
      <c r="F27" s="90"/>
      <c r="G27" s="91"/>
      <c r="H27" s="92">
        <f t="shared" si="0"/>
        <v>-1780.2288251912978</v>
      </c>
      <c r="I27" s="92">
        <f t="shared" si="1"/>
        <v>1062.1634481299989</v>
      </c>
      <c r="J27" s="90">
        <f>Data!C32</f>
        <v>176160.82222222205</v>
      </c>
      <c r="K27" s="191">
        <f t="shared" si="5"/>
        <v>176000</v>
      </c>
    </row>
    <row r="28" spans="1:11" ht="17" customHeight="1" x14ac:dyDescent="0.2">
      <c r="A28" s="84">
        <f t="shared" si="2"/>
        <v>2035</v>
      </c>
      <c r="B28" s="85">
        <f t="shared" si="3"/>
        <v>36352.328555477594</v>
      </c>
      <c r="C28" s="85">
        <f>Data!AC33</f>
        <v>2880.7711625442225</v>
      </c>
      <c r="D28" s="85">
        <f>Data!AD33</f>
        <v>39233.099718021818</v>
      </c>
      <c r="E28" s="85">
        <f>E27+F27</f>
        <v>37000</v>
      </c>
      <c r="F28" s="85">
        <v>5000</v>
      </c>
      <c r="G28" s="98" t="s">
        <v>118</v>
      </c>
      <c r="H28" s="87">
        <f t="shared" si="0"/>
        <v>-2233.0997180218183</v>
      </c>
      <c r="I28" s="87">
        <f t="shared" si="1"/>
        <v>647.67144452240609</v>
      </c>
      <c r="J28" s="85">
        <f>Data!C33</f>
        <v>178284.66666666648</v>
      </c>
      <c r="K28" s="191">
        <f t="shared" si="5"/>
        <v>178000</v>
      </c>
    </row>
    <row r="29" spans="1:11" ht="17" customHeight="1" x14ac:dyDescent="0.2">
      <c r="A29" s="88">
        <f t="shared" si="2"/>
        <v>2036</v>
      </c>
      <c r="B29" s="89">
        <f t="shared" si="3"/>
        <v>36766.820559085194</v>
      </c>
      <c r="C29" s="89">
        <f>Data!AC34</f>
        <v>2919.1500517671475</v>
      </c>
      <c r="D29" s="89">
        <f>Data!AD34</f>
        <v>39685.970610852339</v>
      </c>
      <c r="E29" s="90">
        <f t="shared" si="4"/>
        <v>42000</v>
      </c>
      <c r="F29" s="90"/>
      <c r="G29" s="91"/>
      <c r="H29" s="92">
        <f t="shared" si="0"/>
        <v>2314.0293891476613</v>
      </c>
      <c r="I29" s="92">
        <f t="shared" si="1"/>
        <v>5233.179440914806</v>
      </c>
      <c r="J29" s="90">
        <f>Data!C34</f>
        <v>180408.51111111091</v>
      </c>
      <c r="K29" s="191">
        <f t="shared" si="5"/>
        <v>180000</v>
      </c>
    </row>
    <row r="30" spans="1:11" ht="17" customHeight="1" x14ac:dyDescent="0.2">
      <c r="A30" s="84">
        <f t="shared" si="2"/>
        <v>2037</v>
      </c>
      <c r="B30" s="85">
        <f t="shared" si="3"/>
        <v>37181.312562692794</v>
      </c>
      <c r="C30" s="85">
        <f>Data!AC35</f>
        <v>2957.5289409900734</v>
      </c>
      <c r="D30" s="85">
        <f>Data!AD35</f>
        <v>40138.841503682866</v>
      </c>
      <c r="E30" s="85">
        <f t="shared" si="4"/>
        <v>42000</v>
      </c>
      <c r="F30" s="85"/>
      <c r="G30" s="98"/>
      <c r="H30" s="87">
        <f t="shared" si="0"/>
        <v>1861.1584963171335</v>
      </c>
      <c r="I30" s="87">
        <f t="shared" si="1"/>
        <v>4818.687437307206</v>
      </c>
      <c r="J30" s="85">
        <f>Data!C35</f>
        <v>182532.35555555535</v>
      </c>
      <c r="K30" s="191">
        <f t="shared" si="5"/>
        <v>182000</v>
      </c>
    </row>
    <row r="31" spans="1:11" ht="17" customHeight="1" x14ac:dyDescent="0.2">
      <c r="A31" s="88">
        <f t="shared" si="2"/>
        <v>2038</v>
      </c>
      <c r="B31" s="89">
        <f t="shared" si="3"/>
        <v>37595.804566300387</v>
      </c>
      <c r="C31" s="89">
        <f>Data!AC36</f>
        <v>2995.9078302129988</v>
      </c>
      <c r="D31" s="89">
        <f>Data!AD36</f>
        <v>40591.712396513387</v>
      </c>
      <c r="E31" s="90">
        <f t="shared" si="4"/>
        <v>42000</v>
      </c>
      <c r="F31" s="90"/>
      <c r="G31" s="91"/>
      <c r="H31" s="92">
        <f t="shared" si="0"/>
        <v>1408.2876034866131</v>
      </c>
      <c r="I31" s="92">
        <f t="shared" si="1"/>
        <v>4404.1954336996132</v>
      </c>
      <c r="J31" s="90">
        <f>Data!C36</f>
        <v>184656.19999999978</v>
      </c>
      <c r="K31" s="191">
        <f t="shared" si="5"/>
        <v>184000</v>
      </c>
    </row>
    <row r="32" spans="1:11" ht="17" customHeight="1" x14ac:dyDescent="0.2">
      <c r="A32" s="84">
        <f t="shared" si="2"/>
        <v>2039</v>
      </c>
      <c r="B32" s="85">
        <f t="shared" si="3"/>
        <v>38010.29656990798</v>
      </c>
      <c r="C32" s="85">
        <f>Data!AC37</f>
        <v>3034.2867194359246</v>
      </c>
      <c r="D32" s="85">
        <f>Data!AD37</f>
        <v>41044.583289343907</v>
      </c>
      <c r="E32" s="85">
        <f t="shared" si="4"/>
        <v>42000</v>
      </c>
      <c r="F32" s="85"/>
      <c r="G32" s="98"/>
      <c r="H32" s="87">
        <f t="shared" si="0"/>
        <v>955.41671065609262</v>
      </c>
      <c r="I32" s="87">
        <f t="shared" si="1"/>
        <v>3989.7034300920204</v>
      </c>
      <c r="J32" s="85">
        <f>Data!C37</f>
        <v>186780.04444444421</v>
      </c>
      <c r="K32" s="191">
        <f t="shared" si="5"/>
        <v>186000</v>
      </c>
    </row>
    <row r="33" spans="1:11" ht="17" customHeight="1" x14ac:dyDescent="0.2">
      <c r="A33" s="88">
        <f t="shared" si="2"/>
        <v>2040</v>
      </c>
      <c r="B33" s="89">
        <f t="shared" si="3"/>
        <v>38424.78857351558</v>
      </c>
      <c r="C33" s="89">
        <f>Data!AC38</f>
        <v>3072.66560865885</v>
      </c>
      <c r="D33" s="89">
        <f>Data!AD38</f>
        <v>41497.454182174428</v>
      </c>
      <c r="E33" s="90">
        <f t="shared" si="4"/>
        <v>42000</v>
      </c>
      <c r="F33" s="90"/>
      <c r="G33" s="91" t="s">
        <v>100</v>
      </c>
      <c r="H33" s="92">
        <f t="shared" si="0"/>
        <v>502.54581782557216</v>
      </c>
      <c r="I33" s="92">
        <f t="shared" si="1"/>
        <v>3575.2114264844204</v>
      </c>
      <c r="J33" s="90">
        <f>Data!C38</f>
        <v>188903.88888888864</v>
      </c>
      <c r="K33" s="191">
        <f t="shared" si="5"/>
        <v>188000</v>
      </c>
    </row>
    <row r="34" spans="1:11" ht="17" customHeight="1" x14ac:dyDescent="0.2">
      <c r="A34" s="84">
        <f t="shared" si="2"/>
        <v>2041</v>
      </c>
      <c r="B34" s="85">
        <f t="shared" si="3"/>
        <v>38839.28057712318</v>
      </c>
      <c r="C34" s="85">
        <f>Data!AC39</f>
        <v>3111.0444978817759</v>
      </c>
      <c r="D34" s="85">
        <f>Data!AD39</f>
        <v>41950.325075004956</v>
      </c>
      <c r="E34" s="85">
        <f t="shared" si="4"/>
        <v>42000</v>
      </c>
      <c r="F34" s="85"/>
      <c r="G34" s="98"/>
      <c r="H34" s="87">
        <f t="shared" si="0"/>
        <v>49.674924995044421</v>
      </c>
      <c r="I34" s="87">
        <f t="shared" si="1"/>
        <v>3160.7194228768203</v>
      </c>
      <c r="J34" s="85">
        <f>Data!C39</f>
        <v>191027.73333333308</v>
      </c>
      <c r="K34" s="191">
        <f t="shared" si="5"/>
        <v>191000</v>
      </c>
    </row>
    <row r="35" spans="1:11" ht="17" customHeight="1" x14ac:dyDescent="0.2">
      <c r="A35" s="88">
        <f t="shared" si="2"/>
        <v>2042</v>
      </c>
      <c r="B35" s="89">
        <f t="shared" si="3"/>
        <v>39253.772580730772</v>
      </c>
      <c r="C35" s="89">
        <f>Data!AC40</f>
        <v>3149.4233871047013</v>
      </c>
      <c r="D35" s="89">
        <f>Data!AD40</f>
        <v>42403.195967835476</v>
      </c>
      <c r="E35" s="90">
        <f t="shared" si="4"/>
        <v>42000</v>
      </c>
      <c r="F35" s="90"/>
      <c r="G35" s="91"/>
      <c r="H35" s="92">
        <f t="shared" si="0"/>
        <v>-403.19596783547604</v>
      </c>
      <c r="I35" s="92">
        <f t="shared" si="1"/>
        <v>2746.2274192692275</v>
      </c>
      <c r="J35" s="90">
        <f>Data!C40</f>
        <v>193151.57777777751</v>
      </c>
      <c r="K35" s="191">
        <f t="shared" si="5"/>
        <v>193000</v>
      </c>
    </row>
    <row r="36" spans="1:11" ht="17" customHeight="1" x14ac:dyDescent="0.2">
      <c r="A36" s="84">
        <f t="shared" si="2"/>
        <v>2043</v>
      </c>
      <c r="B36" s="85">
        <f t="shared" si="3"/>
        <v>39668.26458433838</v>
      </c>
      <c r="C36" s="85">
        <f>Data!AC41</f>
        <v>3187.8022763276276</v>
      </c>
      <c r="D36" s="85">
        <f>Data!AD41</f>
        <v>42856.066860666004</v>
      </c>
      <c r="E36" s="85">
        <f t="shared" si="4"/>
        <v>42000</v>
      </c>
      <c r="F36" s="85">
        <v>4000</v>
      </c>
      <c r="G36" s="98" t="s">
        <v>118</v>
      </c>
      <c r="H36" s="87">
        <f t="shared" si="0"/>
        <v>-856.06686066600378</v>
      </c>
      <c r="I36" s="87">
        <f t="shared" si="1"/>
        <v>2331.7354156616202</v>
      </c>
      <c r="J36" s="85">
        <f>Data!C41</f>
        <v>195275.42222222194</v>
      </c>
      <c r="K36" s="191">
        <f t="shared" si="5"/>
        <v>195000</v>
      </c>
    </row>
    <row r="37" spans="1:11" ht="17" customHeight="1" x14ac:dyDescent="0.2">
      <c r="A37" s="88">
        <f t="shared" si="2"/>
        <v>2044</v>
      </c>
      <c r="B37" s="89">
        <f t="shared" si="3"/>
        <v>40082.756587945973</v>
      </c>
      <c r="C37" s="89">
        <f>Data!AC42</f>
        <v>3226.1811655505535</v>
      </c>
      <c r="D37" s="89">
        <f>Data!AD42</f>
        <v>43308.937753496524</v>
      </c>
      <c r="E37" s="90">
        <f t="shared" si="4"/>
        <v>46000</v>
      </c>
      <c r="F37" s="90"/>
      <c r="G37" s="91"/>
      <c r="H37" s="92">
        <f t="shared" si="0"/>
        <v>2691.0622465034758</v>
      </c>
      <c r="I37" s="92">
        <f t="shared" si="1"/>
        <v>5917.2434120540274</v>
      </c>
      <c r="J37" s="90">
        <f>Data!C42</f>
        <v>197399.26666666637</v>
      </c>
      <c r="K37" s="191">
        <f t="shared" si="5"/>
        <v>197000</v>
      </c>
    </row>
    <row r="38" spans="1:11" ht="17" customHeight="1" x14ac:dyDescent="0.2">
      <c r="A38" s="84">
        <f t="shared" si="2"/>
        <v>2045</v>
      </c>
      <c r="B38" s="85">
        <f t="shared" si="3"/>
        <v>40497.248591553565</v>
      </c>
      <c r="C38" s="85">
        <f>Data!AC43</f>
        <v>3264.5600547734789</v>
      </c>
      <c r="D38" s="85">
        <f>Data!AD43</f>
        <v>43761.808646327045</v>
      </c>
      <c r="E38" s="85">
        <f t="shared" si="4"/>
        <v>46000</v>
      </c>
      <c r="F38" s="85"/>
      <c r="G38" s="98"/>
      <c r="H38" s="87">
        <f t="shared" si="0"/>
        <v>2238.1913536729553</v>
      </c>
      <c r="I38" s="87">
        <f t="shared" si="1"/>
        <v>5502.7514084464347</v>
      </c>
      <c r="J38" s="85">
        <f>Data!C43</f>
        <v>199523.1111111108</v>
      </c>
      <c r="K38" s="191">
        <f t="shared" si="5"/>
        <v>199000</v>
      </c>
    </row>
    <row r="39" spans="1:11" ht="17" customHeight="1" x14ac:dyDescent="0.2">
      <c r="A39" s="88">
        <f t="shared" si="2"/>
        <v>2046</v>
      </c>
      <c r="B39" s="89">
        <f t="shared" si="3"/>
        <v>40911.740595161158</v>
      </c>
      <c r="C39" s="89">
        <f>Data!AC44</f>
        <v>3302.9389439964043</v>
      </c>
      <c r="D39" s="89">
        <f>Data!AD44</f>
        <v>44214.679539157565</v>
      </c>
      <c r="E39" s="90">
        <f t="shared" si="4"/>
        <v>46000</v>
      </c>
      <c r="F39" s="90"/>
      <c r="G39" s="91"/>
      <c r="H39" s="92">
        <f t="shared" si="0"/>
        <v>1785.3204608424348</v>
      </c>
      <c r="I39" s="92">
        <f t="shared" si="1"/>
        <v>5088.2594048388419</v>
      </c>
      <c r="J39" s="90">
        <f>Data!C44</f>
        <v>201646.95555555524</v>
      </c>
      <c r="K39" s="191">
        <f t="shared" si="5"/>
        <v>201000</v>
      </c>
    </row>
    <row r="40" spans="1:11" ht="17" customHeight="1" x14ac:dyDescent="0.2">
      <c r="A40" s="84">
        <f t="shared" si="2"/>
        <v>2047</v>
      </c>
      <c r="B40" s="85">
        <f t="shared" si="3"/>
        <v>41326.232598768765</v>
      </c>
      <c r="C40" s="85">
        <f>Data!AC45</f>
        <v>3341.3178332193306</v>
      </c>
      <c r="D40" s="85">
        <f>Data!AD45</f>
        <v>44667.550431988093</v>
      </c>
      <c r="E40" s="85">
        <f t="shared" si="4"/>
        <v>46000</v>
      </c>
      <c r="F40" s="85"/>
      <c r="G40" s="98"/>
      <c r="H40" s="87">
        <f t="shared" si="0"/>
        <v>1332.4495680119071</v>
      </c>
      <c r="I40" s="87">
        <f t="shared" si="1"/>
        <v>4673.7674012312345</v>
      </c>
      <c r="J40" s="85">
        <f>Data!C45</f>
        <v>203770.79999999967</v>
      </c>
      <c r="K40" s="191">
        <f t="shared" si="5"/>
        <v>203000</v>
      </c>
    </row>
    <row r="41" spans="1:11" ht="17" customHeight="1" x14ac:dyDescent="0.2">
      <c r="A41" s="88">
        <f t="shared" si="2"/>
        <v>2048</v>
      </c>
      <c r="B41" s="89">
        <f t="shared" si="3"/>
        <v>41740.724602376358</v>
      </c>
      <c r="C41" s="89">
        <f>Data!AC46</f>
        <v>3379.6967224422551</v>
      </c>
      <c r="D41" s="89">
        <f>Data!AD46</f>
        <v>45120.421324818613</v>
      </c>
      <c r="E41" s="90">
        <f t="shared" si="4"/>
        <v>46000</v>
      </c>
      <c r="F41" s="90"/>
      <c r="G41" s="91"/>
      <c r="H41" s="92">
        <f t="shared" si="0"/>
        <v>879.57867518138664</v>
      </c>
      <c r="I41" s="92">
        <f t="shared" si="1"/>
        <v>4259.2753976236418</v>
      </c>
      <c r="J41" s="90">
        <f>Data!C46</f>
        <v>205894.6444444441</v>
      </c>
      <c r="K41" s="191">
        <f t="shared" si="5"/>
        <v>205000</v>
      </c>
    </row>
    <row r="42" spans="1:11" ht="17" customHeight="1" x14ac:dyDescent="0.2">
      <c r="A42" s="84">
        <f t="shared" si="2"/>
        <v>2049</v>
      </c>
      <c r="B42" s="85">
        <f t="shared" si="3"/>
        <v>42155.216605983951</v>
      </c>
      <c r="C42" s="85">
        <f>Data!AC47</f>
        <v>3418.0756116651814</v>
      </c>
      <c r="D42" s="85">
        <f>Data!AD47</f>
        <v>45573.292217649134</v>
      </c>
      <c r="E42" s="85">
        <f t="shared" si="4"/>
        <v>46000</v>
      </c>
      <c r="F42" s="85"/>
      <c r="G42" s="98"/>
      <c r="H42" s="87">
        <f t="shared" si="0"/>
        <v>426.70778235086618</v>
      </c>
      <c r="I42" s="87">
        <f t="shared" si="1"/>
        <v>3844.783394016049</v>
      </c>
      <c r="J42" s="85">
        <f>Data!C47</f>
        <v>208018.48888888853</v>
      </c>
      <c r="K42" s="191">
        <f t="shared" si="5"/>
        <v>208000</v>
      </c>
    </row>
    <row r="43" spans="1:11" ht="17" customHeight="1" x14ac:dyDescent="0.2">
      <c r="A43" s="88">
        <f t="shared" si="2"/>
        <v>2050</v>
      </c>
      <c r="B43" s="89">
        <f t="shared" si="3"/>
        <v>42569.708609591558</v>
      </c>
      <c r="C43" s="89">
        <f>Data!AC48</f>
        <v>3456.4545008881068</v>
      </c>
      <c r="D43" s="89">
        <f>Data!AD48</f>
        <v>46026.163110479669</v>
      </c>
      <c r="E43" s="90">
        <f t="shared" si="4"/>
        <v>46000</v>
      </c>
      <c r="F43" s="90"/>
      <c r="G43" s="91"/>
      <c r="H43" s="92">
        <f t="shared" si="0"/>
        <v>-26.163110479668831</v>
      </c>
      <c r="I43" s="92">
        <f t="shared" si="1"/>
        <v>3430.2913904084417</v>
      </c>
      <c r="J43" s="90">
        <f>Data!C48</f>
        <v>210142.33333333296</v>
      </c>
      <c r="K43" s="191">
        <f t="shared" si="5"/>
        <v>210000</v>
      </c>
    </row>
    <row r="44" spans="1:11" ht="17" customHeight="1" x14ac:dyDescent="0.2">
      <c r="A44" s="84">
        <f t="shared" si="2"/>
        <v>2051</v>
      </c>
      <c r="B44" s="85">
        <f t="shared" si="3"/>
        <v>42984.200613199151</v>
      </c>
      <c r="C44" s="85">
        <f>Data!AC49</f>
        <v>3494.8333901110327</v>
      </c>
      <c r="D44" s="85">
        <f>Data!AD49</f>
        <v>46479.034003310182</v>
      </c>
      <c r="E44" s="85">
        <f t="shared" si="4"/>
        <v>46000</v>
      </c>
      <c r="F44" s="85">
        <v>2000</v>
      </c>
      <c r="G44" s="98" t="s">
        <v>145</v>
      </c>
      <c r="H44" s="87">
        <f t="shared" si="0"/>
        <v>-479.03400331018202</v>
      </c>
      <c r="I44" s="87">
        <f t="shared" si="1"/>
        <v>3015.7993868008489</v>
      </c>
      <c r="J44" s="85">
        <f>Data!C49</f>
        <v>212266.1777777774</v>
      </c>
      <c r="K44" s="191">
        <f t="shared" si="5"/>
        <v>212000</v>
      </c>
    </row>
    <row r="45" spans="1:11" ht="17" customHeight="1" x14ac:dyDescent="0.2">
      <c r="A45" s="88">
        <f t="shared" si="2"/>
        <v>2052</v>
      </c>
      <c r="B45" s="89">
        <f t="shared" si="3"/>
        <v>43398.692616806744</v>
      </c>
      <c r="C45" s="89">
        <f>Data!AC50</f>
        <v>3533.2122793339581</v>
      </c>
      <c r="D45" s="89">
        <f>Data!AD50</f>
        <v>46931.904896140702</v>
      </c>
      <c r="E45" s="90">
        <f t="shared" si="4"/>
        <v>48000</v>
      </c>
      <c r="F45" s="90"/>
      <c r="G45" s="91"/>
      <c r="H45" s="92">
        <f t="shared" si="0"/>
        <v>1068.0951038592975</v>
      </c>
      <c r="I45" s="92">
        <f t="shared" si="1"/>
        <v>4601.3073831932561</v>
      </c>
      <c r="J45" s="90">
        <f>Data!C50</f>
        <v>214390.02222222183</v>
      </c>
      <c r="K45" s="191">
        <f t="shared" si="5"/>
        <v>214000</v>
      </c>
    </row>
    <row r="46" spans="1:11" ht="17" customHeight="1" x14ac:dyDescent="0.2">
      <c r="A46" s="84">
        <f t="shared" si="2"/>
        <v>2053</v>
      </c>
      <c r="B46" s="85">
        <f t="shared" si="3"/>
        <v>43813.184620414344</v>
      </c>
      <c r="C46" s="85">
        <f>Data!AC51</f>
        <v>3571.5911685568835</v>
      </c>
      <c r="D46" s="85">
        <f>Data!AD51</f>
        <v>47384.77578897123</v>
      </c>
      <c r="E46" s="85">
        <f t="shared" si="4"/>
        <v>48000</v>
      </c>
      <c r="F46" s="85"/>
      <c r="G46" s="98"/>
      <c r="H46" s="87">
        <f t="shared" si="0"/>
        <v>615.22421102876979</v>
      </c>
      <c r="I46" s="87">
        <f t="shared" si="1"/>
        <v>4186.815379585656</v>
      </c>
      <c r="J46" s="85">
        <f>Data!C51</f>
        <v>216513.86666666626</v>
      </c>
      <c r="K46" s="191">
        <f t="shared" si="5"/>
        <v>216000</v>
      </c>
    </row>
    <row r="47" spans="1:11" ht="17" customHeight="1" x14ac:dyDescent="0.2">
      <c r="A47" s="88">
        <f t="shared" si="2"/>
        <v>2054</v>
      </c>
      <c r="B47" s="89">
        <f t="shared" si="3"/>
        <v>44227.676624021944</v>
      </c>
      <c r="C47" s="89">
        <f>Data!AC52</f>
        <v>3609.9700577798098</v>
      </c>
      <c r="D47" s="89">
        <f>Data!AD52</f>
        <v>47837.646681801751</v>
      </c>
      <c r="E47" s="90">
        <f t="shared" si="4"/>
        <v>48000</v>
      </c>
      <c r="F47" s="90"/>
      <c r="G47" s="91"/>
      <c r="H47" s="92">
        <f t="shared" si="0"/>
        <v>162.35331819824933</v>
      </c>
      <c r="I47" s="92">
        <f t="shared" si="1"/>
        <v>3772.323375978056</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48000</v>
      </c>
      <c r="F48" s="85"/>
      <c r="G48" s="98"/>
      <c r="H48" s="87">
        <f t="shared" si="0"/>
        <v>-359.1467424676739</v>
      </c>
      <c r="I48" s="87">
        <f t="shared" si="1"/>
        <v>3295.0182357075537</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48000</v>
      </c>
      <c r="F49" s="90"/>
      <c r="G49" s="91"/>
      <c r="H49" s="92">
        <f t="shared" si="0"/>
        <v>-630.32382199330459</v>
      </c>
      <c r="I49" s="92">
        <f t="shared" si="1"/>
        <v>3046.8222646162976</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48000</v>
      </c>
      <c r="F50" s="85"/>
      <c r="G50" s="98"/>
      <c r="H50" s="87">
        <f t="shared" si="0"/>
        <v>-901.50090151893528</v>
      </c>
      <c r="I50" s="87">
        <f t="shared" si="1"/>
        <v>2798.6262935250415</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48000</v>
      </c>
      <c r="F51" s="90"/>
      <c r="G51" s="91"/>
      <c r="H51" s="92">
        <f t="shared" si="0"/>
        <v>-1172.677981044566</v>
      </c>
      <c r="I51" s="92">
        <f t="shared" si="1"/>
        <v>2550.4303224337855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48000</v>
      </c>
      <c r="F52" s="85">
        <v>2000</v>
      </c>
      <c r="G52" s="98" t="s">
        <v>145</v>
      </c>
      <c r="H52" s="87">
        <f t="shared" si="0"/>
        <v>-1443.8550605701967</v>
      </c>
      <c r="I52" s="87">
        <f t="shared" si="1"/>
        <v>2302.2343513425294</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50000</v>
      </c>
      <c r="F53" s="90"/>
      <c r="G53" s="91"/>
      <c r="H53" s="92">
        <f t="shared" si="0"/>
        <v>284.9678599041581</v>
      </c>
      <c r="I53" s="92">
        <f t="shared" si="1"/>
        <v>4054.0383802512661</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50000</v>
      </c>
      <c r="F54" s="85"/>
      <c r="G54" s="98"/>
      <c r="H54" s="87">
        <f t="shared" si="0"/>
        <v>13.790780378534691</v>
      </c>
      <c r="I54" s="87">
        <f t="shared" si="1"/>
        <v>3805.8424091600173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50000</v>
      </c>
      <c r="F55" s="90"/>
      <c r="G55" s="91"/>
      <c r="H55" s="92">
        <f t="shared" si="0"/>
        <v>-257.386299147096</v>
      </c>
      <c r="I55" s="92">
        <f t="shared" si="1"/>
        <v>3557.6464380687612</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50000</v>
      </c>
      <c r="F56" s="85"/>
      <c r="G56" s="98"/>
      <c r="H56" s="87">
        <f t="shared" si="0"/>
        <v>-528.56337867273396</v>
      </c>
      <c r="I56" s="87">
        <f t="shared" si="1"/>
        <v>3309.4504669774979</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50000</v>
      </c>
      <c r="F57" s="90"/>
      <c r="G57" s="91"/>
      <c r="H57" s="92">
        <f t="shared" si="0"/>
        <v>-799.74045819836465</v>
      </c>
      <c r="I57" s="92">
        <f t="shared" si="1"/>
        <v>3061.2544958862418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50000</v>
      </c>
      <c r="F58" s="85">
        <v>2000</v>
      </c>
      <c r="G58" s="98" t="s">
        <v>145</v>
      </c>
      <c r="H58" s="87">
        <f t="shared" si="0"/>
        <v>-1070.9175377240681</v>
      </c>
      <c r="I58" s="87">
        <f t="shared" si="1"/>
        <v>2813.0585247949202</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52000</v>
      </c>
      <c r="F59" s="107"/>
      <c r="G59" s="108"/>
      <c r="H59" s="92">
        <f t="shared" ref="H59:H62" si="6">E59-D59</f>
        <v>929.0824622759319</v>
      </c>
      <c r="I59" s="92">
        <f t="shared" ref="I59:I62" si="7">E59-B59</f>
        <v>4898.8349776126051</v>
      </c>
      <c r="J59" s="90">
        <f>J58</f>
        <v>242000</v>
      </c>
      <c r="K59" s="191">
        <f t="shared" si="5"/>
        <v>242000</v>
      </c>
    </row>
    <row r="60" spans="1:11" ht="17" customHeight="1" x14ac:dyDescent="0.2">
      <c r="A60" s="84">
        <f t="shared" si="2"/>
        <v>2067</v>
      </c>
      <c r="B60" s="85">
        <f t="shared" ref="B60" si="8">D60-C60</f>
        <v>47186.94147520508</v>
      </c>
      <c r="C60" s="85">
        <f>Data!$AC$63</f>
        <v>3883.9760625189883</v>
      </c>
      <c r="D60" s="85">
        <f>Data!$AD$63</f>
        <v>51070.917537724068</v>
      </c>
      <c r="E60" s="85">
        <f t="shared" si="4"/>
        <v>52000</v>
      </c>
      <c r="F60" s="85"/>
      <c r="G60" s="98"/>
      <c r="H60" s="87">
        <f t="shared" si="6"/>
        <v>929.0824622759319</v>
      </c>
      <c r="I60" s="87">
        <f t="shared" si="7"/>
        <v>4813.0585247949202</v>
      </c>
      <c r="J60" s="105">
        <v>242000</v>
      </c>
      <c r="K60" s="191">
        <f t="shared" si="5"/>
        <v>242000</v>
      </c>
    </row>
    <row r="61" spans="1:11" ht="17" customHeight="1" x14ac:dyDescent="0.2">
      <c r="A61" s="106">
        <f t="shared" si="2"/>
        <v>2068</v>
      </c>
      <c r="B61" s="107">
        <v>47101.165022387395</v>
      </c>
      <c r="C61" s="107">
        <f>Data!$AC$63</f>
        <v>3883.9760625189883</v>
      </c>
      <c r="D61" s="107">
        <f>Data!$AD$63</f>
        <v>51070.917537724068</v>
      </c>
      <c r="E61" s="90">
        <f t="shared" si="4"/>
        <v>52000</v>
      </c>
      <c r="F61" s="107"/>
      <c r="G61" s="108"/>
      <c r="H61" s="92">
        <f t="shared" si="6"/>
        <v>929.0824622759319</v>
      </c>
      <c r="I61" s="92">
        <f t="shared" si="7"/>
        <v>4898.8349776126051</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52000</v>
      </c>
      <c r="F62" s="85"/>
      <c r="G62" s="98"/>
      <c r="H62" s="87">
        <f t="shared" si="6"/>
        <v>929.0824622759319</v>
      </c>
      <c r="I62" s="87">
        <f t="shared" si="7"/>
        <v>4898.8349776126051</v>
      </c>
      <c r="J62" s="105">
        <v>242000</v>
      </c>
      <c r="K62" s="191">
        <f t="shared" si="5"/>
        <v>242000</v>
      </c>
    </row>
    <row r="63" spans="1:11" ht="17" customHeight="1" x14ac:dyDescent="0.2">
      <c r="A63" s="106">
        <f t="shared" si="2"/>
        <v>2070</v>
      </c>
      <c r="B63" s="107">
        <v>47101.165022387395</v>
      </c>
      <c r="C63" s="107">
        <f>Data!$AC$63</f>
        <v>3883.9760625189883</v>
      </c>
      <c r="D63" s="107">
        <f>Data!$AD$63</f>
        <v>51070.917537724068</v>
      </c>
      <c r="E63" s="90">
        <f t="shared" si="4"/>
        <v>52000</v>
      </c>
      <c r="F63" s="107"/>
      <c r="G63" s="108"/>
      <c r="H63" s="92">
        <f t="shared" ref="H63" si="9">E63-D63</f>
        <v>929.0824622759319</v>
      </c>
      <c r="I63" s="92">
        <f t="shared" ref="I63" si="10">E63-B63</f>
        <v>4898.8349776126051</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156</v>
      </c>
      <c r="K67" s="149"/>
    </row>
    <row r="68" spans="1:11" ht="15" x14ac:dyDescent="0.2">
      <c r="B68" s="69" t="s">
        <v>151</v>
      </c>
      <c r="E68" s="164"/>
      <c r="K68" s="149"/>
    </row>
    <row r="69" spans="1:11" ht="15" x14ac:dyDescent="0.2">
      <c r="B69" s="69" t="s">
        <v>157</v>
      </c>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June 2017</oddHeader>
    <oddFooter>&amp;C&amp;"-,Regular"&amp;8&amp;F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72"/>
  <sheetViews>
    <sheetView view="pageLayout" topLeftCell="A50" zoomScale="80" zoomScaleNormal="100" zoomScalePageLayoutView="80" workbookViewId="0">
      <selection activeCell="A66" sqref="A66:B70"/>
    </sheetView>
  </sheetViews>
  <sheetFormatPr baseColWidth="10" defaultColWidth="9.1640625" defaultRowHeight="14" x14ac:dyDescent="0.2"/>
  <cols>
    <col min="1" max="4" width="13.1640625" style="69" customWidth="1"/>
    <col min="5" max="6" width="13.1640625" style="70" customWidth="1"/>
    <col min="7" max="7" width="15.33203125" style="71" customWidth="1"/>
    <col min="8" max="9" width="13.1640625" style="72" customWidth="1"/>
    <col min="10" max="10" width="13.1640625" style="70" customWidth="1"/>
    <col min="11" max="11" width="13.1640625" style="69" customWidth="1"/>
    <col min="12" max="16384" width="9.1640625" style="71"/>
  </cols>
  <sheetData>
    <row r="1" spans="1:11" x14ac:dyDescent="0.2">
      <c r="A1" s="73"/>
      <c r="B1" s="73" t="s">
        <v>80</v>
      </c>
      <c r="C1" s="73"/>
      <c r="D1" s="73"/>
      <c r="E1" s="74"/>
      <c r="F1" s="74"/>
      <c r="G1" s="75"/>
      <c r="H1" s="76" t="s">
        <v>88</v>
      </c>
      <c r="I1" s="76" t="s">
        <v>88</v>
      </c>
      <c r="J1" s="74"/>
      <c r="K1" s="187" t="s">
        <v>2</v>
      </c>
    </row>
    <row r="2" spans="1:11" x14ac:dyDescent="0.2">
      <c r="A2" s="77"/>
      <c r="B2" s="77" t="s">
        <v>84</v>
      </c>
      <c r="C2" s="77" t="s">
        <v>81</v>
      </c>
      <c r="D2" s="77" t="s">
        <v>80</v>
      </c>
      <c r="E2" s="78" t="s">
        <v>115</v>
      </c>
      <c r="F2" s="78" t="s">
        <v>85</v>
      </c>
      <c r="G2" s="79" t="s">
        <v>116</v>
      </c>
      <c r="H2" s="83" t="s">
        <v>89</v>
      </c>
      <c r="I2" s="83" t="s">
        <v>89</v>
      </c>
      <c r="J2" s="78" t="s">
        <v>92</v>
      </c>
      <c r="K2" s="188" t="s">
        <v>112</v>
      </c>
    </row>
    <row r="3" spans="1:11" x14ac:dyDescent="0.2">
      <c r="A3" s="80" t="s">
        <v>79</v>
      </c>
      <c r="B3" s="80" t="s">
        <v>91</v>
      </c>
      <c r="C3" s="80" t="s">
        <v>82</v>
      </c>
      <c r="D3" s="80" t="s">
        <v>83</v>
      </c>
      <c r="E3" s="81" t="s">
        <v>114</v>
      </c>
      <c r="F3" s="81" t="s">
        <v>86</v>
      </c>
      <c r="G3" s="80" t="s">
        <v>117</v>
      </c>
      <c r="H3" s="82" t="s">
        <v>83</v>
      </c>
      <c r="I3" s="82" t="s">
        <v>84</v>
      </c>
      <c r="J3" s="81" t="s">
        <v>93</v>
      </c>
      <c r="K3" s="189" t="s">
        <v>113</v>
      </c>
    </row>
    <row r="4" spans="1:11" x14ac:dyDescent="0.2">
      <c r="A4" s="93"/>
      <c r="B4" s="93" t="s">
        <v>23</v>
      </c>
      <c r="C4" s="93" t="s">
        <v>23</v>
      </c>
      <c r="D4" s="93" t="s">
        <v>23</v>
      </c>
      <c r="E4" s="94" t="s">
        <v>23</v>
      </c>
      <c r="F4" s="94" t="s">
        <v>23</v>
      </c>
      <c r="G4" s="95"/>
      <c r="H4" s="96" t="s">
        <v>23</v>
      </c>
      <c r="I4" s="96" t="s">
        <v>23</v>
      </c>
      <c r="J4" s="94"/>
      <c r="K4" s="190"/>
    </row>
    <row r="5" spans="1:11" hidden="1" x14ac:dyDescent="0.2">
      <c r="A5" s="88">
        <v>2012</v>
      </c>
      <c r="B5" s="89">
        <f>D5-C5</f>
        <v>27411.915750917295</v>
      </c>
      <c r="C5" s="89">
        <f>Data!AC10</f>
        <v>2052.9551621219721</v>
      </c>
      <c r="D5" s="89">
        <f>Data!AD10</f>
        <v>29464.870913039267</v>
      </c>
      <c r="E5" s="90">
        <v>26700</v>
      </c>
      <c r="F5" s="90"/>
      <c r="G5" s="91"/>
      <c r="H5" s="92">
        <f t="shared" ref="H5:H63" si="0">E5-D5</f>
        <v>-2764.8709130392672</v>
      </c>
      <c r="I5" s="92">
        <f t="shared" ref="I5:I63" si="1">E5-B5</f>
        <v>-711.91575091729464</v>
      </c>
      <c r="J5" s="90">
        <f>Data!C10</f>
        <v>121211</v>
      </c>
      <c r="K5" s="190">
        <v>2009</v>
      </c>
    </row>
    <row r="6" spans="1:11" hidden="1" x14ac:dyDescent="0.2">
      <c r="A6" s="84">
        <f t="shared" ref="A6:A63" si="2">A5+1</f>
        <v>2013</v>
      </c>
      <c r="B6" s="85">
        <f t="shared" ref="B6:B58" si="3">D6-C6</f>
        <v>27323.551291859749</v>
      </c>
      <c r="C6" s="85">
        <f>Data!AC11</f>
        <v>2044.7732677647919</v>
      </c>
      <c r="D6" s="85">
        <f>Data!AD11</f>
        <v>29368.32455962454</v>
      </c>
      <c r="E6" s="85">
        <f t="shared" ref="E6:E63" si="4">E5+F5</f>
        <v>26700</v>
      </c>
      <c r="F6" s="85"/>
      <c r="G6" s="86"/>
      <c r="H6" s="87">
        <f t="shared" si="0"/>
        <v>-2668.3245596245397</v>
      </c>
      <c r="I6" s="87">
        <f t="shared" si="1"/>
        <v>-623.55129185974874</v>
      </c>
      <c r="J6" s="147">
        <f>Data!C11</f>
        <v>122643</v>
      </c>
      <c r="K6" s="190">
        <v>2012</v>
      </c>
    </row>
    <row r="7" spans="1:11" hidden="1" x14ac:dyDescent="0.2">
      <c r="A7" s="88">
        <f t="shared" si="2"/>
        <v>2014</v>
      </c>
      <c r="B7" s="89">
        <f t="shared" si="3"/>
        <v>26456.783973461184</v>
      </c>
      <c r="C7" s="89">
        <f>Data!AC12</f>
        <v>1964.5170345797394</v>
      </c>
      <c r="D7" s="89">
        <f>Data!AD12</f>
        <v>28421.301008040922</v>
      </c>
      <c r="E7" s="90">
        <f t="shared" si="4"/>
        <v>26700</v>
      </c>
      <c r="F7" s="90">
        <v>1000</v>
      </c>
      <c r="G7" s="91" t="s">
        <v>87</v>
      </c>
      <c r="H7" s="92">
        <f t="shared" si="0"/>
        <v>-1721.3010080409222</v>
      </c>
      <c r="I7" s="92">
        <f t="shared" si="1"/>
        <v>243.21602653881564</v>
      </c>
      <c r="J7" s="90">
        <f>Data!C12</f>
        <v>123648</v>
      </c>
      <c r="K7" s="191">
        <f>Data!M10</f>
        <v>30.85455517453661</v>
      </c>
    </row>
    <row r="8" spans="1:11" ht="17" customHeight="1" x14ac:dyDescent="0.2">
      <c r="A8" s="84">
        <f t="shared" si="2"/>
        <v>2015</v>
      </c>
      <c r="B8" s="85">
        <f t="shared" si="3"/>
        <v>27739.90938935196</v>
      </c>
      <c r="C8" s="85">
        <f>Data!AC13</f>
        <v>2083.3249434585155</v>
      </c>
      <c r="D8" s="85">
        <f>Data!AD13</f>
        <v>29823.234332810476</v>
      </c>
      <c r="E8" s="85">
        <f t="shared" si="4"/>
        <v>27700</v>
      </c>
      <c r="F8" s="85">
        <v>1000</v>
      </c>
      <c r="G8" s="86" t="s">
        <v>104</v>
      </c>
      <c r="H8" s="87">
        <f t="shared" si="0"/>
        <v>-2123.2343328104762</v>
      </c>
      <c r="I8" s="87">
        <f t="shared" si="1"/>
        <v>-39.909389351960272</v>
      </c>
      <c r="J8" s="85">
        <f>Data!C13</f>
        <v>131761</v>
      </c>
      <c r="K8" s="191">
        <f>ROUNDDOWN(J8,-3)</f>
        <v>131000</v>
      </c>
    </row>
    <row r="9" spans="1:11" ht="17" customHeight="1" x14ac:dyDescent="0.2">
      <c r="A9" s="88">
        <f t="shared" si="2"/>
        <v>2016</v>
      </c>
      <c r="B9" s="89">
        <f t="shared" si="3"/>
        <v>28493.89737785796</v>
      </c>
      <c r="C9" s="89">
        <f>Data!AC14</f>
        <v>2153.1386460979593</v>
      </c>
      <c r="D9" s="89">
        <f>Data!AD14</f>
        <v>30647.03602395592</v>
      </c>
      <c r="E9" s="90">
        <f t="shared" si="4"/>
        <v>28700</v>
      </c>
      <c r="F9" s="90"/>
      <c r="G9" s="91"/>
      <c r="H9" s="92">
        <f t="shared" si="0"/>
        <v>-1947.0360239559195</v>
      </c>
      <c r="I9" s="92">
        <f t="shared" si="1"/>
        <v>206.10262214203976</v>
      </c>
      <c r="J9" s="90">
        <f>Data!C14</f>
        <v>134149</v>
      </c>
      <c r="K9" s="191">
        <f t="shared" ref="K9:K63" si="5">ROUNDDOWN(J9,-3)</f>
        <v>134000</v>
      </c>
    </row>
    <row r="10" spans="1:11" ht="17" customHeight="1" x14ac:dyDescent="0.2">
      <c r="A10" s="84">
        <f t="shared" si="2"/>
        <v>2017</v>
      </c>
      <c r="B10" s="85">
        <f t="shared" si="3"/>
        <v>28586.175319190566</v>
      </c>
      <c r="C10" s="85">
        <f>Data!AC15</f>
        <v>2161.6828999250529</v>
      </c>
      <c r="D10" s="85">
        <f>Data!AD15</f>
        <v>30747.85821911562</v>
      </c>
      <c r="E10" s="85">
        <f t="shared" si="4"/>
        <v>28700</v>
      </c>
      <c r="F10" s="85"/>
      <c r="G10" s="86"/>
      <c r="H10" s="87">
        <f t="shared" si="0"/>
        <v>-2047.8582191156202</v>
      </c>
      <c r="I10" s="87">
        <f t="shared" si="1"/>
        <v>113.82468080943363</v>
      </c>
      <c r="J10" s="85">
        <f>Data!C15</f>
        <v>137443</v>
      </c>
      <c r="K10" s="191">
        <f t="shared" si="5"/>
        <v>137000</v>
      </c>
    </row>
    <row r="11" spans="1:11" ht="17" customHeight="1" x14ac:dyDescent="0.2">
      <c r="A11" s="88">
        <f t="shared" si="2"/>
        <v>2018</v>
      </c>
      <c r="B11" s="89">
        <f t="shared" si="3"/>
        <v>29110.769177781862</v>
      </c>
      <c r="C11" s="89">
        <f>Data!AC16</f>
        <v>2210.2564053501719</v>
      </c>
      <c r="D11" s="89">
        <f>Data!AD16</f>
        <v>31321.025583132032</v>
      </c>
      <c r="E11" s="90">
        <f t="shared" si="4"/>
        <v>28700</v>
      </c>
      <c r="F11" s="90"/>
      <c r="G11" s="91"/>
      <c r="H11" s="92">
        <f t="shared" si="0"/>
        <v>-2621.0255831320319</v>
      </c>
      <c r="I11" s="92">
        <f t="shared" si="1"/>
        <v>-410.7691777818618</v>
      </c>
      <c r="J11" s="90">
        <f>Data!C16</f>
        <v>140509</v>
      </c>
      <c r="K11" s="191">
        <f t="shared" si="5"/>
        <v>140000</v>
      </c>
    </row>
    <row r="12" spans="1:11" ht="17" customHeight="1" x14ac:dyDescent="0.2">
      <c r="A12" s="84">
        <f t="shared" si="2"/>
        <v>2019</v>
      </c>
      <c r="B12" s="85">
        <f t="shared" si="3"/>
        <v>29660.254568321601</v>
      </c>
      <c r="C12" s="85">
        <f>Data!AC17</f>
        <v>2261.1346822520004</v>
      </c>
      <c r="D12" s="85">
        <f>Data!AD17</f>
        <v>31921.3892505736</v>
      </c>
      <c r="E12" s="85">
        <f t="shared" si="4"/>
        <v>28700</v>
      </c>
      <c r="F12" s="85">
        <v>1300</v>
      </c>
      <c r="G12" s="86" t="s">
        <v>105</v>
      </c>
      <c r="H12" s="87">
        <f t="shared" si="0"/>
        <v>-3221.3892505736003</v>
      </c>
      <c r="I12" s="87">
        <f t="shared" si="1"/>
        <v>-960.25456832160125</v>
      </c>
      <c r="J12" s="85">
        <f>Data!C17</f>
        <v>143788</v>
      </c>
      <c r="K12" s="191">
        <f t="shared" si="5"/>
        <v>143000</v>
      </c>
    </row>
    <row r="13" spans="1:11" ht="17" customHeight="1" x14ac:dyDescent="0.2">
      <c r="A13" s="88">
        <f t="shared" si="2"/>
        <v>2020</v>
      </c>
      <c r="B13" s="89">
        <f t="shared" si="3"/>
        <v>30134.948501363629</v>
      </c>
      <c r="C13" s="89">
        <f>Data!AC18</f>
        <v>2305.0878242003364</v>
      </c>
      <c r="D13" s="89">
        <f>Data!AD18</f>
        <v>32440.036325563968</v>
      </c>
      <c r="E13" s="90">
        <f t="shared" si="4"/>
        <v>30000</v>
      </c>
      <c r="F13" s="90">
        <v>2500</v>
      </c>
      <c r="G13" s="91" t="s">
        <v>90</v>
      </c>
      <c r="H13" s="92">
        <f t="shared" si="0"/>
        <v>-2440.0363255639677</v>
      </c>
      <c r="I13" s="92">
        <f t="shared" si="1"/>
        <v>-134.94850136362948</v>
      </c>
      <c r="J13" s="90">
        <f>Data!C18</f>
        <v>146427</v>
      </c>
      <c r="K13" s="191">
        <f t="shared" si="5"/>
        <v>146000</v>
      </c>
    </row>
    <row r="14" spans="1:11" ht="17" customHeight="1" x14ac:dyDescent="0.2">
      <c r="A14" s="84">
        <f t="shared" si="2"/>
        <v>2021</v>
      </c>
      <c r="B14" s="85">
        <f t="shared" si="3"/>
        <v>30549.440504971233</v>
      </c>
      <c r="C14" s="85">
        <f>Data!AC19</f>
        <v>2343.4667134232623</v>
      </c>
      <c r="D14" s="85">
        <f>Data!AD19</f>
        <v>32892.907218394495</v>
      </c>
      <c r="E14" s="85">
        <f t="shared" si="4"/>
        <v>32500</v>
      </c>
      <c r="F14" s="85"/>
      <c r="G14" s="86"/>
      <c r="H14" s="87">
        <f t="shared" si="0"/>
        <v>-392.90721839449543</v>
      </c>
      <c r="I14" s="87">
        <f t="shared" si="1"/>
        <v>1950.5594950287668</v>
      </c>
      <c r="J14" s="85">
        <f>Data!C19</f>
        <v>148550.84444444443</v>
      </c>
      <c r="K14" s="191">
        <f t="shared" si="5"/>
        <v>148000</v>
      </c>
    </row>
    <row r="15" spans="1:11" ht="17" customHeight="1" x14ac:dyDescent="0.2">
      <c r="A15" s="88">
        <f t="shared" si="2"/>
        <v>2022</v>
      </c>
      <c r="B15" s="89">
        <f t="shared" si="3"/>
        <v>30963.932508578837</v>
      </c>
      <c r="C15" s="89">
        <f>Data!AC20</f>
        <v>2381.8456026461881</v>
      </c>
      <c r="D15" s="89">
        <f>Data!AD20</f>
        <v>33345.778111225023</v>
      </c>
      <c r="E15" s="90">
        <f t="shared" si="4"/>
        <v>32500</v>
      </c>
      <c r="F15" s="90"/>
      <c r="G15" s="91"/>
      <c r="H15" s="92">
        <f t="shared" si="0"/>
        <v>-845.77811122502317</v>
      </c>
      <c r="I15" s="92">
        <f t="shared" si="1"/>
        <v>1536.0674914211631</v>
      </c>
      <c r="J15" s="90">
        <f>Data!C20</f>
        <v>150674.68888888886</v>
      </c>
      <c r="K15" s="191">
        <f t="shared" si="5"/>
        <v>150000</v>
      </c>
    </row>
    <row r="16" spans="1:11" ht="17" customHeight="1" x14ac:dyDescent="0.2">
      <c r="A16" s="84">
        <f t="shared" si="2"/>
        <v>2023</v>
      </c>
      <c r="B16" s="85">
        <f t="shared" si="3"/>
        <v>31378.42451218643</v>
      </c>
      <c r="C16" s="85">
        <f>Data!AC21</f>
        <v>2420.224491869114</v>
      </c>
      <c r="D16" s="85">
        <f>Data!AD21</f>
        <v>33798.649004055544</v>
      </c>
      <c r="E16" s="85">
        <f t="shared" si="4"/>
        <v>32500</v>
      </c>
      <c r="F16" s="85"/>
      <c r="G16" s="86"/>
      <c r="H16" s="87">
        <f t="shared" si="0"/>
        <v>-1298.6490040555436</v>
      </c>
      <c r="I16" s="87">
        <f t="shared" si="1"/>
        <v>1121.5754878135704</v>
      </c>
      <c r="J16" s="85">
        <f>Data!C21</f>
        <v>152798.5333333333</v>
      </c>
      <c r="K16" s="191">
        <f t="shared" si="5"/>
        <v>152000</v>
      </c>
    </row>
    <row r="17" spans="1:11" ht="17" customHeight="1" x14ac:dyDescent="0.2">
      <c r="A17" s="88">
        <f t="shared" si="2"/>
        <v>2024</v>
      </c>
      <c r="B17" s="89">
        <f t="shared" si="3"/>
        <v>31792.91651579403</v>
      </c>
      <c r="C17" s="89">
        <f>Data!AC22</f>
        <v>2458.6033810920399</v>
      </c>
      <c r="D17" s="89">
        <f>Data!AD22</f>
        <v>34251.519896886071</v>
      </c>
      <c r="E17" s="90">
        <f t="shared" si="4"/>
        <v>32500</v>
      </c>
      <c r="F17" s="90"/>
      <c r="G17" s="91"/>
      <c r="H17" s="92">
        <f t="shared" si="0"/>
        <v>-1751.5198968860714</v>
      </c>
      <c r="I17" s="92">
        <f t="shared" si="1"/>
        <v>707.08348420597031</v>
      </c>
      <c r="J17" s="90">
        <f>Data!C22</f>
        <v>154922.37777777773</v>
      </c>
      <c r="K17" s="191">
        <f t="shared" si="5"/>
        <v>154000</v>
      </c>
    </row>
    <row r="18" spans="1:11" ht="17" customHeight="1" x14ac:dyDescent="0.2">
      <c r="A18" s="84">
        <f t="shared" si="2"/>
        <v>2025</v>
      </c>
      <c r="B18" s="85">
        <f t="shared" si="3"/>
        <v>32207.408519401626</v>
      </c>
      <c r="C18" s="85">
        <f>Data!AC23</f>
        <v>2496.9822703149657</v>
      </c>
      <c r="D18" s="85">
        <f>Data!AD23</f>
        <v>34704.390789716592</v>
      </c>
      <c r="E18" s="85">
        <f t="shared" si="4"/>
        <v>32500</v>
      </c>
      <c r="F18" s="97">
        <v>5000</v>
      </c>
      <c r="G18" s="98" t="s">
        <v>118</v>
      </c>
      <c r="H18" s="87">
        <f t="shared" si="0"/>
        <v>-2204.3907897165918</v>
      </c>
      <c r="I18" s="87">
        <f t="shared" si="1"/>
        <v>292.59148059837389</v>
      </c>
      <c r="J18" s="85">
        <f>Data!C23</f>
        <v>157046.22222222216</v>
      </c>
      <c r="K18" s="191">
        <f t="shared" si="5"/>
        <v>157000</v>
      </c>
    </row>
    <row r="19" spans="1:11" ht="17" customHeight="1" x14ac:dyDescent="0.2">
      <c r="A19" s="88">
        <f t="shared" si="2"/>
        <v>2026</v>
      </c>
      <c r="B19" s="89">
        <f t="shared" si="3"/>
        <v>32621.900523009223</v>
      </c>
      <c r="C19" s="89">
        <f>Data!AC24</f>
        <v>2535.3611595378911</v>
      </c>
      <c r="D19" s="89">
        <f>Data!AD24</f>
        <v>35157.261682547112</v>
      </c>
      <c r="E19" s="90">
        <f t="shared" si="4"/>
        <v>37500</v>
      </c>
      <c r="F19" s="90"/>
      <c r="G19" s="91"/>
      <c r="H19" s="92">
        <f t="shared" si="0"/>
        <v>2342.7383174528877</v>
      </c>
      <c r="I19" s="92">
        <f t="shared" si="1"/>
        <v>4878.0994769907775</v>
      </c>
      <c r="J19" s="90">
        <f>Data!C24</f>
        <v>159170.06666666659</v>
      </c>
      <c r="K19" s="191">
        <f t="shared" si="5"/>
        <v>159000</v>
      </c>
    </row>
    <row r="20" spans="1:11" ht="17" customHeight="1" x14ac:dyDescent="0.2">
      <c r="A20" s="84">
        <f t="shared" si="2"/>
        <v>2027</v>
      </c>
      <c r="B20" s="85">
        <f t="shared" si="3"/>
        <v>33036.392526616823</v>
      </c>
      <c r="C20" s="85">
        <f>Data!AC25</f>
        <v>2573.740048760817</v>
      </c>
      <c r="D20" s="85">
        <f>Data!AD25</f>
        <v>35610.13257537764</v>
      </c>
      <c r="E20" s="85">
        <f t="shared" si="4"/>
        <v>37500</v>
      </c>
      <c r="F20" s="97"/>
      <c r="G20" s="98"/>
      <c r="H20" s="87">
        <f t="shared" si="0"/>
        <v>1889.86742462236</v>
      </c>
      <c r="I20" s="87">
        <f t="shared" si="1"/>
        <v>4463.6074733831774</v>
      </c>
      <c r="J20" s="85">
        <f>Data!C25</f>
        <v>161293.91111111103</v>
      </c>
      <c r="K20" s="191">
        <f t="shared" si="5"/>
        <v>161000</v>
      </c>
    </row>
    <row r="21" spans="1:11" ht="17" customHeight="1" x14ac:dyDescent="0.2">
      <c r="A21" s="88">
        <f t="shared" si="2"/>
        <v>2028</v>
      </c>
      <c r="B21" s="89">
        <f t="shared" si="3"/>
        <v>33450.884530224415</v>
      </c>
      <c r="C21" s="89">
        <f>Data!AC26</f>
        <v>2612.1189379837424</v>
      </c>
      <c r="D21" s="89">
        <f>Data!AD26</f>
        <v>36063.00346820816</v>
      </c>
      <c r="E21" s="90">
        <f t="shared" si="4"/>
        <v>37500</v>
      </c>
      <c r="F21" s="90"/>
      <c r="G21" s="91"/>
      <c r="H21" s="92">
        <f t="shared" si="0"/>
        <v>1436.9965317918395</v>
      </c>
      <c r="I21" s="92">
        <f t="shared" si="1"/>
        <v>4049.1154697755846</v>
      </c>
      <c r="J21" s="90">
        <f>Data!C26</f>
        <v>163417.75555555546</v>
      </c>
      <c r="K21" s="191">
        <f t="shared" si="5"/>
        <v>163000</v>
      </c>
    </row>
    <row r="22" spans="1:11" ht="17" customHeight="1" x14ac:dyDescent="0.2">
      <c r="A22" s="84">
        <f t="shared" si="2"/>
        <v>2029</v>
      </c>
      <c r="B22" s="85">
        <f t="shared" si="3"/>
        <v>33865.376533832015</v>
      </c>
      <c r="C22" s="85">
        <f>Data!AC27</f>
        <v>2650.4978272066683</v>
      </c>
      <c r="D22" s="85">
        <f>Data!AD27</f>
        <v>36515.874361038681</v>
      </c>
      <c r="E22" s="85">
        <f t="shared" si="4"/>
        <v>37500</v>
      </c>
      <c r="F22" s="85"/>
      <c r="G22" s="98"/>
      <c r="H22" s="87">
        <f t="shared" si="0"/>
        <v>984.12563896131905</v>
      </c>
      <c r="I22" s="87">
        <f t="shared" si="1"/>
        <v>3634.6234661679846</v>
      </c>
      <c r="J22" s="85">
        <f>Data!C27</f>
        <v>165541.59999999989</v>
      </c>
      <c r="K22" s="191">
        <f t="shared" si="5"/>
        <v>165000</v>
      </c>
    </row>
    <row r="23" spans="1:11" ht="17" customHeight="1" x14ac:dyDescent="0.2">
      <c r="A23" s="88">
        <f t="shared" si="2"/>
        <v>2030</v>
      </c>
      <c r="B23" s="89">
        <f t="shared" si="3"/>
        <v>34279.868537439608</v>
      </c>
      <c r="C23" s="89">
        <f>Data!AC28</f>
        <v>2688.8767164295932</v>
      </c>
      <c r="D23" s="89">
        <f>Data!AD28</f>
        <v>36968.745253869201</v>
      </c>
      <c r="E23" s="90">
        <f t="shared" si="4"/>
        <v>37500</v>
      </c>
      <c r="F23" s="90"/>
      <c r="G23" s="91"/>
      <c r="H23" s="92">
        <f t="shared" si="0"/>
        <v>531.25474613079859</v>
      </c>
      <c r="I23" s="92">
        <f t="shared" si="1"/>
        <v>3220.1314625603918</v>
      </c>
      <c r="J23" s="90">
        <f>Data!C28</f>
        <v>167665.44444444432</v>
      </c>
      <c r="K23" s="191">
        <f t="shared" si="5"/>
        <v>167000</v>
      </c>
    </row>
    <row r="24" spans="1:11" ht="17" customHeight="1" x14ac:dyDescent="0.2">
      <c r="A24" s="84">
        <f t="shared" si="2"/>
        <v>2031</v>
      </c>
      <c r="B24" s="85">
        <f t="shared" si="3"/>
        <v>34694.360541047208</v>
      </c>
      <c r="C24" s="85">
        <f>Data!AC29</f>
        <v>2727.2556056525195</v>
      </c>
      <c r="D24" s="85">
        <f>Data!AD29</f>
        <v>37421.616146699729</v>
      </c>
      <c r="E24" s="85">
        <f>E23+F23</f>
        <v>37500</v>
      </c>
      <c r="F24" s="85">
        <v>1000</v>
      </c>
      <c r="G24" s="86" t="s">
        <v>147</v>
      </c>
      <c r="H24" s="87">
        <f t="shared" si="0"/>
        <v>78.383853300270857</v>
      </c>
      <c r="I24" s="87">
        <f t="shared" si="1"/>
        <v>2805.6394589527918</v>
      </c>
      <c r="J24" s="85">
        <f>Data!C29</f>
        <v>169789.28888888875</v>
      </c>
      <c r="K24" s="191">
        <f t="shared" si="5"/>
        <v>169000</v>
      </c>
    </row>
    <row r="25" spans="1:11" ht="17" customHeight="1" x14ac:dyDescent="0.2">
      <c r="A25" s="88">
        <f t="shared" si="2"/>
        <v>2032</v>
      </c>
      <c r="B25" s="89">
        <f t="shared" si="3"/>
        <v>35108.852544654801</v>
      </c>
      <c r="C25" s="89">
        <f>Data!AC30</f>
        <v>2765.6344948754449</v>
      </c>
      <c r="D25" s="89">
        <f>Data!AD30</f>
        <v>37874.487039530242</v>
      </c>
      <c r="E25" s="90">
        <f t="shared" si="4"/>
        <v>38500</v>
      </c>
      <c r="F25" s="90"/>
      <c r="G25" s="91"/>
      <c r="H25" s="92">
        <f t="shared" si="0"/>
        <v>625.51296046975767</v>
      </c>
      <c r="I25" s="92">
        <f t="shared" si="1"/>
        <v>3391.147455345199</v>
      </c>
      <c r="J25" s="90">
        <f>Data!C30</f>
        <v>171913.13333333319</v>
      </c>
      <c r="K25" s="191">
        <f t="shared" si="5"/>
        <v>171000</v>
      </c>
    </row>
    <row r="26" spans="1:11" ht="17" customHeight="1" x14ac:dyDescent="0.2">
      <c r="A26" s="84">
        <f t="shared" si="2"/>
        <v>2033</v>
      </c>
      <c r="B26" s="85">
        <f t="shared" si="3"/>
        <v>35523.344548262408</v>
      </c>
      <c r="C26" s="85">
        <f>Data!AC31</f>
        <v>2804.0133840983708</v>
      </c>
      <c r="D26" s="85">
        <f>Data!AD31</f>
        <v>38327.357932360777</v>
      </c>
      <c r="E26" s="85">
        <f t="shared" si="4"/>
        <v>38500</v>
      </c>
      <c r="F26" s="85">
        <v>5000</v>
      </c>
      <c r="G26" s="98" t="s">
        <v>118</v>
      </c>
      <c r="H26" s="87">
        <f t="shared" si="0"/>
        <v>172.64206763922266</v>
      </c>
      <c r="I26" s="87">
        <f t="shared" si="1"/>
        <v>2976.6554517375916</v>
      </c>
      <c r="J26" s="85">
        <f>Data!C31</f>
        <v>174036.97777777762</v>
      </c>
      <c r="K26" s="191">
        <f t="shared" si="5"/>
        <v>174000</v>
      </c>
    </row>
    <row r="27" spans="1:11" ht="17" customHeight="1" x14ac:dyDescent="0.2">
      <c r="A27" s="88">
        <f t="shared" si="2"/>
        <v>2034</v>
      </c>
      <c r="B27" s="89">
        <f t="shared" si="3"/>
        <v>35937.836551870001</v>
      </c>
      <c r="C27" s="89">
        <f>Data!AC32</f>
        <v>2842.3922733212962</v>
      </c>
      <c r="D27" s="89">
        <f>Data!AD32</f>
        <v>38780.228825191298</v>
      </c>
      <c r="E27" s="90">
        <f t="shared" si="4"/>
        <v>43500</v>
      </c>
      <c r="F27" s="90"/>
      <c r="G27" s="91"/>
      <c r="H27" s="92">
        <f t="shared" si="0"/>
        <v>4719.7711748087022</v>
      </c>
      <c r="I27" s="92">
        <f t="shared" si="1"/>
        <v>7562.1634481299989</v>
      </c>
      <c r="J27" s="90">
        <f>Data!C32</f>
        <v>176160.82222222205</v>
      </c>
      <c r="K27" s="191">
        <f t="shared" si="5"/>
        <v>176000</v>
      </c>
    </row>
    <row r="28" spans="1:11" ht="17" customHeight="1" x14ac:dyDescent="0.2">
      <c r="A28" s="84">
        <f t="shared" si="2"/>
        <v>2035</v>
      </c>
      <c r="B28" s="85">
        <f t="shared" si="3"/>
        <v>36352.328555477594</v>
      </c>
      <c r="C28" s="85">
        <f>Data!AC33</f>
        <v>2880.7711625442225</v>
      </c>
      <c r="D28" s="85">
        <f>Data!AD33</f>
        <v>39233.099718021818</v>
      </c>
      <c r="E28" s="85">
        <f>E27+F27</f>
        <v>43500</v>
      </c>
      <c r="F28" s="85"/>
      <c r="G28" s="98"/>
      <c r="H28" s="87">
        <f t="shared" si="0"/>
        <v>4266.9002819781817</v>
      </c>
      <c r="I28" s="87">
        <f t="shared" si="1"/>
        <v>7147.6714445224061</v>
      </c>
      <c r="J28" s="85">
        <f>Data!C33</f>
        <v>178284.66666666648</v>
      </c>
      <c r="K28" s="191">
        <f t="shared" si="5"/>
        <v>178000</v>
      </c>
    </row>
    <row r="29" spans="1:11" ht="17" customHeight="1" x14ac:dyDescent="0.2">
      <c r="A29" s="88">
        <f t="shared" si="2"/>
        <v>2036</v>
      </c>
      <c r="B29" s="89">
        <f t="shared" si="3"/>
        <v>36766.820559085194</v>
      </c>
      <c r="C29" s="89">
        <f>Data!AC34</f>
        <v>2919.1500517671475</v>
      </c>
      <c r="D29" s="89">
        <f>Data!AD34</f>
        <v>39685.970610852339</v>
      </c>
      <c r="E29" s="90">
        <f t="shared" si="4"/>
        <v>43500</v>
      </c>
      <c r="F29" s="90"/>
      <c r="G29" s="91"/>
      <c r="H29" s="92">
        <f t="shared" si="0"/>
        <v>3814.0293891476613</v>
      </c>
      <c r="I29" s="92">
        <f t="shared" si="1"/>
        <v>6733.179440914806</v>
      </c>
      <c r="J29" s="90">
        <f>Data!C34</f>
        <v>180408.51111111091</v>
      </c>
      <c r="K29" s="191">
        <f t="shared" si="5"/>
        <v>180000</v>
      </c>
    </row>
    <row r="30" spans="1:11" ht="17" customHeight="1" x14ac:dyDescent="0.2">
      <c r="A30" s="84">
        <f t="shared" si="2"/>
        <v>2037</v>
      </c>
      <c r="B30" s="85">
        <f t="shared" si="3"/>
        <v>37181.312562692794</v>
      </c>
      <c r="C30" s="85">
        <f>Data!AC35</f>
        <v>2957.5289409900734</v>
      </c>
      <c r="D30" s="85">
        <f>Data!AD35</f>
        <v>40138.841503682866</v>
      </c>
      <c r="E30" s="85">
        <f t="shared" si="4"/>
        <v>43500</v>
      </c>
      <c r="F30" s="85"/>
      <c r="G30" s="98"/>
      <c r="H30" s="87">
        <f t="shared" si="0"/>
        <v>3361.1584963171335</v>
      </c>
      <c r="I30" s="87">
        <f t="shared" si="1"/>
        <v>6318.687437307206</v>
      </c>
      <c r="J30" s="85">
        <f>Data!C35</f>
        <v>182532.35555555535</v>
      </c>
      <c r="K30" s="191">
        <f t="shared" si="5"/>
        <v>182000</v>
      </c>
    </row>
    <row r="31" spans="1:11" ht="17" customHeight="1" x14ac:dyDescent="0.2">
      <c r="A31" s="88">
        <f t="shared" si="2"/>
        <v>2038</v>
      </c>
      <c r="B31" s="89">
        <f t="shared" si="3"/>
        <v>37595.804566300387</v>
      </c>
      <c r="C31" s="89">
        <f>Data!AC36</f>
        <v>2995.9078302129988</v>
      </c>
      <c r="D31" s="89">
        <f>Data!AD36</f>
        <v>40591.712396513387</v>
      </c>
      <c r="E31" s="90">
        <f t="shared" si="4"/>
        <v>43500</v>
      </c>
      <c r="F31" s="90"/>
      <c r="G31" s="91"/>
      <c r="H31" s="92">
        <f t="shared" si="0"/>
        <v>2908.2876034866131</v>
      </c>
      <c r="I31" s="92">
        <f t="shared" si="1"/>
        <v>5904.1954336996132</v>
      </c>
      <c r="J31" s="90">
        <f>Data!C36</f>
        <v>184656.19999999978</v>
      </c>
      <c r="K31" s="191">
        <f t="shared" si="5"/>
        <v>184000</v>
      </c>
    </row>
    <row r="32" spans="1:11" ht="17" customHeight="1" x14ac:dyDescent="0.2">
      <c r="A32" s="84">
        <f t="shared" si="2"/>
        <v>2039</v>
      </c>
      <c r="B32" s="85">
        <f t="shared" si="3"/>
        <v>38010.29656990798</v>
      </c>
      <c r="C32" s="85">
        <f>Data!AC37</f>
        <v>3034.2867194359246</v>
      </c>
      <c r="D32" s="85">
        <f>Data!AD37</f>
        <v>41044.583289343907</v>
      </c>
      <c r="E32" s="85">
        <f t="shared" si="4"/>
        <v>43500</v>
      </c>
      <c r="F32" s="85"/>
      <c r="G32" s="98"/>
      <c r="H32" s="87">
        <f t="shared" si="0"/>
        <v>2455.4167106560926</v>
      </c>
      <c r="I32" s="87">
        <f t="shared" si="1"/>
        <v>5489.7034300920204</v>
      </c>
      <c r="J32" s="85">
        <f>Data!C37</f>
        <v>186780.04444444421</v>
      </c>
      <c r="K32" s="191">
        <f t="shared" si="5"/>
        <v>186000</v>
      </c>
    </row>
    <row r="33" spans="1:11" ht="17" customHeight="1" x14ac:dyDescent="0.2">
      <c r="A33" s="88">
        <f t="shared" si="2"/>
        <v>2040</v>
      </c>
      <c r="B33" s="89">
        <f t="shared" si="3"/>
        <v>38424.78857351558</v>
      </c>
      <c r="C33" s="89">
        <f>Data!AC38</f>
        <v>3072.66560865885</v>
      </c>
      <c r="D33" s="89">
        <f>Data!AD38</f>
        <v>41497.454182174428</v>
      </c>
      <c r="E33" s="90">
        <f t="shared" si="4"/>
        <v>43500</v>
      </c>
      <c r="F33" s="90"/>
      <c r="G33" s="91" t="s">
        <v>100</v>
      </c>
      <c r="H33" s="92">
        <f t="shared" si="0"/>
        <v>2002.5458178255722</v>
      </c>
      <c r="I33" s="92">
        <f t="shared" si="1"/>
        <v>5075.2114264844204</v>
      </c>
      <c r="J33" s="90">
        <f>Data!C38</f>
        <v>188903.88888888864</v>
      </c>
      <c r="K33" s="191">
        <f t="shared" si="5"/>
        <v>188000</v>
      </c>
    </row>
    <row r="34" spans="1:11" ht="17" customHeight="1" x14ac:dyDescent="0.2">
      <c r="A34" s="84">
        <f t="shared" si="2"/>
        <v>2041</v>
      </c>
      <c r="B34" s="85">
        <f t="shared" si="3"/>
        <v>38839.28057712318</v>
      </c>
      <c r="C34" s="85">
        <f>Data!AC39</f>
        <v>3111.0444978817759</v>
      </c>
      <c r="D34" s="85">
        <f>Data!AD39</f>
        <v>41950.325075004956</v>
      </c>
      <c r="E34" s="85">
        <f t="shared" si="4"/>
        <v>43500</v>
      </c>
      <c r="F34" s="85"/>
      <c r="G34" s="98"/>
      <c r="H34" s="87">
        <f t="shared" si="0"/>
        <v>1549.6749249950444</v>
      </c>
      <c r="I34" s="87">
        <f t="shared" si="1"/>
        <v>4660.7194228768203</v>
      </c>
      <c r="J34" s="85">
        <f>Data!C39</f>
        <v>191027.73333333308</v>
      </c>
      <c r="K34" s="191">
        <f t="shared" si="5"/>
        <v>191000</v>
      </c>
    </row>
    <row r="35" spans="1:11" ht="17" customHeight="1" x14ac:dyDescent="0.2">
      <c r="A35" s="88">
        <f t="shared" si="2"/>
        <v>2042</v>
      </c>
      <c r="B35" s="89">
        <f t="shared" si="3"/>
        <v>39253.772580730772</v>
      </c>
      <c r="C35" s="89">
        <f>Data!AC40</f>
        <v>3149.4233871047013</v>
      </c>
      <c r="D35" s="89">
        <f>Data!AD40</f>
        <v>42403.195967835476</v>
      </c>
      <c r="E35" s="90">
        <f t="shared" si="4"/>
        <v>43500</v>
      </c>
      <c r="F35" s="90"/>
      <c r="G35" s="91"/>
      <c r="H35" s="92">
        <f t="shared" si="0"/>
        <v>1096.804032164524</v>
      </c>
      <c r="I35" s="92">
        <f t="shared" si="1"/>
        <v>4246.2274192692275</v>
      </c>
      <c r="J35" s="90">
        <f>Data!C40</f>
        <v>193151.57777777751</v>
      </c>
      <c r="K35" s="191">
        <f t="shared" si="5"/>
        <v>193000</v>
      </c>
    </row>
    <row r="36" spans="1:11" ht="17" customHeight="1" x14ac:dyDescent="0.2">
      <c r="A36" s="84">
        <f t="shared" si="2"/>
        <v>2043</v>
      </c>
      <c r="B36" s="85">
        <f t="shared" si="3"/>
        <v>39668.26458433838</v>
      </c>
      <c r="C36" s="85">
        <f>Data!AC41</f>
        <v>3187.8022763276276</v>
      </c>
      <c r="D36" s="85">
        <f>Data!AD41</f>
        <v>42856.066860666004</v>
      </c>
      <c r="E36" s="85">
        <f t="shared" si="4"/>
        <v>43500</v>
      </c>
      <c r="F36" s="85">
        <v>4000</v>
      </c>
      <c r="G36" s="98" t="s">
        <v>118</v>
      </c>
      <c r="H36" s="87">
        <f t="shared" si="0"/>
        <v>643.93313933399622</v>
      </c>
      <c r="I36" s="87">
        <f t="shared" si="1"/>
        <v>3831.7354156616202</v>
      </c>
      <c r="J36" s="85">
        <f>Data!C41</f>
        <v>195275.42222222194</v>
      </c>
      <c r="K36" s="191">
        <f t="shared" si="5"/>
        <v>195000</v>
      </c>
    </row>
    <row r="37" spans="1:11" ht="17" customHeight="1" x14ac:dyDescent="0.2">
      <c r="A37" s="88">
        <f t="shared" si="2"/>
        <v>2044</v>
      </c>
      <c r="B37" s="89">
        <f t="shared" si="3"/>
        <v>40082.756587945973</v>
      </c>
      <c r="C37" s="89">
        <f>Data!AC42</f>
        <v>3226.1811655505535</v>
      </c>
      <c r="D37" s="89">
        <f>Data!AD42</f>
        <v>43308.937753496524</v>
      </c>
      <c r="E37" s="90">
        <f t="shared" si="4"/>
        <v>47500</v>
      </c>
      <c r="F37" s="90"/>
      <c r="G37" s="91"/>
      <c r="H37" s="92">
        <f t="shared" si="0"/>
        <v>4191.0622465034758</v>
      </c>
      <c r="I37" s="92">
        <f t="shared" si="1"/>
        <v>7417.2434120540274</v>
      </c>
      <c r="J37" s="90">
        <f>Data!C42</f>
        <v>197399.26666666637</v>
      </c>
      <c r="K37" s="191">
        <f t="shared" si="5"/>
        <v>197000</v>
      </c>
    </row>
    <row r="38" spans="1:11" ht="17" customHeight="1" x14ac:dyDescent="0.2">
      <c r="A38" s="84">
        <f t="shared" si="2"/>
        <v>2045</v>
      </c>
      <c r="B38" s="85">
        <f t="shared" si="3"/>
        <v>40497.248591553565</v>
      </c>
      <c r="C38" s="85">
        <f>Data!AC43</f>
        <v>3264.5600547734789</v>
      </c>
      <c r="D38" s="85">
        <f>Data!AD43</f>
        <v>43761.808646327045</v>
      </c>
      <c r="E38" s="85">
        <f t="shared" si="4"/>
        <v>47500</v>
      </c>
      <c r="F38" s="85"/>
      <c r="G38" s="98"/>
      <c r="H38" s="87">
        <f t="shared" si="0"/>
        <v>3738.1913536729553</v>
      </c>
      <c r="I38" s="87">
        <f t="shared" si="1"/>
        <v>7002.7514084464347</v>
      </c>
      <c r="J38" s="85">
        <f>Data!C43</f>
        <v>199523.1111111108</v>
      </c>
      <c r="K38" s="191">
        <f t="shared" si="5"/>
        <v>199000</v>
      </c>
    </row>
    <row r="39" spans="1:11" ht="17" customHeight="1" x14ac:dyDescent="0.2">
      <c r="A39" s="88">
        <f t="shared" si="2"/>
        <v>2046</v>
      </c>
      <c r="B39" s="89">
        <f t="shared" si="3"/>
        <v>40911.740595161158</v>
      </c>
      <c r="C39" s="89">
        <f>Data!AC44</f>
        <v>3302.9389439964043</v>
      </c>
      <c r="D39" s="89">
        <f>Data!AD44</f>
        <v>44214.679539157565</v>
      </c>
      <c r="E39" s="90">
        <f t="shared" si="4"/>
        <v>47500</v>
      </c>
      <c r="F39" s="90"/>
      <c r="G39" s="91"/>
      <c r="H39" s="92">
        <f t="shared" si="0"/>
        <v>3285.3204608424348</v>
      </c>
      <c r="I39" s="92">
        <f t="shared" si="1"/>
        <v>6588.2594048388419</v>
      </c>
      <c r="J39" s="90">
        <f>Data!C44</f>
        <v>201646.95555555524</v>
      </c>
      <c r="K39" s="191">
        <f t="shared" si="5"/>
        <v>201000</v>
      </c>
    </row>
    <row r="40" spans="1:11" ht="17" customHeight="1" x14ac:dyDescent="0.2">
      <c r="A40" s="84">
        <f t="shared" si="2"/>
        <v>2047</v>
      </c>
      <c r="B40" s="85">
        <f t="shared" si="3"/>
        <v>41326.232598768765</v>
      </c>
      <c r="C40" s="85">
        <f>Data!AC45</f>
        <v>3341.3178332193306</v>
      </c>
      <c r="D40" s="85">
        <f>Data!AD45</f>
        <v>44667.550431988093</v>
      </c>
      <c r="E40" s="85">
        <f t="shared" si="4"/>
        <v>47500</v>
      </c>
      <c r="F40" s="85"/>
      <c r="G40" s="98"/>
      <c r="H40" s="87">
        <f t="shared" si="0"/>
        <v>2832.4495680119071</v>
      </c>
      <c r="I40" s="87">
        <f t="shared" si="1"/>
        <v>6173.7674012312345</v>
      </c>
      <c r="J40" s="85">
        <f>Data!C45</f>
        <v>203770.79999999967</v>
      </c>
      <c r="K40" s="191">
        <f t="shared" si="5"/>
        <v>203000</v>
      </c>
    </row>
    <row r="41" spans="1:11" ht="17" customHeight="1" x14ac:dyDescent="0.2">
      <c r="A41" s="88">
        <f t="shared" si="2"/>
        <v>2048</v>
      </c>
      <c r="B41" s="89">
        <f t="shared" si="3"/>
        <v>41740.724602376358</v>
      </c>
      <c r="C41" s="89">
        <f>Data!AC46</f>
        <v>3379.6967224422551</v>
      </c>
      <c r="D41" s="89">
        <f>Data!AD46</f>
        <v>45120.421324818613</v>
      </c>
      <c r="E41" s="90">
        <f t="shared" si="4"/>
        <v>47500</v>
      </c>
      <c r="F41" s="90"/>
      <c r="G41" s="91"/>
      <c r="H41" s="92">
        <f t="shared" si="0"/>
        <v>2379.5786751813866</v>
      </c>
      <c r="I41" s="92">
        <f t="shared" si="1"/>
        <v>5759.2753976236418</v>
      </c>
      <c r="J41" s="90">
        <f>Data!C46</f>
        <v>205894.6444444441</v>
      </c>
      <c r="K41" s="191">
        <f t="shared" si="5"/>
        <v>205000</v>
      </c>
    </row>
    <row r="42" spans="1:11" ht="17" customHeight="1" x14ac:dyDescent="0.2">
      <c r="A42" s="84">
        <f t="shared" si="2"/>
        <v>2049</v>
      </c>
      <c r="B42" s="85">
        <f t="shared" si="3"/>
        <v>42155.216605983951</v>
      </c>
      <c r="C42" s="85">
        <f>Data!AC47</f>
        <v>3418.0756116651814</v>
      </c>
      <c r="D42" s="85">
        <f>Data!AD47</f>
        <v>45573.292217649134</v>
      </c>
      <c r="E42" s="85">
        <f t="shared" si="4"/>
        <v>47500</v>
      </c>
      <c r="F42" s="85"/>
      <c r="G42" s="98"/>
      <c r="H42" s="87">
        <f t="shared" si="0"/>
        <v>1926.7077823508662</v>
      </c>
      <c r="I42" s="87">
        <f t="shared" si="1"/>
        <v>5344.783394016049</v>
      </c>
      <c r="J42" s="85">
        <f>Data!C47</f>
        <v>208018.48888888853</v>
      </c>
      <c r="K42" s="191">
        <f t="shared" si="5"/>
        <v>208000</v>
      </c>
    </row>
    <row r="43" spans="1:11" ht="17" customHeight="1" x14ac:dyDescent="0.2">
      <c r="A43" s="88">
        <f t="shared" si="2"/>
        <v>2050</v>
      </c>
      <c r="B43" s="89">
        <f t="shared" si="3"/>
        <v>42569.708609591558</v>
      </c>
      <c r="C43" s="89">
        <f>Data!AC48</f>
        <v>3456.4545008881068</v>
      </c>
      <c r="D43" s="89">
        <f>Data!AD48</f>
        <v>46026.163110479669</v>
      </c>
      <c r="E43" s="90">
        <f t="shared" si="4"/>
        <v>47500</v>
      </c>
      <c r="F43" s="90"/>
      <c r="G43" s="91"/>
      <c r="H43" s="92">
        <f t="shared" si="0"/>
        <v>1473.8368895203312</v>
      </c>
      <c r="I43" s="92">
        <f t="shared" si="1"/>
        <v>4930.2913904084417</v>
      </c>
      <c r="J43" s="90">
        <f>Data!C48</f>
        <v>210142.33333333296</v>
      </c>
      <c r="K43" s="191">
        <f t="shared" si="5"/>
        <v>210000</v>
      </c>
    </row>
    <row r="44" spans="1:11" ht="17" customHeight="1" x14ac:dyDescent="0.2">
      <c r="A44" s="84">
        <f t="shared" si="2"/>
        <v>2051</v>
      </c>
      <c r="B44" s="85">
        <f t="shared" si="3"/>
        <v>42984.200613199151</v>
      </c>
      <c r="C44" s="85">
        <f>Data!AC49</f>
        <v>3494.8333901110327</v>
      </c>
      <c r="D44" s="85">
        <f>Data!AD49</f>
        <v>46479.034003310182</v>
      </c>
      <c r="E44" s="85">
        <f t="shared" si="4"/>
        <v>47500</v>
      </c>
      <c r="F44" s="85">
        <v>2000</v>
      </c>
      <c r="G44" s="98" t="s">
        <v>145</v>
      </c>
      <c r="H44" s="87">
        <f t="shared" si="0"/>
        <v>1020.965996689818</v>
      </c>
      <c r="I44" s="87">
        <f t="shared" si="1"/>
        <v>4515.7993868008489</v>
      </c>
      <c r="J44" s="85">
        <f>Data!C49</f>
        <v>212266.1777777774</v>
      </c>
      <c r="K44" s="191">
        <f t="shared" si="5"/>
        <v>212000</v>
      </c>
    </row>
    <row r="45" spans="1:11" ht="17" customHeight="1" x14ac:dyDescent="0.2">
      <c r="A45" s="88">
        <f t="shared" si="2"/>
        <v>2052</v>
      </c>
      <c r="B45" s="89">
        <f t="shared" si="3"/>
        <v>43398.692616806744</v>
      </c>
      <c r="C45" s="89">
        <f>Data!AC50</f>
        <v>3533.2122793339581</v>
      </c>
      <c r="D45" s="89">
        <f>Data!AD50</f>
        <v>46931.904896140702</v>
      </c>
      <c r="E45" s="90">
        <f t="shared" si="4"/>
        <v>49500</v>
      </c>
      <c r="F45" s="90"/>
      <c r="G45" s="91"/>
      <c r="H45" s="92">
        <f t="shared" si="0"/>
        <v>2568.0951038592975</v>
      </c>
      <c r="I45" s="92">
        <f t="shared" si="1"/>
        <v>6101.3073831932561</v>
      </c>
      <c r="J45" s="90">
        <f>Data!C50</f>
        <v>214390.02222222183</v>
      </c>
      <c r="K45" s="191">
        <f t="shared" si="5"/>
        <v>214000</v>
      </c>
    </row>
    <row r="46" spans="1:11" ht="17" customHeight="1" x14ac:dyDescent="0.2">
      <c r="A46" s="84">
        <f t="shared" si="2"/>
        <v>2053</v>
      </c>
      <c r="B46" s="85">
        <f t="shared" si="3"/>
        <v>43813.184620414344</v>
      </c>
      <c r="C46" s="85">
        <f>Data!AC51</f>
        <v>3571.5911685568835</v>
      </c>
      <c r="D46" s="85">
        <f>Data!AD51</f>
        <v>47384.77578897123</v>
      </c>
      <c r="E46" s="85">
        <f t="shared" si="4"/>
        <v>49500</v>
      </c>
      <c r="F46" s="85"/>
      <c r="G46" s="98"/>
      <c r="H46" s="87">
        <f t="shared" si="0"/>
        <v>2115.2242110287698</v>
      </c>
      <c r="I46" s="87">
        <f t="shared" si="1"/>
        <v>5686.815379585656</v>
      </c>
      <c r="J46" s="85">
        <f>Data!C51</f>
        <v>216513.86666666626</v>
      </c>
      <c r="K46" s="191">
        <f t="shared" si="5"/>
        <v>216000</v>
      </c>
    </row>
    <row r="47" spans="1:11" ht="17" customHeight="1" x14ac:dyDescent="0.2">
      <c r="A47" s="88">
        <f t="shared" si="2"/>
        <v>2054</v>
      </c>
      <c r="B47" s="89">
        <f t="shared" si="3"/>
        <v>44227.676624021944</v>
      </c>
      <c r="C47" s="89">
        <f>Data!AC52</f>
        <v>3609.9700577798098</v>
      </c>
      <c r="D47" s="89">
        <f>Data!AD52</f>
        <v>47837.646681801751</v>
      </c>
      <c r="E47" s="90">
        <f t="shared" si="4"/>
        <v>49500</v>
      </c>
      <c r="F47" s="90"/>
      <c r="G47" s="91"/>
      <c r="H47" s="92">
        <f t="shared" si="0"/>
        <v>1662.3533181982493</v>
      </c>
      <c r="I47" s="92">
        <f t="shared" si="1"/>
        <v>5272.323375978056</v>
      </c>
      <c r="J47" s="90">
        <f>Data!C52</f>
        <v>218637.71111111069</v>
      </c>
      <c r="K47" s="191">
        <f t="shared" si="5"/>
        <v>218000</v>
      </c>
    </row>
    <row r="48" spans="1:11" ht="17" customHeight="1" x14ac:dyDescent="0.2">
      <c r="A48" s="84">
        <f t="shared" si="2"/>
        <v>2055</v>
      </c>
      <c r="B48" s="85">
        <f t="shared" si="3"/>
        <v>44704.981764292446</v>
      </c>
      <c r="C48" s="85">
        <f>Data!AC53</f>
        <v>3654.1649781752262</v>
      </c>
      <c r="D48" s="85">
        <f>Data!AD53</f>
        <v>48359.146742467674</v>
      </c>
      <c r="E48" s="85">
        <f t="shared" si="4"/>
        <v>49500</v>
      </c>
      <c r="F48" s="85"/>
      <c r="G48" s="98"/>
      <c r="H48" s="87">
        <f t="shared" si="0"/>
        <v>1140.8532575323261</v>
      </c>
      <c r="I48" s="87">
        <f t="shared" si="1"/>
        <v>4795.0182357075537</v>
      </c>
      <c r="J48" s="85">
        <f>Data!C53</f>
        <v>220761.55555555513</v>
      </c>
      <c r="K48" s="191">
        <f t="shared" si="5"/>
        <v>220000</v>
      </c>
    </row>
    <row r="49" spans="1:11" ht="17" customHeight="1" x14ac:dyDescent="0.2">
      <c r="A49" s="88">
        <f t="shared" si="2"/>
        <v>2056</v>
      </c>
      <c r="B49" s="89">
        <f t="shared" si="3"/>
        <v>44953.177735383702</v>
      </c>
      <c r="C49" s="89">
        <f>Data!AC54</f>
        <v>3677.1460866096022</v>
      </c>
      <c r="D49" s="89">
        <f>Data!AD54</f>
        <v>48630.323821993305</v>
      </c>
      <c r="E49" s="90">
        <f t="shared" si="4"/>
        <v>49500</v>
      </c>
      <c r="F49" s="90"/>
      <c r="G49" s="91"/>
      <c r="H49" s="92">
        <f t="shared" si="0"/>
        <v>869.67617800669541</v>
      </c>
      <c r="I49" s="92">
        <f t="shared" si="1"/>
        <v>4546.8222646162976</v>
      </c>
      <c r="J49" s="90">
        <f>Data!C54</f>
        <v>222885.39999999956</v>
      </c>
      <c r="K49" s="191">
        <f t="shared" si="5"/>
        <v>222000</v>
      </c>
    </row>
    <row r="50" spans="1:11" ht="17" customHeight="1" x14ac:dyDescent="0.2">
      <c r="A50" s="84">
        <f t="shared" si="2"/>
        <v>2057</v>
      </c>
      <c r="B50" s="85">
        <f t="shared" si="3"/>
        <v>45201.373706474958</v>
      </c>
      <c r="C50" s="85">
        <f>Data!AC55</f>
        <v>3700.1271950439777</v>
      </c>
      <c r="D50" s="85">
        <f>Data!AD55</f>
        <v>48901.500901518935</v>
      </c>
      <c r="E50" s="85">
        <f t="shared" si="4"/>
        <v>49500</v>
      </c>
      <c r="F50" s="85"/>
      <c r="G50" s="98"/>
      <c r="H50" s="87">
        <f t="shared" si="0"/>
        <v>598.49909848106472</v>
      </c>
      <c r="I50" s="87">
        <f t="shared" si="1"/>
        <v>4298.6262935250415</v>
      </c>
      <c r="J50" s="85">
        <f>Data!C55</f>
        <v>225009.24444444399</v>
      </c>
      <c r="K50" s="191">
        <f t="shared" si="5"/>
        <v>225000</v>
      </c>
    </row>
    <row r="51" spans="1:11" ht="17" customHeight="1" x14ac:dyDescent="0.2">
      <c r="A51" s="88">
        <f t="shared" si="2"/>
        <v>2058</v>
      </c>
      <c r="B51" s="89">
        <f t="shared" si="3"/>
        <v>45449.569677566215</v>
      </c>
      <c r="C51" s="89">
        <f>Data!AC56</f>
        <v>3723.1083034783533</v>
      </c>
      <c r="D51" s="89">
        <f>Data!AD56</f>
        <v>49172.677981044566</v>
      </c>
      <c r="E51" s="90">
        <f t="shared" si="4"/>
        <v>49500</v>
      </c>
      <c r="F51" s="90"/>
      <c r="G51" s="91"/>
      <c r="H51" s="92">
        <f t="shared" si="0"/>
        <v>327.32201895543403</v>
      </c>
      <c r="I51" s="92">
        <f t="shared" si="1"/>
        <v>4050.4303224337855</v>
      </c>
      <c r="J51" s="90">
        <f>Data!C56</f>
        <v>227133.08888888842</v>
      </c>
      <c r="K51" s="191">
        <f t="shared" si="5"/>
        <v>227000</v>
      </c>
    </row>
    <row r="52" spans="1:11" ht="17" customHeight="1" x14ac:dyDescent="0.2">
      <c r="A52" s="84">
        <f t="shared" si="2"/>
        <v>2059</v>
      </c>
      <c r="B52" s="85">
        <f t="shared" si="3"/>
        <v>45697.765648657471</v>
      </c>
      <c r="C52" s="85">
        <f>Data!AC57</f>
        <v>3746.0894119127292</v>
      </c>
      <c r="D52" s="85">
        <f>Data!AD57</f>
        <v>49443.855060570197</v>
      </c>
      <c r="E52" s="85">
        <f t="shared" si="4"/>
        <v>49500</v>
      </c>
      <c r="F52" s="85">
        <v>2000</v>
      </c>
      <c r="G52" s="98" t="s">
        <v>145</v>
      </c>
      <c r="H52" s="87">
        <f t="shared" si="0"/>
        <v>56.144939429803344</v>
      </c>
      <c r="I52" s="87">
        <f t="shared" si="1"/>
        <v>3802.2343513425294</v>
      </c>
      <c r="J52" s="85">
        <f>Data!C57</f>
        <v>229256.93333333285</v>
      </c>
      <c r="K52" s="191">
        <f t="shared" si="5"/>
        <v>229000</v>
      </c>
    </row>
    <row r="53" spans="1:11" ht="17" customHeight="1" x14ac:dyDescent="0.2">
      <c r="A53" s="88">
        <f t="shared" si="2"/>
        <v>2060</v>
      </c>
      <c r="B53" s="89">
        <f t="shared" si="3"/>
        <v>45945.961619748734</v>
      </c>
      <c r="C53" s="89">
        <f>Data!AC58</f>
        <v>3769.0705203471052</v>
      </c>
      <c r="D53" s="89">
        <f>Data!AD58</f>
        <v>49715.032140095842</v>
      </c>
      <c r="E53" s="90">
        <f t="shared" si="4"/>
        <v>51500</v>
      </c>
      <c r="F53" s="90"/>
      <c r="G53" s="91"/>
      <c r="H53" s="92">
        <f t="shared" si="0"/>
        <v>1784.9678599041581</v>
      </c>
      <c r="I53" s="92">
        <f t="shared" si="1"/>
        <v>5554.0383802512661</v>
      </c>
      <c r="J53" s="90">
        <f>Data!C58</f>
        <v>231380.77777777729</v>
      </c>
      <c r="K53" s="191">
        <f t="shared" si="5"/>
        <v>231000</v>
      </c>
    </row>
    <row r="54" spans="1:11" ht="17" customHeight="1" x14ac:dyDescent="0.2">
      <c r="A54" s="84">
        <f t="shared" si="2"/>
        <v>2061</v>
      </c>
      <c r="B54" s="85">
        <f t="shared" si="3"/>
        <v>46194.157590839983</v>
      </c>
      <c r="C54" s="85">
        <f>Data!AC59</f>
        <v>3792.0516287814798</v>
      </c>
      <c r="D54" s="85">
        <f>Data!AD59</f>
        <v>49986.209219621465</v>
      </c>
      <c r="E54" s="85">
        <f t="shared" si="4"/>
        <v>51500</v>
      </c>
      <c r="F54" s="85"/>
      <c r="G54" s="98"/>
      <c r="H54" s="87">
        <f t="shared" si="0"/>
        <v>1513.7907803785347</v>
      </c>
      <c r="I54" s="87">
        <f t="shared" si="1"/>
        <v>5305.8424091600173</v>
      </c>
      <c r="J54" s="85">
        <f>Data!C59</f>
        <v>233504.62222222172</v>
      </c>
      <c r="K54" s="191">
        <f t="shared" si="5"/>
        <v>233000</v>
      </c>
    </row>
    <row r="55" spans="1:11" ht="17" customHeight="1" x14ac:dyDescent="0.2">
      <c r="A55" s="88">
        <f t="shared" si="2"/>
        <v>2062</v>
      </c>
      <c r="B55" s="89">
        <f t="shared" si="3"/>
        <v>46442.353561931239</v>
      </c>
      <c r="C55" s="89">
        <f>Data!AC60</f>
        <v>3815.0327372158558</v>
      </c>
      <c r="D55" s="89">
        <f>Data!AD60</f>
        <v>50257.386299147096</v>
      </c>
      <c r="E55" s="90">
        <f t="shared" si="4"/>
        <v>51500</v>
      </c>
      <c r="F55" s="90"/>
      <c r="G55" s="91"/>
      <c r="H55" s="92">
        <f t="shared" si="0"/>
        <v>1242.613700852904</v>
      </c>
      <c r="I55" s="92">
        <f t="shared" si="1"/>
        <v>5057.6464380687612</v>
      </c>
      <c r="J55" s="90">
        <f>Data!C60</f>
        <v>235628.46666666615</v>
      </c>
      <c r="K55" s="191">
        <f t="shared" si="5"/>
        <v>235000</v>
      </c>
    </row>
    <row r="56" spans="1:11" ht="17" customHeight="1" x14ac:dyDescent="0.2">
      <c r="A56" s="84">
        <f t="shared" si="2"/>
        <v>2063</v>
      </c>
      <c r="B56" s="85">
        <f t="shared" si="3"/>
        <v>46690.549533022502</v>
      </c>
      <c r="C56" s="85">
        <f>Data!AC61</f>
        <v>3838.0138456502318</v>
      </c>
      <c r="D56" s="85">
        <f>Data!AD61</f>
        <v>50528.563378672734</v>
      </c>
      <c r="E56" s="85">
        <f t="shared" si="4"/>
        <v>51500</v>
      </c>
      <c r="F56" s="85"/>
      <c r="G56" s="98"/>
      <c r="H56" s="87">
        <f t="shared" si="0"/>
        <v>971.43662132726604</v>
      </c>
      <c r="I56" s="87">
        <f t="shared" si="1"/>
        <v>4809.4504669774979</v>
      </c>
      <c r="J56" s="85">
        <f>Data!C61</f>
        <v>237752.31111111058</v>
      </c>
      <c r="K56" s="191">
        <f t="shared" si="5"/>
        <v>237000</v>
      </c>
    </row>
    <row r="57" spans="1:11" ht="17" customHeight="1" x14ac:dyDescent="0.2">
      <c r="A57" s="88">
        <f t="shared" si="2"/>
        <v>2064</v>
      </c>
      <c r="B57" s="89">
        <f t="shared" si="3"/>
        <v>46938.745504113758</v>
      </c>
      <c r="C57" s="89">
        <f>Data!AC62</f>
        <v>3860.9949540846073</v>
      </c>
      <c r="D57" s="89">
        <f>Data!AD62</f>
        <v>50799.740458198365</v>
      </c>
      <c r="E57" s="90">
        <f t="shared" si="4"/>
        <v>51500</v>
      </c>
      <c r="F57" s="90"/>
      <c r="G57" s="91"/>
      <c r="H57" s="92">
        <f t="shared" si="0"/>
        <v>700.25954180163535</v>
      </c>
      <c r="I57" s="92">
        <f t="shared" si="1"/>
        <v>4561.2544958862418</v>
      </c>
      <c r="J57" s="90">
        <f>Data!C62</f>
        <v>239876.15555555501</v>
      </c>
      <c r="K57" s="191">
        <f t="shared" si="5"/>
        <v>239000</v>
      </c>
    </row>
    <row r="58" spans="1:11" ht="17" customHeight="1" x14ac:dyDescent="0.2">
      <c r="A58" s="84">
        <f t="shared" si="2"/>
        <v>2065</v>
      </c>
      <c r="B58" s="85">
        <f t="shared" si="3"/>
        <v>47186.94147520508</v>
      </c>
      <c r="C58" s="85">
        <f>Data!$AC$63</f>
        <v>3883.9760625189883</v>
      </c>
      <c r="D58" s="85">
        <f>Data!$AD$63</f>
        <v>51070.917537724068</v>
      </c>
      <c r="E58" s="85">
        <f t="shared" si="4"/>
        <v>51500</v>
      </c>
      <c r="F58" s="85">
        <v>2000</v>
      </c>
      <c r="G58" s="98" t="s">
        <v>145</v>
      </c>
      <c r="H58" s="87">
        <f t="shared" si="0"/>
        <v>429.0824622759319</v>
      </c>
      <c r="I58" s="87">
        <f t="shared" si="1"/>
        <v>4313.0585247949202</v>
      </c>
      <c r="J58" s="85">
        <f>Data!C63</f>
        <v>242000</v>
      </c>
      <c r="K58" s="191">
        <f t="shared" si="5"/>
        <v>242000</v>
      </c>
    </row>
    <row r="59" spans="1:11" ht="17" customHeight="1" x14ac:dyDescent="0.2">
      <c r="A59" s="106">
        <f t="shared" si="2"/>
        <v>2066</v>
      </c>
      <c r="B59" s="107">
        <v>47101.165022387395</v>
      </c>
      <c r="C59" s="107">
        <f>Data!$AC$63</f>
        <v>3883.9760625189883</v>
      </c>
      <c r="D59" s="107">
        <f>Data!$AD$63</f>
        <v>51070.917537724068</v>
      </c>
      <c r="E59" s="90">
        <f t="shared" si="4"/>
        <v>53500</v>
      </c>
      <c r="F59" s="107"/>
      <c r="G59" s="108"/>
      <c r="H59" s="92">
        <f t="shared" si="0"/>
        <v>2429.0824622759319</v>
      </c>
      <c r="I59" s="92">
        <f t="shared" si="1"/>
        <v>6398.8349776126051</v>
      </c>
      <c r="J59" s="90">
        <f>J58</f>
        <v>242000</v>
      </c>
      <c r="K59" s="191">
        <f t="shared" si="5"/>
        <v>242000</v>
      </c>
    </row>
    <row r="60" spans="1:11" ht="17" customHeight="1" x14ac:dyDescent="0.2">
      <c r="A60" s="84">
        <f t="shared" si="2"/>
        <v>2067</v>
      </c>
      <c r="B60" s="85">
        <f t="shared" ref="B60" si="6">D60-C60</f>
        <v>47186.94147520508</v>
      </c>
      <c r="C60" s="85">
        <f>Data!$AC$63</f>
        <v>3883.9760625189883</v>
      </c>
      <c r="D60" s="85">
        <f>Data!$AD$63</f>
        <v>51070.917537724068</v>
      </c>
      <c r="E60" s="85">
        <f t="shared" si="4"/>
        <v>53500</v>
      </c>
      <c r="F60" s="85"/>
      <c r="G60" s="98"/>
      <c r="H60" s="87">
        <f t="shared" si="0"/>
        <v>2429.0824622759319</v>
      </c>
      <c r="I60" s="87">
        <f t="shared" si="1"/>
        <v>6313.0585247949202</v>
      </c>
      <c r="J60" s="105">
        <v>242000</v>
      </c>
      <c r="K60" s="191">
        <f t="shared" si="5"/>
        <v>242000</v>
      </c>
    </row>
    <row r="61" spans="1:11" ht="17" customHeight="1" x14ac:dyDescent="0.2">
      <c r="A61" s="106">
        <f t="shared" si="2"/>
        <v>2068</v>
      </c>
      <c r="B61" s="107">
        <v>47101.165022387395</v>
      </c>
      <c r="C61" s="107">
        <f>Data!$AC$63</f>
        <v>3883.9760625189883</v>
      </c>
      <c r="D61" s="107">
        <f>Data!$AD$63</f>
        <v>51070.917537724068</v>
      </c>
      <c r="E61" s="90">
        <f t="shared" si="4"/>
        <v>53500</v>
      </c>
      <c r="F61" s="107"/>
      <c r="G61" s="108"/>
      <c r="H61" s="92">
        <f t="shared" si="0"/>
        <v>2429.0824622759319</v>
      </c>
      <c r="I61" s="92">
        <f t="shared" si="1"/>
        <v>6398.8349776126051</v>
      </c>
      <c r="J61" s="107">
        <v>242000</v>
      </c>
      <c r="K61" s="191">
        <f t="shared" si="5"/>
        <v>242000</v>
      </c>
    </row>
    <row r="62" spans="1:11" ht="17" customHeight="1" x14ac:dyDescent="0.2">
      <c r="A62" s="84">
        <f t="shared" si="2"/>
        <v>2069</v>
      </c>
      <c r="B62" s="85">
        <v>47101.165022387395</v>
      </c>
      <c r="C62" s="85">
        <f>Data!$AC$63</f>
        <v>3883.9760625189883</v>
      </c>
      <c r="D62" s="85">
        <f>Data!$AD$63</f>
        <v>51070.917537724068</v>
      </c>
      <c r="E62" s="85">
        <f t="shared" si="4"/>
        <v>53500</v>
      </c>
      <c r="F62" s="85"/>
      <c r="G62" s="98"/>
      <c r="H62" s="87">
        <f t="shared" si="0"/>
        <v>2429.0824622759319</v>
      </c>
      <c r="I62" s="87">
        <f t="shared" si="1"/>
        <v>6398.8349776126051</v>
      </c>
      <c r="J62" s="105">
        <v>242000</v>
      </c>
      <c r="K62" s="191">
        <f t="shared" si="5"/>
        <v>242000</v>
      </c>
    </row>
    <row r="63" spans="1:11" ht="17" customHeight="1" x14ac:dyDescent="0.2">
      <c r="A63" s="106">
        <f t="shared" si="2"/>
        <v>2070</v>
      </c>
      <c r="B63" s="107">
        <v>47101.165022387395</v>
      </c>
      <c r="C63" s="107">
        <f>Data!$AC$63</f>
        <v>3883.9760625189883</v>
      </c>
      <c r="D63" s="107">
        <f>Data!$AD$63</f>
        <v>51070.917537724068</v>
      </c>
      <c r="E63" s="90">
        <f t="shared" si="4"/>
        <v>53500</v>
      </c>
      <c r="F63" s="107"/>
      <c r="G63" s="108"/>
      <c r="H63" s="92">
        <f t="shared" si="0"/>
        <v>2429.0824622759319</v>
      </c>
      <c r="I63" s="92">
        <f t="shared" si="1"/>
        <v>6398.8349776126051</v>
      </c>
      <c r="J63" s="107">
        <v>242000</v>
      </c>
      <c r="K63" s="191">
        <f t="shared" si="5"/>
        <v>242000</v>
      </c>
    </row>
    <row r="64" spans="1:11" ht="15" x14ac:dyDescent="0.2">
      <c r="K64" s="149"/>
    </row>
    <row r="65" spans="1:11" ht="15" x14ac:dyDescent="0.2">
      <c r="K65" s="149"/>
    </row>
    <row r="66" spans="1:11" ht="15" x14ac:dyDescent="0.2">
      <c r="A66" s="69" t="s">
        <v>148</v>
      </c>
      <c r="B66" s="69" t="s">
        <v>149</v>
      </c>
      <c r="K66" s="149"/>
    </row>
    <row r="67" spans="1:11" ht="15" x14ac:dyDescent="0.2">
      <c r="B67" s="69" t="s">
        <v>150</v>
      </c>
      <c r="K67" s="149"/>
    </row>
    <row r="68" spans="1:11" ht="15" x14ac:dyDescent="0.2">
      <c r="B68" s="69" t="s">
        <v>151</v>
      </c>
      <c r="E68" s="164"/>
      <c r="K68" s="149"/>
    </row>
    <row r="69" spans="1:11" ht="15" x14ac:dyDescent="0.2">
      <c r="B69" s="69" t="s">
        <v>152</v>
      </c>
      <c r="K69" s="149"/>
    </row>
    <row r="70" spans="1:11" ht="15" x14ac:dyDescent="0.2">
      <c r="B70" s="69" t="s">
        <v>153</v>
      </c>
      <c r="K70" s="149"/>
    </row>
    <row r="71" spans="1:11" ht="15" x14ac:dyDescent="0.2">
      <c r="K71" s="149"/>
    </row>
    <row r="72" spans="1:11" ht="15" x14ac:dyDescent="0.2">
      <c r="K72" s="149"/>
    </row>
  </sheetData>
  <pageMargins left="0.7" right="0.7" top="0.75" bottom="0.75" header="0.3" footer="0.3"/>
  <pageSetup scale="63" orientation="portrait" r:id="rId1"/>
  <headerFooter>
    <oddHeader>&amp;C&amp;"-,Regular" Firm Yield / Demand - By Year
June 2017</oddHeader>
    <oddFooter>&amp;C&amp;"-,Regular"&amp;8&amp;F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E3B5ED566B2F4BB8E55FCB26374A94" ma:contentTypeVersion="1" ma:contentTypeDescription="Create a new document." ma:contentTypeScope="" ma:versionID="bf0cbb97be316678e7bc051e102bb24e">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E74C38-81A0-47EC-B1AF-489213F60915}">
  <ds:schemaRefs>
    <ds:schemaRef ds:uri="http://schemas.microsoft.com/sharepoint/v3/contenttype/forms"/>
  </ds:schemaRefs>
</ds:datastoreItem>
</file>

<file path=customXml/itemProps2.xml><?xml version="1.0" encoding="utf-8"?>
<ds:datastoreItem xmlns:ds="http://schemas.openxmlformats.org/officeDocument/2006/customXml" ds:itemID="{8B5E08D8-F484-4AA5-BEBE-DB6A2BD62858}">
  <ds:schemaRefs>
    <ds:schemaRef ds:uri="http://schemas.microsoft.com/sharepoint/v3"/>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EEF3927-EE03-4758-95B1-00079102DD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10</vt:i4>
      </vt:variant>
      <vt:variant>
        <vt:lpstr>Charts</vt:lpstr>
      </vt:variant>
      <vt:variant>
        <vt:i4>4</vt:i4>
      </vt:variant>
      <vt:variant>
        <vt:lpstr>Named Ranges</vt:lpstr>
      </vt:variant>
      <vt:variant>
        <vt:i4>9</vt:i4>
      </vt:variant>
    </vt:vector>
  </HeadingPairs>
  <TitlesOfParts>
    <vt:vector size="23" baseType="lpstr">
      <vt:lpstr>SOP</vt:lpstr>
      <vt:lpstr>Data</vt:lpstr>
      <vt:lpstr>Emily's notes</vt:lpstr>
      <vt:lpstr>Commercial Estimates</vt:lpstr>
      <vt:lpstr>No TWP Data by Year</vt:lpstr>
      <vt:lpstr>No TWP Data by Pop</vt:lpstr>
      <vt:lpstr>Data by Pop</vt:lpstr>
      <vt:lpstr>Data by Year</vt:lpstr>
      <vt:lpstr>Data by Year CE Accelerated</vt:lpstr>
      <vt:lpstr>Population Maxes</vt:lpstr>
      <vt:lpstr>No TWP Chart by Pop</vt:lpstr>
      <vt:lpstr>Chart by Pop</vt:lpstr>
      <vt:lpstr>Chart by Year</vt:lpstr>
      <vt:lpstr>Chart by Year CE Accelerated</vt:lpstr>
      <vt:lpstr>Data!Print_Area</vt:lpstr>
      <vt:lpstr>'Data by Pop'!Print_Area</vt:lpstr>
      <vt:lpstr>'Data by Year'!Print_Area</vt:lpstr>
      <vt:lpstr>'Data by Year CE Accelerated'!Print_Area</vt:lpstr>
      <vt:lpstr>'No TWP Data by Pop'!Print_Area</vt:lpstr>
      <vt:lpstr>'No TWP Data by Year'!Print_Area</vt:lpstr>
      <vt:lpstr>'Population Maxes'!Print_Area</vt:lpstr>
      <vt:lpstr>Data!Print_Titles</vt:lpstr>
      <vt:lpstr>'Population Maxes'!Print_Titles</vt:lpstr>
    </vt:vector>
  </TitlesOfParts>
  <Company>City of Thornton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mkoleber</dc:creator>
  <cp:lastModifiedBy>Microsoft Office User</cp:lastModifiedBy>
  <cp:lastPrinted>2017-07-03T21:34:10Z</cp:lastPrinted>
  <dcterms:created xsi:type="dcterms:W3CDTF">2004-10-21T16:09:15Z</dcterms:created>
  <dcterms:modified xsi:type="dcterms:W3CDTF">2021-04-23T17:05:43Z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0x0101000CE3B5ED566B2F4BB8E55FCB26374A94</vt:lpwstr>
  </property>
</Properties>
</file>