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402" firstSheet="2" activeTab="6"/>
  </bookViews>
  <sheets>
    <sheet name="KPI_SUPPORT" sheetId="1" r:id="rId1"/>
    <sheet name="KPI_RD" sheetId="2" r:id="rId2"/>
    <sheet name="KPI_PROJECTS" sheetId="3" r:id="rId3"/>
    <sheet name="Source" sheetId="4" r:id="rId4"/>
    <sheet name="Result_RD" sheetId="5" r:id="rId5"/>
    <sheet name="Result_SUPPORT" sheetId="6" r:id="rId6"/>
    <sheet name="KPI_TOTAL" sheetId="7" r:id="rId7"/>
  </sheets>
  <calcPr calcId="145621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2" i="2"/>
  <c r="H4" i="2" l="1"/>
  <c r="I4" i="2"/>
  <c r="J4" i="2"/>
  <c r="K4" i="2"/>
  <c r="L4" i="2"/>
  <c r="M4" i="2"/>
  <c r="N4" i="2"/>
  <c r="O4" i="2"/>
  <c r="P4" i="2"/>
  <c r="Q4" i="2"/>
  <c r="B13" i="6" l="1"/>
  <c r="E10" i="4" l="1"/>
  <c r="B25" i="7"/>
  <c r="E12" i="6"/>
  <c r="D12" i="6"/>
  <c r="C12" i="6"/>
  <c r="B12" i="6"/>
  <c r="I32" i="4"/>
  <c r="I28" i="4"/>
  <c r="F28" i="4"/>
  <c r="I33" i="4" s="1"/>
  <c r="I27" i="4"/>
  <c r="F27" i="4"/>
  <c r="I29" i="4" s="1"/>
  <c r="I26" i="4"/>
  <c r="F26" i="4"/>
  <c r="I25" i="4"/>
  <c r="E13" i="4"/>
  <c r="H13" i="4" s="1"/>
  <c r="E12" i="4"/>
  <c r="H12" i="4" s="1"/>
  <c r="E11" i="4"/>
  <c r="H11" i="4" s="1"/>
  <c r="H10" i="4"/>
  <c r="E9" i="4"/>
  <c r="H9" i="4" s="1"/>
  <c r="E8" i="4"/>
  <c r="H8" i="4" s="1"/>
  <c r="E7" i="4"/>
  <c r="H7" i="4" s="1"/>
  <c r="E6" i="4"/>
  <c r="H6" i="4" s="1"/>
  <c r="E5" i="4"/>
  <c r="H5" i="4" s="1"/>
  <c r="E4" i="4"/>
  <c r="H4" i="4" s="1"/>
  <c r="E3" i="4"/>
  <c r="H3" i="4" s="1"/>
  <c r="E2" i="4"/>
  <c r="H2" i="4" s="1"/>
  <c r="K3" i="3"/>
  <c r="J3" i="3"/>
  <c r="I3" i="3"/>
  <c r="H3" i="3"/>
  <c r="K2" i="3"/>
  <c r="E4" i="7" s="1"/>
  <c r="E5" i="7" s="1"/>
  <c r="J2" i="3"/>
  <c r="D4" i="7" s="1"/>
  <c r="D5" i="7" s="1"/>
  <c r="I2" i="3"/>
  <c r="C4" i="7" s="1"/>
  <c r="C5" i="7" s="1"/>
  <c r="H2" i="3"/>
  <c r="B4" i="7" s="1"/>
  <c r="Q51" i="2"/>
  <c r="O51" i="2"/>
  <c r="N51" i="2"/>
  <c r="M51" i="2"/>
  <c r="L51" i="2"/>
  <c r="K51" i="2"/>
  <c r="J51" i="2"/>
  <c r="I51" i="2"/>
  <c r="H51" i="2"/>
  <c r="P51" i="2"/>
  <c r="Q50" i="2"/>
  <c r="P50" i="2"/>
  <c r="O50" i="2"/>
  <c r="N50" i="2"/>
  <c r="M50" i="2"/>
  <c r="L50" i="2"/>
  <c r="K50" i="2"/>
  <c r="J50" i="2"/>
  <c r="I50" i="2"/>
  <c r="H50" i="2"/>
  <c r="Q49" i="2"/>
  <c r="O49" i="2"/>
  <c r="N49" i="2"/>
  <c r="M49" i="2"/>
  <c r="L49" i="2"/>
  <c r="K49" i="2"/>
  <c r="J49" i="2"/>
  <c r="I49" i="2"/>
  <c r="H49" i="2"/>
  <c r="P49" i="2"/>
  <c r="Q48" i="2"/>
  <c r="P48" i="2"/>
  <c r="O48" i="2"/>
  <c r="N48" i="2"/>
  <c r="L48" i="2"/>
  <c r="K48" i="2"/>
  <c r="J48" i="2"/>
  <c r="I48" i="2"/>
  <c r="H48" i="2"/>
  <c r="M48" i="2"/>
  <c r="Q47" i="2"/>
  <c r="O47" i="2"/>
  <c r="N47" i="2"/>
  <c r="M47" i="2"/>
  <c r="L47" i="2"/>
  <c r="K47" i="2"/>
  <c r="J47" i="2"/>
  <c r="I47" i="2"/>
  <c r="H47" i="2"/>
  <c r="P47" i="2"/>
  <c r="Q46" i="2"/>
  <c r="P46" i="2"/>
  <c r="N46" i="2"/>
  <c r="M46" i="2"/>
  <c r="L46" i="2"/>
  <c r="K46" i="2"/>
  <c r="J46" i="2"/>
  <c r="I46" i="2"/>
  <c r="H46" i="2"/>
  <c r="O46" i="2"/>
  <c r="Q45" i="2"/>
  <c r="P45" i="2"/>
  <c r="O45" i="2"/>
  <c r="N45" i="2"/>
  <c r="L45" i="2"/>
  <c r="K45" i="2"/>
  <c r="J45" i="2"/>
  <c r="I45" i="2"/>
  <c r="H45" i="2"/>
  <c r="M45" i="2"/>
  <c r="Q44" i="2"/>
  <c r="P44" i="2"/>
  <c r="O44" i="2"/>
  <c r="N44" i="2"/>
  <c r="L44" i="2"/>
  <c r="K44" i="2"/>
  <c r="J44" i="2"/>
  <c r="I44" i="2"/>
  <c r="H44" i="2"/>
  <c r="M44" i="2"/>
  <c r="Q43" i="2"/>
  <c r="P43" i="2"/>
  <c r="O43" i="2"/>
  <c r="N43" i="2"/>
  <c r="L43" i="2"/>
  <c r="K43" i="2"/>
  <c r="J43" i="2"/>
  <c r="I43" i="2"/>
  <c r="H43" i="2"/>
  <c r="M43" i="2"/>
  <c r="Q42" i="2"/>
  <c r="P42" i="2"/>
  <c r="O42" i="2"/>
  <c r="M42" i="2"/>
  <c r="L42" i="2"/>
  <c r="K42" i="2"/>
  <c r="J42" i="2"/>
  <c r="I42" i="2"/>
  <c r="H42" i="2"/>
  <c r="N42" i="2"/>
  <c r="Q41" i="2"/>
  <c r="P41" i="2"/>
  <c r="O41" i="2"/>
  <c r="M41" i="2"/>
  <c r="L41" i="2"/>
  <c r="K41" i="2"/>
  <c r="J41" i="2"/>
  <c r="I41" i="2"/>
  <c r="H41" i="2"/>
  <c r="N41" i="2"/>
  <c r="Q40" i="2"/>
  <c r="O40" i="2"/>
  <c r="N40" i="2"/>
  <c r="M40" i="2"/>
  <c r="L40" i="2"/>
  <c r="K40" i="2"/>
  <c r="J40" i="2"/>
  <c r="I40" i="2"/>
  <c r="H40" i="2"/>
  <c r="P40" i="2"/>
  <c r="Q39" i="2"/>
  <c r="P39" i="2"/>
  <c r="O39" i="2"/>
  <c r="M39" i="2"/>
  <c r="L39" i="2"/>
  <c r="K39" i="2"/>
  <c r="J39" i="2"/>
  <c r="I39" i="2"/>
  <c r="H39" i="2"/>
  <c r="N39" i="2"/>
  <c r="Q38" i="2"/>
  <c r="P38" i="2"/>
  <c r="O38" i="2"/>
  <c r="N38" i="2"/>
  <c r="L38" i="2"/>
  <c r="K38" i="2"/>
  <c r="J38" i="2"/>
  <c r="I38" i="2"/>
  <c r="H38" i="2"/>
  <c r="M38" i="2"/>
  <c r="Q37" i="2"/>
  <c r="P37" i="2"/>
  <c r="O37" i="2"/>
  <c r="N37" i="2"/>
  <c r="L37" i="2"/>
  <c r="K37" i="2"/>
  <c r="J37" i="2"/>
  <c r="I37" i="2"/>
  <c r="H37" i="2"/>
  <c r="M37" i="2"/>
  <c r="Q36" i="2"/>
  <c r="P36" i="2"/>
  <c r="O36" i="2"/>
  <c r="N36" i="2"/>
  <c r="L36" i="2"/>
  <c r="K36" i="2"/>
  <c r="J36" i="2"/>
  <c r="I36" i="2"/>
  <c r="H36" i="2"/>
  <c r="M36" i="2"/>
  <c r="Q35" i="2"/>
  <c r="P35" i="2"/>
  <c r="O35" i="2"/>
  <c r="N35" i="2"/>
  <c r="L35" i="2"/>
  <c r="K35" i="2"/>
  <c r="J35" i="2"/>
  <c r="I35" i="2"/>
  <c r="H35" i="2"/>
  <c r="M35" i="2"/>
  <c r="Q34" i="2"/>
  <c r="P34" i="2"/>
  <c r="O34" i="2"/>
  <c r="N34" i="2"/>
  <c r="L34" i="2"/>
  <c r="K34" i="2"/>
  <c r="J34" i="2"/>
  <c r="I34" i="2"/>
  <c r="H34" i="2"/>
  <c r="M34" i="2"/>
  <c r="Q33" i="2"/>
  <c r="P33" i="2"/>
  <c r="O33" i="2"/>
  <c r="N33" i="2"/>
  <c r="L33" i="2"/>
  <c r="K33" i="2"/>
  <c r="J33" i="2"/>
  <c r="I33" i="2"/>
  <c r="H33" i="2"/>
  <c r="M33" i="2"/>
  <c r="Q32" i="2"/>
  <c r="P32" i="2"/>
  <c r="O32" i="2"/>
  <c r="N32" i="2"/>
  <c r="L32" i="2"/>
  <c r="K32" i="2"/>
  <c r="J32" i="2"/>
  <c r="I32" i="2"/>
  <c r="H32" i="2"/>
  <c r="M32" i="2"/>
  <c r="Q31" i="2"/>
  <c r="P31" i="2"/>
  <c r="O31" i="2"/>
  <c r="N31" i="2"/>
  <c r="L31" i="2"/>
  <c r="K31" i="2"/>
  <c r="J31" i="2"/>
  <c r="I31" i="2"/>
  <c r="H31" i="2"/>
  <c r="M31" i="2"/>
  <c r="Q30" i="2"/>
  <c r="P30" i="2"/>
  <c r="O30" i="2"/>
  <c r="N30" i="2"/>
  <c r="L30" i="2"/>
  <c r="K30" i="2"/>
  <c r="J30" i="2"/>
  <c r="I30" i="2"/>
  <c r="H30" i="2"/>
  <c r="M30" i="2"/>
  <c r="Q29" i="2"/>
  <c r="P29" i="2"/>
  <c r="O29" i="2"/>
  <c r="N29" i="2"/>
  <c r="L29" i="2"/>
  <c r="K29" i="2"/>
  <c r="J29" i="2"/>
  <c r="I29" i="2"/>
  <c r="H29" i="2"/>
  <c r="M29" i="2"/>
  <c r="Q28" i="2"/>
  <c r="P28" i="2"/>
  <c r="O28" i="2"/>
  <c r="N28" i="2"/>
  <c r="L28" i="2"/>
  <c r="K28" i="2"/>
  <c r="J28" i="2"/>
  <c r="I28" i="2"/>
  <c r="H28" i="2"/>
  <c r="M28" i="2"/>
  <c r="Q27" i="2"/>
  <c r="P27" i="2"/>
  <c r="O27" i="2"/>
  <c r="N27" i="2"/>
  <c r="L27" i="2"/>
  <c r="K27" i="2"/>
  <c r="J27" i="2"/>
  <c r="I27" i="2"/>
  <c r="H27" i="2"/>
  <c r="M27" i="2"/>
  <c r="Q26" i="2"/>
  <c r="P26" i="2"/>
  <c r="O26" i="2"/>
  <c r="M26" i="2"/>
  <c r="L26" i="2"/>
  <c r="K26" i="2"/>
  <c r="J26" i="2"/>
  <c r="I26" i="2"/>
  <c r="H26" i="2"/>
  <c r="N26" i="2"/>
  <c r="Q25" i="2"/>
  <c r="P25" i="2"/>
  <c r="O25" i="2"/>
  <c r="N25" i="2"/>
  <c r="L25" i="2"/>
  <c r="K25" i="2"/>
  <c r="J25" i="2"/>
  <c r="I25" i="2"/>
  <c r="H25" i="2"/>
  <c r="M25" i="2"/>
  <c r="Q24" i="2"/>
  <c r="P24" i="2"/>
  <c r="O24" i="2"/>
  <c r="N24" i="2"/>
  <c r="L24" i="2"/>
  <c r="K24" i="2"/>
  <c r="J24" i="2"/>
  <c r="I24" i="2"/>
  <c r="H24" i="2"/>
  <c r="M24" i="2"/>
  <c r="Q23" i="2"/>
  <c r="P23" i="2"/>
  <c r="O23" i="2"/>
  <c r="N23" i="2"/>
  <c r="L23" i="2"/>
  <c r="K23" i="2"/>
  <c r="J23" i="2"/>
  <c r="I23" i="2"/>
  <c r="H23" i="2"/>
  <c r="M23" i="2"/>
  <c r="Q22" i="2"/>
  <c r="P22" i="2"/>
  <c r="O22" i="2"/>
  <c r="N22" i="2"/>
  <c r="L22" i="2"/>
  <c r="K22" i="2"/>
  <c r="J22" i="2"/>
  <c r="I22" i="2"/>
  <c r="H22" i="2"/>
  <c r="M22" i="2"/>
  <c r="Q21" i="2"/>
  <c r="P21" i="2"/>
  <c r="O21" i="2"/>
  <c r="N21" i="2"/>
  <c r="M21" i="2"/>
  <c r="L21" i="2"/>
  <c r="K21" i="2"/>
  <c r="J21" i="2"/>
  <c r="I21" i="2"/>
  <c r="H21" i="2"/>
  <c r="Q20" i="2"/>
  <c r="P20" i="2"/>
  <c r="O20" i="2"/>
  <c r="N20" i="2"/>
  <c r="L20" i="2"/>
  <c r="K20" i="2"/>
  <c r="J20" i="2"/>
  <c r="I20" i="2"/>
  <c r="H20" i="2"/>
  <c r="M20" i="2"/>
  <c r="Q19" i="2"/>
  <c r="P19" i="2"/>
  <c r="O19" i="2"/>
  <c r="N19" i="2"/>
  <c r="L19" i="2"/>
  <c r="K19" i="2"/>
  <c r="J19" i="2"/>
  <c r="I19" i="2"/>
  <c r="H19" i="2"/>
  <c r="M19" i="2"/>
  <c r="Q18" i="2"/>
  <c r="P18" i="2"/>
  <c r="O18" i="2"/>
  <c r="M18" i="2"/>
  <c r="L18" i="2"/>
  <c r="K18" i="2"/>
  <c r="J18" i="2"/>
  <c r="I18" i="2"/>
  <c r="H18" i="2"/>
  <c r="N18" i="2"/>
  <c r="Q17" i="2"/>
  <c r="P17" i="2"/>
  <c r="O17" i="2"/>
  <c r="M17" i="2"/>
  <c r="L17" i="2"/>
  <c r="K17" i="2"/>
  <c r="J17" i="2"/>
  <c r="I17" i="2"/>
  <c r="H17" i="2"/>
  <c r="N17" i="2"/>
  <c r="Q16" i="2"/>
  <c r="P16" i="2"/>
  <c r="O16" i="2"/>
  <c r="N16" i="2"/>
  <c r="L16" i="2"/>
  <c r="K16" i="2"/>
  <c r="J16" i="2"/>
  <c r="I16" i="2"/>
  <c r="H16" i="2"/>
  <c r="M16" i="2"/>
  <c r="Q15" i="2"/>
  <c r="P15" i="2"/>
  <c r="O15" i="2"/>
  <c r="N15" i="2"/>
  <c r="M15" i="2"/>
  <c r="L15" i="2"/>
  <c r="K15" i="2"/>
  <c r="J15" i="2"/>
  <c r="I15" i="2"/>
  <c r="H15" i="2"/>
  <c r="Q14" i="2"/>
  <c r="P14" i="2"/>
  <c r="O14" i="2"/>
  <c r="N14" i="2"/>
  <c r="M14" i="2"/>
  <c r="L14" i="2"/>
  <c r="K14" i="2"/>
  <c r="J14" i="2"/>
  <c r="I14" i="2"/>
  <c r="H14" i="2"/>
  <c r="Q13" i="2"/>
  <c r="P13" i="2"/>
  <c r="O13" i="2"/>
  <c r="N13" i="2"/>
  <c r="L13" i="2"/>
  <c r="K13" i="2"/>
  <c r="J13" i="2"/>
  <c r="I13" i="2"/>
  <c r="H13" i="2"/>
  <c r="M13" i="2"/>
  <c r="Q12" i="2"/>
  <c r="P12" i="2"/>
  <c r="O12" i="2"/>
  <c r="N12" i="2"/>
  <c r="L12" i="2"/>
  <c r="K12" i="2"/>
  <c r="J12" i="2"/>
  <c r="I12" i="2"/>
  <c r="H12" i="2"/>
  <c r="M12" i="2"/>
  <c r="Q11" i="2"/>
  <c r="P11" i="2"/>
  <c r="O11" i="2"/>
  <c r="N11" i="2"/>
  <c r="L11" i="2"/>
  <c r="K11" i="2"/>
  <c r="J11" i="2"/>
  <c r="I11" i="2"/>
  <c r="H11" i="2"/>
  <c r="M11" i="2"/>
  <c r="Q10" i="2"/>
  <c r="P10" i="2"/>
  <c r="O10" i="2"/>
  <c r="N10" i="2"/>
  <c r="L10" i="2"/>
  <c r="K10" i="2"/>
  <c r="J10" i="2"/>
  <c r="I10" i="2"/>
  <c r="H10" i="2"/>
  <c r="M10" i="2"/>
  <c r="Q9" i="2"/>
  <c r="P9" i="2"/>
  <c r="O9" i="2"/>
  <c r="N9" i="2"/>
  <c r="L9" i="2"/>
  <c r="K9" i="2"/>
  <c r="J9" i="2"/>
  <c r="I9" i="2"/>
  <c r="H9" i="2"/>
  <c r="M9" i="2"/>
  <c r="Q8" i="2"/>
  <c r="P8" i="2"/>
  <c r="O8" i="2"/>
  <c r="N8" i="2"/>
  <c r="L8" i="2"/>
  <c r="K8" i="2"/>
  <c r="J8" i="2"/>
  <c r="I8" i="2"/>
  <c r="H8" i="2"/>
  <c r="M8" i="2"/>
  <c r="Q7" i="2"/>
  <c r="P7" i="2"/>
  <c r="O7" i="2"/>
  <c r="N7" i="2"/>
  <c r="L7" i="2"/>
  <c r="K7" i="2"/>
  <c r="J7" i="2"/>
  <c r="I7" i="2"/>
  <c r="H7" i="2"/>
  <c r="M7" i="2"/>
  <c r="Q6" i="2"/>
  <c r="P6" i="2"/>
  <c r="O6" i="2"/>
  <c r="N6" i="2"/>
  <c r="L6" i="2"/>
  <c r="K6" i="2"/>
  <c r="J6" i="2"/>
  <c r="I6" i="2"/>
  <c r="H6" i="2"/>
  <c r="M6" i="2"/>
  <c r="Q5" i="2"/>
  <c r="P5" i="2"/>
  <c r="O5" i="2"/>
  <c r="N5" i="2"/>
  <c r="L5" i="2"/>
  <c r="K5" i="2"/>
  <c r="J5" i="2"/>
  <c r="I5" i="2"/>
  <c r="H5" i="2"/>
  <c r="M5" i="2"/>
  <c r="Q3" i="2"/>
  <c r="P3" i="2"/>
  <c r="O3" i="2"/>
  <c r="N3" i="2"/>
  <c r="L3" i="2"/>
  <c r="K3" i="2"/>
  <c r="J3" i="2"/>
  <c r="I3" i="2"/>
  <c r="H3" i="2"/>
  <c r="M3" i="2"/>
  <c r="Q2" i="2"/>
  <c r="P2" i="2"/>
  <c r="O2" i="2"/>
  <c r="N2" i="2"/>
  <c r="L2" i="2"/>
  <c r="K2" i="2"/>
  <c r="J2" i="2"/>
  <c r="I2" i="2"/>
  <c r="H2" i="2"/>
  <c r="M2" i="2"/>
  <c r="U2" i="1"/>
  <c r="T2" i="1"/>
  <c r="S2" i="1"/>
  <c r="R2" i="1"/>
  <c r="Q2" i="1"/>
  <c r="E6" i="6" s="1"/>
  <c r="E8" i="6" s="1"/>
  <c r="E10" i="6" s="1"/>
  <c r="P2" i="1"/>
  <c r="O2" i="1"/>
  <c r="N2" i="1"/>
  <c r="M2" i="1"/>
  <c r="E10" i="7" s="1"/>
  <c r="E11" i="7" s="1"/>
  <c r="L2" i="1"/>
  <c r="D10" i="7" s="1"/>
  <c r="K2" i="1"/>
  <c r="C4" i="6" s="1"/>
  <c r="C5" i="6" s="1"/>
  <c r="J2" i="1"/>
  <c r="B4" i="6" s="1"/>
  <c r="B5" i="6" s="1"/>
  <c r="F4" i="7" l="1"/>
  <c r="B4" i="5"/>
  <c r="D12" i="7"/>
  <c r="D13" i="7" s="1"/>
  <c r="C12" i="7"/>
  <c r="C13" i="7" s="1"/>
  <c r="B10" i="5"/>
  <c r="F6" i="7" s="1"/>
  <c r="F8" i="7" s="1"/>
  <c r="F9" i="7" s="1"/>
  <c r="E4" i="5"/>
  <c r="E5" i="5" s="1"/>
  <c r="E6" i="5" s="1"/>
  <c r="E7" i="5" s="1"/>
  <c r="E9" i="5" s="1"/>
  <c r="D4" i="5"/>
  <c r="D5" i="5" s="1"/>
  <c r="D6" i="5" s="1"/>
  <c r="I30" i="4"/>
  <c r="C10" i="7"/>
  <c r="C11" i="7" s="1"/>
  <c r="B5" i="5"/>
  <c r="B5" i="7"/>
  <c r="F5" i="7" s="1"/>
  <c r="B7" i="6"/>
  <c r="B11" i="6" s="1"/>
  <c r="B6" i="6"/>
  <c r="B8" i="6" s="1"/>
  <c r="B10" i="6" s="1"/>
  <c r="C7" i="6"/>
  <c r="C11" i="6" s="1"/>
  <c r="C13" i="6" s="1"/>
  <c r="C6" i="6"/>
  <c r="C8" i="6" s="1"/>
  <c r="C10" i="6" s="1"/>
  <c r="D4" i="6"/>
  <c r="D5" i="6" s="1"/>
  <c r="I31" i="4"/>
  <c r="C4" i="5"/>
  <c r="C5" i="5" s="1"/>
  <c r="C6" i="5" s="1"/>
  <c r="C7" i="5" s="1"/>
  <c r="C9" i="5" s="1"/>
  <c r="B10" i="7"/>
  <c r="E12" i="7"/>
  <c r="E13" i="7" s="1"/>
  <c r="B12" i="7"/>
  <c r="E4" i="6"/>
  <c r="E5" i="6" s="1"/>
  <c r="E7" i="6" s="1"/>
  <c r="E11" i="6" s="1"/>
  <c r="E13" i="6" s="1"/>
  <c r="F7" i="7" l="1"/>
  <c r="D7" i="6"/>
  <c r="D11" i="6" s="1"/>
  <c r="D13" i="6" s="1"/>
  <c r="B17" i="6" s="1"/>
  <c r="D6" i="6"/>
  <c r="D8" i="6" s="1"/>
  <c r="D10" i="6" s="1"/>
  <c r="B16" i="6" s="1"/>
  <c r="B15" i="7"/>
  <c r="B22" i="7" s="1"/>
  <c r="B11" i="7"/>
  <c r="F11" i="7" s="1"/>
  <c r="F10" i="7"/>
  <c r="D7" i="5"/>
  <c r="D9" i="5" s="1"/>
  <c r="F5" i="5"/>
  <c r="B6" i="5"/>
  <c r="B7" i="5" s="1"/>
  <c r="B9" i="5" s="1"/>
  <c r="B13" i="7"/>
  <c r="F13" i="7" s="1"/>
  <c r="F12" i="7"/>
  <c r="F14" i="7" s="1"/>
  <c r="F4" i="5"/>
  <c r="B18" i="6" l="1"/>
  <c r="B17" i="7" s="1"/>
  <c r="B24" i="7" s="1"/>
  <c r="B11" i="5"/>
  <c r="B16" i="7" s="1"/>
  <c r="B23" i="7" s="1"/>
  <c r="B26" i="7" l="1"/>
</calcChain>
</file>

<file path=xl/sharedStrings.xml><?xml version="1.0" encoding="utf-8"?>
<sst xmlns="http://schemas.openxmlformats.org/spreadsheetml/2006/main" count="420" uniqueCount="245">
  <si>
    <t>TicketNumber</t>
  </si>
  <si>
    <t>Age</t>
  </si>
  <si>
    <t>Created</t>
  </si>
  <si>
    <t>Closed</t>
  </si>
  <si>
    <t>First Response</t>
  </si>
  <si>
    <t>Время реакции</t>
  </si>
  <si>
    <t>Время решения SYS</t>
  </si>
  <si>
    <t>Время решения CALC</t>
  </si>
  <si>
    <t>pri</t>
  </si>
  <si>
    <t>prior1</t>
  </si>
  <si>
    <t>prior2</t>
  </si>
  <si>
    <t>prior3</t>
  </si>
  <si>
    <t>prior4</t>
  </si>
  <si>
    <t>prior1 reaction time</t>
  </si>
  <si>
    <t>prior2 reaction time</t>
  </si>
  <si>
    <t>prior3 reaction time</t>
  </si>
  <si>
    <t>prior4 reaction time</t>
  </si>
  <si>
    <t>prior1 solution time</t>
  </si>
  <si>
    <t>prior2 solution time</t>
  </si>
  <si>
    <t>prior3 solution time</t>
  </si>
  <si>
    <t>prior4 solution time</t>
  </si>
  <si>
    <t>Priority</t>
  </si>
  <si>
    <t>prior0</t>
  </si>
  <si>
    <t>prior0 solution time</t>
  </si>
  <si>
    <t>Blocker</t>
  </si>
  <si>
    <t>Critical</t>
  </si>
  <si>
    <t>Minor</t>
  </si>
  <si>
    <t>Major</t>
  </si>
  <si>
    <t>Задача</t>
  </si>
  <si>
    <t>Менеджер</t>
  </si>
  <si>
    <t>Оборудование</t>
  </si>
  <si>
    <t>Компания</t>
  </si>
  <si>
    <t>Инженер</t>
  </si>
  <si>
    <t>Статус</t>
  </si>
  <si>
    <t>Приоритет</t>
  </si>
  <si>
    <t>Время реакции (минут)</t>
  </si>
  <si>
    <t>K1-K4</t>
  </si>
  <si>
    <t>Вес в оценке</t>
  </si>
  <si>
    <t>Время предоставления решения (минут)</t>
  </si>
  <si>
    <t>KPI работы</t>
  </si>
  <si>
    <t>Приоритет ТТ</t>
  </si>
  <si>
    <t>Балл</t>
  </si>
  <si>
    <t>Категория инженера</t>
  </si>
  <si>
    <t>Норматив (баллов)</t>
  </si>
  <si>
    <t>Выполнение норматива</t>
  </si>
  <si>
    <t>Процент</t>
  </si>
  <si>
    <t>Инженер 1 категории</t>
  </si>
  <si>
    <t>Выше норматива (10%)</t>
  </si>
  <si>
    <t>Инженер 2 категории</t>
  </si>
  <si>
    <t>В пределах норматива (+-10%)</t>
  </si>
  <si>
    <t>Инженер 3 категории</t>
  </si>
  <si>
    <t>Ниже норматива (-10%)</t>
  </si>
  <si>
    <t>Ниже норматива (-70%)</t>
  </si>
  <si>
    <t>Тип</t>
  </si>
  <si>
    <t>Решение</t>
  </si>
  <si>
    <t>K1-K2</t>
  </si>
  <si>
    <t>Веса p1-p2</t>
  </si>
  <si>
    <t>Время предоставления</t>
  </si>
  <si>
    <t>Баги, K1</t>
  </si>
  <si>
    <t>Исправления</t>
  </si>
  <si>
    <t>VIP</t>
  </si>
  <si>
    <t>high</t>
  </si>
  <si>
    <t>Доработки, K2</t>
  </si>
  <si>
    <t>normal</t>
  </si>
  <si>
    <t>low</t>
  </si>
  <si>
    <t>Не нормируется</t>
  </si>
  <si>
    <t>Норматив по проектам</t>
  </si>
  <si>
    <t>Выше норматива (+10% и более)</t>
  </si>
  <si>
    <t>Ниже норматива (-10% и более)</t>
  </si>
  <si>
    <t>Рассчет Коэффициент К2 (Время решения багов/доработок)</t>
  </si>
  <si>
    <t>HIGH</t>
  </si>
  <si>
    <t>NORMAL</t>
  </si>
  <si>
    <t>LOW</t>
  </si>
  <si>
    <t>total</t>
  </si>
  <si>
    <t>Общее количество баллов  - Баги/Доработки</t>
  </si>
  <si>
    <t>Количество решенных багов/доработок</t>
  </si>
  <si>
    <t>Среднее время предоставления решения (мин)</t>
  </si>
  <si>
    <t>Коэффициент "Время решения"</t>
  </si>
  <si>
    <t>Веса "Время решения"</t>
  </si>
  <si>
    <t>Подытог " Время решения"</t>
  </si>
  <si>
    <t>Общее количесво баллов по проектам</t>
  </si>
  <si>
    <t>Коэффициент К2 (Время решения багов/доработок)</t>
  </si>
  <si>
    <t>Рассчет Коэффициент К3 (Время реакции и решения ТП)</t>
  </si>
  <si>
    <t>total (квартал)</t>
  </si>
  <si>
    <t>Общее количество баллов</t>
  </si>
  <si>
    <t>Количество решенных тикитов</t>
  </si>
  <si>
    <t>Среднее время реакции (мин)</t>
  </si>
  <si>
    <t>Коэффициент "Время реакции"</t>
  </si>
  <si>
    <t>Вес "Время реакции"</t>
  </si>
  <si>
    <t>Подытог " Время реакции"</t>
  </si>
  <si>
    <t>Вес S1 (время реакции)</t>
  </si>
  <si>
    <t>Вес S2 (время предоставления решения)</t>
  </si>
  <si>
    <t>Коэффициент S1</t>
  </si>
  <si>
    <t>Коэффициент S2</t>
  </si>
  <si>
    <t>Коэффициент К3 (Время реакции и решения ТП)</t>
  </si>
  <si>
    <t>2 КВАРТАЛ 2016 ГОДА</t>
  </si>
  <si>
    <t>Общее количество баллов - Проекты+Ввод в линейку</t>
  </si>
  <si>
    <t>Количество завершенных проектов</t>
  </si>
  <si>
    <t>Общее количество баллов  - Доработки по проектам</t>
  </si>
  <si>
    <t>Количество решенных багов/доработок по проектам</t>
  </si>
  <si>
    <t>Количество дополнительных баллов за доработки</t>
  </si>
  <si>
    <t>К1_Общее количество баллов - Проекты</t>
  </si>
  <si>
    <t>К3_Общее количество баллов - Техническая Поддержка</t>
  </si>
  <si>
    <t>Количество решенных тикетов</t>
  </si>
  <si>
    <t>К2_Общее количество баллов  - Баги/Доработки (проданное)</t>
  </si>
  <si>
    <t>Количество решенных багов/доработок (проданное)</t>
  </si>
  <si>
    <t>Общее колическтво баллов</t>
  </si>
  <si>
    <t>Коэффициент К1  (Общее количество баллов, проекты)</t>
  </si>
  <si>
    <t>Коэффициент К2 (решение багов/доработок, проданное)</t>
  </si>
  <si>
    <t>Коэффициент К3 (Время реакции и решения, ТП)</t>
  </si>
  <si>
    <t>вес К1 (Общее количество баллов)</t>
  </si>
  <si>
    <t>вес К2 (Время решения багов/доработок )</t>
  </si>
  <si>
    <t>вес K3 (Время реакции и решения, ТП)</t>
  </si>
  <si>
    <t>вес K4 (Инициативность, приоритетные задачи, выполнение поручений руководителя)</t>
  </si>
  <si>
    <t>Коэффициент К1</t>
  </si>
  <si>
    <t>Коэффициент К2</t>
  </si>
  <si>
    <t>Коэффициент К3</t>
  </si>
  <si>
    <t>Коэффициент К4</t>
  </si>
  <si>
    <t>KPI total</t>
  </si>
  <si>
    <t>dewe</t>
  </si>
  <si>
    <t>Марков Сергей</t>
  </si>
  <si>
    <t>CPEQ-657</t>
  </si>
  <si>
    <t>CPEQ-740</t>
  </si>
  <si>
    <t>CPEQ-733</t>
  </si>
  <si>
    <t>CPEQ-762</t>
  </si>
  <si>
    <t>CPEQ-797</t>
  </si>
  <si>
    <t>CPEQ-597</t>
  </si>
  <si>
    <t>CPEQ-584</t>
  </si>
  <si>
    <t>CPEQ-571</t>
  </si>
  <si>
    <t>CPEQ-1028</t>
  </si>
  <si>
    <t>CPEQ-1082</t>
  </si>
  <si>
    <t>CPEQ-1074</t>
  </si>
  <si>
    <t>CPEQ-1078</t>
  </si>
  <si>
    <t>CPEQ-1075</t>
  </si>
  <si>
    <t>CPEQ-1077</t>
  </si>
  <si>
    <t>CPEQ-1073</t>
  </si>
  <si>
    <t>CPEQ-1072</t>
  </si>
  <si>
    <t>WRT-1</t>
  </si>
  <si>
    <t>CPEQ-1066</t>
  </si>
  <si>
    <t>CPEQ-1061</t>
  </si>
  <si>
    <t>CPEQ-1071</t>
  </si>
  <si>
    <t>CPEQ-1070</t>
  </si>
  <si>
    <t>CPEQ-824</t>
  </si>
  <si>
    <t>CPEQ-1069</t>
  </si>
  <si>
    <t>CPEQ-1060</t>
  </si>
  <si>
    <t>CPEQ-1065</t>
  </si>
  <si>
    <t>CPEQ-1063</t>
  </si>
  <si>
    <t>CPEQ-1055</t>
  </si>
  <si>
    <t>CPEQ-1067</t>
  </si>
  <si>
    <t>CPEQ-947</t>
  </si>
  <si>
    <t>CPEQ-913</t>
  </si>
  <si>
    <t>CPEQ-1064</t>
  </si>
  <si>
    <t>CPEQ-924</t>
  </si>
  <si>
    <t>CPEQ-1062</t>
  </si>
  <si>
    <t>CPEQ-1047</t>
  </si>
  <si>
    <t>CPEQ-1059</t>
  </si>
  <si>
    <t>CPEQ-1057</t>
  </si>
  <si>
    <t>CPEQ-1058</t>
  </si>
  <si>
    <t>CPEQ-1051</t>
  </si>
  <si>
    <t>CPEQ-1052</t>
  </si>
  <si>
    <t>CPEQ-1050</t>
  </si>
  <si>
    <t>CPEQ-941</t>
  </si>
  <si>
    <t>CPEQ-973</t>
  </si>
  <si>
    <t>CPEQ-1049</t>
  </si>
  <si>
    <t>CPEQ-1023</t>
  </si>
  <si>
    <t>CPEQ-686</t>
  </si>
  <si>
    <t>CPEQ-984</t>
  </si>
  <si>
    <t>CPEQ-965</t>
  </si>
  <si>
    <t>CPEQ-1026</t>
  </si>
  <si>
    <t>CPEQ-1027</t>
  </si>
  <si>
    <t>CPEQ-969</t>
  </si>
  <si>
    <t>CPEQ-1021</t>
  </si>
  <si>
    <t>CPEQ-1018</t>
  </si>
  <si>
    <t>CPEQ-1020</t>
  </si>
  <si>
    <t>CPEQ-1016</t>
  </si>
  <si>
    <t>CPEQ-1007</t>
  </si>
  <si>
    <t>CPEQ-582</t>
  </si>
  <si>
    <t>CPEQ-1012</t>
  </si>
  <si>
    <t>CPEQ-1010</t>
  </si>
  <si>
    <t>CPEQ-1009</t>
  </si>
  <si>
    <t>CPEQ-1006</t>
  </si>
  <si>
    <t>CPEQ-1005</t>
  </si>
  <si>
    <t>CPEQ-572</t>
  </si>
  <si>
    <t>CPEQ-922</t>
  </si>
  <si>
    <t>CPEQ-801</t>
  </si>
  <si>
    <t>CPEQ-672</t>
  </si>
  <si>
    <t>CPEQ-679</t>
  </si>
  <si>
    <t>CPEQ-982</t>
  </si>
  <si>
    <t>CPEQ-983</t>
  </si>
  <si>
    <t>CPEQ-972</t>
  </si>
  <si>
    <t>CPEQ-968</t>
  </si>
  <si>
    <t>CPEQ-970</t>
  </si>
  <si>
    <t>CPEQ-853</t>
  </si>
  <si>
    <t>CPEQ-979</t>
  </si>
  <si>
    <t>CPEQ-977</t>
  </si>
  <si>
    <t>CPEQ-974</t>
  </si>
  <si>
    <t>CPEQ-971</t>
  </si>
  <si>
    <t>CPEQ-962</t>
  </si>
  <si>
    <t>CPEQ-599</t>
  </si>
  <si>
    <t>CPEQ-912</t>
  </si>
  <si>
    <t>CPEQ-915</t>
  </si>
  <si>
    <t>CPEQ-917</t>
  </si>
  <si>
    <t>CPEQ-598</t>
  </si>
  <si>
    <t>CPEQ-756</t>
  </si>
  <si>
    <t>CPEQ-689</t>
  </si>
  <si>
    <t>CPEQ-688</t>
  </si>
  <si>
    <t>CPEQ-676</t>
  </si>
  <si>
    <t>CPEQ-677</t>
  </si>
  <si>
    <t>CPEQ-678</t>
  </si>
  <si>
    <t>CPEQ-675</t>
  </si>
  <si>
    <t>CPEQ-910</t>
  </si>
  <si>
    <t>CPEQ-911</t>
  </si>
  <si>
    <t>CPEQ-909</t>
  </si>
  <si>
    <t>CPEQ-906</t>
  </si>
  <si>
    <t>CPEQ-907</t>
  </si>
  <si>
    <t>CPEQ-908</t>
  </si>
  <si>
    <t>CPEQ-903</t>
  </si>
  <si>
    <t>CPEQ-896</t>
  </si>
  <si>
    <t>CPEQ-745</t>
  </si>
  <si>
    <t>CPEQ-900</t>
  </si>
  <si>
    <t>CPEQ-899</t>
  </si>
  <si>
    <t>CPEQ-898</t>
  </si>
  <si>
    <t>CPEQ-895</t>
  </si>
  <si>
    <t>CPEQ-828</t>
  </si>
  <si>
    <t>CPEQ-875</t>
  </si>
  <si>
    <t>CPEQ-804</t>
  </si>
  <si>
    <t>CPEQ-893</t>
  </si>
  <si>
    <t>CPEQ-884</t>
  </si>
  <si>
    <t>CPEQ-883</t>
  </si>
  <si>
    <t>CPEQ-851</t>
  </si>
  <si>
    <t>CPEQ-859</t>
  </si>
  <si>
    <t>CPEQ-852</t>
  </si>
  <si>
    <t>CPEQ-848</t>
  </si>
  <si>
    <t>CPEQ-845</t>
  </si>
  <si>
    <t>CPEQ-833</t>
  </si>
  <si>
    <t>CPEQ-844</t>
  </si>
  <si>
    <t>CPEQ-843</t>
  </si>
  <si>
    <t>CPEQ-834</t>
  </si>
  <si>
    <t>CPEQ-811</t>
  </si>
  <si>
    <t>CPEQ-781</t>
  </si>
  <si>
    <t>CPEQ-825</t>
  </si>
  <si>
    <t>CPEQ-805</t>
  </si>
  <si>
    <t>CPEQ-827</t>
  </si>
  <si>
    <t>CPEQ-809</t>
  </si>
  <si>
    <t>CPEQ-800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</si>
</sst>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"/>
  </numFmts>
  <fonts count="39" x14ac:knownFonts="1">
    <font>
      <sz val="11"/>
      <color rgb="FF000000"/>
      <name val="Calibri"/>
      <family val="2"/>
    </font>
    <font>
      <sz val="11"/>
      <color theme="1"/>
      <name val="Calibri"/>
      <family val="2"/>
      <charset val="204"/>
      <scheme val="minor"/>
    </font>
    <font>
      <sz val="11"/>
      <color rgb="FF333333"/>
      <name val="Arial"/>
      <family val="2"/>
    </font>
    <font>
      <sz val="10"/>
      <color rgb="FF000000"/>
      <name val="Arial"/>
      <family val="2"/>
    </font>
    <font>
      <sz val="8.8000000000000007"/>
      <color rgb="FF000000"/>
      <name val="Arial"/>
      <family val="2"/>
    </font>
    <font>
      <b/>
      <i/>
      <sz val="10"/>
      <color rgb="FF943634"/>
      <name val="Calibri"/>
      <family val="2"/>
    </font>
    <font>
      <sz val="10"/>
      <color rgb="FF000000"/>
      <name val="Calibri"/>
      <family val="2"/>
    </font>
    <font>
      <b/>
      <i/>
      <sz val="10"/>
      <color rgb="FF000000"/>
      <name val="Calibri"/>
      <family val="2"/>
    </font>
    <font>
      <b/>
      <i/>
      <sz val="10"/>
      <color rgb="FFC00000"/>
      <name val="Calibri"/>
      <family val="2"/>
    </font>
    <font>
      <b/>
      <i/>
      <sz val="11"/>
      <color rgb="FFC00000"/>
      <name val="Calibri"/>
      <family val="2"/>
    </font>
    <font>
      <sz val="11"/>
      <color rgb="FF1F497D"/>
      <name val="Calibri"/>
      <family val="2"/>
    </font>
    <font>
      <b/>
      <i/>
      <sz val="11"/>
      <color rgb="FF943634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i/>
      <sz val="18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b/>
      <i/>
      <sz val="22"/>
      <color rgb="FF000000"/>
      <name val="Calibri"/>
      <family val="2"/>
    </font>
    <font>
      <sz val="11"/>
      <name val="Calibri"/>
      <family val="2"/>
    </font>
    <font>
      <b/>
      <sz val="24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  <charset val="204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FFFFFF"/>
        <bgColor rgb="FFF5F5F5"/>
      </patternFill>
    </fill>
    <fill>
      <patternFill patternType="solid">
        <fgColor rgb="FFFAC090"/>
        <bgColor rgb="FFFCD5B5"/>
      </patternFill>
    </fill>
    <fill>
      <patternFill patternType="solid">
        <fgColor rgb="FFB3A2C7"/>
        <bgColor rgb="FF95B3D7"/>
      </patternFill>
    </fill>
    <fill>
      <patternFill patternType="solid">
        <fgColor rgb="FF9BBB59"/>
        <bgColor rgb="FF93C47D"/>
      </patternFill>
    </fill>
    <fill>
      <patternFill patternType="solid">
        <fgColor rgb="FF92D050"/>
        <bgColor rgb="FF9BBB59"/>
      </patternFill>
    </fill>
    <fill>
      <patternFill patternType="solid">
        <fgColor rgb="FFF5F5F5"/>
        <bgColor rgb="FFFFFFFF"/>
      </patternFill>
    </fill>
    <fill>
      <patternFill patternType="solid">
        <fgColor rgb="FF93C47D"/>
        <bgColor rgb="FF9BBB59"/>
      </patternFill>
    </fill>
    <fill>
      <patternFill patternType="solid">
        <fgColor rgb="FFB9CDE5"/>
        <bgColor rgb="FFCCCCCC"/>
      </patternFill>
    </fill>
    <fill>
      <patternFill patternType="solid">
        <fgColor rgb="FFFCD5B5"/>
        <bgColor rgb="FFF2DBDB"/>
      </patternFill>
    </fill>
    <fill>
      <patternFill patternType="solid">
        <fgColor rgb="FFD7E4BD"/>
        <bgColor rgb="FFE6E0EC"/>
      </patternFill>
    </fill>
    <fill>
      <patternFill patternType="solid">
        <fgColor rgb="FFF2DBDB"/>
        <bgColor rgb="FFE6E0EC"/>
      </patternFill>
    </fill>
    <fill>
      <patternFill patternType="solid">
        <fgColor rgb="FF95B3D7"/>
        <bgColor rgb="FFB3A2C7"/>
      </patternFill>
    </fill>
    <fill>
      <patternFill patternType="solid">
        <fgColor rgb="FFC3D69B"/>
        <bgColor rgb="FFCCCCCC"/>
      </patternFill>
    </fill>
    <fill>
      <patternFill patternType="solid">
        <fgColor rgb="FFE6E0EC"/>
        <bgColor rgb="FFF2DBDB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rgb="FFCCCCCC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0" fillId="0" borderId="0"/>
    <xf numFmtId="0" fontId="22" fillId="0" borderId="0" applyNumberFormat="0" applyFill="0" applyBorder="0" applyAlignment="0" applyProtection="0"/>
    <xf numFmtId="0" fontId="23" fillId="0" borderId="39" applyNumberFormat="0" applyFill="0" applyAlignment="0" applyProtection="0"/>
    <xf numFmtId="0" fontId="24" fillId="0" borderId="40" applyNumberFormat="0" applyFill="0" applyAlignment="0" applyProtection="0"/>
    <xf numFmtId="0" fontId="25" fillId="0" borderId="41" applyNumberFormat="0" applyFill="0" applyAlignment="0" applyProtection="0"/>
    <xf numFmtId="0" fontId="25" fillId="0" borderId="0" applyNumberFormat="0" applyFill="0" applyBorder="0" applyAlignment="0" applyProtection="0"/>
    <xf numFmtId="0" fontId="26" fillId="17" borderId="0" applyNumberFormat="0" applyBorder="0" applyAlignment="0" applyProtection="0"/>
    <xf numFmtId="0" fontId="27" fillId="18" borderId="0" applyNumberFormat="0" applyBorder="0" applyAlignment="0" applyProtection="0"/>
    <xf numFmtId="0" fontId="28" fillId="19" borderId="0" applyNumberFormat="0" applyBorder="0" applyAlignment="0" applyProtection="0"/>
    <xf numFmtId="0" fontId="29" fillId="20" borderId="42" applyNumberFormat="0" applyAlignment="0" applyProtection="0"/>
    <xf numFmtId="0" fontId="30" fillId="21" borderId="43" applyNumberFormat="0" applyAlignment="0" applyProtection="0"/>
    <xf numFmtId="0" fontId="31" fillId="21" borderId="42" applyNumberFormat="0" applyAlignment="0" applyProtection="0"/>
    <xf numFmtId="0" fontId="32" fillId="0" borderId="44" applyNumberFormat="0" applyFill="0" applyAlignment="0" applyProtection="0"/>
    <xf numFmtId="0" fontId="33" fillId="22" borderId="45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47" applyNumberFormat="0" applyFill="0" applyAlignment="0" applyProtection="0"/>
    <xf numFmtId="0" fontId="3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37" fillId="47" borderId="0" applyNumberFormat="0" applyBorder="0" applyAlignment="0" applyProtection="0"/>
    <xf numFmtId="0" fontId="1" fillId="0" borderId="0"/>
    <xf numFmtId="0" fontId="1" fillId="23" borderId="46" applyNumberFormat="0" applyFont="0" applyAlignment="0" applyProtection="0"/>
    <xf numFmtId="0" fontId="38" fillId="0" borderId="0" applyNumberFormat="0" applyFill="0" applyBorder="0" applyAlignment="0" applyProtection="0"/>
  </cellStyleXfs>
  <cellXfs count="186">
    <xf numFmtId="0" fontId="0" fillId="0" borderId="0" xfId="0"/>
    <xf numFmtId="0" fontId="0" fillId="0" borderId="0" xfId="0" applyBorder="1" applyProtection="1">
      <protection locked="0"/>
    </xf>
    <xf numFmtId="0" fontId="0" fillId="0" borderId="0" xfId="0" applyBorder="1"/>
    <xf numFmtId="0" fontId="0" fillId="2" borderId="0" xfId="0" applyFill="1" applyBorder="1" applyProtection="1">
      <protection locked="0"/>
    </xf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49" fontId="0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49" fontId="0" fillId="0" borderId="1" xfId="0" applyNumberFormat="1" applyFont="1" applyBorder="1"/>
    <xf numFmtId="22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0" borderId="0" xfId="0" applyProtection="1">
      <protection locked="0"/>
    </xf>
    <xf numFmtId="0" fontId="0" fillId="3" borderId="2" xfId="0" applyFont="1" applyFill="1" applyBorder="1" applyProtection="1">
      <protection locked="0"/>
    </xf>
    <xf numFmtId="0" fontId="0" fillId="3" borderId="3" xfId="0" applyFill="1" applyBorder="1"/>
    <xf numFmtId="0" fontId="0" fillId="3" borderId="2" xfId="0" applyFill="1" applyBorder="1"/>
    <xf numFmtId="0" fontId="0" fillId="6" borderId="2" xfId="0" applyFill="1" applyBorder="1"/>
    <xf numFmtId="0" fontId="0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5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1" xfId="0" applyFont="1" applyFill="1" applyBorder="1" applyAlignment="1">
      <alignment vertical="top" wrapText="1"/>
    </xf>
    <xf numFmtId="0" fontId="0" fillId="3" borderId="5" xfId="0" applyFill="1" applyBorder="1"/>
    <xf numFmtId="0" fontId="0" fillId="3" borderId="1" xfId="0" applyFill="1" applyBorder="1"/>
    <xf numFmtId="0" fontId="0" fillId="6" borderId="1" xfId="0" applyFill="1" applyBorder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horizontal="center" vertical="center"/>
      <protection locked="0"/>
    </xf>
    <xf numFmtId="49" fontId="0" fillId="0" borderId="6" xfId="0" applyNumberFormat="1" applyFont="1" applyBorder="1" applyAlignment="1" applyProtection="1">
      <alignment horizontal="center" vertical="center" wrapText="1"/>
      <protection locked="0"/>
    </xf>
    <xf numFmtId="49" fontId="0" fillId="0" borderId="2" xfId="0" applyNumberFormat="1" applyFont="1" applyBorder="1" applyAlignment="1">
      <alignment horizontal="center" vertical="center" wrapText="1"/>
    </xf>
    <xf numFmtId="49" fontId="0" fillId="0" borderId="2" xfId="0" applyNumberFormat="1" applyFont="1" applyBorder="1" applyAlignment="1" applyProtection="1">
      <alignment horizontal="center" vertical="center" wrapText="1"/>
      <protection locked="0"/>
    </xf>
    <xf numFmtId="0" fontId="0" fillId="2" borderId="2" xfId="0" applyFont="1" applyFill="1" applyBorder="1" applyAlignment="1" applyProtection="1">
      <alignment horizontal="center" vertical="center" wrapText="1"/>
      <protection locked="0"/>
    </xf>
    <xf numFmtId="0" fontId="3" fillId="8" borderId="1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20" fillId="0" borderId="0" xfId="1"/>
    <xf numFmtId="0" fontId="5" fillId="9" borderId="8" xfId="1" applyFont="1" applyFill="1" applyBorder="1" applyAlignment="1">
      <alignment horizontal="center" vertical="center" wrapText="1"/>
    </xf>
    <xf numFmtId="0" fontId="5" fillId="9" borderId="9" xfId="1" applyFont="1" applyFill="1" applyBorder="1" applyAlignment="1">
      <alignment horizontal="center" vertical="center" wrapText="1"/>
    </xf>
    <xf numFmtId="0" fontId="5" fillId="10" borderId="8" xfId="1" applyFont="1" applyFill="1" applyBorder="1" applyAlignment="1">
      <alignment horizontal="center" vertical="center" wrapText="1"/>
    </xf>
    <xf numFmtId="0" fontId="5" fillId="10" borderId="9" xfId="1" applyFont="1" applyFill="1" applyBorder="1" applyAlignment="1">
      <alignment horizontal="center" vertical="center" wrapText="1"/>
    </xf>
    <xf numFmtId="0" fontId="6" fillId="9" borderId="10" xfId="1" applyFont="1" applyFill="1" applyBorder="1" applyAlignment="1">
      <alignment horizontal="center" vertical="center" wrapText="1"/>
    </xf>
    <xf numFmtId="0" fontId="6" fillId="9" borderId="11" xfId="1" applyFont="1" applyFill="1" applyBorder="1" applyAlignment="1">
      <alignment horizontal="center" vertical="center" wrapText="1"/>
    </xf>
    <xf numFmtId="0" fontId="6" fillId="10" borderId="10" xfId="1" applyFont="1" applyFill="1" applyBorder="1" applyAlignment="1">
      <alignment horizontal="center" vertical="center" wrapText="1"/>
    </xf>
    <xf numFmtId="0" fontId="6" fillId="10" borderId="11" xfId="1" applyFont="1" applyFill="1" applyBorder="1" applyAlignment="1">
      <alignment horizontal="center" vertical="center" wrapText="1"/>
    </xf>
    <xf numFmtId="0" fontId="8" fillId="11" borderId="9" xfId="1" applyFont="1" applyFill="1" applyBorder="1" applyAlignment="1">
      <alignment horizontal="center" vertical="center" wrapText="1"/>
    </xf>
    <xf numFmtId="0" fontId="8" fillId="11" borderId="12" xfId="1" applyFont="1" applyFill="1" applyBorder="1" applyAlignment="1">
      <alignment horizontal="center" vertical="center" wrapText="1"/>
    </xf>
    <xf numFmtId="0" fontId="8" fillId="3" borderId="13" xfId="1" applyFont="1" applyFill="1" applyBorder="1" applyAlignment="1">
      <alignment horizontal="center" vertical="center"/>
    </xf>
    <xf numFmtId="0" fontId="8" fillId="3" borderId="14" xfId="1" applyFont="1" applyFill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 wrapText="1"/>
    </xf>
    <xf numFmtId="0" fontId="8" fillId="0" borderId="14" xfId="1" applyFont="1" applyBorder="1" applyAlignment="1">
      <alignment horizontal="center" vertical="center" wrapText="1"/>
    </xf>
    <xf numFmtId="0" fontId="9" fillId="0" borderId="15" xfId="1" applyFont="1" applyBorder="1" applyAlignment="1">
      <alignment horizontal="center" vertical="center"/>
    </xf>
    <xf numFmtId="0" fontId="20" fillId="0" borderId="0" xfId="1" applyAlignment="1">
      <alignment horizontal="center" vertical="center"/>
    </xf>
    <xf numFmtId="0" fontId="6" fillId="11" borderId="11" xfId="1" applyFont="1" applyFill="1" applyBorder="1" applyAlignment="1">
      <alignment horizontal="center" vertical="center" wrapText="1"/>
    </xf>
    <xf numFmtId="0" fontId="6" fillId="11" borderId="16" xfId="1" applyFont="1" applyFill="1" applyBorder="1" applyAlignment="1">
      <alignment horizontal="center" vertical="center" wrapText="1"/>
    </xf>
    <xf numFmtId="0" fontId="10" fillId="3" borderId="17" xfId="1" applyFont="1" applyFill="1" applyBorder="1" applyAlignment="1">
      <alignment vertical="center"/>
    </xf>
    <xf numFmtId="0" fontId="20" fillId="3" borderId="18" xfId="1" applyFill="1" applyBorder="1"/>
    <xf numFmtId="0" fontId="6" fillId="0" borderId="17" xfId="1" applyFont="1" applyBorder="1" applyAlignment="1">
      <alignment horizontal="center" vertical="center" wrapText="1"/>
    </xf>
    <xf numFmtId="0" fontId="6" fillId="0" borderId="18" xfId="1" applyFont="1" applyBorder="1" applyAlignment="1">
      <alignment horizontal="center" vertical="center" wrapText="1"/>
    </xf>
    <xf numFmtId="0" fontId="20" fillId="0" borderId="19" xfId="1" applyBorder="1"/>
    <xf numFmtId="0" fontId="10" fillId="3" borderId="20" xfId="1" applyFont="1" applyFill="1" applyBorder="1" applyAlignment="1">
      <alignment vertical="center"/>
    </xf>
    <xf numFmtId="0" fontId="20" fillId="3" borderId="21" xfId="1" applyFill="1" applyBorder="1"/>
    <xf numFmtId="0" fontId="6" fillId="0" borderId="22" xfId="1" applyFont="1" applyBorder="1" applyAlignment="1">
      <alignment horizontal="center" vertical="center" wrapText="1"/>
    </xf>
    <xf numFmtId="0" fontId="6" fillId="0" borderId="23" xfId="1" applyFont="1" applyBorder="1" applyAlignment="1">
      <alignment horizontal="center" vertical="center" wrapText="1"/>
    </xf>
    <xf numFmtId="0" fontId="20" fillId="0" borderId="24" xfId="1" applyBorder="1"/>
    <xf numFmtId="0" fontId="6" fillId="0" borderId="25" xfId="1" applyFont="1" applyBorder="1" applyAlignment="1">
      <alignment horizontal="center" vertical="center" wrapText="1"/>
    </xf>
    <xf numFmtId="0" fontId="20" fillId="0" borderId="25" xfId="1" applyBorder="1"/>
    <xf numFmtId="0" fontId="5" fillId="12" borderId="8" xfId="1" applyFont="1" applyFill="1" applyBorder="1" applyAlignment="1">
      <alignment horizontal="center" vertical="center" wrapText="1"/>
    </xf>
    <xf numFmtId="0" fontId="5" fillId="12" borderId="9" xfId="1" applyFont="1" applyFill="1" applyBorder="1" applyAlignment="1">
      <alignment horizontal="center" vertical="center" wrapText="1"/>
    </xf>
    <xf numFmtId="0" fontId="11" fillId="12" borderId="26" xfId="1" applyFont="1" applyFill="1" applyBorder="1" applyAlignment="1">
      <alignment horizontal="center" vertical="center" wrapText="1"/>
    </xf>
    <xf numFmtId="0" fontId="6" fillId="0" borderId="27" xfId="1" applyFont="1" applyBorder="1" applyAlignment="1">
      <alignment vertical="center" wrapText="1"/>
    </xf>
    <xf numFmtId="1" fontId="6" fillId="0" borderId="11" xfId="1" applyNumberFormat="1" applyFont="1" applyBorder="1" applyAlignment="1">
      <alignment horizontal="center" vertical="center" wrapText="1"/>
    </xf>
    <xf numFmtId="0" fontId="6" fillId="0" borderId="11" xfId="1" applyFont="1" applyBorder="1" applyAlignment="1">
      <alignment horizontal="center" vertical="center" wrapText="1"/>
    </xf>
    <xf numFmtId="0" fontId="11" fillId="12" borderId="11" xfId="1" applyFont="1" applyFill="1" applyBorder="1" applyAlignment="1">
      <alignment horizontal="center" vertical="center" wrapText="1"/>
    </xf>
    <xf numFmtId="1" fontId="6" fillId="10" borderId="10" xfId="1" applyNumberFormat="1" applyFont="1" applyFill="1" applyBorder="1" applyAlignment="1">
      <alignment horizontal="center" vertical="center" wrapText="1"/>
    </xf>
    <xf numFmtId="0" fontId="6" fillId="0" borderId="28" xfId="1" applyFont="1" applyBorder="1" applyAlignment="1">
      <alignment vertical="center" wrapText="1"/>
    </xf>
    <xf numFmtId="0" fontId="12" fillId="0" borderId="10" xfId="1" applyFont="1" applyBorder="1" applyAlignment="1">
      <alignment horizontal="center" vertical="center" wrapText="1"/>
    </xf>
    <xf numFmtId="0" fontId="20" fillId="0" borderId="11" xfId="1" applyBorder="1" applyAlignment="1">
      <alignment horizontal="center" vertical="center" wrapText="1"/>
    </xf>
    <xf numFmtId="0" fontId="6" fillId="0" borderId="10" xfId="1" applyFont="1" applyBorder="1" applyAlignment="1">
      <alignment vertical="center" wrapText="1"/>
    </xf>
    <xf numFmtId="0" fontId="13" fillId="0" borderId="0" xfId="1" applyFont="1"/>
    <xf numFmtId="0" fontId="5" fillId="0" borderId="8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 wrapText="1"/>
    </xf>
    <xf numFmtId="0" fontId="14" fillId="0" borderId="0" xfId="0" applyFont="1" applyBorder="1" applyAlignment="1"/>
    <xf numFmtId="0" fontId="0" fillId="0" borderId="29" xfId="0" applyBorder="1" applyAlignment="1">
      <alignment horizontal="center" vertical="center"/>
    </xf>
    <xf numFmtId="0" fontId="13" fillId="0" borderId="29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14" borderId="25" xfId="0" applyFont="1" applyFill="1" applyBorder="1"/>
    <xf numFmtId="0" fontId="13" fillId="14" borderId="25" xfId="0" applyFont="1" applyFill="1" applyBorder="1" applyAlignment="1">
      <alignment horizontal="center"/>
    </xf>
    <xf numFmtId="0" fontId="15" fillId="14" borderId="25" xfId="0" applyFont="1" applyFill="1" applyBorder="1" applyAlignment="1">
      <alignment horizontal="center"/>
    </xf>
    <xf numFmtId="0" fontId="13" fillId="0" borderId="30" xfId="0" applyFont="1" applyBorder="1" applyAlignment="1">
      <alignment vertical="center"/>
    </xf>
    <xf numFmtId="0" fontId="0" fillId="0" borderId="25" xfId="0" applyFont="1" applyBorder="1"/>
    <xf numFmtId="0" fontId="0" fillId="0" borderId="25" xfId="0" applyFont="1" applyBorder="1" applyAlignment="1">
      <alignment horizontal="center"/>
    </xf>
    <xf numFmtId="0" fontId="0" fillId="0" borderId="25" xfId="0" applyBorder="1" applyAlignment="1">
      <alignment horizontal="center"/>
    </xf>
    <xf numFmtId="1" fontId="0" fillId="0" borderId="25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Font="1" applyBorder="1"/>
    <xf numFmtId="0" fontId="0" fillId="15" borderId="8" xfId="0" applyFill="1" applyBorder="1" applyAlignment="1">
      <alignment horizontal="center"/>
    </xf>
    <xf numFmtId="0" fontId="13" fillId="14" borderId="2" xfId="0" applyFont="1" applyFill="1" applyBorder="1"/>
    <xf numFmtId="0" fontId="13" fillId="14" borderId="2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6" fillId="0" borderId="25" xfId="0" applyFont="1" applyBorder="1"/>
    <xf numFmtId="2" fontId="16" fillId="0" borderId="25" xfId="0" applyNumberFormat="1" applyFont="1" applyBorder="1" applyAlignment="1">
      <alignment vertical="center"/>
    </xf>
    <xf numFmtId="0" fontId="13" fillId="0" borderId="33" xfId="0" applyFont="1" applyBorder="1" applyAlignment="1">
      <alignment horizontal="center"/>
    </xf>
    <xf numFmtId="0" fontId="13" fillId="14" borderId="34" xfId="0" applyFont="1" applyFill="1" applyBorder="1" applyAlignment="1">
      <alignment horizontal="center"/>
    </xf>
    <xf numFmtId="0" fontId="13" fillId="14" borderId="33" xfId="0" applyFont="1" applyFill="1" applyBorder="1" applyAlignment="1">
      <alignment horizontal="center"/>
    </xf>
    <xf numFmtId="0" fontId="13" fillId="14" borderId="29" xfId="0" applyFont="1" applyFill="1" applyBorder="1" applyAlignment="1">
      <alignment horizontal="center"/>
    </xf>
    <xf numFmtId="0" fontId="13" fillId="0" borderId="0" xfId="0" applyFont="1" applyBorder="1" applyAlignment="1">
      <alignment horizontal="right"/>
    </xf>
    <xf numFmtId="0" fontId="13" fillId="14" borderId="30" xfId="0" applyFont="1" applyFill="1" applyBorder="1"/>
    <xf numFmtId="0" fontId="13" fillId="14" borderId="35" xfId="0" applyFont="1" applyFill="1" applyBorder="1" applyAlignment="1">
      <alignment horizontal="center"/>
    </xf>
    <xf numFmtId="0" fontId="0" fillId="15" borderId="10" xfId="0" applyFont="1" applyFill="1" applyBorder="1" applyAlignment="1">
      <alignment vertical="center"/>
    </xf>
    <xf numFmtId="0" fontId="0" fillId="0" borderId="0" xfId="0" applyFont="1" applyBorder="1" applyAlignment="1">
      <alignment horizontal="right"/>
    </xf>
    <xf numFmtId="0" fontId="0" fillId="0" borderId="23" xfId="0" applyFont="1" applyBorder="1"/>
    <xf numFmtId="0" fontId="0" fillId="15" borderId="8" xfId="0" applyFill="1" applyBorder="1"/>
    <xf numFmtId="0" fontId="16" fillId="0" borderId="29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 applyAlignment="1">
      <alignment horizontal="right"/>
    </xf>
    <xf numFmtId="0" fontId="16" fillId="0" borderId="32" xfId="0" applyFont="1" applyBorder="1"/>
    <xf numFmtId="0" fontId="16" fillId="0" borderId="32" xfId="0" applyFont="1" applyBorder="1" applyAlignment="1">
      <alignment horizontal="center"/>
    </xf>
    <xf numFmtId="0" fontId="0" fillId="0" borderId="0" xfId="0" applyFont="1" applyBorder="1" applyAlignment="1">
      <alignment vertical="center"/>
    </xf>
    <xf numFmtId="0" fontId="16" fillId="0" borderId="36" xfId="0" applyFont="1" applyBorder="1"/>
    <xf numFmtId="2" fontId="16" fillId="0" borderId="37" xfId="0" applyNumberFormat="1" applyFont="1" applyBorder="1" applyAlignment="1">
      <alignment vertical="center"/>
    </xf>
    <xf numFmtId="0" fontId="0" fillId="0" borderId="0" xfId="0" applyAlignment="1">
      <alignment wrapText="1"/>
    </xf>
    <xf numFmtId="0" fontId="17" fillId="13" borderId="0" xfId="0" applyFont="1" applyFill="1" applyBorder="1" applyAlignment="1">
      <alignment wrapText="1"/>
    </xf>
    <xf numFmtId="0" fontId="15" fillId="13" borderId="0" xfId="0" applyFont="1" applyFill="1" applyBorder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13" fillId="0" borderId="2" xfId="0" applyFont="1" applyBorder="1" applyAlignment="1">
      <alignment horizontal="center"/>
    </xf>
    <xf numFmtId="0" fontId="0" fillId="14" borderId="2" xfId="0" applyFont="1" applyFill="1" applyBorder="1" applyAlignment="1">
      <alignment wrapText="1"/>
    </xf>
    <xf numFmtId="0" fontId="0" fillId="14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13" fillId="14" borderId="2" xfId="0" applyFont="1" applyFill="1" applyBorder="1" applyAlignment="1">
      <alignment wrapText="1"/>
    </xf>
    <xf numFmtId="0" fontId="15" fillId="14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left" vertical="center" wrapText="1"/>
    </xf>
    <xf numFmtId="0" fontId="13" fillId="0" borderId="0" xfId="0" applyFont="1" applyBorder="1" applyAlignment="1">
      <alignment vertical="center"/>
    </xf>
    <xf numFmtId="0" fontId="0" fillId="0" borderId="2" xfId="0" applyBorder="1" applyAlignment="1">
      <alignment horizontal="center"/>
    </xf>
    <xf numFmtId="0" fontId="0" fillId="15" borderId="2" xfId="0" applyFill="1" applyBorder="1"/>
    <xf numFmtId="0" fontId="16" fillId="0" borderId="2" xfId="0" applyFont="1" applyBorder="1" applyAlignment="1">
      <alignment wrapText="1"/>
    </xf>
    <xf numFmtId="0" fontId="16" fillId="0" borderId="2" xfId="0" applyFont="1" applyBorder="1" applyAlignment="1">
      <alignment horizontal="center"/>
    </xf>
    <xf numFmtId="0" fontId="16" fillId="2" borderId="2" xfId="0" applyFont="1" applyFill="1" applyBorder="1" applyAlignment="1">
      <alignment wrapText="1"/>
    </xf>
    <xf numFmtId="0" fontId="16" fillId="2" borderId="2" xfId="0" applyFont="1" applyFill="1" applyBorder="1" applyAlignment="1">
      <alignment horizontal="center"/>
    </xf>
    <xf numFmtId="0" fontId="19" fillId="16" borderId="2" xfId="0" applyFont="1" applyFill="1" applyBorder="1" applyAlignment="1">
      <alignment wrapText="1"/>
    </xf>
    <xf numFmtId="2" fontId="19" fillId="16" borderId="2" xfId="0" applyNumberFormat="1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Border="1" applyProtection="1">
      <protection locked="0"/>
    </xf>
    <xf numFmtId="49" fontId="0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>
      <alignment horizontal="center" vertical="center" wrapText="1"/>
    </xf>
    <xf numFmtId="0" fontId="0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Border="1"/>
    <xf numFmtId="0" fontId="0" fillId="0" borderId="1" xfId="0" applyFont="1" applyBorder="1" applyProtection="1">
      <protection locked="0"/>
    </xf>
    <xf numFmtId="0" fontId="0" fillId="0" borderId="1" xfId="0" applyBorder="1" applyProtection="1">
      <protection locked="0"/>
    </xf>
    <xf numFmtId="0" fontId="2" fillId="7" borderId="7" xfId="0" applyFont="1" applyFill="1" applyBorder="1" applyAlignment="1">
      <alignment horizontal="left" vertical="top" wrapText="1"/>
    </xf>
    <xf numFmtId="22" fontId="21" fillId="0" borderId="38" xfId="0" applyNumberFormat="1" applyFont="1" applyBorder="1" applyAlignment="1">
      <alignment vertical="top" wrapText="1"/>
    </xf>
    <xf numFmtId="0" fontId="21" fillId="0" borderId="38" xfId="0" applyFont="1" applyBorder="1" applyAlignment="1">
      <alignment vertical="top" wrapText="1"/>
    </xf>
    <xf numFmtId="0" fontId="6" fillId="10" borderId="8" xfId="1" applyFont="1" applyFill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6" fillId="9" borderId="8" xfId="1" applyFont="1" applyFill="1" applyBorder="1" applyAlignment="1">
      <alignment horizontal="center" vertical="center" wrapText="1"/>
    </xf>
    <xf numFmtId="0" fontId="7" fillId="9" borderId="0" xfId="1" applyFont="1" applyFill="1" applyBorder="1" applyAlignment="1">
      <alignment horizontal="center" vertical="center" wrapText="1"/>
    </xf>
    <xf numFmtId="0" fontId="11" fillId="12" borderId="8" xfId="1" applyFont="1" applyFill="1" applyBorder="1" applyAlignment="1">
      <alignment horizontal="center" vertical="center" wrapText="1"/>
    </xf>
    <xf numFmtId="0" fontId="14" fillId="13" borderId="25" xfId="0" applyFont="1" applyFill="1" applyBorder="1" applyAlignment="1">
      <alignment horizontal="center"/>
    </xf>
    <xf numFmtId="0" fontId="14" fillId="13" borderId="8" xfId="0" applyFont="1" applyFill="1" applyBorder="1" applyAlignment="1">
      <alignment horizontal="center"/>
    </xf>
    <xf numFmtId="2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left" vertical="center"/>
    </xf>
    <xf numFmtId="0" fontId="13" fillId="14" borderId="2" xfId="0" applyFont="1" applyFill="1" applyBorder="1" applyAlignment="1">
      <alignment horizontal="left" vertical="center"/>
    </xf>
    <xf numFmtId="0" fontId="13" fillId="14" borderId="2" xfId="0" applyFont="1" applyFill="1" applyBorder="1" applyAlignment="1">
      <alignment horizontal="left"/>
    </xf>
    <xf numFmtId="2" fontId="18" fillId="0" borderId="2" xfId="0" applyNumberFormat="1" applyFont="1" applyBorder="1" applyAlignment="1">
      <alignment horizontal="right"/>
    </xf>
    <xf numFmtId="0" fontId="15" fillId="13" borderId="0" xfId="0" applyFont="1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49" fontId="13" fillId="0" borderId="2" xfId="0" applyNumberFormat="1" applyFont="1" applyBorder="1" applyAlignment="1">
      <alignment horizontal="left"/>
    </xf>
    <xf numFmtId="0" fontId="0" fillId="14" borderId="2" xfId="0" applyFont="1" applyFill="1" applyBorder="1" applyAlignment="1">
      <alignment horizontal="left" vertical="center"/>
    </xf>
    <xf numFmtId="49" fontId="38" fillId="0" borderId="38" xfId="44" applyNumberFormat="1" applyBorder="1" applyAlignment="1">
      <alignment horizontal="left" vertical="top" wrapText="1"/>
    </xf>
  </cellXfs>
  <cellStyles count="45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TableStyleLight1" xfId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Гиперссылка 2" xfId="44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7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Обычный 2" xfId="42"/>
    <cellStyle name="Плохой" xfId="8" builtinId="27" customBuiltin="1"/>
    <cellStyle name="Пояснение" xfId="16" builtinId="53" customBuiltin="1"/>
    <cellStyle name="Примечание 2" xfId="43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93C47D"/>
      <rgbColor rgb="FF9999FF"/>
      <rgbColor rgb="FF943634"/>
      <rgbColor rgb="FFF5F5F5"/>
      <rgbColor rgb="FFE6E0EC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DBDB"/>
      <rgbColor rgb="FFD7E4BD"/>
      <rgbColor rgb="FFFCD5B5"/>
      <rgbColor rgb="FF95B3D7"/>
      <rgbColor rgb="FFC3D69B"/>
      <rgbColor rgb="FFB3A2C7"/>
      <rgbColor rgb="FFFAC090"/>
      <rgbColor rgb="FF3366FF"/>
      <rgbColor rgb="FF33CCCC"/>
      <rgbColor rgb="FF92D050"/>
      <rgbColor rgb="FFFFCC00"/>
      <rgbColor rgb="FFFF9900"/>
      <rgbColor rgb="FFFF6600"/>
      <rgbColor rgb="FF666699"/>
      <rgbColor rgb="FF9BBB59"/>
      <rgbColor rgb="FF003366"/>
      <rgbColor rgb="FF00B050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dev.qtech.ru/browse/CPEQ-1062" TargetMode="External"/><Relationship Id="rId117" Type="http://schemas.openxmlformats.org/officeDocument/2006/relationships/hyperlink" Target="https://dev.qtech.ru/browse/CPEQ-781" TargetMode="External"/><Relationship Id="rId21" Type="http://schemas.openxmlformats.org/officeDocument/2006/relationships/hyperlink" Target="https://dev.qtech.ru/browse/CPEQ-1067" TargetMode="External"/><Relationship Id="rId42" Type="http://schemas.openxmlformats.org/officeDocument/2006/relationships/hyperlink" Target="https://dev.qtech.ru/browse/CPEQ-965" TargetMode="External"/><Relationship Id="rId47" Type="http://schemas.openxmlformats.org/officeDocument/2006/relationships/hyperlink" Target="https://dev.qtech.ru/browse/CPEQ-1018" TargetMode="External"/><Relationship Id="rId63" Type="http://schemas.openxmlformats.org/officeDocument/2006/relationships/hyperlink" Target="https://dev.qtech.ru/browse/CPEQ-679" TargetMode="External"/><Relationship Id="rId68" Type="http://schemas.openxmlformats.org/officeDocument/2006/relationships/hyperlink" Target="https://dev.qtech.ru/browse/CPEQ-970" TargetMode="External"/><Relationship Id="rId84" Type="http://schemas.openxmlformats.org/officeDocument/2006/relationships/hyperlink" Target="https://dev.qtech.ru/browse/CPEQ-677" TargetMode="External"/><Relationship Id="rId89" Type="http://schemas.openxmlformats.org/officeDocument/2006/relationships/hyperlink" Target="https://dev.qtech.ru/browse/CPEQ-909" TargetMode="External"/><Relationship Id="rId112" Type="http://schemas.openxmlformats.org/officeDocument/2006/relationships/hyperlink" Target="https://dev.qtech.ru/browse/CPEQ-833" TargetMode="External"/><Relationship Id="rId16" Type="http://schemas.openxmlformats.org/officeDocument/2006/relationships/hyperlink" Target="https://dev.qtech.ru/browse/CPEQ-1069" TargetMode="External"/><Relationship Id="rId107" Type="http://schemas.openxmlformats.org/officeDocument/2006/relationships/hyperlink" Target="https://dev.qtech.ru/browse/CPEQ-859" TargetMode="External"/><Relationship Id="rId11" Type="http://schemas.openxmlformats.org/officeDocument/2006/relationships/hyperlink" Target="https://dev.qtech.ru/browse/CPEQ-1066" TargetMode="External"/><Relationship Id="rId32" Type="http://schemas.openxmlformats.org/officeDocument/2006/relationships/hyperlink" Target="https://dev.qtech.ru/browse/CPEQ-1051" TargetMode="External"/><Relationship Id="rId37" Type="http://schemas.openxmlformats.org/officeDocument/2006/relationships/hyperlink" Target="https://dev.qtech.ru/browse/CPEQ-1049" TargetMode="External"/><Relationship Id="rId53" Type="http://schemas.openxmlformats.org/officeDocument/2006/relationships/hyperlink" Target="https://dev.qtech.ru/browse/CPEQ-1012" TargetMode="External"/><Relationship Id="rId58" Type="http://schemas.openxmlformats.org/officeDocument/2006/relationships/hyperlink" Target="https://dev.qtech.ru/browse/CPEQ-572" TargetMode="External"/><Relationship Id="rId74" Type="http://schemas.openxmlformats.org/officeDocument/2006/relationships/hyperlink" Target="https://dev.qtech.ru/browse/CPEQ-962" TargetMode="External"/><Relationship Id="rId79" Type="http://schemas.openxmlformats.org/officeDocument/2006/relationships/hyperlink" Target="https://dev.qtech.ru/browse/CPEQ-598" TargetMode="External"/><Relationship Id="rId102" Type="http://schemas.openxmlformats.org/officeDocument/2006/relationships/hyperlink" Target="https://dev.qtech.ru/browse/CPEQ-804" TargetMode="External"/><Relationship Id="rId123" Type="http://schemas.openxmlformats.org/officeDocument/2006/relationships/hyperlink" Target="https://dev.qtech.ru/browse/CPEQ-762" TargetMode="External"/><Relationship Id="rId5" Type="http://schemas.openxmlformats.org/officeDocument/2006/relationships/hyperlink" Target="https://dev.qtech.ru/browse/CPEQ-1078" TargetMode="External"/><Relationship Id="rId90" Type="http://schemas.openxmlformats.org/officeDocument/2006/relationships/hyperlink" Target="https://dev.qtech.ru/browse/CPEQ-906" TargetMode="External"/><Relationship Id="rId95" Type="http://schemas.openxmlformats.org/officeDocument/2006/relationships/hyperlink" Target="https://dev.qtech.ru/browse/CPEQ-745" TargetMode="External"/><Relationship Id="rId22" Type="http://schemas.openxmlformats.org/officeDocument/2006/relationships/hyperlink" Target="https://dev.qtech.ru/browse/CPEQ-947" TargetMode="External"/><Relationship Id="rId27" Type="http://schemas.openxmlformats.org/officeDocument/2006/relationships/hyperlink" Target="https://dev.qtech.ru/browse/CPEQ-733" TargetMode="External"/><Relationship Id="rId43" Type="http://schemas.openxmlformats.org/officeDocument/2006/relationships/hyperlink" Target="https://dev.qtech.ru/browse/CPEQ-1026" TargetMode="External"/><Relationship Id="rId48" Type="http://schemas.openxmlformats.org/officeDocument/2006/relationships/hyperlink" Target="https://dev.qtech.ru/browse/CPEQ-1020" TargetMode="External"/><Relationship Id="rId64" Type="http://schemas.openxmlformats.org/officeDocument/2006/relationships/hyperlink" Target="https://dev.qtech.ru/browse/CPEQ-982" TargetMode="External"/><Relationship Id="rId69" Type="http://schemas.openxmlformats.org/officeDocument/2006/relationships/hyperlink" Target="https://dev.qtech.ru/browse/CPEQ-853" TargetMode="External"/><Relationship Id="rId113" Type="http://schemas.openxmlformats.org/officeDocument/2006/relationships/hyperlink" Target="https://dev.qtech.ru/browse/CPEQ-844" TargetMode="External"/><Relationship Id="rId118" Type="http://schemas.openxmlformats.org/officeDocument/2006/relationships/hyperlink" Target="https://dev.qtech.ru/browse/CPEQ-825" TargetMode="External"/><Relationship Id="rId80" Type="http://schemas.openxmlformats.org/officeDocument/2006/relationships/hyperlink" Target="https://dev.qtech.ru/browse/CPEQ-756" TargetMode="External"/><Relationship Id="rId85" Type="http://schemas.openxmlformats.org/officeDocument/2006/relationships/hyperlink" Target="https://dev.qtech.ru/browse/CPEQ-678" TargetMode="External"/><Relationship Id="rId12" Type="http://schemas.openxmlformats.org/officeDocument/2006/relationships/hyperlink" Target="https://dev.qtech.ru/browse/CPEQ-1061" TargetMode="External"/><Relationship Id="rId17" Type="http://schemas.openxmlformats.org/officeDocument/2006/relationships/hyperlink" Target="https://dev.qtech.ru/browse/CPEQ-1060" TargetMode="External"/><Relationship Id="rId33" Type="http://schemas.openxmlformats.org/officeDocument/2006/relationships/hyperlink" Target="https://dev.qtech.ru/browse/CPEQ-1052" TargetMode="External"/><Relationship Id="rId38" Type="http://schemas.openxmlformats.org/officeDocument/2006/relationships/hyperlink" Target="https://dev.qtech.ru/browse/CPEQ-657" TargetMode="External"/><Relationship Id="rId59" Type="http://schemas.openxmlformats.org/officeDocument/2006/relationships/hyperlink" Target="https://dev.qtech.ru/browse/CPEQ-922" TargetMode="External"/><Relationship Id="rId103" Type="http://schemas.openxmlformats.org/officeDocument/2006/relationships/hyperlink" Target="https://dev.qtech.ru/browse/CPEQ-893" TargetMode="External"/><Relationship Id="rId108" Type="http://schemas.openxmlformats.org/officeDocument/2006/relationships/hyperlink" Target="https://dev.qtech.ru/browse/CPEQ-852" TargetMode="External"/><Relationship Id="rId124" Type="http://schemas.openxmlformats.org/officeDocument/2006/relationships/hyperlink" Target="https://dev.qtech.ru/browse/CPEQ-571" TargetMode="External"/><Relationship Id="rId54" Type="http://schemas.openxmlformats.org/officeDocument/2006/relationships/hyperlink" Target="https://dev.qtech.ru/browse/CPEQ-1010" TargetMode="External"/><Relationship Id="rId70" Type="http://schemas.openxmlformats.org/officeDocument/2006/relationships/hyperlink" Target="https://dev.qtech.ru/browse/CPEQ-979" TargetMode="External"/><Relationship Id="rId75" Type="http://schemas.openxmlformats.org/officeDocument/2006/relationships/hyperlink" Target="https://dev.qtech.ru/browse/CPEQ-599" TargetMode="External"/><Relationship Id="rId91" Type="http://schemas.openxmlformats.org/officeDocument/2006/relationships/hyperlink" Target="https://dev.qtech.ru/browse/CPEQ-907" TargetMode="External"/><Relationship Id="rId96" Type="http://schemas.openxmlformats.org/officeDocument/2006/relationships/hyperlink" Target="https://dev.qtech.ru/browse/CPEQ-900" TargetMode="External"/><Relationship Id="rId1" Type="http://schemas.openxmlformats.org/officeDocument/2006/relationships/hyperlink" Target="https://dev.qtech.ru/browse/CPEQ-1028" TargetMode="External"/><Relationship Id="rId6" Type="http://schemas.openxmlformats.org/officeDocument/2006/relationships/hyperlink" Target="https://dev.qtech.ru/browse/CPEQ-1075" TargetMode="External"/><Relationship Id="rId23" Type="http://schemas.openxmlformats.org/officeDocument/2006/relationships/hyperlink" Target="https://dev.qtech.ru/browse/CPEQ-913" TargetMode="External"/><Relationship Id="rId28" Type="http://schemas.openxmlformats.org/officeDocument/2006/relationships/hyperlink" Target="https://dev.qtech.ru/browse/CPEQ-1047" TargetMode="External"/><Relationship Id="rId49" Type="http://schemas.openxmlformats.org/officeDocument/2006/relationships/hyperlink" Target="https://dev.qtech.ru/browse/CPEQ-584" TargetMode="External"/><Relationship Id="rId114" Type="http://schemas.openxmlformats.org/officeDocument/2006/relationships/hyperlink" Target="https://dev.qtech.ru/browse/CPEQ-843" TargetMode="External"/><Relationship Id="rId119" Type="http://schemas.openxmlformats.org/officeDocument/2006/relationships/hyperlink" Target="https://dev.qtech.ru/browse/CPEQ-805" TargetMode="External"/><Relationship Id="rId44" Type="http://schemas.openxmlformats.org/officeDocument/2006/relationships/hyperlink" Target="https://dev.qtech.ru/browse/CPEQ-1027" TargetMode="External"/><Relationship Id="rId60" Type="http://schemas.openxmlformats.org/officeDocument/2006/relationships/hyperlink" Target="https://dev.qtech.ru/browse/CPEQ-597" TargetMode="External"/><Relationship Id="rId65" Type="http://schemas.openxmlformats.org/officeDocument/2006/relationships/hyperlink" Target="https://dev.qtech.ru/browse/CPEQ-983" TargetMode="External"/><Relationship Id="rId81" Type="http://schemas.openxmlformats.org/officeDocument/2006/relationships/hyperlink" Target="https://dev.qtech.ru/browse/CPEQ-689" TargetMode="External"/><Relationship Id="rId86" Type="http://schemas.openxmlformats.org/officeDocument/2006/relationships/hyperlink" Target="https://dev.qtech.ru/browse/CPEQ-675" TargetMode="External"/><Relationship Id="rId13" Type="http://schemas.openxmlformats.org/officeDocument/2006/relationships/hyperlink" Target="https://dev.qtech.ru/browse/CPEQ-1071" TargetMode="External"/><Relationship Id="rId18" Type="http://schemas.openxmlformats.org/officeDocument/2006/relationships/hyperlink" Target="https://dev.qtech.ru/browse/CPEQ-1065" TargetMode="External"/><Relationship Id="rId39" Type="http://schemas.openxmlformats.org/officeDocument/2006/relationships/hyperlink" Target="https://dev.qtech.ru/browse/CPEQ-1023" TargetMode="External"/><Relationship Id="rId109" Type="http://schemas.openxmlformats.org/officeDocument/2006/relationships/hyperlink" Target="https://dev.qtech.ru/browse/CPEQ-848" TargetMode="External"/><Relationship Id="rId34" Type="http://schemas.openxmlformats.org/officeDocument/2006/relationships/hyperlink" Target="https://dev.qtech.ru/browse/CPEQ-1050" TargetMode="External"/><Relationship Id="rId50" Type="http://schemas.openxmlformats.org/officeDocument/2006/relationships/hyperlink" Target="https://dev.qtech.ru/browse/CPEQ-1016" TargetMode="External"/><Relationship Id="rId55" Type="http://schemas.openxmlformats.org/officeDocument/2006/relationships/hyperlink" Target="https://dev.qtech.ru/browse/CPEQ-1009" TargetMode="External"/><Relationship Id="rId76" Type="http://schemas.openxmlformats.org/officeDocument/2006/relationships/hyperlink" Target="https://dev.qtech.ru/browse/CPEQ-912" TargetMode="External"/><Relationship Id="rId97" Type="http://schemas.openxmlformats.org/officeDocument/2006/relationships/hyperlink" Target="https://dev.qtech.ru/browse/CPEQ-899" TargetMode="External"/><Relationship Id="rId104" Type="http://schemas.openxmlformats.org/officeDocument/2006/relationships/hyperlink" Target="https://dev.qtech.ru/browse/CPEQ-884" TargetMode="External"/><Relationship Id="rId120" Type="http://schemas.openxmlformats.org/officeDocument/2006/relationships/hyperlink" Target="https://dev.qtech.ru/browse/CPEQ-827" TargetMode="External"/><Relationship Id="rId125" Type="http://schemas.openxmlformats.org/officeDocument/2006/relationships/hyperlink" Target="https://dev.qtech.ru/browse/CPEQ-800" TargetMode="External"/><Relationship Id="rId7" Type="http://schemas.openxmlformats.org/officeDocument/2006/relationships/hyperlink" Target="https://dev.qtech.ru/browse/CPEQ-1077" TargetMode="External"/><Relationship Id="rId71" Type="http://schemas.openxmlformats.org/officeDocument/2006/relationships/hyperlink" Target="https://dev.qtech.ru/browse/CPEQ-977" TargetMode="External"/><Relationship Id="rId92" Type="http://schemas.openxmlformats.org/officeDocument/2006/relationships/hyperlink" Target="https://dev.qtech.ru/browse/CPEQ-908" TargetMode="External"/><Relationship Id="rId2" Type="http://schemas.openxmlformats.org/officeDocument/2006/relationships/hyperlink" Target="https://dev.qtech.ru/browse/CPEQ-1028" TargetMode="External"/><Relationship Id="rId29" Type="http://schemas.openxmlformats.org/officeDocument/2006/relationships/hyperlink" Target="https://dev.qtech.ru/browse/CPEQ-1059" TargetMode="External"/><Relationship Id="rId24" Type="http://schemas.openxmlformats.org/officeDocument/2006/relationships/hyperlink" Target="https://dev.qtech.ru/browse/CPEQ-1064" TargetMode="External"/><Relationship Id="rId40" Type="http://schemas.openxmlformats.org/officeDocument/2006/relationships/hyperlink" Target="https://dev.qtech.ru/browse/CPEQ-686" TargetMode="External"/><Relationship Id="rId45" Type="http://schemas.openxmlformats.org/officeDocument/2006/relationships/hyperlink" Target="https://dev.qtech.ru/browse/CPEQ-969" TargetMode="External"/><Relationship Id="rId66" Type="http://schemas.openxmlformats.org/officeDocument/2006/relationships/hyperlink" Target="https://dev.qtech.ru/browse/CPEQ-972" TargetMode="External"/><Relationship Id="rId87" Type="http://schemas.openxmlformats.org/officeDocument/2006/relationships/hyperlink" Target="https://dev.qtech.ru/browse/CPEQ-910" TargetMode="External"/><Relationship Id="rId110" Type="http://schemas.openxmlformats.org/officeDocument/2006/relationships/hyperlink" Target="https://dev.qtech.ru/browse/CPEQ-797" TargetMode="External"/><Relationship Id="rId115" Type="http://schemas.openxmlformats.org/officeDocument/2006/relationships/hyperlink" Target="https://dev.qtech.ru/browse/CPEQ-834" TargetMode="External"/><Relationship Id="rId61" Type="http://schemas.openxmlformats.org/officeDocument/2006/relationships/hyperlink" Target="https://dev.qtech.ru/browse/CPEQ-801" TargetMode="External"/><Relationship Id="rId82" Type="http://schemas.openxmlformats.org/officeDocument/2006/relationships/hyperlink" Target="https://dev.qtech.ru/browse/CPEQ-688" TargetMode="External"/><Relationship Id="rId19" Type="http://schemas.openxmlformats.org/officeDocument/2006/relationships/hyperlink" Target="https://dev.qtech.ru/browse/CPEQ-1063" TargetMode="External"/><Relationship Id="rId14" Type="http://schemas.openxmlformats.org/officeDocument/2006/relationships/hyperlink" Target="https://dev.qtech.ru/browse/CPEQ-1070" TargetMode="External"/><Relationship Id="rId30" Type="http://schemas.openxmlformats.org/officeDocument/2006/relationships/hyperlink" Target="https://dev.qtech.ru/browse/CPEQ-1057" TargetMode="External"/><Relationship Id="rId35" Type="http://schemas.openxmlformats.org/officeDocument/2006/relationships/hyperlink" Target="https://dev.qtech.ru/browse/CPEQ-941" TargetMode="External"/><Relationship Id="rId56" Type="http://schemas.openxmlformats.org/officeDocument/2006/relationships/hyperlink" Target="https://dev.qtech.ru/browse/CPEQ-1006" TargetMode="External"/><Relationship Id="rId77" Type="http://schemas.openxmlformats.org/officeDocument/2006/relationships/hyperlink" Target="https://dev.qtech.ru/browse/CPEQ-915" TargetMode="External"/><Relationship Id="rId100" Type="http://schemas.openxmlformats.org/officeDocument/2006/relationships/hyperlink" Target="https://dev.qtech.ru/browse/CPEQ-828" TargetMode="External"/><Relationship Id="rId105" Type="http://schemas.openxmlformats.org/officeDocument/2006/relationships/hyperlink" Target="https://dev.qtech.ru/browse/CPEQ-883" TargetMode="External"/><Relationship Id="rId8" Type="http://schemas.openxmlformats.org/officeDocument/2006/relationships/hyperlink" Target="https://dev.qtech.ru/browse/CPEQ-1073" TargetMode="External"/><Relationship Id="rId51" Type="http://schemas.openxmlformats.org/officeDocument/2006/relationships/hyperlink" Target="https://dev.qtech.ru/browse/CPEQ-1007" TargetMode="External"/><Relationship Id="rId72" Type="http://schemas.openxmlformats.org/officeDocument/2006/relationships/hyperlink" Target="https://dev.qtech.ru/browse/CPEQ-974" TargetMode="External"/><Relationship Id="rId93" Type="http://schemas.openxmlformats.org/officeDocument/2006/relationships/hyperlink" Target="https://dev.qtech.ru/browse/CPEQ-903" TargetMode="External"/><Relationship Id="rId98" Type="http://schemas.openxmlformats.org/officeDocument/2006/relationships/hyperlink" Target="https://dev.qtech.ru/browse/CPEQ-898" TargetMode="External"/><Relationship Id="rId121" Type="http://schemas.openxmlformats.org/officeDocument/2006/relationships/hyperlink" Target="https://dev.qtech.ru/browse/CPEQ-740" TargetMode="External"/><Relationship Id="rId3" Type="http://schemas.openxmlformats.org/officeDocument/2006/relationships/hyperlink" Target="https://dev.qtech.ru/browse/CPEQ-1082" TargetMode="External"/><Relationship Id="rId25" Type="http://schemas.openxmlformats.org/officeDocument/2006/relationships/hyperlink" Target="https://dev.qtech.ru/browse/CPEQ-924" TargetMode="External"/><Relationship Id="rId46" Type="http://schemas.openxmlformats.org/officeDocument/2006/relationships/hyperlink" Target="https://dev.qtech.ru/browse/CPEQ-1021" TargetMode="External"/><Relationship Id="rId67" Type="http://schemas.openxmlformats.org/officeDocument/2006/relationships/hyperlink" Target="https://dev.qtech.ru/browse/CPEQ-968" TargetMode="External"/><Relationship Id="rId116" Type="http://schemas.openxmlformats.org/officeDocument/2006/relationships/hyperlink" Target="https://dev.qtech.ru/browse/CPEQ-811" TargetMode="External"/><Relationship Id="rId20" Type="http://schemas.openxmlformats.org/officeDocument/2006/relationships/hyperlink" Target="https://dev.qtech.ru/browse/CPEQ-1055" TargetMode="External"/><Relationship Id="rId41" Type="http://schemas.openxmlformats.org/officeDocument/2006/relationships/hyperlink" Target="https://dev.qtech.ru/browse/CPEQ-984" TargetMode="External"/><Relationship Id="rId62" Type="http://schemas.openxmlformats.org/officeDocument/2006/relationships/hyperlink" Target="https://dev.qtech.ru/browse/CPEQ-672" TargetMode="External"/><Relationship Id="rId83" Type="http://schemas.openxmlformats.org/officeDocument/2006/relationships/hyperlink" Target="https://dev.qtech.ru/browse/CPEQ-676" TargetMode="External"/><Relationship Id="rId88" Type="http://schemas.openxmlformats.org/officeDocument/2006/relationships/hyperlink" Target="https://dev.qtech.ru/browse/CPEQ-911" TargetMode="External"/><Relationship Id="rId111" Type="http://schemas.openxmlformats.org/officeDocument/2006/relationships/hyperlink" Target="https://dev.qtech.ru/browse/CPEQ-845" TargetMode="External"/><Relationship Id="rId15" Type="http://schemas.openxmlformats.org/officeDocument/2006/relationships/hyperlink" Target="https://dev.qtech.ru/browse/CPEQ-824" TargetMode="External"/><Relationship Id="rId36" Type="http://schemas.openxmlformats.org/officeDocument/2006/relationships/hyperlink" Target="https://dev.qtech.ru/browse/CPEQ-973" TargetMode="External"/><Relationship Id="rId57" Type="http://schemas.openxmlformats.org/officeDocument/2006/relationships/hyperlink" Target="https://dev.qtech.ru/browse/CPEQ-1005" TargetMode="External"/><Relationship Id="rId106" Type="http://schemas.openxmlformats.org/officeDocument/2006/relationships/hyperlink" Target="https://dev.qtech.ru/browse/CPEQ-851" TargetMode="External"/><Relationship Id="rId10" Type="http://schemas.openxmlformats.org/officeDocument/2006/relationships/hyperlink" Target="https://dev.qtech.ru/browse/WRT-1" TargetMode="External"/><Relationship Id="rId31" Type="http://schemas.openxmlformats.org/officeDocument/2006/relationships/hyperlink" Target="https://dev.qtech.ru/browse/CPEQ-1058" TargetMode="External"/><Relationship Id="rId52" Type="http://schemas.openxmlformats.org/officeDocument/2006/relationships/hyperlink" Target="https://dev.qtech.ru/browse/CPEQ-582" TargetMode="External"/><Relationship Id="rId73" Type="http://schemas.openxmlformats.org/officeDocument/2006/relationships/hyperlink" Target="https://dev.qtech.ru/browse/CPEQ-971" TargetMode="External"/><Relationship Id="rId78" Type="http://schemas.openxmlformats.org/officeDocument/2006/relationships/hyperlink" Target="https://dev.qtech.ru/browse/CPEQ-917" TargetMode="External"/><Relationship Id="rId94" Type="http://schemas.openxmlformats.org/officeDocument/2006/relationships/hyperlink" Target="https://dev.qtech.ru/browse/CPEQ-896" TargetMode="External"/><Relationship Id="rId99" Type="http://schemas.openxmlformats.org/officeDocument/2006/relationships/hyperlink" Target="https://dev.qtech.ru/browse/CPEQ-895" TargetMode="External"/><Relationship Id="rId101" Type="http://schemas.openxmlformats.org/officeDocument/2006/relationships/hyperlink" Target="https://dev.qtech.ru/browse/CPEQ-875" TargetMode="External"/><Relationship Id="rId122" Type="http://schemas.openxmlformats.org/officeDocument/2006/relationships/hyperlink" Target="https://dev.qtech.ru/browse/CPEQ-809" TargetMode="External"/><Relationship Id="rId4" Type="http://schemas.openxmlformats.org/officeDocument/2006/relationships/hyperlink" Target="https://dev.qtech.ru/browse/CPEQ-1074" TargetMode="External"/><Relationship Id="rId9" Type="http://schemas.openxmlformats.org/officeDocument/2006/relationships/hyperlink" Target="https://dev.qtech.ru/browse/CPEQ-10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zoomScaleNormal="100" workbookViewId="0">
      <selection activeCell="F2" sqref="F2"/>
    </sheetView>
  </sheetViews>
  <sheetFormatPr defaultRowHeight="15" x14ac:dyDescent="0.25"/>
  <cols>
    <col min="1" max="1" width="17.28515625" style="1"/>
    <col min="2" max="2" width="0" style="1" hidden="1"/>
    <col min="3" max="3" width="20.85546875" style="1"/>
    <col min="4" max="4" width="23" style="1"/>
    <col min="5" max="5" width="20.85546875" style="1"/>
    <col min="6" max="6" width="15.28515625" style="2"/>
    <col min="7" max="7" width="0" style="1" hidden="1"/>
    <col min="8" max="8" width="10" style="2"/>
    <col min="9" max="9" width="11.85546875" style="3"/>
    <col min="10" max="13" width="0" style="4" hidden="1"/>
    <col min="14" max="17" width="0" style="5" hidden="1"/>
    <col min="18" max="21" width="0" style="6" hidden="1"/>
    <col min="22" max="22" width="13.7109375" style="2"/>
    <col min="23" max="23" width="17" style="2"/>
    <col min="24" max="24" width="16.85546875" style="2"/>
    <col min="25" max="25" width="22.28515625" style="2"/>
    <col min="26" max="1025" width="9.140625" style="2"/>
  </cols>
  <sheetData>
    <row r="1" spans="1:21" s="14" customFormat="1" ht="45.75" customHeight="1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8" t="s">
        <v>6</v>
      </c>
      <c r="H1" s="9" t="s">
        <v>7</v>
      </c>
      <c r="I1" s="10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 x14ac:dyDescent="0.25">
      <c r="A2" s="15"/>
      <c r="B2" s="15"/>
      <c r="C2" s="16"/>
      <c r="D2" s="16"/>
      <c r="E2" s="16"/>
      <c r="F2" s="17"/>
      <c r="G2" s="18"/>
      <c r="H2" s="19"/>
      <c r="I2" s="18"/>
      <c r="J2" s="4">
        <f>IF($I2="1 very high",Source!$B$17, 0)</f>
        <v>0</v>
      </c>
      <c r="K2" s="4">
        <f>IF($I2="2 high",Source!$B$18, 0)</f>
        <v>0</v>
      </c>
      <c r="L2" s="4">
        <f>IF($I2="3 normal",Source!$B$19, 0)</f>
        <v>0</v>
      </c>
      <c r="M2" s="4">
        <f>IF($I2="4 low",Source!$B$20, 0)</f>
        <v>0</v>
      </c>
      <c r="N2" s="5">
        <f>IF($I2="1 very high",F2, 0)</f>
        <v>0</v>
      </c>
      <c r="O2" s="5">
        <f>IF($I2="2 high",F2, 0)</f>
        <v>0</v>
      </c>
      <c r="P2" s="5">
        <f>IF($I2="3 normal",F2, 0)</f>
        <v>0</v>
      </c>
      <c r="Q2" s="5">
        <f>IF($I2="4 low",F2, 0)</f>
        <v>0</v>
      </c>
      <c r="R2" s="6">
        <f>IF($I2="1 very high",H2, 0)</f>
        <v>0</v>
      </c>
      <c r="S2" s="6">
        <f>IF($I2="2 high",H2, 0)</f>
        <v>0</v>
      </c>
      <c r="T2" s="6">
        <f>IF($I2="3 normal",H2, 0)</f>
        <v>0</v>
      </c>
      <c r="U2" s="6">
        <f>IF($I2="4 low",H2, 0)</f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25"/>
  <sheetViews>
    <sheetView topLeftCell="A62" zoomScaleNormal="100" workbookViewId="0">
      <selection activeCell="F94" sqref="F94"/>
    </sheetView>
  </sheetViews>
  <sheetFormatPr defaultRowHeight="15" x14ac:dyDescent="0.25"/>
  <cols>
    <col min="1" max="1" width="17.5703125" style="20"/>
    <col min="2" max="2" width="0" style="20" hidden="1"/>
    <col min="3" max="3" width="22.85546875" style="20"/>
    <col min="4" max="4" width="22.28515625" style="20"/>
    <col min="5" max="5" width="0" style="20" hidden="1"/>
    <col min="6" max="6" width="17.42578125" customWidth="1"/>
    <col min="7" max="7" width="11.28515625" style="3"/>
    <col min="8" max="8" width="0" style="21" hidden="1"/>
    <col min="9" max="9" width="0" style="22" hidden="1"/>
    <col min="10" max="12" width="0" style="23" hidden="1"/>
    <col min="13" max="17" width="0" style="24" hidden="1"/>
    <col min="18" max="18" width="13.7109375"/>
    <col min="19" max="19" width="22.28515625"/>
    <col min="20" max="1025" width="8.7109375"/>
  </cols>
  <sheetData>
    <row r="1" spans="1:1024" s="29" customFormat="1" ht="45.75" customHeight="1" x14ac:dyDescent="0.25">
      <c r="A1" s="159" t="s">
        <v>0</v>
      </c>
      <c r="B1" s="160" t="s">
        <v>1</v>
      </c>
      <c r="C1" s="160" t="s">
        <v>2</v>
      </c>
      <c r="D1" s="160" t="s">
        <v>3</v>
      </c>
      <c r="E1" s="160" t="s">
        <v>6</v>
      </c>
      <c r="F1" s="161" t="s">
        <v>7</v>
      </c>
      <c r="G1" s="162" t="s">
        <v>21</v>
      </c>
      <c r="H1" s="25" t="s">
        <v>22</v>
      </c>
      <c r="I1" s="26" t="s">
        <v>9</v>
      </c>
      <c r="J1" s="27" t="s">
        <v>10</v>
      </c>
      <c r="K1" s="27" t="s">
        <v>11</v>
      </c>
      <c r="L1" s="27" t="s">
        <v>12</v>
      </c>
      <c r="M1" s="28" t="s">
        <v>23</v>
      </c>
      <c r="N1" s="28" t="s">
        <v>17</v>
      </c>
      <c r="O1" s="28" t="s">
        <v>18</v>
      </c>
      <c r="P1" s="28" t="s">
        <v>19</v>
      </c>
      <c r="Q1" s="28" t="s">
        <v>20</v>
      </c>
      <c r="AMI1"/>
      <c r="AMJ1"/>
    </row>
    <row r="2" spans="1:1024" x14ac:dyDescent="0.25">
      <c r="A2" s="185" t="s">
        <v>129</v>
      </c>
      <c r="B2" s="163"/>
      <c r="C2" s="167">
        <v>42704.772916666669</v>
      </c>
      <c r="D2" s="167">
        <v>42746.915972222225</v>
      </c>
      <c r="E2" s="164"/>
      <c r="F2" s="163">
        <f>D2-C2</f>
        <v>42.143055555556202</v>
      </c>
      <c r="G2" s="168" t="s">
        <v>24</v>
      </c>
      <c r="H2" s="30">
        <f>IF($G2="Blocker",Source!$B$17, 0)</f>
        <v>5</v>
      </c>
      <c r="I2" s="31">
        <f>IF($G2="Critical",Source!$B$17, 0)</f>
        <v>0</v>
      </c>
      <c r="J2" s="32">
        <f>IF($G2="Major",Source!$B$18, 0)</f>
        <v>0</v>
      </c>
      <c r="K2" s="32">
        <f>IF($G2="Minor",Source!$B$19, 0)</f>
        <v>0</v>
      </c>
      <c r="L2" s="32">
        <f>IF($G2="Trivial",Source!$B$20, 0)</f>
        <v>0</v>
      </c>
      <c r="M2" s="33">
        <f t="shared" ref="M2:M33" si="0">IF($G2="Blocker",F2, 0)</f>
        <v>42.143055555556202</v>
      </c>
      <c r="N2" s="33">
        <f t="shared" ref="N2:N33" si="1">IF($G2="Critical",F2, 0)</f>
        <v>0</v>
      </c>
      <c r="O2" s="33">
        <f t="shared" ref="O2:O33" si="2">IF($G2="Major",F2, 0)</f>
        <v>0</v>
      </c>
      <c r="P2" s="33">
        <f t="shared" ref="P2:P33" si="3">IF($G2="Minor",F2, 0)</f>
        <v>0</v>
      </c>
      <c r="Q2" s="33">
        <f t="shared" ref="Q2:Q33" si="4">IF($G2="Trivial",F2, 0)</f>
        <v>0</v>
      </c>
    </row>
    <row r="3" spans="1:1024" x14ac:dyDescent="0.25">
      <c r="A3" s="185" t="s">
        <v>130</v>
      </c>
      <c r="B3" s="164"/>
      <c r="C3" s="167">
        <v>42732.664583333331</v>
      </c>
      <c r="D3" s="167">
        <v>42732.675694444442</v>
      </c>
      <c r="E3" s="164"/>
      <c r="F3" s="163">
        <f t="shared" ref="F3:F66" si="5">D3-C3</f>
        <v>1.1111111110949423E-2</v>
      </c>
      <c r="G3" s="168" t="s">
        <v>24</v>
      </c>
      <c r="H3" s="30">
        <f>IF($G3="Blocker",Source!$B$17, 0)</f>
        <v>5</v>
      </c>
      <c r="I3" s="31">
        <f>IF($G3="Critical",Source!$B$17, 0)</f>
        <v>0</v>
      </c>
      <c r="J3" s="32">
        <f>IF($G3="Major",Source!$B$18, 0)</f>
        <v>0</v>
      </c>
      <c r="K3" s="32">
        <f>IF($G3="Minor",Source!$B$19, 0)</f>
        <v>0</v>
      </c>
      <c r="L3" s="32">
        <f>IF($G3="Trivial",Source!$B$20, 0)</f>
        <v>0</v>
      </c>
      <c r="M3" s="33">
        <f t="shared" si="0"/>
        <v>1.1111111110949423E-2</v>
      </c>
      <c r="N3" s="33">
        <f t="shared" si="1"/>
        <v>0</v>
      </c>
      <c r="O3" s="33">
        <f t="shared" si="2"/>
        <v>0</v>
      </c>
      <c r="P3" s="33">
        <f t="shared" si="3"/>
        <v>0</v>
      </c>
      <c r="Q3" s="33">
        <f t="shared" si="4"/>
        <v>0</v>
      </c>
    </row>
    <row r="4" spans="1:1024" x14ac:dyDescent="0.25">
      <c r="A4" s="185" t="s">
        <v>131</v>
      </c>
      <c r="B4" s="158"/>
      <c r="C4" s="167">
        <v>42725.665972222225</v>
      </c>
      <c r="D4" s="167">
        <v>42726.644444444442</v>
      </c>
      <c r="E4" s="158"/>
      <c r="F4" s="163">
        <f t="shared" si="5"/>
        <v>0.97847222221753327</v>
      </c>
      <c r="G4" s="168" t="s">
        <v>24</v>
      </c>
      <c r="H4" s="30">
        <f>IF($G4="Blocker",Source!$B$17, 0)</f>
        <v>5</v>
      </c>
      <c r="I4" s="31">
        <f>IF($G4="Critical",Source!$B$17, 0)</f>
        <v>0</v>
      </c>
      <c r="J4" s="32">
        <f>IF($G4="Major",Source!$B$18, 0)</f>
        <v>0</v>
      </c>
      <c r="K4" s="32">
        <f>IF($G4="Minor",Source!$B$19, 0)</f>
        <v>0</v>
      </c>
      <c r="L4" s="32">
        <f>IF($G4="Trivial",Source!$B$20, 0)</f>
        <v>0</v>
      </c>
      <c r="M4" s="33">
        <f t="shared" si="0"/>
        <v>0.97847222221753327</v>
      </c>
      <c r="N4" s="33">
        <f t="shared" si="1"/>
        <v>0</v>
      </c>
      <c r="O4" s="33">
        <f t="shared" si="2"/>
        <v>0</v>
      </c>
      <c r="P4" s="33">
        <f t="shared" si="3"/>
        <v>0</v>
      </c>
      <c r="Q4" s="33">
        <f t="shared" si="4"/>
        <v>0</v>
      </c>
    </row>
    <row r="5" spans="1:1024" x14ac:dyDescent="0.25">
      <c r="A5" s="185" t="s">
        <v>132</v>
      </c>
      <c r="B5" s="157"/>
      <c r="C5" s="167">
        <v>42726.481249999997</v>
      </c>
      <c r="D5" s="167">
        <v>42726.643750000003</v>
      </c>
      <c r="E5" s="157"/>
      <c r="F5" s="163">
        <f t="shared" si="5"/>
        <v>0.16250000000582077</v>
      </c>
      <c r="G5" s="168" t="s">
        <v>24</v>
      </c>
      <c r="H5" s="30">
        <f>IF($G5="Blocker",Source!$B$17, 0)</f>
        <v>5</v>
      </c>
      <c r="I5" s="31">
        <f>IF($G5="Critical",Source!$B$17, 0)</f>
        <v>0</v>
      </c>
      <c r="J5" s="32">
        <f>IF($G5="Major",Source!$B$18, 0)</f>
        <v>0</v>
      </c>
      <c r="K5" s="32">
        <f>IF($G5="Minor",Source!$B$19, 0)</f>
        <v>0</v>
      </c>
      <c r="L5" s="32">
        <f>IF($G5="Trivial",Source!$B$20, 0)</f>
        <v>0</v>
      </c>
      <c r="M5" s="33">
        <f t="shared" si="0"/>
        <v>0.16250000000582077</v>
      </c>
      <c r="N5" s="33">
        <f t="shared" si="1"/>
        <v>0</v>
      </c>
      <c r="O5" s="33">
        <f t="shared" si="2"/>
        <v>0</v>
      </c>
      <c r="P5" s="33">
        <f t="shared" si="3"/>
        <v>0</v>
      </c>
      <c r="Q5" s="33">
        <f t="shared" si="4"/>
        <v>0</v>
      </c>
    </row>
    <row r="6" spans="1:1024" x14ac:dyDescent="0.25">
      <c r="A6" s="185" t="s">
        <v>133</v>
      </c>
      <c r="B6" s="157"/>
      <c r="C6" s="167">
        <v>42725.678472222222</v>
      </c>
      <c r="D6" s="167">
        <v>42726.461111111108</v>
      </c>
      <c r="E6" s="157"/>
      <c r="F6" s="163">
        <f t="shared" si="5"/>
        <v>0.78263888888614019</v>
      </c>
      <c r="G6" s="168" t="s">
        <v>24</v>
      </c>
      <c r="H6" s="30">
        <f>IF($G6="Blocker",Source!$B$17, 0)</f>
        <v>5</v>
      </c>
      <c r="I6" s="31">
        <f>IF($G6="Critical",Source!$B$17, 0)</f>
        <v>0</v>
      </c>
      <c r="J6" s="32">
        <f>IF($G6="Major",Source!$B$18, 0)</f>
        <v>0</v>
      </c>
      <c r="K6" s="32">
        <f>IF($G6="Minor",Source!$B$19, 0)</f>
        <v>0</v>
      </c>
      <c r="L6" s="32">
        <f>IF($G6="Trivial",Source!$B$20, 0)</f>
        <v>0</v>
      </c>
      <c r="M6" s="33">
        <f t="shared" si="0"/>
        <v>0.78263888888614019</v>
      </c>
      <c r="N6" s="33">
        <f t="shared" si="1"/>
        <v>0</v>
      </c>
      <c r="O6" s="33">
        <f t="shared" si="2"/>
        <v>0</v>
      </c>
      <c r="P6" s="33">
        <f t="shared" si="3"/>
        <v>0</v>
      </c>
      <c r="Q6" s="33">
        <f t="shared" si="4"/>
        <v>0</v>
      </c>
    </row>
    <row r="7" spans="1:1024" x14ac:dyDescent="0.25">
      <c r="A7" s="185" t="s">
        <v>134</v>
      </c>
      <c r="B7" s="157"/>
      <c r="C7" s="167">
        <v>42726.429166666669</v>
      </c>
      <c r="D7" s="167">
        <v>42726.444444444445</v>
      </c>
      <c r="E7" s="157"/>
      <c r="F7" s="163">
        <f t="shared" si="5"/>
        <v>1.5277777776645962E-2</v>
      </c>
      <c r="G7" s="168" t="s">
        <v>24</v>
      </c>
      <c r="H7" s="30">
        <f>IF($G7="Blocker",Source!$B$17, 0)</f>
        <v>5</v>
      </c>
      <c r="I7" s="31">
        <f>IF($G7="Critical",Source!$B$17, 0)</f>
        <v>0</v>
      </c>
      <c r="J7" s="32">
        <f>IF($G7="Major",Source!$B$18, 0)</f>
        <v>0</v>
      </c>
      <c r="K7" s="32">
        <f>IF($G7="Minor",Source!$B$19, 0)</f>
        <v>0</v>
      </c>
      <c r="L7" s="32">
        <f>IF($G7="Trivial",Source!$B$20, 0)</f>
        <v>0</v>
      </c>
      <c r="M7" s="33">
        <f t="shared" si="0"/>
        <v>1.5277777776645962E-2</v>
      </c>
      <c r="N7" s="33">
        <f t="shared" si="1"/>
        <v>0</v>
      </c>
      <c r="O7" s="33">
        <f t="shared" si="2"/>
        <v>0</v>
      </c>
      <c r="P7" s="33">
        <f t="shared" si="3"/>
        <v>0</v>
      </c>
      <c r="Q7" s="33">
        <f t="shared" si="4"/>
        <v>0</v>
      </c>
    </row>
    <row r="8" spans="1:1024" x14ac:dyDescent="0.25">
      <c r="A8" s="185" t="s">
        <v>135</v>
      </c>
      <c r="B8" s="157"/>
      <c r="C8" s="167">
        <v>42725.499305555553</v>
      </c>
      <c r="D8" s="167">
        <v>42725.644444444442</v>
      </c>
      <c r="E8" s="157"/>
      <c r="F8" s="163">
        <f t="shared" si="5"/>
        <v>0.14513888888905058</v>
      </c>
      <c r="G8" s="168" t="s">
        <v>24</v>
      </c>
      <c r="H8" s="30">
        <f>IF($G8="Blocker",Source!$B$17, 0)</f>
        <v>5</v>
      </c>
      <c r="I8" s="31">
        <f>IF($G8="Critical",Source!$B$17, 0)</f>
        <v>0</v>
      </c>
      <c r="J8" s="32">
        <f>IF($G8="Major",Source!$B$18, 0)</f>
        <v>0</v>
      </c>
      <c r="K8" s="32">
        <f>IF($G8="Minor",Source!$B$19, 0)</f>
        <v>0</v>
      </c>
      <c r="L8" s="32">
        <f>IF($G8="Trivial",Source!$B$20, 0)</f>
        <v>0</v>
      </c>
      <c r="M8" s="33">
        <f t="shared" si="0"/>
        <v>0.14513888888905058</v>
      </c>
      <c r="N8" s="33">
        <f t="shared" si="1"/>
        <v>0</v>
      </c>
      <c r="O8" s="33">
        <f t="shared" si="2"/>
        <v>0</v>
      </c>
      <c r="P8" s="33">
        <f t="shared" si="3"/>
        <v>0</v>
      </c>
      <c r="Q8" s="33">
        <f t="shared" si="4"/>
        <v>0</v>
      </c>
    </row>
    <row r="9" spans="1:1024" x14ac:dyDescent="0.25">
      <c r="A9" s="185" t="s">
        <v>136</v>
      </c>
      <c r="B9" s="157"/>
      <c r="C9" s="167">
        <v>42725.418749999997</v>
      </c>
      <c r="D9" s="167">
        <v>42725.53125</v>
      </c>
      <c r="E9" s="157"/>
      <c r="F9" s="163">
        <f t="shared" si="5"/>
        <v>0.11250000000291038</v>
      </c>
      <c r="G9" s="168" t="s">
        <v>24</v>
      </c>
      <c r="H9" s="30">
        <f>IF($G9="Blocker",Source!$B$17, 0)</f>
        <v>5</v>
      </c>
      <c r="I9" s="31">
        <f>IF($G9="Critical",Source!$B$17, 0)</f>
        <v>0</v>
      </c>
      <c r="J9" s="32">
        <f>IF($G9="Major",Source!$B$18, 0)</f>
        <v>0</v>
      </c>
      <c r="K9" s="32">
        <f>IF($G9="Minor",Source!$B$19, 0)</f>
        <v>0</v>
      </c>
      <c r="L9" s="32">
        <f>IF($G9="Trivial",Source!$B$20, 0)</f>
        <v>0</v>
      </c>
      <c r="M9" s="33">
        <f t="shared" si="0"/>
        <v>0.11250000000291038</v>
      </c>
      <c r="N9" s="33">
        <f t="shared" si="1"/>
        <v>0</v>
      </c>
      <c r="O9" s="33">
        <f t="shared" si="2"/>
        <v>0</v>
      </c>
      <c r="P9" s="33">
        <f t="shared" si="3"/>
        <v>0</v>
      </c>
      <c r="Q9" s="33">
        <f t="shared" si="4"/>
        <v>0</v>
      </c>
    </row>
    <row r="10" spans="1:1024" x14ac:dyDescent="0.25">
      <c r="A10" s="185" t="s">
        <v>137</v>
      </c>
      <c r="B10" s="157"/>
      <c r="C10" s="167">
        <v>42577.601388888892</v>
      </c>
      <c r="D10" s="167">
        <v>42725.527083333334</v>
      </c>
      <c r="E10" s="165"/>
      <c r="F10" s="163">
        <f t="shared" si="5"/>
        <v>147.92569444444234</v>
      </c>
      <c r="G10" s="168" t="s">
        <v>27</v>
      </c>
      <c r="H10" s="30">
        <f>IF($G10="Blocker",Source!$B$17, 0)</f>
        <v>0</v>
      </c>
      <c r="I10" s="31">
        <f>IF($G10="Critical",Source!$B$17, 0)</f>
        <v>0</v>
      </c>
      <c r="J10" s="32">
        <f>IF($G10="Major",Source!$B$18, 0)</f>
        <v>3</v>
      </c>
      <c r="K10" s="32">
        <f>IF($G10="Minor",Source!$B$19, 0)</f>
        <v>0</v>
      </c>
      <c r="L10" s="32">
        <f>IF($G10="Trivial",Source!$B$20, 0)</f>
        <v>0</v>
      </c>
      <c r="M10" s="33">
        <f t="shared" si="0"/>
        <v>0</v>
      </c>
      <c r="N10" s="33">
        <f t="shared" si="1"/>
        <v>0</v>
      </c>
      <c r="O10" s="33">
        <f t="shared" si="2"/>
        <v>147.92569444444234</v>
      </c>
      <c r="P10" s="33">
        <f t="shared" si="3"/>
        <v>0</v>
      </c>
      <c r="Q10" s="33">
        <f t="shared" si="4"/>
        <v>0</v>
      </c>
    </row>
    <row r="11" spans="1:1024" x14ac:dyDescent="0.25">
      <c r="A11" s="185" t="s">
        <v>138</v>
      </c>
      <c r="B11" s="157"/>
      <c r="C11" s="167">
        <v>42720.634027777778</v>
      </c>
      <c r="D11" s="167">
        <v>42725.498611111114</v>
      </c>
      <c r="E11" s="165"/>
      <c r="F11" s="163">
        <f t="shared" si="5"/>
        <v>4.8645833333357587</v>
      </c>
      <c r="G11" s="168" t="s">
        <v>24</v>
      </c>
      <c r="H11" s="30">
        <f>IF($G11="Blocker",Source!$B$17, 0)</f>
        <v>5</v>
      </c>
      <c r="I11" s="31">
        <f>IF($G11="Critical",Source!$B$17, 0)</f>
        <v>0</v>
      </c>
      <c r="J11" s="32">
        <f>IF($G11="Major",Source!$B$18, 0)</f>
        <v>0</v>
      </c>
      <c r="K11" s="32">
        <f>IF($G11="Minor",Source!$B$19, 0)</f>
        <v>0</v>
      </c>
      <c r="L11" s="32">
        <f>IF($G11="Trivial",Source!$B$20, 0)</f>
        <v>0</v>
      </c>
      <c r="M11" s="33">
        <f t="shared" si="0"/>
        <v>4.8645833333357587</v>
      </c>
      <c r="N11" s="33">
        <f t="shared" si="1"/>
        <v>0</v>
      </c>
      <c r="O11" s="33">
        <f t="shared" si="2"/>
        <v>0</v>
      </c>
      <c r="P11" s="33">
        <f t="shared" si="3"/>
        <v>0</v>
      </c>
      <c r="Q11" s="33">
        <f t="shared" si="4"/>
        <v>0</v>
      </c>
    </row>
    <row r="12" spans="1:1024" x14ac:dyDescent="0.25">
      <c r="A12" s="185" t="s">
        <v>139</v>
      </c>
      <c r="B12" s="157"/>
      <c r="C12" s="167">
        <v>42719.682638888888</v>
      </c>
      <c r="D12" s="167">
        <v>42725.470833333333</v>
      </c>
      <c r="E12" s="165"/>
      <c r="F12" s="163">
        <f t="shared" si="5"/>
        <v>5.7881944444452529</v>
      </c>
      <c r="G12" s="168" t="s">
        <v>24</v>
      </c>
      <c r="H12" s="30">
        <f>IF($G12="Blocker",Source!$B$17, 0)</f>
        <v>5</v>
      </c>
      <c r="I12" s="31">
        <f>IF($G12="Critical",Source!$B$17, 0)</f>
        <v>0</v>
      </c>
      <c r="J12" s="32">
        <f>IF($G12="Major",Source!$B$18, 0)</f>
        <v>0</v>
      </c>
      <c r="K12" s="32">
        <f>IF($G12="Minor",Source!$B$19, 0)</f>
        <v>0</v>
      </c>
      <c r="L12" s="32">
        <f>IF($G12="Trivial",Source!$B$20, 0)</f>
        <v>0</v>
      </c>
      <c r="M12" s="33">
        <f t="shared" si="0"/>
        <v>5.7881944444452529</v>
      </c>
      <c r="N12" s="33">
        <f t="shared" si="1"/>
        <v>0</v>
      </c>
      <c r="O12" s="33">
        <f t="shared" si="2"/>
        <v>0</v>
      </c>
      <c r="P12" s="33">
        <f t="shared" si="3"/>
        <v>0</v>
      </c>
      <c r="Q12" s="33">
        <f t="shared" si="4"/>
        <v>0</v>
      </c>
    </row>
    <row r="13" spans="1:1024" x14ac:dyDescent="0.25">
      <c r="A13" s="185" t="s">
        <v>140</v>
      </c>
      <c r="B13" s="157"/>
      <c r="C13" s="167">
        <v>42724.63958333333</v>
      </c>
      <c r="D13" s="167">
        <v>42724.698611111111</v>
      </c>
      <c r="E13" s="165"/>
      <c r="F13" s="163">
        <f t="shared" si="5"/>
        <v>5.9027777781011537E-2</v>
      </c>
      <c r="G13" s="168" t="s">
        <v>24</v>
      </c>
      <c r="H13" s="30">
        <f>IF($G13="Blocker",Source!$B$17, 0)</f>
        <v>5</v>
      </c>
      <c r="I13" s="31">
        <f>IF($G13="Critical",Source!$B$17, 0)</f>
        <v>0</v>
      </c>
      <c r="J13" s="32">
        <f>IF($G13="Major",Source!$B$18, 0)</f>
        <v>0</v>
      </c>
      <c r="K13" s="32">
        <f>IF($G13="Minor",Source!$B$19, 0)</f>
        <v>0</v>
      </c>
      <c r="L13" s="32">
        <f>IF($G13="Trivial",Source!$B$20, 0)</f>
        <v>0</v>
      </c>
      <c r="M13" s="33">
        <f t="shared" si="0"/>
        <v>5.9027777781011537E-2</v>
      </c>
      <c r="N13" s="33">
        <f t="shared" si="1"/>
        <v>0</v>
      </c>
      <c r="O13" s="33">
        <f t="shared" si="2"/>
        <v>0</v>
      </c>
      <c r="P13" s="33">
        <f t="shared" si="3"/>
        <v>0</v>
      </c>
      <c r="Q13" s="33">
        <f t="shared" si="4"/>
        <v>0</v>
      </c>
    </row>
    <row r="14" spans="1:1024" x14ac:dyDescent="0.25">
      <c r="A14" s="185" t="s">
        <v>141</v>
      </c>
      <c r="B14" s="157"/>
      <c r="C14" s="167">
        <v>42724.572916666664</v>
      </c>
      <c r="D14" s="167">
        <v>42724.63958333333</v>
      </c>
      <c r="E14" s="165"/>
      <c r="F14" s="163">
        <f t="shared" si="5"/>
        <v>6.6666666665696539E-2</v>
      </c>
      <c r="G14" s="168" t="s">
        <v>24</v>
      </c>
      <c r="H14" s="30">
        <f>IF($G14="Blocker",Source!$B$17, 0)</f>
        <v>5</v>
      </c>
      <c r="I14" s="31">
        <f>IF($G14="Critical",Source!$B$17, 0)</f>
        <v>0</v>
      </c>
      <c r="J14" s="32">
        <f>IF($G14="Major",Source!$B$18, 0)</f>
        <v>0</v>
      </c>
      <c r="K14" s="32">
        <f>IF($G14="Minor",Source!$B$19, 0)</f>
        <v>0</v>
      </c>
      <c r="L14" s="32">
        <f>IF($G14="Trivial",Source!$B$20, 0)</f>
        <v>0</v>
      </c>
      <c r="M14" s="33">
        <f t="shared" si="0"/>
        <v>6.6666666665696539E-2</v>
      </c>
      <c r="N14" s="33">
        <f t="shared" si="1"/>
        <v>0</v>
      </c>
      <c r="O14" s="33">
        <f t="shared" si="2"/>
        <v>0</v>
      </c>
      <c r="P14" s="33">
        <f t="shared" si="3"/>
        <v>0</v>
      </c>
      <c r="Q14" s="33">
        <f t="shared" si="4"/>
        <v>0</v>
      </c>
    </row>
    <row r="15" spans="1:1024" x14ac:dyDescent="0.25">
      <c r="A15" s="185" t="s">
        <v>142</v>
      </c>
      <c r="B15" s="157"/>
      <c r="C15" s="167">
        <v>42649.425694444442</v>
      </c>
      <c r="D15" s="167">
        <v>42724.555555555555</v>
      </c>
      <c r="E15" s="165"/>
      <c r="F15" s="163">
        <f t="shared" si="5"/>
        <v>75.129861111112405</v>
      </c>
      <c r="G15" s="168" t="s">
        <v>24</v>
      </c>
      <c r="H15" s="30">
        <f>IF($G15="Blocker",Source!$B$17, 0)</f>
        <v>5</v>
      </c>
      <c r="I15" s="31">
        <f>IF($G15="Critical",Source!$B$17, 0)</f>
        <v>0</v>
      </c>
      <c r="J15" s="32">
        <f>IF($G15="Major",Source!$B$18, 0)</f>
        <v>0</v>
      </c>
      <c r="K15" s="32">
        <f>IF($G15="Minor",Source!$B$19, 0)</f>
        <v>0</v>
      </c>
      <c r="L15" s="32">
        <f>IF($G15="Trivial",Source!$B$20, 0)</f>
        <v>0</v>
      </c>
      <c r="M15" s="33">
        <f t="shared" si="0"/>
        <v>75.129861111112405</v>
      </c>
      <c r="N15" s="33">
        <f t="shared" si="1"/>
        <v>0</v>
      </c>
      <c r="O15" s="33">
        <f t="shared" si="2"/>
        <v>0</v>
      </c>
      <c r="P15" s="33">
        <f t="shared" si="3"/>
        <v>0</v>
      </c>
      <c r="Q15" s="33">
        <f t="shared" si="4"/>
        <v>0</v>
      </c>
    </row>
    <row r="16" spans="1:1024" x14ac:dyDescent="0.25">
      <c r="A16" s="185" t="s">
        <v>143</v>
      </c>
      <c r="B16" s="157"/>
      <c r="C16" s="167">
        <v>42724.400694444441</v>
      </c>
      <c r="D16" s="167">
        <v>42724.527777777781</v>
      </c>
      <c r="E16" s="165"/>
      <c r="F16" s="163">
        <f t="shared" si="5"/>
        <v>0.12708333334012423</v>
      </c>
      <c r="G16" s="168" t="s">
        <v>24</v>
      </c>
      <c r="H16" s="30">
        <f>IF($G16="Blocker",Source!$B$17, 0)</f>
        <v>5</v>
      </c>
      <c r="I16" s="31">
        <f>IF($G16="Critical",Source!$B$17, 0)</f>
        <v>0</v>
      </c>
      <c r="J16" s="32">
        <f>IF($G16="Major",Source!$B$18, 0)</f>
        <v>0</v>
      </c>
      <c r="K16" s="32">
        <f>IF($G16="Minor",Source!$B$19, 0)</f>
        <v>0</v>
      </c>
      <c r="L16" s="32">
        <f>IF($G16="Trivial",Source!$B$20, 0)</f>
        <v>0</v>
      </c>
      <c r="M16" s="33">
        <f t="shared" si="0"/>
        <v>0.12708333334012423</v>
      </c>
      <c r="N16" s="33">
        <f t="shared" si="1"/>
        <v>0</v>
      </c>
      <c r="O16" s="33">
        <f t="shared" si="2"/>
        <v>0</v>
      </c>
      <c r="P16" s="33">
        <f t="shared" si="3"/>
        <v>0</v>
      </c>
      <c r="Q16" s="33">
        <f t="shared" si="4"/>
        <v>0</v>
      </c>
    </row>
    <row r="17" spans="1:17" x14ac:dyDescent="0.25">
      <c r="A17" s="185" t="s">
        <v>144</v>
      </c>
      <c r="B17" s="157"/>
      <c r="C17" s="167">
        <v>42719.625694444447</v>
      </c>
      <c r="D17" s="167">
        <v>42723.538194444445</v>
      </c>
      <c r="E17" s="165"/>
      <c r="F17" s="163">
        <f t="shared" si="5"/>
        <v>3.9124999999985448</v>
      </c>
      <c r="G17" s="168" t="s">
        <v>24</v>
      </c>
      <c r="H17" s="30">
        <f>IF($G17="Blocker",Source!$B$17, 0)</f>
        <v>5</v>
      </c>
      <c r="I17" s="31">
        <f>IF($G17="Critical",Source!$B$17, 0)</f>
        <v>0</v>
      </c>
      <c r="J17" s="32">
        <f>IF($G17="Major",Source!$B$18, 0)</f>
        <v>0</v>
      </c>
      <c r="K17" s="32">
        <f>IF($G17="Minor",Source!$B$19, 0)</f>
        <v>0</v>
      </c>
      <c r="L17" s="32">
        <f>IF($G17="Trivial",Source!$B$20, 0)</f>
        <v>0</v>
      </c>
      <c r="M17" s="33">
        <f t="shared" si="0"/>
        <v>3.9124999999985448</v>
      </c>
      <c r="N17" s="33">
        <f t="shared" si="1"/>
        <v>0</v>
      </c>
      <c r="O17" s="33">
        <f t="shared" si="2"/>
        <v>0</v>
      </c>
      <c r="P17" s="33">
        <f t="shared" si="3"/>
        <v>0</v>
      </c>
      <c r="Q17" s="33">
        <f t="shared" si="4"/>
        <v>0</v>
      </c>
    </row>
    <row r="18" spans="1:17" x14ac:dyDescent="0.25">
      <c r="A18" s="185" t="s">
        <v>145</v>
      </c>
      <c r="B18" s="157"/>
      <c r="C18" s="167">
        <v>42720.606249999997</v>
      </c>
      <c r="D18" s="167">
        <v>42723.49722222222</v>
      </c>
      <c r="E18" s="165"/>
      <c r="F18" s="163">
        <f t="shared" si="5"/>
        <v>2.890972222223354</v>
      </c>
      <c r="G18" s="168" t="s">
        <v>24</v>
      </c>
      <c r="H18" s="30">
        <f>IF($G18="Blocker",Source!$B$17, 0)</f>
        <v>5</v>
      </c>
      <c r="I18" s="31">
        <f>IF($G18="Critical",Source!$B$17, 0)</f>
        <v>0</v>
      </c>
      <c r="J18" s="32">
        <f>IF($G18="Major",Source!$B$18, 0)</f>
        <v>0</v>
      </c>
      <c r="K18" s="32">
        <f>IF($G18="Minor",Source!$B$19, 0)</f>
        <v>0</v>
      </c>
      <c r="L18" s="32">
        <f>IF($G18="Trivial",Source!$B$20, 0)</f>
        <v>0</v>
      </c>
      <c r="M18" s="33">
        <f t="shared" si="0"/>
        <v>2.890972222223354</v>
      </c>
      <c r="N18" s="33">
        <f t="shared" si="1"/>
        <v>0</v>
      </c>
      <c r="O18" s="33">
        <f t="shared" si="2"/>
        <v>0</v>
      </c>
      <c r="P18" s="33">
        <f t="shared" si="3"/>
        <v>0</v>
      </c>
      <c r="Q18" s="33">
        <f t="shared" si="4"/>
        <v>0</v>
      </c>
    </row>
    <row r="19" spans="1:17" x14ac:dyDescent="0.25">
      <c r="A19" s="185" t="s">
        <v>146</v>
      </c>
      <c r="B19" s="157"/>
      <c r="C19" s="167">
        <v>42720.479861111111</v>
      </c>
      <c r="D19" s="167">
        <v>42720.756249999999</v>
      </c>
      <c r="E19" s="165"/>
      <c r="F19" s="163">
        <f t="shared" si="5"/>
        <v>0.27638888888759539</v>
      </c>
      <c r="G19" s="168" t="s">
        <v>24</v>
      </c>
      <c r="H19" s="30">
        <f>IF($G19="Blocker",Source!$B$17, 0)</f>
        <v>5</v>
      </c>
      <c r="I19" s="31">
        <f>IF($G19="Critical",Source!$B$17, 0)</f>
        <v>0</v>
      </c>
      <c r="J19" s="32">
        <f>IF($G19="Major",Source!$B$18, 0)</f>
        <v>0</v>
      </c>
      <c r="K19" s="32">
        <f>IF($G19="Minor",Source!$B$19, 0)</f>
        <v>0</v>
      </c>
      <c r="L19" s="32">
        <f>IF($G19="Trivial",Source!$B$20, 0)</f>
        <v>0</v>
      </c>
      <c r="M19" s="33">
        <f t="shared" si="0"/>
        <v>0.27638888888759539</v>
      </c>
      <c r="N19" s="33">
        <f t="shared" si="1"/>
        <v>0</v>
      </c>
      <c r="O19" s="33">
        <f t="shared" si="2"/>
        <v>0</v>
      </c>
      <c r="P19" s="33">
        <f t="shared" si="3"/>
        <v>0</v>
      </c>
      <c r="Q19" s="33">
        <f t="shared" si="4"/>
        <v>0</v>
      </c>
    </row>
    <row r="20" spans="1:17" ht="15.75" thickBot="1" x14ac:dyDescent="0.3">
      <c r="A20" s="185" t="s">
        <v>147</v>
      </c>
      <c r="B20" s="166"/>
      <c r="C20" s="167">
        <v>42719.447222222225</v>
      </c>
      <c r="D20" s="167">
        <v>42720.756249999999</v>
      </c>
      <c r="E20" s="165"/>
      <c r="F20" s="163">
        <f t="shared" si="5"/>
        <v>1.3090277777737356</v>
      </c>
      <c r="G20" s="168" t="s">
        <v>24</v>
      </c>
      <c r="H20" s="30">
        <f>IF($G20="Blocker",Source!$B$17, 0)</f>
        <v>5</v>
      </c>
      <c r="I20" s="31">
        <f>IF($G20="Critical",Source!$B$17, 0)</f>
        <v>0</v>
      </c>
      <c r="J20" s="32">
        <f>IF($G20="Major",Source!$B$18, 0)</f>
        <v>0</v>
      </c>
      <c r="K20" s="32">
        <f>IF($G20="Minor",Source!$B$19, 0)</f>
        <v>0</v>
      </c>
      <c r="L20" s="32">
        <f>IF($G20="Trivial",Source!$B$20, 0)</f>
        <v>0</v>
      </c>
      <c r="M20" s="33">
        <f t="shared" si="0"/>
        <v>1.3090277777737356</v>
      </c>
      <c r="N20" s="33">
        <f t="shared" si="1"/>
        <v>0</v>
      </c>
      <c r="O20" s="33">
        <f t="shared" si="2"/>
        <v>0</v>
      </c>
      <c r="P20" s="33">
        <f t="shared" si="3"/>
        <v>0</v>
      </c>
      <c r="Q20" s="33">
        <f t="shared" si="4"/>
        <v>0</v>
      </c>
    </row>
    <row r="21" spans="1:17" x14ac:dyDescent="0.25">
      <c r="A21" s="185" t="s">
        <v>148</v>
      </c>
      <c r="B21" s="157"/>
      <c r="C21" s="167">
        <v>42720.70416666667</v>
      </c>
      <c r="D21" s="167">
        <v>42720.749305555553</v>
      </c>
      <c r="E21" s="165"/>
      <c r="F21" s="163">
        <f t="shared" si="5"/>
        <v>4.5138888883229811E-2</v>
      </c>
      <c r="G21" s="168" t="s">
        <v>24</v>
      </c>
      <c r="H21" s="30">
        <f>IF($G21="Blocker",Source!$B$17, 0)</f>
        <v>5</v>
      </c>
      <c r="I21" s="31">
        <f>IF($G21="Critical",Source!$B$17, 0)</f>
        <v>0</v>
      </c>
      <c r="J21" s="32">
        <f>IF($G21="Major",Source!$B$18, 0)</f>
        <v>0</v>
      </c>
      <c r="K21" s="32">
        <f>IF($G21="Minor",Source!$B$19, 0)</f>
        <v>0</v>
      </c>
      <c r="L21" s="32">
        <f>IF($G21="Trivial",Source!$B$20, 0)</f>
        <v>0</v>
      </c>
      <c r="M21" s="33">
        <f t="shared" si="0"/>
        <v>4.5138888883229811E-2</v>
      </c>
      <c r="N21" s="33">
        <f t="shared" si="1"/>
        <v>0</v>
      </c>
      <c r="O21" s="33">
        <f t="shared" si="2"/>
        <v>0</v>
      </c>
      <c r="P21" s="33">
        <f t="shared" si="3"/>
        <v>0</v>
      </c>
      <c r="Q21" s="33">
        <f t="shared" si="4"/>
        <v>0</v>
      </c>
    </row>
    <row r="22" spans="1:17" x14ac:dyDescent="0.25">
      <c r="A22" s="185" t="s">
        <v>149</v>
      </c>
      <c r="B22" s="157"/>
      <c r="C22" s="167">
        <v>42685.574305555558</v>
      </c>
      <c r="D22" s="167">
        <v>42720.652777777781</v>
      </c>
      <c r="E22" s="165"/>
      <c r="F22" s="163">
        <f t="shared" si="5"/>
        <v>35.078472222223354</v>
      </c>
      <c r="G22" s="168" t="s">
        <v>24</v>
      </c>
      <c r="H22" s="30">
        <f>IF($G22="Blocker",Source!$B$17, 0)</f>
        <v>5</v>
      </c>
      <c r="I22" s="31">
        <f>IF($G22="Critical",Source!$B$17, 0)</f>
        <v>0</v>
      </c>
      <c r="J22" s="32">
        <f>IF($G22="Major",Source!$B$18, 0)</f>
        <v>0</v>
      </c>
      <c r="K22" s="32">
        <f>IF($G22="Minor",Source!$B$19, 0)</f>
        <v>0</v>
      </c>
      <c r="L22" s="32">
        <f>IF($G22="Trivial",Source!$B$20, 0)</f>
        <v>0</v>
      </c>
      <c r="M22" s="33">
        <f t="shared" si="0"/>
        <v>35.078472222223354</v>
      </c>
      <c r="N22" s="33">
        <f t="shared" si="1"/>
        <v>0</v>
      </c>
      <c r="O22" s="33">
        <f t="shared" si="2"/>
        <v>0</v>
      </c>
      <c r="P22" s="33">
        <f t="shared" si="3"/>
        <v>0</v>
      </c>
      <c r="Q22" s="33">
        <f t="shared" si="4"/>
        <v>0</v>
      </c>
    </row>
    <row r="23" spans="1:17" x14ac:dyDescent="0.25">
      <c r="A23" s="185" t="s">
        <v>150</v>
      </c>
      <c r="B23" s="157"/>
      <c r="C23" s="167">
        <v>42671.711111111108</v>
      </c>
      <c r="D23" s="167">
        <v>42720.652083333334</v>
      </c>
      <c r="E23" s="165"/>
      <c r="F23" s="163">
        <f t="shared" si="5"/>
        <v>48.940972222226264</v>
      </c>
      <c r="G23" s="168" t="s">
        <v>24</v>
      </c>
      <c r="H23" s="30">
        <f>IF($G23="Blocker",Source!$B$17, 0)</f>
        <v>5</v>
      </c>
      <c r="I23" s="31">
        <f>IF($G23="Critical",Source!$B$17, 0)</f>
        <v>0</v>
      </c>
      <c r="J23" s="32">
        <f>IF($G23="Major",Source!$B$18, 0)</f>
        <v>0</v>
      </c>
      <c r="K23" s="32">
        <f>IF($G23="Minor",Source!$B$19, 0)</f>
        <v>0</v>
      </c>
      <c r="L23" s="32">
        <f>IF($G23="Trivial",Source!$B$20, 0)</f>
        <v>0</v>
      </c>
      <c r="M23" s="33">
        <f t="shared" si="0"/>
        <v>48.940972222226264</v>
      </c>
      <c r="N23" s="33">
        <f t="shared" si="1"/>
        <v>0</v>
      </c>
      <c r="O23" s="33">
        <f t="shared" si="2"/>
        <v>0</v>
      </c>
      <c r="P23" s="33">
        <f t="shared" si="3"/>
        <v>0</v>
      </c>
      <c r="Q23" s="33">
        <f t="shared" si="4"/>
        <v>0</v>
      </c>
    </row>
    <row r="24" spans="1:17" x14ac:dyDescent="0.25">
      <c r="A24" s="185" t="s">
        <v>151</v>
      </c>
      <c r="B24" s="157"/>
      <c r="C24" s="167">
        <v>42720.578472222223</v>
      </c>
      <c r="D24" s="167">
        <v>42720.652083333334</v>
      </c>
      <c r="E24" s="165"/>
      <c r="F24" s="163">
        <f t="shared" si="5"/>
        <v>7.3611111110949423E-2</v>
      </c>
      <c r="G24" s="168" t="s">
        <v>24</v>
      </c>
      <c r="H24" s="30">
        <f>IF($G24="Blocker",Source!$B$17, 0)</f>
        <v>5</v>
      </c>
      <c r="I24" s="31">
        <f>IF($G24="Critical",Source!$B$17, 0)</f>
        <v>0</v>
      </c>
      <c r="J24" s="32">
        <f>IF($G24="Major",Source!$B$18, 0)</f>
        <v>0</v>
      </c>
      <c r="K24" s="32">
        <f>IF($G24="Minor",Source!$B$19, 0)</f>
        <v>0</v>
      </c>
      <c r="L24" s="32">
        <f>IF($G24="Trivial",Source!$B$20, 0)</f>
        <v>0</v>
      </c>
      <c r="M24" s="33">
        <f t="shared" si="0"/>
        <v>7.3611111110949423E-2</v>
      </c>
      <c r="N24" s="33">
        <f t="shared" si="1"/>
        <v>0</v>
      </c>
      <c r="O24" s="33">
        <f t="shared" si="2"/>
        <v>0</v>
      </c>
      <c r="P24" s="33">
        <f t="shared" si="3"/>
        <v>0</v>
      </c>
      <c r="Q24" s="33">
        <f t="shared" si="4"/>
        <v>0</v>
      </c>
    </row>
    <row r="25" spans="1:17" x14ac:dyDescent="0.25">
      <c r="A25" s="185" t="s">
        <v>152</v>
      </c>
      <c r="B25" s="157"/>
      <c r="C25" s="167">
        <v>42682.507638888892</v>
      </c>
      <c r="D25" s="167">
        <v>42720.634027777778</v>
      </c>
      <c r="E25" s="157"/>
      <c r="F25" s="163">
        <f t="shared" si="5"/>
        <v>38.12638888888614</v>
      </c>
      <c r="G25" s="168" t="s">
        <v>24</v>
      </c>
      <c r="H25" s="30">
        <f>IF($G25="Blocker",Source!$B$17, 0)</f>
        <v>5</v>
      </c>
      <c r="I25" s="31">
        <f>IF($G25="Critical",Source!$B$17, 0)</f>
        <v>0</v>
      </c>
      <c r="J25" s="32">
        <f>IF($G25="Major",Source!$B$18, 0)</f>
        <v>0</v>
      </c>
      <c r="K25" s="32">
        <f>IF($G25="Minor",Source!$B$19, 0)</f>
        <v>0</v>
      </c>
      <c r="L25" s="32">
        <f>IF($G25="Trivial",Source!$B$20, 0)</f>
        <v>0</v>
      </c>
      <c r="M25" s="33">
        <f t="shared" si="0"/>
        <v>38.12638888888614</v>
      </c>
      <c r="N25" s="33">
        <f t="shared" si="1"/>
        <v>0</v>
      </c>
      <c r="O25" s="33">
        <f t="shared" si="2"/>
        <v>0</v>
      </c>
      <c r="P25" s="33">
        <f t="shared" si="3"/>
        <v>0</v>
      </c>
      <c r="Q25" s="33">
        <f t="shared" si="4"/>
        <v>0</v>
      </c>
    </row>
    <row r="26" spans="1:17" x14ac:dyDescent="0.25">
      <c r="A26" s="185" t="s">
        <v>153</v>
      </c>
      <c r="B26" s="157"/>
      <c r="C26" s="167">
        <v>42719.738194444442</v>
      </c>
      <c r="D26" s="167">
        <v>42720.479166666664</v>
      </c>
      <c r="E26" s="157"/>
      <c r="F26" s="163">
        <f t="shared" si="5"/>
        <v>0.74097222222189885</v>
      </c>
      <c r="G26" s="168" t="s">
        <v>24</v>
      </c>
      <c r="H26" s="30">
        <f>IF($G26="Blocker",Source!$B$17, 0)</f>
        <v>5</v>
      </c>
      <c r="I26" s="31">
        <f>IF($G26="Critical",Source!$B$17, 0)</f>
        <v>0</v>
      </c>
      <c r="J26" s="32">
        <f>IF($G26="Major",Source!$B$18, 0)</f>
        <v>0</v>
      </c>
      <c r="K26" s="32">
        <f>IF($G26="Minor",Source!$B$19, 0)</f>
        <v>0</v>
      </c>
      <c r="L26" s="32">
        <f>IF($G26="Trivial",Source!$B$20, 0)</f>
        <v>0</v>
      </c>
      <c r="M26" s="33">
        <f t="shared" si="0"/>
        <v>0.74097222222189885</v>
      </c>
      <c r="N26" s="33">
        <f t="shared" si="1"/>
        <v>0</v>
      </c>
      <c r="O26" s="33">
        <f t="shared" si="2"/>
        <v>0</v>
      </c>
      <c r="P26" s="33">
        <f t="shared" si="3"/>
        <v>0</v>
      </c>
      <c r="Q26" s="33">
        <f t="shared" si="4"/>
        <v>0</v>
      </c>
    </row>
    <row r="27" spans="1:17" x14ac:dyDescent="0.25">
      <c r="A27" s="185" t="s">
        <v>123</v>
      </c>
      <c r="B27" s="157"/>
      <c r="C27" s="167">
        <v>42621.527777777781</v>
      </c>
      <c r="D27" s="167">
        <v>42720.443749999999</v>
      </c>
      <c r="E27" s="157"/>
      <c r="F27" s="163">
        <f t="shared" si="5"/>
        <v>98.915972222217533</v>
      </c>
      <c r="G27" s="168" t="s">
        <v>24</v>
      </c>
      <c r="H27" s="30">
        <f>IF($G27="Blocker",Source!$B$17, 0)</f>
        <v>5</v>
      </c>
      <c r="I27" s="31">
        <f>IF($G27="Critical",Source!$B$17, 0)</f>
        <v>0</v>
      </c>
      <c r="J27" s="32">
        <f>IF($G27="Major",Source!$B$18, 0)</f>
        <v>0</v>
      </c>
      <c r="K27" s="32">
        <f>IF($G27="Minor",Source!$B$19, 0)</f>
        <v>0</v>
      </c>
      <c r="L27" s="32">
        <f>IF($G27="Trivial",Source!$B$20, 0)</f>
        <v>0</v>
      </c>
      <c r="M27" s="33">
        <f t="shared" si="0"/>
        <v>98.915972222217533</v>
      </c>
      <c r="N27" s="33">
        <f t="shared" si="1"/>
        <v>0</v>
      </c>
      <c r="O27" s="33">
        <f t="shared" si="2"/>
        <v>0</v>
      </c>
      <c r="P27" s="33">
        <f t="shared" si="3"/>
        <v>0</v>
      </c>
      <c r="Q27" s="33">
        <f t="shared" si="4"/>
        <v>0</v>
      </c>
    </row>
    <row r="28" spans="1:17" x14ac:dyDescent="0.25">
      <c r="A28" s="185" t="s">
        <v>154</v>
      </c>
      <c r="B28" s="157"/>
      <c r="C28" s="167">
        <v>42716.507638888892</v>
      </c>
      <c r="D28" s="167">
        <v>42719.746527777781</v>
      </c>
      <c r="E28" s="157"/>
      <c r="F28" s="163">
        <f t="shared" si="5"/>
        <v>3.2388888888890506</v>
      </c>
      <c r="G28" s="168" t="s">
        <v>25</v>
      </c>
      <c r="H28" s="30">
        <f>IF($G28="Blocker",Source!$B$17, 0)</f>
        <v>0</v>
      </c>
      <c r="I28" s="31">
        <f>IF($G28="Critical",Source!$B$17, 0)</f>
        <v>5</v>
      </c>
      <c r="J28" s="32">
        <f>IF($G28="Major",Source!$B$18, 0)</f>
        <v>0</v>
      </c>
      <c r="K28" s="32">
        <f>IF($G28="Minor",Source!$B$19, 0)</f>
        <v>0</v>
      </c>
      <c r="L28" s="32">
        <f>IF($G28="Trivial",Source!$B$20, 0)</f>
        <v>0</v>
      </c>
      <c r="M28" s="33">
        <f t="shared" si="0"/>
        <v>0</v>
      </c>
      <c r="N28" s="33">
        <f t="shared" si="1"/>
        <v>3.2388888888890506</v>
      </c>
      <c r="O28" s="33">
        <f t="shared" si="2"/>
        <v>0</v>
      </c>
      <c r="P28" s="33">
        <f t="shared" si="3"/>
        <v>0</v>
      </c>
      <c r="Q28" s="33">
        <f t="shared" si="4"/>
        <v>0</v>
      </c>
    </row>
    <row r="29" spans="1:17" x14ac:dyDescent="0.25">
      <c r="A29" s="185" t="s">
        <v>155</v>
      </c>
      <c r="B29" s="157"/>
      <c r="C29" s="167">
        <v>42719.573611111111</v>
      </c>
      <c r="D29" s="167">
        <v>42719.738888888889</v>
      </c>
      <c r="E29" s="157"/>
      <c r="F29" s="163">
        <f t="shared" si="5"/>
        <v>0.16527777777810115</v>
      </c>
      <c r="G29" s="168" t="s">
        <v>24</v>
      </c>
      <c r="H29" s="30">
        <f>IF($G29="Blocker",Source!$B$17, 0)</f>
        <v>5</v>
      </c>
      <c r="I29" s="31">
        <f>IF($G29="Critical",Source!$B$17, 0)</f>
        <v>0</v>
      </c>
      <c r="J29" s="32">
        <f>IF($G29="Major",Source!$B$18, 0)</f>
        <v>0</v>
      </c>
      <c r="K29" s="32">
        <f>IF($G29="Minor",Source!$B$19, 0)</f>
        <v>0</v>
      </c>
      <c r="L29" s="32">
        <f>IF($G29="Trivial",Source!$B$20, 0)</f>
        <v>0</v>
      </c>
      <c r="M29" s="33">
        <f t="shared" si="0"/>
        <v>0.16527777777810115</v>
      </c>
      <c r="N29" s="33">
        <f t="shared" si="1"/>
        <v>0</v>
      </c>
      <c r="O29" s="33">
        <f t="shared" si="2"/>
        <v>0</v>
      </c>
      <c r="P29" s="33">
        <f t="shared" si="3"/>
        <v>0</v>
      </c>
      <c r="Q29" s="33">
        <f t="shared" si="4"/>
        <v>0</v>
      </c>
    </row>
    <row r="30" spans="1:17" x14ac:dyDescent="0.25">
      <c r="A30" s="185" t="s">
        <v>156</v>
      </c>
      <c r="B30" s="157"/>
      <c r="C30" s="167">
        <v>42719.519444444442</v>
      </c>
      <c r="D30" s="167">
        <v>42719.632638888892</v>
      </c>
      <c r="E30" s="157"/>
      <c r="F30" s="163">
        <f t="shared" si="5"/>
        <v>0.11319444444961846</v>
      </c>
      <c r="G30" s="168" t="s">
        <v>24</v>
      </c>
      <c r="H30" s="30">
        <f>IF($G30="Blocker",Source!$B$17, 0)</f>
        <v>5</v>
      </c>
      <c r="I30" s="31">
        <f>IF($G30="Critical",Source!$B$17, 0)</f>
        <v>0</v>
      </c>
      <c r="J30" s="32">
        <f>IF($G30="Major",Source!$B$18, 0)</f>
        <v>0</v>
      </c>
      <c r="K30" s="32">
        <f>IF($G30="Minor",Source!$B$19, 0)</f>
        <v>0</v>
      </c>
      <c r="L30" s="32">
        <f>IF($G30="Trivial",Source!$B$20, 0)</f>
        <v>0</v>
      </c>
      <c r="M30" s="33">
        <f t="shared" si="0"/>
        <v>0.11319444444961846</v>
      </c>
      <c r="N30" s="33">
        <f t="shared" si="1"/>
        <v>0</v>
      </c>
      <c r="O30" s="33">
        <f t="shared" si="2"/>
        <v>0</v>
      </c>
      <c r="P30" s="33">
        <f t="shared" si="3"/>
        <v>0</v>
      </c>
      <c r="Q30" s="33">
        <f t="shared" si="4"/>
        <v>0</v>
      </c>
    </row>
    <row r="31" spans="1:17" x14ac:dyDescent="0.25">
      <c r="A31" s="185" t="s">
        <v>157</v>
      </c>
      <c r="B31" s="157"/>
      <c r="C31" s="167">
        <v>42719.526388888888</v>
      </c>
      <c r="D31" s="167">
        <v>42719.550694444442</v>
      </c>
      <c r="E31" s="157"/>
      <c r="F31" s="163">
        <f t="shared" si="5"/>
        <v>2.4305555554747116E-2</v>
      </c>
      <c r="G31" s="168" t="s">
        <v>24</v>
      </c>
      <c r="H31" s="30">
        <f>IF($G31="Blocker",Source!$B$17, 0)</f>
        <v>5</v>
      </c>
      <c r="I31" s="31">
        <f>IF($G31="Critical",Source!$B$17, 0)</f>
        <v>0</v>
      </c>
      <c r="J31" s="32">
        <f>IF($G31="Major",Source!$B$18, 0)</f>
        <v>0</v>
      </c>
      <c r="K31" s="32">
        <f>IF($G31="Minor",Source!$B$19, 0)</f>
        <v>0</v>
      </c>
      <c r="L31" s="32">
        <f>IF($G31="Trivial",Source!$B$20, 0)</f>
        <v>0</v>
      </c>
      <c r="M31" s="33">
        <f t="shared" si="0"/>
        <v>2.4305555554747116E-2</v>
      </c>
      <c r="N31" s="33">
        <f t="shared" si="1"/>
        <v>0</v>
      </c>
      <c r="O31" s="33">
        <f t="shared" si="2"/>
        <v>0</v>
      </c>
      <c r="P31" s="33">
        <f t="shared" si="3"/>
        <v>0</v>
      </c>
      <c r="Q31" s="33">
        <f t="shared" si="4"/>
        <v>0</v>
      </c>
    </row>
    <row r="32" spans="1:17" x14ac:dyDescent="0.25">
      <c r="A32" s="185" t="s">
        <v>158</v>
      </c>
      <c r="B32" s="157"/>
      <c r="C32" s="167">
        <v>42718.618055555555</v>
      </c>
      <c r="D32" s="167">
        <v>42719.439583333333</v>
      </c>
      <c r="E32" s="157"/>
      <c r="F32" s="163">
        <f t="shared" si="5"/>
        <v>0.82152777777810115</v>
      </c>
      <c r="G32" s="168" t="s">
        <v>24</v>
      </c>
      <c r="H32" s="30">
        <f>IF($G32="Blocker",Source!$B$17, 0)</f>
        <v>5</v>
      </c>
      <c r="I32" s="31">
        <f>IF($G32="Critical",Source!$B$17, 0)</f>
        <v>0</v>
      </c>
      <c r="J32" s="32">
        <f>IF($G32="Major",Source!$B$18, 0)</f>
        <v>0</v>
      </c>
      <c r="K32" s="32">
        <f>IF($G32="Minor",Source!$B$19, 0)</f>
        <v>0</v>
      </c>
      <c r="L32" s="32">
        <f>IF($G32="Trivial",Source!$B$20, 0)</f>
        <v>0</v>
      </c>
      <c r="M32" s="33">
        <f t="shared" si="0"/>
        <v>0.82152777777810115</v>
      </c>
      <c r="N32" s="33">
        <f t="shared" si="1"/>
        <v>0</v>
      </c>
      <c r="O32" s="33">
        <f t="shared" si="2"/>
        <v>0</v>
      </c>
      <c r="P32" s="33">
        <f t="shared" si="3"/>
        <v>0</v>
      </c>
      <c r="Q32" s="33">
        <f t="shared" si="4"/>
        <v>0</v>
      </c>
    </row>
    <row r="33" spans="1:17" x14ac:dyDescent="0.25">
      <c r="A33" s="185" t="s">
        <v>159</v>
      </c>
      <c r="B33" s="157"/>
      <c r="C33" s="167">
        <v>42718.697222222225</v>
      </c>
      <c r="D33" s="167">
        <v>42718.753472222219</v>
      </c>
      <c r="E33" s="157"/>
      <c r="F33" s="163">
        <f t="shared" si="5"/>
        <v>5.6249999994179234E-2</v>
      </c>
      <c r="G33" s="168" t="s">
        <v>24</v>
      </c>
      <c r="H33" s="30">
        <f>IF($G33="Blocker",Source!$B$17, 0)</f>
        <v>5</v>
      </c>
      <c r="I33" s="31">
        <f>IF($G33="Critical",Source!$B$17, 0)</f>
        <v>0</v>
      </c>
      <c r="J33" s="32">
        <f>IF($G33="Major",Source!$B$18, 0)</f>
        <v>0</v>
      </c>
      <c r="K33" s="32">
        <f>IF($G33="Minor",Source!$B$19, 0)</f>
        <v>0</v>
      </c>
      <c r="L33" s="32">
        <f>IF($G33="Trivial",Source!$B$20, 0)</f>
        <v>0</v>
      </c>
      <c r="M33" s="33">
        <f t="shared" si="0"/>
        <v>5.6249999994179234E-2</v>
      </c>
      <c r="N33" s="33">
        <f t="shared" si="1"/>
        <v>0</v>
      </c>
      <c r="O33" s="33">
        <f t="shared" si="2"/>
        <v>0</v>
      </c>
      <c r="P33" s="33">
        <f t="shared" si="3"/>
        <v>0</v>
      </c>
      <c r="Q33" s="33">
        <f t="shared" si="4"/>
        <v>0</v>
      </c>
    </row>
    <row r="34" spans="1:17" x14ac:dyDescent="0.25">
      <c r="A34" s="185" t="s">
        <v>160</v>
      </c>
      <c r="B34" s="157"/>
      <c r="C34" s="167">
        <v>42718.5625</v>
      </c>
      <c r="D34" s="167">
        <v>42718.620833333334</v>
      </c>
      <c r="E34" s="157"/>
      <c r="F34" s="163">
        <f t="shared" si="5"/>
        <v>5.8333333334303461E-2</v>
      </c>
      <c r="G34" s="168" t="s">
        <v>24</v>
      </c>
      <c r="H34" s="30">
        <f>IF($G34="Blocker",Source!$B$17, 0)</f>
        <v>5</v>
      </c>
      <c r="I34" s="31">
        <f>IF($G34="Critical",Source!$B$17, 0)</f>
        <v>0</v>
      </c>
      <c r="J34" s="32">
        <f>IF($G34="Major",Source!$B$18, 0)</f>
        <v>0</v>
      </c>
      <c r="K34" s="32">
        <f>IF($G34="Minor",Source!$B$19, 0)</f>
        <v>0</v>
      </c>
      <c r="L34" s="32">
        <f>IF($G34="Trivial",Source!$B$20, 0)</f>
        <v>0</v>
      </c>
      <c r="M34" s="33">
        <f t="shared" ref="M34:M51" si="6">IF($G34="Blocker",F34, 0)</f>
        <v>5.8333333334303461E-2</v>
      </c>
      <c r="N34" s="33">
        <f t="shared" ref="N34:N51" si="7">IF($G34="Critical",F34, 0)</f>
        <v>0</v>
      </c>
      <c r="O34" s="33">
        <f t="shared" ref="O34:O51" si="8">IF($G34="Major",F34, 0)</f>
        <v>0</v>
      </c>
      <c r="P34" s="33">
        <f t="shared" ref="P34:P51" si="9">IF($G34="Minor",F34, 0)</f>
        <v>0</v>
      </c>
      <c r="Q34" s="33">
        <f t="shared" ref="Q34:Q51" si="10">IF($G34="Trivial",F34, 0)</f>
        <v>0</v>
      </c>
    </row>
    <row r="35" spans="1:17" x14ac:dyDescent="0.25">
      <c r="A35" s="185" t="s">
        <v>161</v>
      </c>
      <c r="B35" s="157"/>
      <c r="C35" s="167">
        <v>42685.511805555558</v>
      </c>
      <c r="D35" s="167">
        <v>42718.584027777775</v>
      </c>
      <c r="E35" s="157"/>
      <c r="F35" s="163">
        <f t="shared" si="5"/>
        <v>33.072222222217533</v>
      </c>
      <c r="G35" s="168" t="s">
        <v>24</v>
      </c>
      <c r="H35" s="30">
        <f>IF($G35="Blocker",Source!$B$17, 0)</f>
        <v>5</v>
      </c>
      <c r="I35" s="31">
        <f>IF($G35="Critical",Source!$B$17, 0)</f>
        <v>0</v>
      </c>
      <c r="J35" s="32">
        <f>IF($G35="Major",Source!$B$18, 0)</f>
        <v>0</v>
      </c>
      <c r="K35" s="32">
        <f>IF($G35="Minor",Source!$B$19, 0)</f>
        <v>0</v>
      </c>
      <c r="L35" s="32">
        <f>IF($G35="Trivial",Source!$B$20, 0)</f>
        <v>0</v>
      </c>
      <c r="M35" s="33">
        <f t="shared" si="6"/>
        <v>33.072222222217533</v>
      </c>
      <c r="N35" s="33">
        <f t="shared" si="7"/>
        <v>0</v>
      </c>
      <c r="O35" s="33">
        <f t="shared" si="8"/>
        <v>0</v>
      </c>
      <c r="P35" s="33">
        <f t="shared" si="9"/>
        <v>0</v>
      </c>
      <c r="Q35" s="33">
        <f t="shared" si="10"/>
        <v>0</v>
      </c>
    </row>
    <row r="36" spans="1:17" x14ac:dyDescent="0.25">
      <c r="A36" s="185" t="s">
        <v>162</v>
      </c>
      <c r="B36" s="157"/>
      <c r="C36" s="167">
        <v>42691.536805555559</v>
      </c>
      <c r="D36" s="167">
        <v>42718.560416666667</v>
      </c>
      <c r="E36" s="157"/>
      <c r="F36" s="163">
        <f t="shared" si="5"/>
        <v>27.023611111108039</v>
      </c>
      <c r="G36" s="168" t="s">
        <v>24</v>
      </c>
      <c r="H36" s="30">
        <f>IF($G36="Blocker",Source!$B$17, 0)</f>
        <v>5</v>
      </c>
      <c r="I36" s="31">
        <f>IF($G36="Critical",Source!$B$17, 0)</f>
        <v>0</v>
      </c>
      <c r="J36" s="32">
        <f>IF($G36="Major",Source!$B$18, 0)</f>
        <v>0</v>
      </c>
      <c r="K36" s="32">
        <f>IF($G36="Minor",Source!$B$19, 0)</f>
        <v>0</v>
      </c>
      <c r="L36" s="32">
        <f>IF($G36="Trivial",Source!$B$20, 0)</f>
        <v>0</v>
      </c>
      <c r="M36" s="33">
        <f t="shared" si="6"/>
        <v>27.023611111108039</v>
      </c>
      <c r="N36" s="33">
        <f t="shared" si="7"/>
        <v>0</v>
      </c>
      <c r="O36" s="33">
        <f t="shared" si="8"/>
        <v>0</v>
      </c>
      <c r="P36" s="33">
        <f t="shared" si="9"/>
        <v>0</v>
      </c>
      <c r="Q36" s="33">
        <f t="shared" si="10"/>
        <v>0</v>
      </c>
    </row>
    <row r="37" spans="1:17" x14ac:dyDescent="0.25">
      <c r="A37" s="185" t="s">
        <v>163</v>
      </c>
      <c r="B37" s="157"/>
      <c r="C37" s="167">
        <v>42717.709027777775</v>
      </c>
      <c r="D37" s="167">
        <v>42718.388194444444</v>
      </c>
      <c r="E37" s="157"/>
      <c r="F37" s="163">
        <f t="shared" si="5"/>
        <v>0.67916666666860692</v>
      </c>
      <c r="G37" s="168" t="s">
        <v>24</v>
      </c>
      <c r="H37" s="30">
        <f>IF($G37="Blocker",Source!$B$17, 0)</f>
        <v>5</v>
      </c>
      <c r="I37" s="31">
        <f>IF($G37="Critical",Source!$B$17, 0)</f>
        <v>0</v>
      </c>
      <c r="J37" s="32">
        <f>IF($G37="Major",Source!$B$18, 0)</f>
        <v>0</v>
      </c>
      <c r="K37" s="32">
        <f>IF($G37="Minor",Source!$B$19, 0)</f>
        <v>0</v>
      </c>
      <c r="L37" s="32">
        <f>IF($G37="Trivial",Source!$B$20, 0)</f>
        <v>0</v>
      </c>
      <c r="M37" s="33">
        <f t="shared" si="6"/>
        <v>0.67916666666860692</v>
      </c>
      <c r="N37" s="33">
        <f t="shared" si="7"/>
        <v>0</v>
      </c>
      <c r="O37" s="33">
        <f t="shared" si="8"/>
        <v>0</v>
      </c>
      <c r="P37" s="33">
        <f t="shared" si="9"/>
        <v>0</v>
      </c>
      <c r="Q37" s="33">
        <f t="shared" si="10"/>
        <v>0</v>
      </c>
    </row>
    <row r="38" spans="1:17" x14ac:dyDescent="0.25">
      <c r="A38" s="185" t="s">
        <v>121</v>
      </c>
      <c r="B38" s="157"/>
      <c r="C38" s="167">
        <v>42577.67291666667</v>
      </c>
      <c r="D38" s="167">
        <v>42717.682638888888</v>
      </c>
      <c r="E38" s="157"/>
      <c r="F38" s="163">
        <f t="shared" si="5"/>
        <v>140.00972222221753</v>
      </c>
      <c r="G38" s="168" t="s">
        <v>24</v>
      </c>
      <c r="H38" s="30">
        <f>IF($G38="Blocker",Source!$B$17, 0)</f>
        <v>5</v>
      </c>
      <c r="I38" s="31">
        <f>IF($G38="Critical",Source!$B$17, 0)</f>
        <v>0</v>
      </c>
      <c r="J38" s="32">
        <f>IF($G38="Major",Source!$B$18, 0)</f>
        <v>0</v>
      </c>
      <c r="K38" s="32">
        <f>IF($G38="Minor",Source!$B$19, 0)</f>
        <v>0</v>
      </c>
      <c r="L38" s="32">
        <f>IF($G38="Trivial",Source!$B$20, 0)</f>
        <v>0</v>
      </c>
      <c r="M38" s="33">
        <f t="shared" si="6"/>
        <v>140.00972222221753</v>
      </c>
      <c r="N38" s="33">
        <f t="shared" si="7"/>
        <v>0</v>
      </c>
      <c r="O38" s="33">
        <f t="shared" si="8"/>
        <v>0</v>
      </c>
      <c r="P38" s="33">
        <f t="shared" si="9"/>
        <v>0</v>
      </c>
      <c r="Q38" s="33">
        <f t="shared" si="10"/>
        <v>0</v>
      </c>
    </row>
    <row r="39" spans="1:17" x14ac:dyDescent="0.25">
      <c r="A39" s="185" t="s">
        <v>164</v>
      </c>
      <c r="B39" s="157"/>
      <c r="C39" s="167">
        <v>42704.659722222219</v>
      </c>
      <c r="D39" s="167">
        <v>42717.488888888889</v>
      </c>
      <c r="E39" s="157"/>
      <c r="F39" s="163">
        <f t="shared" si="5"/>
        <v>12.829166666670062</v>
      </c>
      <c r="G39" s="168" t="s">
        <v>24</v>
      </c>
      <c r="H39" s="30">
        <f>IF($G39="Blocker",Source!$B$17, 0)</f>
        <v>5</v>
      </c>
      <c r="I39" s="31">
        <f>IF($G39="Critical",Source!$B$17, 0)</f>
        <v>0</v>
      </c>
      <c r="J39" s="32">
        <f>IF($G39="Major",Source!$B$18, 0)</f>
        <v>0</v>
      </c>
      <c r="K39" s="32">
        <f>IF($G39="Minor",Source!$B$19, 0)</f>
        <v>0</v>
      </c>
      <c r="L39" s="32">
        <f>IF($G39="Trivial",Source!$B$20, 0)</f>
        <v>0</v>
      </c>
      <c r="M39" s="33">
        <f t="shared" si="6"/>
        <v>12.829166666670062</v>
      </c>
      <c r="N39" s="33">
        <f t="shared" si="7"/>
        <v>0</v>
      </c>
      <c r="O39" s="33">
        <f t="shared" si="8"/>
        <v>0</v>
      </c>
      <c r="P39" s="33">
        <f t="shared" si="9"/>
        <v>0</v>
      </c>
      <c r="Q39" s="33">
        <f t="shared" si="10"/>
        <v>0</v>
      </c>
    </row>
    <row r="40" spans="1:17" x14ac:dyDescent="0.25">
      <c r="A40" s="185" t="s">
        <v>165</v>
      </c>
      <c r="B40" s="157"/>
      <c r="C40" s="167">
        <v>42604.73333333333</v>
      </c>
      <c r="D40" s="167">
        <v>42717.488194444442</v>
      </c>
      <c r="E40" s="157"/>
      <c r="F40" s="163">
        <f t="shared" si="5"/>
        <v>112.7548611111124</v>
      </c>
      <c r="G40" s="168" t="s">
        <v>24</v>
      </c>
      <c r="H40" s="30">
        <f>IF($G40="Blocker",Source!$B$17, 0)</f>
        <v>5</v>
      </c>
      <c r="I40" s="31">
        <f>IF($G40="Critical",Source!$B$17, 0)</f>
        <v>0</v>
      </c>
      <c r="J40" s="32">
        <f>IF($G40="Major",Source!$B$18, 0)</f>
        <v>0</v>
      </c>
      <c r="K40" s="32">
        <f>IF($G40="Minor",Source!$B$19, 0)</f>
        <v>0</v>
      </c>
      <c r="L40" s="32">
        <f>IF($G40="Trivial",Source!$B$20, 0)</f>
        <v>0</v>
      </c>
      <c r="M40" s="33">
        <f t="shared" si="6"/>
        <v>112.7548611111124</v>
      </c>
      <c r="N40" s="33">
        <f t="shared" si="7"/>
        <v>0</v>
      </c>
      <c r="O40" s="33">
        <f t="shared" si="8"/>
        <v>0</v>
      </c>
      <c r="P40" s="33">
        <f t="shared" si="9"/>
        <v>0</v>
      </c>
      <c r="Q40" s="33">
        <f t="shared" si="10"/>
        <v>0</v>
      </c>
    </row>
    <row r="41" spans="1:17" x14ac:dyDescent="0.25">
      <c r="A41" s="185" t="s">
        <v>166</v>
      </c>
      <c r="B41" s="157"/>
      <c r="C41" s="167">
        <v>42693.92083333333</v>
      </c>
      <c r="D41" s="167">
        <v>42717.476388888892</v>
      </c>
      <c r="E41" s="157"/>
      <c r="F41" s="163">
        <f t="shared" si="5"/>
        <v>23.555555555562023</v>
      </c>
      <c r="G41" s="168" t="s">
        <v>24</v>
      </c>
      <c r="H41" s="30">
        <f>IF($G41="Blocker",Source!$B$17, 0)</f>
        <v>5</v>
      </c>
      <c r="I41" s="31">
        <f>IF($G41="Critical",Source!$B$17, 0)</f>
        <v>0</v>
      </c>
      <c r="J41" s="32">
        <f>IF($G41="Major",Source!$B$18, 0)</f>
        <v>0</v>
      </c>
      <c r="K41" s="32">
        <f>IF($G41="Minor",Source!$B$19, 0)</f>
        <v>0</v>
      </c>
      <c r="L41" s="32">
        <f>IF($G41="Trivial",Source!$B$20, 0)</f>
        <v>0</v>
      </c>
      <c r="M41" s="33">
        <f t="shared" si="6"/>
        <v>23.555555555562023</v>
      </c>
      <c r="N41" s="33">
        <f t="shared" si="7"/>
        <v>0</v>
      </c>
      <c r="O41" s="33">
        <f t="shared" si="8"/>
        <v>0</v>
      </c>
      <c r="P41" s="33">
        <f t="shared" si="9"/>
        <v>0</v>
      </c>
      <c r="Q41" s="33">
        <f t="shared" si="10"/>
        <v>0</v>
      </c>
    </row>
    <row r="42" spans="1:17" x14ac:dyDescent="0.25">
      <c r="A42" s="185" t="s">
        <v>167</v>
      </c>
      <c r="B42" s="157"/>
      <c r="C42" s="167">
        <v>42689.61041666667</v>
      </c>
      <c r="D42" s="167">
        <v>42713.511111111111</v>
      </c>
      <c r="E42" s="157"/>
      <c r="F42" s="163">
        <f t="shared" si="5"/>
        <v>23.900694444440887</v>
      </c>
      <c r="G42" s="168" t="s">
        <v>24</v>
      </c>
      <c r="H42" s="30">
        <f>IF($G42="Blocker",Source!$B$17, 0)</f>
        <v>5</v>
      </c>
      <c r="I42" s="31">
        <f>IF($G42="Critical",Source!$B$17, 0)</f>
        <v>0</v>
      </c>
      <c r="J42" s="32">
        <f>IF($G42="Major",Source!$B$18, 0)</f>
        <v>0</v>
      </c>
      <c r="K42" s="32">
        <f>IF($G42="Minor",Source!$B$19, 0)</f>
        <v>0</v>
      </c>
      <c r="L42" s="32">
        <f>IF($G42="Trivial",Source!$B$20, 0)</f>
        <v>0</v>
      </c>
      <c r="M42" s="33">
        <f t="shared" si="6"/>
        <v>23.900694444440887</v>
      </c>
      <c r="N42" s="33">
        <f t="shared" si="7"/>
        <v>0</v>
      </c>
      <c r="O42" s="33">
        <f t="shared" si="8"/>
        <v>0</v>
      </c>
      <c r="P42" s="33">
        <f t="shared" si="9"/>
        <v>0</v>
      </c>
      <c r="Q42" s="33">
        <f t="shared" si="10"/>
        <v>0</v>
      </c>
    </row>
    <row r="43" spans="1:17" x14ac:dyDescent="0.25">
      <c r="A43" s="185" t="s">
        <v>168</v>
      </c>
      <c r="B43" s="157"/>
      <c r="C43" s="167">
        <v>42704.757638888892</v>
      </c>
      <c r="D43" s="167">
        <v>42706.487500000003</v>
      </c>
      <c r="E43" s="157"/>
      <c r="F43" s="163">
        <f t="shared" si="5"/>
        <v>1.7298611111109494</v>
      </c>
      <c r="G43" s="168" t="s">
        <v>24</v>
      </c>
      <c r="H43" s="30">
        <f>IF($G43="Blocker",Source!$B$17, 0)</f>
        <v>5</v>
      </c>
      <c r="I43" s="31">
        <f>IF($G43="Critical",Source!$B$17, 0)</f>
        <v>0</v>
      </c>
      <c r="J43" s="32">
        <f>IF($G43="Major",Source!$B$18, 0)</f>
        <v>0</v>
      </c>
      <c r="K43" s="32">
        <f>IF($G43="Minor",Source!$B$19, 0)</f>
        <v>0</v>
      </c>
      <c r="L43" s="32">
        <f>IF($G43="Trivial",Source!$B$20, 0)</f>
        <v>0</v>
      </c>
      <c r="M43" s="33">
        <f t="shared" si="6"/>
        <v>1.7298611111109494</v>
      </c>
      <c r="N43" s="33">
        <f t="shared" si="7"/>
        <v>0</v>
      </c>
      <c r="O43" s="33">
        <f t="shared" si="8"/>
        <v>0</v>
      </c>
      <c r="P43" s="33">
        <f t="shared" si="9"/>
        <v>0</v>
      </c>
      <c r="Q43" s="33">
        <f t="shared" si="10"/>
        <v>0</v>
      </c>
    </row>
    <row r="44" spans="1:17" x14ac:dyDescent="0.25">
      <c r="A44" s="185" t="s">
        <v>169</v>
      </c>
      <c r="B44" s="157"/>
      <c r="C44" s="167">
        <v>42704.759027777778</v>
      </c>
      <c r="D44" s="167">
        <v>42705.700694444444</v>
      </c>
      <c r="E44" s="157"/>
      <c r="F44" s="163">
        <f t="shared" si="5"/>
        <v>0.94166666666569654</v>
      </c>
      <c r="G44" s="168" t="s">
        <v>24</v>
      </c>
      <c r="H44" s="30">
        <f>IF($G44="Blocker",Source!$B$17, 0)</f>
        <v>5</v>
      </c>
      <c r="I44" s="31">
        <f>IF($G44="Critical",Source!$B$17, 0)</f>
        <v>0</v>
      </c>
      <c r="J44" s="32">
        <f>IF($G44="Major",Source!$B$18, 0)</f>
        <v>0</v>
      </c>
      <c r="K44" s="32">
        <f>IF($G44="Minor",Source!$B$19, 0)</f>
        <v>0</v>
      </c>
      <c r="L44" s="32">
        <f>IF($G44="Trivial",Source!$B$20, 0)</f>
        <v>0</v>
      </c>
      <c r="M44" s="33">
        <f t="shared" si="6"/>
        <v>0.94166666666569654</v>
      </c>
      <c r="N44" s="33">
        <f t="shared" si="7"/>
        <v>0</v>
      </c>
      <c r="O44" s="33">
        <f t="shared" si="8"/>
        <v>0</v>
      </c>
      <c r="P44" s="33">
        <f t="shared" si="9"/>
        <v>0</v>
      </c>
      <c r="Q44" s="33">
        <f t="shared" si="10"/>
        <v>0</v>
      </c>
    </row>
    <row r="45" spans="1:17" x14ac:dyDescent="0.25">
      <c r="A45" s="185" t="s">
        <v>170</v>
      </c>
      <c r="B45" s="157"/>
      <c r="C45" s="167">
        <v>42690.552083333336</v>
      </c>
      <c r="D45" s="167">
        <v>42704.668749999997</v>
      </c>
      <c r="E45" s="157"/>
      <c r="F45" s="163">
        <f t="shared" si="5"/>
        <v>14.116666666661331</v>
      </c>
      <c r="G45" s="168" t="s">
        <v>24</v>
      </c>
      <c r="H45" s="30">
        <f>IF($G45="Blocker",Source!$B$17, 0)</f>
        <v>5</v>
      </c>
      <c r="I45" s="31">
        <f>IF($G45="Critical",Source!$B$17, 0)</f>
        <v>0</v>
      </c>
      <c r="J45" s="32">
        <f>IF($G45="Major",Source!$B$18, 0)</f>
        <v>0</v>
      </c>
      <c r="K45" s="32">
        <f>IF($G45="Minor",Source!$B$19, 0)</f>
        <v>0</v>
      </c>
      <c r="L45" s="32">
        <f>IF($G45="Trivial",Source!$B$20, 0)</f>
        <v>0</v>
      </c>
      <c r="M45" s="33">
        <f t="shared" si="6"/>
        <v>14.116666666661331</v>
      </c>
      <c r="N45" s="33">
        <f t="shared" si="7"/>
        <v>0</v>
      </c>
      <c r="O45" s="33">
        <f t="shared" si="8"/>
        <v>0</v>
      </c>
      <c r="P45" s="33">
        <f t="shared" si="9"/>
        <v>0</v>
      </c>
      <c r="Q45" s="33">
        <f t="shared" si="10"/>
        <v>0</v>
      </c>
    </row>
    <row r="46" spans="1:17" x14ac:dyDescent="0.25">
      <c r="A46" s="185" t="s">
        <v>171</v>
      </c>
      <c r="B46" s="157"/>
      <c r="C46" s="167">
        <v>42703.570833333331</v>
      </c>
      <c r="D46" s="167">
        <v>42703.71597222222</v>
      </c>
      <c r="E46" s="157"/>
      <c r="F46" s="163">
        <f t="shared" si="5"/>
        <v>0.14513888888905058</v>
      </c>
      <c r="G46" s="168" t="s">
        <v>24</v>
      </c>
      <c r="H46" s="30">
        <f>IF($G46="Blocker",Source!$B$17, 0)</f>
        <v>5</v>
      </c>
      <c r="I46" s="31">
        <f>IF($G46="Critical",Source!$B$17, 0)</f>
        <v>0</v>
      </c>
      <c r="J46" s="32">
        <f>IF($G46="Major",Source!$B$18, 0)</f>
        <v>0</v>
      </c>
      <c r="K46" s="32">
        <f>IF($G46="Minor",Source!$B$19, 0)</f>
        <v>0</v>
      </c>
      <c r="L46" s="32">
        <f>IF($G46="Trivial",Source!$B$20, 0)</f>
        <v>0</v>
      </c>
      <c r="M46" s="33">
        <f t="shared" si="6"/>
        <v>0.14513888888905058</v>
      </c>
      <c r="N46" s="33">
        <f t="shared" si="7"/>
        <v>0</v>
      </c>
      <c r="O46" s="33">
        <f t="shared" si="8"/>
        <v>0</v>
      </c>
      <c r="P46" s="33">
        <f t="shared" si="9"/>
        <v>0</v>
      </c>
      <c r="Q46" s="33">
        <f t="shared" si="10"/>
        <v>0</v>
      </c>
    </row>
    <row r="47" spans="1:17" x14ac:dyDescent="0.25">
      <c r="A47" s="185" t="s">
        <v>172</v>
      </c>
      <c r="B47" s="157"/>
      <c r="C47" s="167">
        <v>42702.550694444442</v>
      </c>
      <c r="D47" s="167">
        <v>42703.71597222222</v>
      </c>
      <c r="E47" s="157"/>
      <c r="F47" s="163">
        <f t="shared" si="5"/>
        <v>1.1652777777781012</v>
      </c>
      <c r="G47" s="168" t="s">
        <v>24</v>
      </c>
      <c r="H47" s="30">
        <f>IF($G47="Blocker",Source!$B$17, 0)</f>
        <v>5</v>
      </c>
      <c r="I47" s="31">
        <f>IF($G47="Critical",Source!$B$17, 0)</f>
        <v>0</v>
      </c>
      <c r="J47" s="32">
        <f>IF($G47="Major",Source!$B$18, 0)</f>
        <v>0</v>
      </c>
      <c r="K47" s="32">
        <f>IF($G47="Minor",Source!$B$19, 0)</f>
        <v>0</v>
      </c>
      <c r="L47" s="32">
        <f>IF($G47="Trivial",Source!$B$20, 0)</f>
        <v>0</v>
      </c>
      <c r="M47" s="33">
        <f t="shared" si="6"/>
        <v>1.1652777777781012</v>
      </c>
      <c r="N47" s="33">
        <f t="shared" si="7"/>
        <v>0</v>
      </c>
      <c r="O47" s="33">
        <f t="shared" si="8"/>
        <v>0</v>
      </c>
      <c r="P47" s="33">
        <f t="shared" si="9"/>
        <v>0</v>
      </c>
      <c r="Q47" s="33">
        <f t="shared" si="10"/>
        <v>0</v>
      </c>
    </row>
    <row r="48" spans="1:17" x14ac:dyDescent="0.25">
      <c r="A48" s="185" t="s">
        <v>173</v>
      </c>
      <c r="B48" s="157"/>
      <c r="C48" s="167">
        <v>42703.490972222222</v>
      </c>
      <c r="D48" s="167">
        <v>42703.715277777781</v>
      </c>
      <c r="E48" s="157"/>
      <c r="F48" s="163">
        <f t="shared" si="5"/>
        <v>0.22430555555911269</v>
      </c>
      <c r="G48" s="168" t="s">
        <v>24</v>
      </c>
      <c r="H48" s="30">
        <f>IF($G48="Blocker",Source!$B$17, 0)</f>
        <v>5</v>
      </c>
      <c r="I48" s="31">
        <f>IF($G48="Critical",Source!$B$17, 0)</f>
        <v>0</v>
      </c>
      <c r="J48" s="32">
        <f>IF($G48="Major",Source!$B$18, 0)</f>
        <v>0</v>
      </c>
      <c r="K48" s="32">
        <f>IF($G48="Minor",Source!$B$19, 0)</f>
        <v>0</v>
      </c>
      <c r="L48" s="32">
        <f>IF($G48="Trivial",Source!$B$20, 0)</f>
        <v>0</v>
      </c>
      <c r="M48" s="33">
        <f t="shared" si="6"/>
        <v>0.22430555555911269</v>
      </c>
      <c r="N48" s="33">
        <f t="shared" si="7"/>
        <v>0</v>
      </c>
      <c r="O48" s="33">
        <f t="shared" si="8"/>
        <v>0</v>
      </c>
      <c r="P48" s="33">
        <f t="shared" si="9"/>
        <v>0</v>
      </c>
      <c r="Q48" s="33">
        <f t="shared" si="10"/>
        <v>0</v>
      </c>
    </row>
    <row r="49" spans="1:17" x14ac:dyDescent="0.25">
      <c r="A49" s="185" t="s">
        <v>127</v>
      </c>
      <c r="B49" s="157"/>
      <c r="C49" s="167">
        <v>42565.709027777775</v>
      </c>
      <c r="D49" s="167">
        <v>42703.604861111111</v>
      </c>
      <c r="E49" s="157"/>
      <c r="F49" s="163">
        <f t="shared" si="5"/>
        <v>137.89583333333576</v>
      </c>
      <c r="G49" s="168" t="s">
        <v>24</v>
      </c>
      <c r="H49" s="30">
        <f>IF($G49="Blocker",Source!$B$17, 0)</f>
        <v>5</v>
      </c>
      <c r="I49" s="31">
        <f>IF($G49="Critical",Source!$B$17, 0)</f>
        <v>0</v>
      </c>
      <c r="J49" s="32">
        <f>IF($G49="Major",Source!$B$18, 0)</f>
        <v>0</v>
      </c>
      <c r="K49" s="32">
        <f>IF($G49="Minor",Source!$B$19, 0)</f>
        <v>0</v>
      </c>
      <c r="L49" s="32">
        <f>IF($G49="Trivial",Source!$B$20, 0)</f>
        <v>0</v>
      </c>
      <c r="M49" s="33">
        <f t="shared" si="6"/>
        <v>137.89583333333576</v>
      </c>
      <c r="N49" s="33">
        <f t="shared" si="7"/>
        <v>0</v>
      </c>
      <c r="O49" s="33">
        <f t="shared" si="8"/>
        <v>0</v>
      </c>
      <c r="P49" s="33">
        <f t="shared" si="9"/>
        <v>0</v>
      </c>
      <c r="Q49" s="33">
        <f t="shared" si="10"/>
        <v>0</v>
      </c>
    </row>
    <row r="50" spans="1:17" x14ac:dyDescent="0.25">
      <c r="A50" s="185" t="s">
        <v>174</v>
      </c>
      <c r="B50" s="157"/>
      <c r="C50" s="167">
        <v>42699.743055555555</v>
      </c>
      <c r="D50" s="167">
        <v>42703.604861111111</v>
      </c>
      <c r="E50" s="157"/>
      <c r="F50" s="163">
        <f t="shared" si="5"/>
        <v>3.8618055555562023</v>
      </c>
      <c r="G50" s="168" t="s">
        <v>24</v>
      </c>
      <c r="H50" s="30">
        <f>IF($G50="Blocker",Source!$B$17, 0)</f>
        <v>5</v>
      </c>
      <c r="I50" s="31">
        <f>IF($G50="Critical",Source!$B$17, 0)</f>
        <v>0</v>
      </c>
      <c r="J50" s="32">
        <f>IF($G50="Major",Source!$B$18, 0)</f>
        <v>0</v>
      </c>
      <c r="K50" s="32">
        <f>IF($G50="Minor",Source!$B$19, 0)</f>
        <v>0</v>
      </c>
      <c r="L50" s="32">
        <f>IF($G50="Trivial",Source!$B$20, 0)</f>
        <v>0</v>
      </c>
      <c r="M50" s="33">
        <f t="shared" si="6"/>
        <v>3.8618055555562023</v>
      </c>
      <c r="N50" s="33">
        <f t="shared" si="7"/>
        <v>0</v>
      </c>
      <c r="O50" s="33">
        <f t="shared" si="8"/>
        <v>0</v>
      </c>
      <c r="P50" s="33">
        <f t="shared" si="9"/>
        <v>0</v>
      </c>
      <c r="Q50" s="33">
        <f t="shared" si="10"/>
        <v>0</v>
      </c>
    </row>
    <row r="51" spans="1:17" x14ac:dyDescent="0.25">
      <c r="A51" s="185" t="s">
        <v>175</v>
      </c>
      <c r="B51" s="157"/>
      <c r="C51" s="167">
        <v>42697.430555555555</v>
      </c>
      <c r="D51" s="167">
        <v>42703.579861111109</v>
      </c>
      <c r="E51" s="157"/>
      <c r="F51" s="163">
        <f t="shared" si="5"/>
        <v>6.1493055555547471</v>
      </c>
      <c r="G51" s="168" t="s">
        <v>24</v>
      </c>
      <c r="H51" s="30">
        <f>IF($G51="Blocker",Source!$B$17, 0)</f>
        <v>5</v>
      </c>
      <c r="I51" s="31">
        <f>IF($G51="Critical",Source!$B$17, 0)</f>
        <v>0</v>
      </c>
      <c r="J51" s="32">
        <f>IF($G51="Major",Source!$B$18, 0)</f>
        <v>0</v>
      </c>
      <c r="K51" s="32">
        <f>IF($G51="Minor",Source!$B$19, 0)</f>
        <v>0</v>
      </c>
      <c r="L51" s="32">
        <f>IF($G51="Trivial",Source!$B$20, 0)</f>
        <v>0</v>
      </c>
      <c r="M51" s="33">
        <f t="shared" si="6"/>
        <v>6.1493055555547471</v>
      </c>
      <c r="N51" s="33">
        <f t="shared" si="7"/>
        <v>0</v>
      </c>
      <c r="O51" s="33">
        <f t="shared" si="8"/>
        <v>0</v>
      </c>
      <c r="P51" s="33">
        <f t="shared" si="9"/>
        <v>0</v>
      </c>
      <c r="Q51" s="33">
        <f t="shared" si="10"/>
        <v>0</v>
      </c>
    </row>
    <row r="52" spans="1:17" x14ac:dyDescent="0.25">
      <c r="A52" s="185" t="s">
        <v>176</v>
      </c>
      <c r="B52" s="157"/>
      <c r="C52" s="167">
        <v>42564.730555555558</v>
      </c>
      <c r="D52" s="167">
        <v>42699.741666666669</v>
      </c>
      <c r="E52" s="157"/>
      <c r="F52" s="163">
        <f t="shared" si="5"/>
        <v>135.01111111111095</v>
      </c>
      <c r="G52" s="168" t="s">
        <v>24</v>
      </c>
    </row>
    <row r="53" spans="1:17" x14ac:dyDescent="0.25">
      <c r="A53" s="185" t="s">
        <v>177</v>
      </c>
      <c r="B53" s="157"/>
      <c r="C53" s="167">
        <v>42699.592361111114</v>
      </c>
      <c r="D53" s="167">
        <v>42699.681250000001</v>
      </c>
      <c r="E53" s="157"/>
      <c r="F53" s="163">
        <f t="shared" si="5"/>
        <v>8.8888888887595385E-2</v>
      </c>
      <c r="G53" s="168" t="s">
        <v>24</v>
      </c>
    </row>
    <row r="54" spans="1:17" x14ac:dyDescent="0.25">
      <c r="A54" s="185" t="s">
        <v>178</v>
      </c>
      <c r="B54" s="157"/>
      <c r="C54" s="167">
        <v>42697.738888888889</v>
      </c>
      <c r="D54" s="167">
        <v>42698.71875</v>
      </c>
      <c r="E54" s="157"/>
      <c r="F54" s="163">
        <f t="shared" si="5"/>
        <v>0.97986111111094942</v>
      </c>
      <c r="G54" s="168" t="s">
        <v>24</v>
      </c>
    </row>
    <row r="55" spans="1:17" x14ac:dyDescent="0.25">
      <c r="A55" s="185" t="s">
        <v>179</v>
      </c>
      <c r="B55" s="157"/>
      <c r="C55" s="167">
        <v>42697.508333333331</v>
      </c>
      <c r="D55" s="167">
        <v>42698.714583333334</v>
      </c>
      <c r="E55" s="157"/>
      <c r="F55" s="163">
        <f t="shared" si="5"/>
        <v>1.2062500000029104</v>
      </c>
      <c r="G55" s="168" t="s">
        <v>24</v>
      </c>
    </row>
    <row r="56" spans="1:17" x14ac:dyDescent="0.25">
      <c r="A56" s="185" t="s">
        <v>180</v>
      </c>
      <c r="B56" s="157"/>
      <c r="C56" s="167">
        <v>42697.395833333336</v>
      </c>
      <c r="D56" s="167">
        <v>42698.631249999999</v>
      </c>
      <c r="E56" s="157"/>
      <c r="F56" s="163">
        <f t="shared" si="5"/>
        <v>1.2354166666627862</v>
      </c>
      <c r="G56" s="168" t="s">
        <v>24</v>
      </c>
    </row>
    <row r="57" spans="1:17" x14ac:dyDescent="0.25">
      <c r="A57" s="185" t="s">
        <v>181</v>
      </c>
      <c r="B57" s="157"/>
      <c r="C57" s="167">
        <v>42697.38958333333</v>
      </c>
      <c r="D57" s="167">
        <v>42698.554166666669</v>
      </c>
      <c r="E57" s="157"/>
      <c r="F57" s="163">
        <f t="shared" si="5"/>
        <v>1.164583333338669</v>
      </c>
      <c r="G57" s="168" t="s">
        <v>24</v>
      </c>
    </row>
    <row r="58" spans="1:17" x14ac:dyDescent="0.25">
      <c r="A58" s="185" t="s">
        <v>182</v>
      </c>
      <c r="B58" s="157"/>
      <c r="C58" s="167">
        <v>42564.464583333334</v>
      </c>
      <c r="D58" s="167">
        <v>42697.689583333333</v>
      </c>
      <c r="E58" s="157"/>
      <c r="F58" s="163">
        <f t="shared" si="5"/>
        <v>133.22499999999854</v>
      </c>
      <c r="G58" s="168" t="s">
        <v>24</v>
      </c>
    </row>
    <row r="59" spans="1:17" x14ac:dyDescent="0.25">
      <c r="A59" s="185" t="s">
        <v>183</v>
      </c>
      <c r="B59" s="157"/>
      <c r="C59" s="167">
        <v>42677.557638888888</v>
      </c>
      <c r="D59" s="167">
        <v>42697.460416666669</v>
      </c>
      <c r="E59" s="157"/>
      <c r="F59" s="163">
        <f t="shared" si="5"/>
        <v>19.902777777781012</v>
      </c>
      <c r="G59" s="168" t="s">
        <v>24</v>
      </c>
    </row>
    <row r="60" spans="1:17" x14ac:dyDescent="0.25">
      <c r="A60" s="185" t="s">
        <v>126</v>
      </c>
      <c r="B60" s="157"/>
      <c r="C60" s="167">
        <v>42570.511111111111</v>
      </c>
      <c r="D60" s="167">
        <v>42697.448611111111</v>
      </c>
      <c r="E60" s="157"/>
      <c r="F60" s="163">
        <f t="shared" si="5"/>
        <v>126.9375</v>
      </c>
      <c r="G60" s="168" t="s">
        <v>24</v>
      </c>
    </row>
    <row r="61" spans="1:17" x14ac:dyDescent="0.25">
      <c r="A61" s="185" t="s">
        <v>184</v>
      </c>
      <c r="B61" s="157"/>
      <c r="C61" s="167">
        <v>42643.395833333336</v>
      </c>
      <c r="D61" s="167">
        <v>42697.445833333331</v>
      </c>
      <c r="E61" s="157"/>
      <c r="F61" s="163">
        <f t="shared" si="5"/>
        <v>54.049999999995634</v>
      </c>
      <c r="G61" s="168" t="s">
        <v>24</v>
      </c>
    </row>
    <row r="62" spans="1:17" x14ac:dyDescent="0.25">
      <c r="A62" s="185" t="s">
        <v>185</v>
      </c>
      <c r="B62" s="157"/>
      <c r="C62" s="167">
        <v>42586.50277777778</v>
      </c>
      <c r="D62" s="167">
        <v>42697.444444444445</v>
      </c>
      <c r="E62" s="157"/>
      <c r="F62" s="163">
        <f t="shared" si="5"/>
        <v>110.9416666666657</v>
      </c>
      <c r="G62" s="168" t="s">
        <v>24</v>
      </c>
    </row>
    <row r="63" spans="1:17" x14ac:dyDescent="0.25">
      <c r="A63" s="185" t="s">
        <v>186</v>
      </c>
      <c r="B63" s="157"/>
      <c r="C63" s="167">
        <v>42597.504861111112</v>
      </c>
      <c r="D63" s="167">
        <v>42697.443055555559</v>
      </c>
      <c r="E63" s="157"/>
      <c r="F63" s="163">
        <f t="shared" si="5"/>
        <v>99.938194444446708</v>
      </c>
      <c r="G63" s="168" t="s">
        <v>24</v>
      </c>
    </row>
    <row r="64" spans="1:17" x14ac:dyDescent="0.25">
      <c r="A64" s="185" t="s">
        <v>187</v>
      </c>
      <c r="B64" s="157"/>
      <c r="C64" s="167">
        <v>42692.509027777778</v>
      </c>
      <c r="D64" s="167">
        <v>42696.674305555556</v>
      </c>
      <c r="E64" s="157"/>
      <c r="F64" s="163">
        <f t="shared" si="5"/>
        <v>4.1652777777781012</v>
      </c>
      <c r="G64" s="168" t="s">
        <v>24</v>
      </c>
    </row>
    <row r="65" spans="1:7" x14ac:dyDescent="0.25">
      <c r="A65" s="185" t="s">
        <v>188</v>
      </c>
      <c r="B65" s="157"/>
      <c r="C65" s="167">
        <v>42692.519444444442</v>
      </c>
      <c r="D65" s="167">
        <v>42695.712500000001</v>
      </c>
      <c r="E65" s="157"/>
      <c r="F65" s="163">
        <f t="shared" si="5"/>
        <v>3.1930555555591127</v>
      </c>
      <c r="G65" s="168" t="s">
        <v>24</v>
      </c>
    </row>
    <row r="66" spans="1:7" x14ac:dyDescent="0.25">
      <c r="A66" s="185" t="s">
        <v>189</v>
      </c>
      <c r="B66" s="157"/>
      <c r="C66" s="167">
        <v>42691.515277777777</v>
      </c>
      <c r="D66" s="167">
        <v>42695.629166666666</v>
      </c>
      <c r="E66" s="157"/>
      <c r="F66" s="163">
        <f t="shared" si="5"/>
        <v>4.1138888888890506</v>
      </c>
      <c r="G66" s="168" t="s">
        <v>24</v>
      </c>
    </row>
    <row r="67" spans="1:7" x14ac:dyDescent="0.25">
      <c r="A67" s="185" t="s">
        <v>190</v>
      </c>
      <c r="B67" s="157"/>
      <c r="C67" s="167">
        <v>42690.450694444444</v>
      </c>
      <c r="D67" s="167">
        <v>42695.62222222222</v>
      </c>
      <c r="E67" s="157"/>
      <c r="F67" s="163">
        <f t="shared" ref="F67:F125" si="11">D67-C67</f>
        <v>5.171527777776646</v>
      </c>
      <c r="G67" s="168" t="s">
        <v>24</v>
      </c>
    </row>
    <row r="68" spans="1:7" x14ac:dyDescent="0.25">
      <c r="A68" s="185" t="s">
        <v>191</v>
      </c>
      <c r="B68" s="157"/>
      <c r="C68" s="167">
        <v>42690.554166666669</v>
      </c>
      <c r="D68" s="167">
        <v>42695.420138888891</v>
      </c>
      <c r="E68" s="157"/>
      <c r="F68" s="163">
        <f t="shared" si="11"/>
        <v>4.8659722222218988</v>
      </c>
      <c r="G68" s="168" t="s">
        <v>24</v>
      </c>
    </row>
    <row r="69" spans="1:7" x14ac:dyDescent="0.25">
      <c r="A69" s="185" t="s">
        <v>192</v>
      </c>
      <c r="B69" s="157"/>
      <c r="C69" s="167">
        <v>42656.711111111108</v>
      </c>
      <c r="D69" s="167">
        <v>42695.400694444441</v>
      </c>
      <c r="E69" s="157"/>
      <c r="F69" s="163">
        <f t="shared" si="11"/>
        <v>38.689583333332848</v>
      </c>
      <c r="G69" s="168" t="s">
        <v>24</v>
      </c>
    </row>
    <row r="70" spans="1:7" x14ac:dyDescent="0.25">
      <c r="A70" s="185" t="s">
        <v>193</v>
      </c>
      <c r="B70" s="157"/>
      <c r="C70" s="167">
        <v>42691.723611111112</v>
      </c>
      <c r="D70" s="167">
        <v>42693.904166666667</v>
      </c>
      <c r="E70" s="157"/>
      <c r="F70" s="163">
        <f t="shared" si="11"/>
        <v>2.1805555555547471</v>
      </c>
      <c r="G70" s="168" t="s">
        <v>24</v>
      </c>
    </row>
    <row r="71" spans="1:7" x14ac:dyDescent="0.25">
      <c r="A71" s="185" t="s">
        <v>194</v>
      </c>
      <c r="B71" s="157"/>
      <c r="C71" s="167">
        <v>42691.632638888892</v>
      </c>
      <c r="D71" s="167">
        <v>42693.895833333336</v>
      </c>
      <c r="E71" s="157"/>
      <c r="F71" s="163">
        <f t="shared" si="11"/>
        <v>2.2631944444437977</v>
      </c>
      <c r="G71" s="168" t="s">
        <v>24</v>
      </c>
    </row>
    <row r="72" spans="1:7" x14ac:dyDescent="0.25">
      <c r="A72" s="185" t="s">
        <v>195</v>
      </c>
      <c r="B72" s="157"/>
      <c r="C72" s="167">
        <v>42691.538194444445</v>
      </c>
      <c r="D72" s="167">
        <v>42692.76458333333</v>
      </c>
      <c r="E72" s="157"/>
      <c r="F72" s="163">
        <f t="shared" si="11"/>
        <v>1.226388888884685</v>
      </c>
      <c r="G72" s="168" t="s">
        <v>24</v>
      </c>
    </row>
    <row r="73" spans="1:7" x14ac:dyDescent="0.25">
      <c r="A73" s="185" t="s">
        <v>196</v>
      </c>
      <c r="B73" s="157"/>
      <c r="C73" s="167">
        <v>42691.50277777778</v>
      </c>
      <c r="D73" s="167">
        <v>42692.761111111111</v>
      </c>
      <c r="E73" s="157"/>
      <c r="F73" s="163">
        <f t="shared" si="11"/>
        <v>1.2583333333313931</v>
      </c>
      <c r="G73" s="168" t="s">
        <v>24</v>
      </c>
    </row>
    <row r="74" spans="1:7" x14ac:dyDescent="0.25">
      <c r="A74" s="185" t="s">
        <v>197</v>
      </c>
      <c r="B74" s="157"/>
      <c r="C74" s="167">
        <v>42685.675694444442</v>
      </c>
      <c r="D74" s="167">
        <v>42692.707638888889</v>
      </c>
      <c r="E74" s="157"/>
      <c r="F74" s="163">
        <f t="shared" si="11"/>
        <v>7.0319444444467081</v>
      </c>
      <c r="G74" s="168" t="s">
        <v>24</v>
      </c>
    </row>
    <row r="75" spans="1:7" x14ac:dyDescent="0.25">
      <c r="A75" s="185" t="s">
        <v>198</v>
      </c>
      <c r="B75" s="157"/>
      <c r="C75" s="167">
        <v>42570.54791666667</v>
      </c>
      <c r="D75" s="167">
        <v>42682.570833333331</v>
      </c>
      <c r="E75" s="157"/>
      <c r="F75" s="163">
        <f t="shared" si="11"/>
        <v>112.02291666666133</v>
      </c>
      <c r="G75" s="168" t="s">
        <v>24</v>
      </c>
    </row>
    <row r="76" spans="1:7" x14ac:dyDescent="0.25">
      <c r="A76" s="185" t="s">
        <v>199</v>
      </c>
      <c r="B76" s="157"/>
      <c r="C76" s="167">
        <v>42671.689583333333</v>
      </c>
      <c r="D76" s="167">
        <v>42677.428472222222</v>
      </c>
      <c r="E76" s="157"/>
      <c r="F76" s="163">
        <f t="shared" si="11"/>
        <v>5.7388888888890506</v>
      </c>
      <c r="G76" s="168" t="s">
        <v>24</v>
      </c>
    </row>
    <row r="77" spans="1:7" x14ac:dyDescent="0.25">
      <c r="A77" s="185" t="s">
        <v>200</v>
      </c>
      <c r="B77" s="157"/>
      <c r="C77" s="167">
        <v>42674.718055555553</v>
      </c>
      <c r="D77" s="167">
        <v>42676.450694444444</v>
      </c>
      <c r="E77" s="157"/>
      <c r="F77" s="163">
        <f t="shared" si="11"/>
        <v>1.7326388888905058</v>
      </c>
      <c r="G77" s="168" t="s">
        <v>24</v>
      </c>
    </row>
    <row r="78" spans="1:7" x14ac:dyDescent="0.25">
      <c r="A78" s="185" t="s">
        <v>201</v>
      </c>
      <c r="C78" s="167">
        <v>42675.449305555558</v>
      </c>
      <c r="D78" s="167">
        <v>42676.436805555553</v>
      </c>
      <c r="F78" s="163">
        <f t="shared" si="11"/>
        <v>0.98749999999563443</v>
      </c>
      <c r="G78" s="168" t="s">
        <v>24</v>
      </c>
    </row>
    <row r="79" spans="1:7" x14ac:dyDescent="0.25">
      <c r="A79" s="185" t="s">
        <v>202</v>
      </c>
      <c r="C79" s="167">
        <v>42570.544444444444</v>
      </c>
      <c r="D79" s="167">
        <v>42675.579861111109</v>
      </c>
      <c r="F79" s="163">
        <f t="shared" si="11"/>
        <v>105.0354166666657</v>
      </c>
      <c r="G79" s="168" t="s">
        <v>24</v>
      </c>
    </row>
    <row r="80" spans="1:7" x14ac:dyDescent="0.25">
      <c r="A80" s="185" t="s">
        <v>203</v>
      </c>
      <c r="C80" s="167">
        <v>42633.747916666667</v>
      </c>
      <c r="D80" s="167">
        <v>42674.662499999999</v>
      </c>
      <c r="F80" s="163">
        <f t="shared" si="11"/>
        <v>40.914583333331393</v>
      </c>
      <c r="G80" s="168" t="s">
        <v>27</v>
      </c>
    </row>
    <row r="81" spans="1:7" x14ac:dyDescent="0.25">
      <c r="A81" s="185" t="s">
        <v>204</v>
      </c>
      <c r="C81" s="167">
        <v>42604.772916666669</v>
      </c>
      <c r="D81" s="167">
        <v>42674.590277777781</v>
      </c>
      <c r="F81" s="163">
        <f t="shared" si="11"/>
        <v>69.817361111112405</v>
      </c>
      <c r="G81" s="168" t="s">
        <v>27</v>
      </c>
    </row>
    <row r="82" spans="1:7" x14ac:dyDescent="0.25">
      <c r="A82" s="185" t="s">
        <v>205</v>
      </c>
      <c r="C82" s="167">
        <v>42604.763888888891</v>
      </c>
      <c r="D82" s="167">
        <v>42674.57916666667</v>
      </c>
      <c r="F82" s="163">
        <f t="shared" si="11"/>
        <v>69.815277777779556</v>
      </c>
      <c r="G82" s="168" t="s">
        <v>27</v>
      </c>
    </row>
    <row r="83" spans="1:7" x14ac:dyDescent="0.25">
      <c r="A83" s="185" t="s">
        <v>206</v>
      </c>
      <c r="C83" s="167">
        <v>42593.765972222223</v>
      </c>
      <c r="D83" s="167">
        <v>42674.570833333331</v>
      </c>
      <c r="F83" s="163">
        <f t="shared" si="11"/>
        <v>80.804861111108039</v>
      </c>
      <c r="G83" s="168" t="s">
        <v>27</v>
      </c>
    </row>
    <row r="84" spans="1:7" x14ac:dyDescent="0.25">
      <c r="A84" s="185" t="s">
        <v>207</v>
      </c>
      <c r="C84" s="167">
        <v>42593.805555555555</v>
      </c>
      <c r="D84" s="167">
        <v>42674.565972222219</v>
      </c>
      <c r="F84" s="163">
        <f t="shared" si="11"/>
        <v>80.760416666664241</v>
      </c>
      <c r="G84" s="168" t="s">
        <v>27</v>
      </c>
    </row>
    <row r="85" spans="1:7" x14ac:dyDescent="0.25">
      <c r="A85" s="185" t="s">
        <v>208</v>
      </c>
      <c r="C85" s="167">
        <v>42594.723611111112</v>
      </c>
      <c r="D85" s="167">
        <v>42674.490277777775</v>
      </c>
      <c r="F85" s="163">
        <f t="shared" si="11"/>
        <v>79.766666666662786</v>
      </c>
      <c r="G85" s="168" t="s">
        <v>27</v>
      </c>
    </row>
    <row r="86" spans="1:7" x14ac:dyDescent="0.25">
      <c r="A86" s="185" t="s">
        <v>209</v>
      </c>
      <c r="C86" s="167">
        <v>42593.724999999999</v>
      </c>
      <c r="D86" s="167">
        <v>42674.446527777778</v>
      </c>
      <c r="F86" s="163">
        <f t="shared" si="11"/>
        <v>80.721527777779556</v>
      </c>
      <c r="G86" s="168" t="s">
        <v>27</v>
      </c>
    </row>
    <row r="87" spans="1:7" x14ac:dyDescent="0.25">
      <c r="A87" s="185" t="s">
        <v>210</v>
      </c>
      <c r="C87" s="167">
        <v>42671.581250000003</v>
      </c>
      <c r="D87" s="167">
        <v>42671.697916666664</v>
      </c>
      <c r="F87" s="163">
        <f t="shared" si="11"/>
        <v>0.11666666666133096</v>
      </c>
      <c r="G87" s="168" t="s">
        <v>24</v>
      </c>
    </row>
    <row r="88" spans="1:7" x14ac:dyDescent="0.25">
      <c r="A88" s="185" t="s">
        <v>211</v>
      </c>
      <c r="C88" s="167">
        <v>42671.618055555555</v>
      </c>
      <c r="D88" s="167">
        <v>42671.681944444441</v>
      </c>
      <c r="F88" s="163">
        <f t="shared" si="11"/>
        <v>6.3888888886140194E-2</v>
      </c>
      <c r="G88" s="168" t="s">
        <v>24</v>
      </c>
    </row>
    <row r="89" spans="1:7" x14ac:dyDescent="0.25">
      <c r="A89" s="185" t="s">
        <v>212</v>
      </c>
      <c r="C89" s="167">
        <v>42671.537499999999</v>
      </c>
      <c r="D89" s="167">
        <v>42671.613888888889</v>
      </c>
      <c r="F89" s="163">
        <f t="shared" si="11"/>
        <v>7.6388888890505768E-2</v>
      </c>
      <c r="G89" s="168" t="s">
        <v>24</v>
      </c>
    </row>
    <row r="90" spans="1:7" x14ac:dyDescent="0.25">
      <c r="A90" s="185" t="s">
        <v>213</v>
      </c>
      <c r="C90" s="167">
        <v>42670.584722222222</v>
      </c>
      <c r="D90" s="167">
        <v>42671.536111111112</v>
      </c>
      <c r="F90" s="163">
        <f t="shared" si="11"/>
        <v>0.95138888889050577</v>
      </c>
      <c r="G90" s="168" t="s">
        <v>24</v>
      </c>
    </row>
    <row r="91" spans="1:7" x14ac:dyDescent="0.25">
      <c r="A91" s="185" t="s">
        <v>214</v>
      </c>
      <c r="C91" s="167">
        <v>42670.586805555555</v>
      </c>
      <c r="D91" s="167">
        <v>42671.466666666667</v>
      </c>
      <c r="F91" s="163">
        <f t="shared" si="11"/>
        <v>0.87986111111240461</v>
      </c>
      <c r="G91" s="168" t="s">
        <v>24</v>
      </c>
    </row>
    <row r="92" spans="1:7" x14ac:dyDescent="0.25">
      <c r="A92" s="185" t="s">
        <v>215</v>
      </c>
      <c r="C92" s="167">
        <v>42670.62222222222</v>
      </c>
      <c r="D92" s="167">
        <v>42671.448611111111</v>
      </c>
      <c r="F92" s="163">
        <f t="shared" si="11"/>
        <v>0.82638888889050577</v>
      </c>
      <c r="G92" s="168" t="s">
        <v>24</v>
      </c>
    </row>
    <row r="93" spans="1:7" x14ac:dyDescent="0.25">
      <c r="A93" s="185" t="s">
        <v>216</v>
      </c>
      <c r="C93" s="167">
        <v>42670.453472222223</v>
      </c>
      <c r="D93" s="167">
        <v>42671.448611111111</v>
      </c>
      <c r="F93" s="163">
        <f t="shared" si="11"/>
        <v>0.99513888888759539</v>
      </c>
      <c r="G93" s="168" t="s">
        <v>24</v>
      </c>
    </row>
    <row r="94" spans="1:7" x14ac:dyDescent="0.25">
      <c r="A94" s="185" t="s">
        <v>217</v>
      </c>
      <c r="C94" s="167">
        <v>42668.454861111109</v>
      </c>
      <c r="D94" s="167">
        <v>42670.724999999999</v>
      </c>
      <c r="F94" s="163">
        <f t="shared" si="11"/>
        <v>2.2701388888890506</v>
      </c>
      <c r="G94" s="168" t="s">
        <v>26</v>
      </c>
    </row>
    <row r="95" spans="1:7" x14ac:dyDescent="0.25">
      <c r="A95" s="185" t="s">
        <v>218</v>
      </c>
      <c r="C95" s="167">
        <v>42628.693749999999</v>
      </c>
      <c r="D95" s="167">
        <v>42670.724305555559</v>
      </c>
      <c r="F95" s="163">
        <f t="shared" si="11"/>
        <v>42.030555555560568</v>
      </c>
      <c r="G95" s="168" t="s">
        <v>24</v>
      </c>
    </row>
    <row r="96" spans="1:7" x14ac:dyDescent="0.25">
      <c r="A96" s="185" t="s">
        <v>219</v>
      </c>
      <c r="C96" s="167">
        <v>42669.588194444441</v>
      </c>
      <c r="D96" s="167">
        <v>42670.67083333333</v>
      </c>
      <c r="F96" s="163">
        <f t="shared" si="11"/>
        <v>1.0826388888890506</v>
      </c>
      <c r="G96" s="168" t="s">
        <v>24</v>
      </c>
    </row>
    <row r="97" spans="1:7" x14ac:dyDescent="0.25">
      <c r="A97" s="185" t="s">
        <v>220</v>
      </c>
      <c r="C97" s="167">
        <v>42669.441666666666</v>
      </c>
      <c r="D97" s="167">
        <v>42670.620833333334</v>
      </c>
      <c r="F97" s="163">
        <f t="shared" si="11"/>
        <v>1.1791666666686069</v>
      </c>
      <c r="G97" s="168" t="s">
        <v>24</v>
      </c>
    </row>
    <row r="98" spans="1:7" x14ac:dyDescent="0.25">
      <c r="A98" s="185" t="s">
        <v>221</v>
      </c>
      <c r="C98" s="167">
        <v>42669.404166666667</v>
      </c>
      <c r="D98" s="167">
        <v>42669.581250000003</v>
      </c>
      <c r="F98" s="163">
        <f t="shared" si="11"/>
        <v>0.17708333333575865</v>
      </c>
      <c r="G98" s="168" t="s">
        <v>24</v>
      </c>
    </row>
    <row r="99" spans="1:7" x14ac:dyDescent="0.25">
      <c r="A99" s="185" t="s">
        <v>222</v>
      </c>
      <c r="C99" s="167">
        <v>42668.407638888886</v>
      </c>
      <c r="D99" s="167">
        <v>42669.52847222222</v>
      </c>
      <c r="F99" s="163">
        <f t="shared" si="11"/>
        <v>1.1208333333343035</v>
      </c>
      <c r="G99" s="168" t="s">
        <v>24</v>
      </c>
    </row>
    <row r="100" spans="1:7" x14ac:dyDescent="0.25">
      <c r="A100" s="185" t="s">
        <v>223</v>
      </c>
      <c r="C100" s="167">
        <v>42649.678472222222</v>
      </c>
      <c r="D100" s="167">
        <v>42669.515972222223</v>
      </c>
      <c r="F100" s="163">
        <f t="shared" si="11"/>
        <v>19.837500000001455</v>
      </c>
      <c r="G100" s="168" t="s">
        <v>24</v>
      </c>
    </row>
    <row r="101" spans="1:7" x14ac:dyDescent="0.25">
      <c r="A101" s="185" t="s">
        <v>224</v>
      </c>
      <c r="C101" s="167">
        <v>42663.480555555558</v>
      </c>
      <c r="D101" s="167">
        <v>42668.456250000003</v>
      </c>
      <c r="F101" s="163">
        <f t="shared" si="11"/>
        <v>4.9756944444452529</v>
      </c>
      <c r="G101" s="168" t="s">
        <v>24</v>
      </c>
    </row>
    <row r="102" spans="1:7" x14ac:dyDescent="0.25">
      <c r="A102" s="185" t="s">
        <v>225</v>
      </c>
      <c r="C102" s="167">
        <v>42646.496527777781</v>
      </c>
      <c r="D102" s="167">
        <v>42668.449305555558</v>
      </c>
      <c r="F102" s="163">
        <f t="shared" si="11"/>
        <v>21.952777777776646</v>
      </c>
      <c r="G102" s="168" t="s">
        <v>24</v>
      </c>
    </row>
    <row r="103" spans="1:7" x14ac:dyDescent="0.25">
      <c r="A103" s="185" t="s">
        <v>226</v>
      </c>
      <c r="C103" s="167">
        <v>42667.678472222222</v>
      </c>
      <c r="D103" s="167">
        <v>42668.438888888886</v>
      </c>
      <c r="F103" s="163">
        <f t="shared" si="11"/>
        <v>0.76041666666424135</v>
      </c>
      <c r="G103" s="168" t="s">
        <v>24</v>
      </c>
    </row>
    <row r="104" spans="1:7" x14ac:dyDescent="0.25">
      <c r="A104" s="185" t="s">
        <v>227</v>
      </c>
      <c r="C104" s="167">
        <v>42664.583333333336</v>
      </c>
      <c r="D104" s="167">
        <v>42667.731249999997</v>
      </c>
      <c r="F104" s="163">
        <f t="shared" si="11"/>
        <v>3.147916666661331</v>
      </c>
      <c r="G104" s="168" t="s">
        <v>24</v>
      </c>
    </row>
    <row r="105" spans="1:7" x14ac:dyDescent="0.25">
      <c r="A105" s="185" t="s">
        <v>228</v>
      </c>
      <c r="C105" s="167">
        <v>42664.458333333336</v>
      </c>
      <c r="D105" s="167">
        <v>42664.583333333336</v>
      </c>
      <c r="F105" s="163">
        <f t="shared" si="11"/>
        <v>0.125</v>
      </c>
      <c r="G105" s="168" t="s">
        <v>24</v>
      </c>
    </row>
    <row r="106" spans="1:7" x14ac:dyDescent="0.25">
      <c r="A106" s="185" t="s">
        <v>229</v>
      </c>
      <c r="C106" s="167">
        <v>42656.652777777781</v>
      </c>
      <c r="D106" s="167">
        <v>42661.686805555553</v>
      </c>
      <c r="F106" s="163">
        <f t="shared" si="11"/>
        <v>5.0340277777722804</v>
      </c>
      <c r="G106" s="168" t="s">
        <v>24</v>
      </c>
    </row>
    <row r="107" spans="1:7" x14ac:dyDescent="0.25">
      <c r="A107" s="185" t="s">
        <v>230</v>
      </c>
      <c r="C107" s="167">
        <v>42660.556250000001</v>
      </c>
      <c r="D107" s="167">
        <v>42661.614583333336</v>
      </c>
      <c r="F107" s="163">
        <f t="shared" si="11"/>
        <v>1.0583333333343035</v>
      </c>
      <c r="G107" s="168" t="s">
        <v>24</v>
      </c>
    </row>
    <row r="108" spans="1:7" x14ac:dyDescent="0.25">
      <c r="A108" s="185" t="s">
        <v>231</v>
      </c>
      <c r="C108" s="167">
        <v>42656.656944444447</v>
      </c>
      <c r="D108" s="167">
        <v>42660.434027777781</v>
      </c>
      <c r="F108" s="163">
        <f t="shared" si="11"/>
        <v>3.7770833333343035</v>
      </c>
      <c r="G108" s="168" t="s">
        <v>24</v>
      </c>
    </row>
    <row r="109" spans="1:7" x14ac:dyDescent="0.25">
      <c r="A109" s="185" t="s">
        <v>232</v>
      </c>
      <c r="C109" s="167">
        <v>42656.519444444442</v>
      </c>
      <c r="D109" s="167">
        <v>42657.736805555556</v>
      </c>
      <c r="F109" s="163">
        <f t="shared" si="11"/>
        <v>1.2173611111138598</v>
      </c>
      <c r="G109" s="168" t="s">
        <v>24</v>
      </c>
    </row>
    <row r="110" spans="1:7" x14ac:dyDescent="0.25">
      <c r="A110" s="185" t="s">
        <v>125</v>
      </c>
      <c r="C110" s="167">
        <v>42641.427083333336</v>
      </c>
      <c r="D110" s="167">
        <v>42657.56527777778</v>
      </c>
      <c r="F110" s="163">
        <f t="shared" si="11"/>
        <v>16.138194444443798</v>
      </c>
      <c r="G110" s="168" t="s">
        <v>24</v>
      </c>
    </row>
    <row r="111" spans="1:7" x14ac:dyDescent="0.25">
      <c r="A111" s="185" t="s">
        <v>233</v>
      </c>
      <c r="C111" s="167">
        <v>42655.636805555558</v>
      </c>
      <c r="D111" s="167">
        <v>42656.677777777775</v>
      </c>
      <c r="F111" s="163">
        <f t="shared" si="11"/>
        <v>1.0409722222175333</v>
      </c>
      <c r="G111" s="168" t="s">
        <v>24</v>
      </c>
    </row>
    <row r="112" spans="1:7" x14ac:dyDescent="0.25">
      <c r="A112" s="185" t="s">
        <v>234</v>
      </c>
      <c r="C112" s="167">
        <v>42650.45</v>
      </c>
      <c r="D112" s="167">
        <v>42656.409722222219</v>
      </c>
      <c r="F112" s="163">
        <f t="shared" si="11"/>
        <v>5.9597222222218988</v>
      </c>
      <c r="G112" s="168" t="s">
        <v>24</v>
      </c>
    </row>
    <row r="113" spans="1:7" x14ac:dyDescent="0.25">
      <c r="A113" s="185" t="s">
        <v>235</v>
      </c>
      <c r="C113" s="167">
        <v>42655.510416666664</v>
      </c>
      <c r="D113" s="167">
        <v>42655.629861111112</v>
      </c>
      <c r="F113" s="163">
        <f t="shared" si="11"/>
        <v>0.11944444444816327</v>
      </c>
      <c r="G113" s="168" t="s">
        <v>24</v>
      </c>
    </row>
    <row r="114" spans="1:7" x14ac:dyDescent="0.25">
      <c r="A114" s="185" t="s">
        <v>236</v>
      </c>
      <c r="C114" s="167">
        <v>42655.481249999997</v>
      </c>
      <c r="D114" s="167">
        <v>42655.561111111114</v>
      </c>
      <c r="F114" s="163">
        <f t="shared" si="11"/>
        <v>7.9861111116770189E-2</v>
      </c>
      <c r="G114" s="168" t="s">
        <v>24</v>
      </c>
    </row>
    <row r="115" spans="1:7" x14ac:dyDescent="0.25">
      <c r="A115" s="185" t="s">
        <v>237</v>
      </c>
      <c r="C115" s="167">
        <v>42653.429166666669</v>
      </c>
      <c r="D115" s="167">
        <v>42655.48333333333</v>
      </c>
      <c r="F115" s="163">
        <f t="shared" si="11"/>
        <v>2.054166666661331</v>
      </c>
      <c r="G115" s="168" t="s">
        <v>24</v>
      </c>
    </row>
    <row r="116" spans="1:7" x14ac:dyDescent="0.25">
      <c r="A116" s="185" t="s">
        <v>238</v>
      </c>
      <c r="C116" s="167">
        <v>42646.710416666669</v>
      </c>
      <c r="D116" s="167">
        <v>42655.482638888891</v>
      </c>
      <c r="F116" s="163">
        <f t="shared" si="11"/>
        <v>8.7722222222218988</v>
      </c>
      <c r="G116" s="168" t="s">
        <v>24</v>
      </c>
    </row>
    <row r="117" spans="1:7" x14ac:dyDescent="0.25">
      <c r="A117" s="185" t="s">
        <v>239</v>
      </c>
      <c r="C117" s="167">
        <v>42639.60833333333</v>
      </c>
      <c r="D117" s="167">
        <v>42655.45208333333</v>
      </c>
      <c r="F117" s="163">
        <f t="shared" si="11"/>
        <v>15.84375</v>
      </c>
      <c r="G117" s="168" t="s">
        <v>24</v>
      </c>
    </row>
    <row r="118" spans="1:7" x14ac:dyDescent="0.25">
      <c r="A118" s="185" t="s">
        <v>240</v>
      </c>
      <c r="C118" s="167">
        <v>42649.468055555553</v>
      </c>
      <c r="D118" s="167">
        <v>42653.427777777775</v>
      </c>
      <c r="F118" s="163">
        <f t="shared" si="11"/>
        <v>3.9597222222218988</v>
      </c>
      <c r="G118" s="168" t="s">
        <v>24</v>
      </c>
    </row>
    <row r="119" spans="1:7" x14ac:dyDescent="0.25">
      <c r="A119" s="185" t="s">
        <v>241</v>
      </c>
      <c r="C119" s="167">
        <v>42646.5</v>
      </c>
      <c r="D119" s="167">
        <v>42650.595138888886</v>
      </c>
      <c r="F119" s="163">
        <f t="shared" si="11"/>
        <v>4.0951388888861402</v>
      </c>
      <c r="G119" s="168" t="s">
        <v>24</v>
      </c>
    </row>
    <row r="120" spans="1:7" x14ac:dyDescent="0.25">
      <c r="A120" s="185" t="s">
        <v>242</v>
      </c>
      <c r="C120" s="167">
        <v>42649.541666666664</v>
      </c>
      <c r="D120" s="167">
        <v>42650.426388888889</v>
      </c>
      <c r="F120" s="163">
        <f t="shared" si="11"/>
        <v>0.88472222222480923</v>
      </c>
      <c r="G120" s="168" t="s">
        <v>24</v>
      </c>
    </row>
    <row r="121" spans="1:7" x14ac:dyDescent="0.25">
      <c r="A121" s="185" t="s">
        <v>122</v>
      </c>
      <c r="C121" s="167">
        <v>42627.510416666664</v>
      </c>
      <c r="D121" s="167">
        <v>42650.426388888889</v>
      </c>
      <c r="F121" s="163">
        <f t="shared" si="11"/>
        <v>22.915972222224809</v>
      </c>
      <c r="G121" s="168" t="s">
        <v>24</v>
      </c>
    </row>
    <row r="122" spans="1:7" x14ac:dyDescent="0.25">
      <c r="A122" s="185" t="s">
        <v>243</v>
      </c>
      <c r="C122" s="167">
        <v>42646.650694444441</v>
      </c>
      <c r="D122" s="167">
        <v>42649.468055555553</v>
      </c>
      <c r="F122" s="163">
        <f t="shared" si="11"/>
        <v>2.8173611111124046</v>
      </c>
      <c r="G122" s="168" t="s">
        <v>24</v>
      </c>
    </row>
    <row r="123" spans="1:7" x14ac:dyDescent="0.25">
      <c r="A123" s="185" t="s">
        <v>124</v>
      </c>
      <c r="C123" s="167">
        <v>42635.448611111111</v>
      </c>
      <c r="D123" s="167">
        <v>42649.465277777781</v>
      </c>
      <c r="F123" s="163">
        <f t="shared" si="11"/>
        <v>14.016666666670062</v>
      </c>
      <c r="G123" s="168" t="s">
        <v>24</v>
      </c>
    </row>
    <row r="124" spans="1:7" x14ac:dyDescent="0.25">
      <c r="A124" s="185" t="s">
        <v>128</v>
      </c>
      <c r="C124" s="167">
        <v>42564.45208333333</v>
      </c>
      <c r="D124" s="167">
        <v>42648.425694444442</v>
      </c>
      <c r="F124" s="163">
        <f t="shared" si="11"/>
        <v>83.973611111112405</v>
      </c>
      <c r="G124" s="168" t="s">
        <v>24</v>
      </c>
    </row>
    <row r="125" spans="1:7" x14ac:dyDescent="0.25">
      <c r="A125" s="185" t="s">
        <v>244</v>
      </c>
      <c r="C125" s="167">
        <v>42643.304861111108</v>
      </c>
      <c r="D125" s="167">
        <v>42646.574305555558</v>
      </c>
      <c r="F125" s="163">
        <f t="shared" si="11"/>
        <v>3.2694444444496185</v>
      </c>
      <c r="G125" s="168" t="s">
        <v>24</v>
      </c>
    </row>
  </sheetData>
  <hyperlinks>
    <hyperlink ref="A1" r:id="rId1" display="https://dev.qtech.ru/browse/CPEQ-1028"/>
    <hyperlink ref="A2" r:id="rId2" display="https://dev.qtech.ru/browse/CPEQ-1028"/>
    <hyperlink ref="A3" r:id="rId3" display="https://dev.qtech.ru/browse/CPEQ-1082"/>
    <hyperlink ref="A4" r:id="rId4" display="https://dev.qtech.ru/browse/CPEQ-1074"/>
    <hyperlink ref="A5" r:id="rId5" display="https://dev.qtech.ru/browse/CPEQ-1078"/>
    <hyperlink ref="A6" r:id="rId6" display="https://dev.qtech.ru/browse/CPEQ-1075"/>
    <hyperlink ref="A7" r:id="rId7" display="https://dev.qtech.ru/browse/CPEQ-1077"/>
    <hyperlink ref="A8" r:id="rId8" display="https://dev.qtech.ru/browse/CPEQ-1073"/>
    <hyperlink ref="A9" r:id="rId9" display="https://dev.qtech.ru/browse/CPEQ-1072"/>
    <hyperlink ref="A10" r:id="rId10" display="https://dev.qtech.ru/browse/WRT-1"/>
    <hyperlink ref="A11" r:id="rId11" display="https://dev.qtech.ru/browse/CPEQ-1066"/>
    <hyperlink ref="A12" r:id="rId12" display="https://dev.qtech.ru/browse/CPEQ-1061"/>
    <hyperlink ref="A13" r:id="rId13" display="https://dev.qtech.ru/browse/CPEQ-1071"/>
    <hyperlink ref="A14" r:id="rId14" display="https://dev.qtech.ru/browse/CPEQ-1070"/>
    <hyperlink ref="A15" r:id="rId15" display="https://dev.qtech.ru/browse/CPEQ-824"/>
    <hyperlink ref="A16" r:id="rId16" display="https://dev.qtech.ru/browse/CPEQ-1069"/>
    <hyperlink ref="A17" r:id="rId17" display="https://dev.qtech.ru/browse/CPEQ-1060"/>
    <hyperlink ref="A18" r:id="rId18" display="https://dev.qtech.ru/browse/CPEQ-1065"/>
    <hyperlink ref="A19" r:id="rId19" display="https://dev.qtech.ru/browse/CPEQ-1063"/>
    <hyperlink ref="A20" r:id="rId20" display="https://dev.qtech.ru/browse/CPEQ-1055"/>
    <hyperlink ref="A21" r:id="rId21" display="https://dev.qtech.ru/browse/CPEQ-1067"/>
    <hyperlink ref="A22" r:id="rId22" display="https://dev.qtech.ru/browse/CPEQ-947"/>
    <hyperlink ref="A23" r:id="rId23" display="https://dev.qtech.ru/browse/CPEQ-913"/>
    <hyperlink ref="A24" r:id="rId24" display="https://dev.qtech.ru/browse/CPEQ-1064"/>
    <hyperlink ref="A25" r:id="rId25" display="https://dev.qtech.ru/browse/CPEQ-924"/>
    <hyperlink ref="A26" r:id="rId26" display="https://dev.qtech.ru/browse/CPEQ-1062"/>
    <hyperlink ref="A27" r:id="rId27" display="https://dev.qtech.ru/browse/CPEQ-733"/>
    <hyperlink ref="A28" r:id="rId28" display="https://dev.qtech.ru/browse/CPEQ-1047"/>
    <hyperlink ref="A29" r:id="rId29" display="https://dev.qtech.ru/browse/CPEQ-1059"/>
    <hyperlink ref="A30" r:id="rId30" display="https://dev.qtech.ru/browse/CPEQ-1057"/>
    <hyperlink ref="A31" r:id="rId31" display="https://dev.qtech.ru/browse/CPEQ-1058"/>
    <hyperlink ref="A32" r:id="rId32" display="https://dev.qtech.ru/browse/CPEQ-1051"/>
    <hyperlink ref="A33" r:id="rId33" display="https://dev.qtech.ru/browse/CPEQ-1052"/>
    <hyperlink ref="A34" r:id="rId34" display="https://dev.qtech.ru/browse/CPEQ-1050"/>
    <hyperlink ref="A35" r:id="rId35" display="https://dev.qtech.ru/browse/CPEQ-941"/>
    <hyperlink ref="A36" r:id="rId36" display="https://dev.qtech.ru/browse/CPEQ-973"/>
    <hyperlink ref="A37" r:id="rId37" display="https://dev.qtech.ru/browse/CPEQ-1049"/>
    <hyperlink ref="A38" r:id="rId38" display="https://dev.qtech.ru/browse/CPEQ-657"/>
    <hyperlink ref="A39" r:id="rId39" display="https://dev.qtech.ru/browse/CPEQ-1023"/>
    <hyperlink ref="A40" r:id="rId40" display="https://dev.qtech.ru/browse/CPEQ-686"/>
    <hyperlink ref="A41" r:id="rId41" display="https://dev.qtech.ru/browse/CPEQ-984"/>
    <hyperlink ref="A42" r:id="rId42" display="https://dev.qtech.ru/browse/CPEQ-965"/>
    <hyperlink ref="A43" r:id="rId43" display="https://dev.qtech.ru/browse/CPEQ-1026"/>
    <hyperlink ref="A44" r:id="rId44" display="https://dev.qtech.ru/browse/CPEQ-1027"/>
    <hyperlink ref="A45" r:id="rId45" display="https://dev.qtech.ru/browse/CPEQ-969"/>
    <hyperlink ref="A46" r:id="rId46" display="https://dev.qtech.ru/browse/CPEQ-1021"/>
    <hyperlink ref="A47" r:id="rId47" display="https://dev.qtech.ru/browse/CPEQ-1018"/>
    <hyperlink ref="A48" r:id="rId48" display="https://dev.qtech.ru/browse/CPEQ-1020"/>
    <hyperlink ref="A49" r:id="rId49" display="https://dev.qtech.ru/browse/CPEQ-584"/>
    <hyperlink ref="A50" r:id="rId50" display="https://dev.qtech.ru/browse/CPEQ-1016"/>
    <hyperlink ref="A51" r:id="rId51" display="https://dev.qtech.ru/browse/CPEQ-1007"/>
    <hyperlink ref="A52" r:id="rId52" display="https://dev.qtech.ru/browse/CPEQ-582"/>
    <hyperlink ref="A53" r:id="rId53" display="https://dev.qtech.ru/browse/CPEQ-1012"/>
    <hyperlink ref="A54" r:id="rId54" display="https://dev.qtech.ru/browse/CPEQ-1010"/>
    <hyperlink ref="A55" r:id="rId55" display="https://dev.qtech.ru/browse/CPEQ-1009"/>
    <hyperlink ref="A56" r:id="rId56" display="https://dev.qtech.ru/browse/CPEQ-1006"/>
    <hyperlink ref="A57" r:id="rId57" display="https://dev.qtech.ru/browse/CPEQ-1005"/>
    <hyperlink ref="A58" r:id="rId58" display="https://dev.qtech.ru/browse/CPEQ-572"/>
    <hyperlink ref="A59" r:id="rId59" display="https://dev.qtech.ru/browse/CPEQ-922"/>
    <hyperlink ref="A60" r:id="rId60" display="https://dev.qtech.ru/browse/CPEQ-597"/>
    <hyperlink ref="A61" r:id="rId61" display="https://dev.qtech.ru/browse/CPEQ-801"/>
    <hyperlink ref="A62" r:id="rId62" display="https://dev.qtech.ru/browse/CPEQ-672"/>
    <hyperlink ref="A63" r:id="rId63" display="https://dev.qtech.ru/browse/CPEQ-679"/>
    <hyperlink ref="A64" r:id="rId64" display="https://dev.qtech.ru/browse/CPEQ-982"/>
    <hyperlink ref="A65" r:id="rId65" display="https://dev.qtech.ru/browse/CPEQ-983"/>
    <hyperlink ref="A66" r:id="rId66" display="https://dev.qtech.ru/browse/CPEQ-972"/>
    <hyperlink ref="A67" r:id="rId67" display="https://dev.qtech.ru/browse/CPEQ-968"/>
    <hyperlink ref="A68" r:id="rId68" display="https://dev.qtech.ru/browse/CPEQ-970"/>
    <hyperlink ref="A69" r:id="rId69" display="https://dev.qtech.ru/browse/CPEQ-853"/>
    <hyperlink ref="A70" r:id="rId70" display="https://dev.qtech.ru/browse/CPEQ-979"/>
    <hyperlink ref="A71" r:id="rId71" display="https://dev.qtech.ru/browse/CPEQ-977"/>
    <hyperlink ref="A72" r:id="rId72" display="https://dev.qtech.ru/browse/CPEQ-974"/>
    <hyperlink ref="A73" r:id="rId73" display="https://dev.qtech.ru/browse/CPEQ-971"/>
    <hyperlink ref="A74" r:id="rId74" display="https://dev.qtech.ru/browse/CPEQ-962"/>
    <hyperlink ref="A75" r:id="rId75" display="https://dev.qtech.ru/browse/CPEQ-599"/>
    <hyperlink ref="A76" r:id="rId76" display="https://dev.qtech.ru/browse/CPEQ-912"/>
    <hyperlink ref="A77" r:id="rId77" display="https://dev.qtech.ru/browse/CPEQ-915"/>
    <hyperlink ref="A78" r:id="rId78" display="https://dev.qtech.ru/browse/CPEQ-917"/>
    <hyperlink ref="A79" r:id="rId79" display="https://dev.qtech.ru/browse/CPEQ-598"/>
    <hyperlink ref="A80" r:id="rId80" display="https://dev.qtech.ru/browse/CPEQ-756"/>
    <hyperlink ref="A81" r:id="rId81" display="https://dev.qtech.ru/browse/CPEQ-689"/>
    <hyperlink ref="A82" r:id="rId82" display="https://dev.qtech.ru/browse/CPEQ-688"/>
    <hyperlink ref="A83" r:id="rId83" display="https://dev.qtech.ru/browse/CPEQ-676"/>
    <hyperlink ref="A84" r:id="rId84" display="https://dev.qtech.ru/browse/CPEQ-677"/>
    <hyperlink ref="A85" r:id="rId85" display="https://dev.qtech.ru/browse/CPEQ-678"/>
    <hyperlink ref="A86" r:id="rId86" display="https://dev.qtech.ru/browse/CPEQ-675"/>
    <hyperlink ref="A87" r:id="rId87" display="https://dev.qtech.ru/browse/CPEQ-910"/>
    <hyperlink ref="A88" r:id="rId88" display="https://dev.qtech.ru/browse/CPEQ-911"/>
    <hyperlink ref="A89" r:id="rId89" display="https://dev.qtech.ru/browse/CPEQ-909"/>
    <hyperlink ref="A90" r:id="rId90" display="https://dev.qtech.ru/browse/CPEQ-906"/>
    <hyperlink ref="A91" r:id="rId91" display="https://dev.qtech.ru/browse/CPEQ-907"/>
    <hyperlink ref="A92" r:id="rId92" display="https://dev.qtech.ru/browse/CPEQ-908"/>
    <hyperlink ref="A93" r:id="rId93" display="https://dev.qtech.ru/browse/CPEQ-903"/>
    <hyperlink ref="A94" r:id="rId94" display="https://dev.qtech.ru/browse/CPEQ-896"/>
    <hyperlink ref="A95" r:id="rId95" display="https://dev.qtech.ru/browse/CPEQ-745"/>
    <hyperlink ref="A96" r:id="rId96" display="https://dev.qtech.ru/browse/CPEQ-900"/>
    <hyperlink ref="A97" r:id="rId97" display="https://dev.qtech.ru/browse/CPEQ-899"/>
    <hyperlink ref="A98" r:id="rId98" display="https://dev.qtech.ru/browse/CPEQ-898"/>
    <hyperlink ref="A99" r:id="rId99" display="https://dev.qtech.ru/browse/CPEQ-895"/>
    <hyperlink ref="A100" r:id="rId100" display="https://dev.qtech.ru/browse/CPEQ-828"/>
    <hyperlink ref="A101" r:id="rId101" display="https://dev.qtech.ru/browse/CPEQ-875"/>
    <hyperlink ref="A102" r:id="rId102" display="https://dev.qtech.ru/browse/CPEQ-804"/>
    <hyperlink ref="A103" r:id="rId103" display="https://dev.qtech.ru/browse/CPEQ-893"/>
    <hyperlink ref="A104" r:id="rId104" display="https://dev.qtech.ru/browse/CPEQ-884"/>
    <hyperlink ref="A105" r:id="rId105" display="https://dev.qtech.ru/browse/CPEQ-883"/>
    <hyperlink ref="A106" r:id="rId106" display="https://dev.qtech.ru/browse/CPEQ-851"/>
    <hyperlink ref="A107" r:id="rId107" display="https://dev.qtech.ru/browse/CPEQ-859"/>
    <hyperlink ref="A108" r:id="rId108" display="https://dev.qtech.ru/browse/CPEQ-852"/>
    <hyperlink ref="A109" r:id="rId109" display="https://dev.qtech.ru/browse/CPEQ-848"/>
    <hyperlink ref="A110" r:id="rId110" display="https://dev.qtech.ru/browse/CPEQ-797"/>
    <hyperlink ref="A111" r:id="rId111" display="https://dev.qtech.ru/browse/CPEQ-845"/>
    <hyperlink ref="A112" r:id="rId112" display="https://dev.qtech.ru/browse/CPEQ-833"/>
    <hyperlink ref="A113" r:id="rId113" display="https://dev.qtech.ru/browse/CPEQ-844"/>
    <hyperlink ref="A114" r:id="rId114" display="https://dev.qtech.ru/browse/CPEQ-843"/>
    <hyperlink ref="A115" r:id="rId115" display="https://dev.qtech.ru/browse/CPEQ-834"/>
    <hyperlink ref="A116" r:id="rId116" display="https://dev.qtech.ru/browse/CPEQ-811"/>
    <hyperlink ref="A117" r:id="rId117" display="https://dev.qtech.ru/browse/CPEQ-781"/>
    <hyperlink ref="A118" r:id="rId118" display="https://dev.qtech.ru/browse/CPEQ-825"/>
    <hyperlink ref="A119" r:id="rId119" display="https://dev.qtech.ru/browse/CPEQ-805"/>
    <hyperlink ref="A120" r:id="rId120" display="https://dev.qtech.ru/browse/CPEQ-827"/>
    <hyperlink ref="A121" r:id="rId121" display="https://dev.qtech.ru/browse/CPEQ-740"/>
    <hyperlink ref="A122" r:id="rId122" display="https://dev.qtech.ru/browse/CPEQ-809"/>
    <hyperlink ref="A123" r:id="rId123" display="https://dev.qtech.ru/browse/CPEQ-762"/>
    <hyperlink ref="A124" r:id="rId124" display="https://dev.qtech.ru/browse/CPEQ-571"/>
    <hyperlink ref="A125" r:id="rId125" display="https://dev.qtech.ru/browse/CPEQ-800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B1" zoomScaleNormal="100" workbookViewId="0">
      <selection activeCell="F8" sqref="F8"/>
    </sheetView>
  </sheetViews>
  <sheetFormatPr defaultRowHeight="15" x14ac:dyDescent="0.25"/>
  <cols>
    <col min="1" max="1" width="18.28515625" style="34"/>
    <col min="2" max="2" width="11.28515625" style="34"/>
    <col min="3" max="3" width="35" style="35"/>
    <col min="4" max="4" width="40" style="35"/>
    <col min="5" max="5" width="9.7109375" style="35"/>
    <col min="6" max="6" width="57.28515625" style="35"/>
    <col min="7" max="7" width="10.85546875" style="36"/>
    <col min="8" max="11" width="0" style="23" hidden="1"/>
    <col min="12" max="1025" width="61.140625"/>
  </cols>
  <sheetData>
    <row r="1" spans="1:11" s="29" customFormat="1" ht="24.75" customHeight="1" x14ac:dyDescent="0.25">
      <c r="A1" s="37" t="s">
        <v>28</v>
      </c>
      <c r="B1" s="38" t="s">
        <v>29</v>
      </c>
      <c r="C1" s="38" t="s">
        <v>30</v>
      </c>
      <c r="D1" s="39" t="s">
        <v>31</v>
      </c>
      <c r="E1" s="39" t="s">
        <v>32</v>
      </c>
      <c r="F1" s="39" t="s">
        <v>33</v>
      </c>
      <c r="G1" s="40" t="s">
        <v>34</v>
      </c>
      <c r="H1" s="27" t="s">
        <v>9</v>
      </c>
      <c r="I1" s="27" t="s">
        <v>10</v>
      </c>
      <c r="J1" s="27" t="s">
        <v>11</v>
      </c>
      <c r="K1" s="27" t="s">
        <v>12</v>
      </c>
    </row>
    <row r="2" spans="1:11" ht="24.75" customHeight="1" x14ac:dyDescent="0.25">
      <c r="A2" s="41"/>
      <c r="B2" s="42"/>
      <c r="C2" s="42"/>
      <c r="D2" s="42"/>
      <c r="E2" s="43"/>
      <c r="F2" s="43"/>
      <c r="G2" s="156"/>
      <c r="H2" s="31">
        <f>IF($G2=5,Source!$B$17, 0)</f>
        <v>0</v>
      </c>
      <c r="I2" s="32">
        <f>IF($G2=3,Source!$B$18, 0)</f>
        <v>0</v>
      </c>
      <c r="J2" s="32">
        <f>IF($G2=1,Source!$B$19, 0)</f>
        <v>0</v>
      </c>
      <c r="K2" s="32">
        <f>IF($G2=0.5,Source!$B$20, 0)</f>
        <v>0</v>
      </c>
    </row>
    <row r="3" spans="1:11" ht="24.75" customHeight="1" x14ac:dyDescent="0.25">
      <c r="A3" s="41"/>
      <c r="B3" s="42"/>
      <c r="C3" s="42"/>
      <c r="D3" s="42"/>
      <c r="E3" s="43"/>
      <c r="F3" s="43"/>
      <c r="G3" s="156"/>
      <c r="H3" s="31">
        <f>IF($G3=5,Source!$B$17, 0)</f>
        <v>0</v>
      </c>
      <c r="I3" s="32">
        <f>IF($G3=3,Source!$B$18, 0)</f>
        <v>0</v>
      </c>
      <c r="J3" s="32">
        <f>IF($G3=1,Source!$B$19, 0)</f>
        <v>0</v>
      </c>
      <c r="K3" s="32">
        <f>IF($G3=0.5,Source!$B$20, 0)</f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6"/>
  <sheetViews>
    <sheetView zoomScaleNormal="100" workbookViewId="0">
      <selection activeCell="E7" sqref="E7"/>
    </sheetView>
  </sheetViews>
  <sheetFormatPr defaultRowHeight="15" x14ac:dyDescent="0.25"/>
  <cols>
    <col min="1" max="1" width="21.140625" style="44"/>
    <col min="2" max="2" width="18" style="44"/>
    <col min="3" max="3" width="21" style="44"/>
    <col min="4" max="4" width="18" style="44"/>
    <col min="5" max="5" width="36" style="44"/>
    <col min="6" max="6" width="24" style="44"/>
    <col min="7" max="7" width="11.42578125" style="44"/>
    <col min="8" max="8" width="12" style="44"/>
    <col min="9" max="9" width="36" style="44"/>
    <col min="10" max="10" width="6.140625" style="44"/>
    <col min="11" max="1025" width="106.5703125" style="44"/>
  </cols>
  <sheetData>
    <row r="1" spans="1:1024" x14ac:dyDescent="0.25">
      <c r="A1" s="45" t="s">
        <v>35</v>
      </c>
      <c r="B1" s="46" t="s">
        <v>36</v>
      </c>
      <c r="C1" s="46" t="s">
        <v>37</v>
      </c>
      <c r="D1"/>
      <c r="E1" s="47" t="s">
        <v>38</v>
      </c>
      <c r="F1" s="48" t="s">
        <v>36</v>
      </c>
      <c r="G1" s="48" t="s">
        <v>37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 s="49">
        <v>30</v>
      </c>
      <c r="B2" s="50">
        <v>1</v>
      </c>
      <c r="C2" s="171">
        <v>0.55000000000000004</v>
      </c>
      <c r="D2"/>
      <c r="E2" s="51">
        <f>24*60*2</f>
        <v>2880</v>
      </c>
      <c r="F2" s="52">
        <v>1</v>
      </c>
      <c r="G2" s="169">
        <v>0.55000000000000004</v>
      </c>
      <c r="H2" s="44">
        <f t="shared" ref="H2:H13" si="0">E2/60/24</f>
        <v>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 s="49">
        <v>60</v>
      </c>
      <c r="B3" s="50">
        <v>0.75</v>
      </c>
      <c r="C3" s="171"/>
      <c r="D3"/>
      <c r="E3" s="51">
        <f>36*60*2</f>
        <v>4320</v>
      </c>
      <c r="F3" s="52">
        <v>0.75</v>
      </c>
      <c r="G3" s="169"/>
      <c r="H3" s="44">
        <f t="shared" si="0"/>
        <v>3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 s="49">
        <v>120</v>
      </c>
      <c r="B4" s="50">
        <v>0.5</v>
      </c>
      <c r="C4" s="171"/>
      <c r="D4"/>
      <c r="E4" s="51">
        <f>48*60*2</f>
        <v>5760</v>
      </c>
      <c r="F4" s="52">
        <v>0.5</v>
      </c>
      <c r="G4" s="169"/>
      <c r="H4" s="44">
        <f t="shared" si="0"/>
        <v>4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5">
      <c r="A5" s="49">
        <v>60</v>
      </c>
      <c r="B5" s="50">
        <v>1</v>
      </c>
      <c r="C5" s="171">
        <v>0.3</v>
      </c>
      <c r="D5"/>
      <c r="E5" s="51">
        <f>96*60*2</f>
        <v>11520</v>
      </c>
      <c r="F5" s="52">
        <v>1</v>
      </c>
      <c r="G5" s="169">
        <v>0.3</v>
      </c>
      <c r="H5" s="44">
        <f t="shared" si="0"/>
        <v>8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 s="49">
        <v>90</v>
      </c>
      <c r="B6" s="50">
        <v>0.75</v>
      </c>
      <c r="C6" s="171"/>
      <c r="D6"/>
      <c r="E6" s="51">
        <f>120*60*2</f>
        <v>14400</v>
      </c>
      <c r="F6" s="52">
        <v>0.75</v>
      </c>
      <c r="G6" s="169"/>
      <c r="H6" s="44">
        <f t="shared" si="0"/>
        <v>10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49">
        <v>120</v>
      </c>
      <c r="B7" s="50">
        <v>0.5</v>
      </c>
      <c r="C7" s="171"/>
      <c r="D7"/>
      <c r="E7" s="51">
        <f>144*60*2</f>
        <v>17280</v>
      </c>
      <c r="F7" s="52">
        <v>0.5</v>
      </c>
      <c r="G7" s="169"/>
      <c r="H7" s="44">
        <f t="shared" si="0"/>
        <v>12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5">
      <c r="A8" s="49">
        <v>120</v>
      </c>
      <c r="B8" s="50">
        <v>1</v>
      </c>
      <c r="C8" s="171">
        <v>0.1</v>
      </c>
      <c r="D8"/>
      <c r="E8" s="51">
        <f>240*60*2</f>
        <v>28800</v>
      </c>
      <c r="F8" s="52">
        <v>1</v>
      </c>
      <c r="G8" s="169">
        <v>0.1</v>
      </c>
      <c r="H8" s="44">
        <f t="shared" si="0"/>
        <v>20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49">
        <v>180</v>
      </c>
      <c r="B9" s="50">
        <v>0.75</v>
      </c>
      <c r="C9" s="171"/>
      <c r="D9"/>
      <c r="E9" s="51">
        <f>300*60*2</f>
        <v>36000</v>
      </c>
      <c r="F9" s="52">
        <v>0.75</v>
      </c>
      <c r="G9" s="169"/>
      <c r="H9" s="44">
        <f t="shared" si="0"/>
        <v>25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5">
      <c r="A10" s="49">
        <v>240</v>
      </c>
      <c r="B10" s="50">
        <v>0.5</v>
      </c>
      <c r="C10" s="171"/>
      <c r="D10"/>
      <c r="E10" s="51">
        <f>360*60*2</f>
        <v>43200</v>
      </c>
      <c r="F10" s="52">
        <v>0.5</v>
      </c>
      <c r="G10" s="169"/>
      <c r="H10" s="44">
        <f t="shared" si="0"/>
        <v>30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5">
      <c r="A11" s="49">
        <v>180</v>
      </c>
      <c r="B11" s="50">
        <v>1</v>
      </c>
      <c r="C11" s="171">
        <v>0.05</v>
      </c>
      <c r="D11"/>
      <c r="E11" s="51">
        <f>720*60*2</f>
        <v>86400</v>
      </c>
      <c r="F11" s="52">
        <v>1</v>
      </c>
      <c r="G11" s="169">
        <v>0.05</v>
      </c>
      <c r="H11" s="44">
        <f t="shared" si="0"/>
        <v>60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5">
      <c r="A12" s="49">
        <v>240</v>
      </c>
      <c r="B12" s="50">
        <v>0.75</v>
      </c>
      <c r="C12" s="171"/>
      <c r="D12"/>
      <c r="E12" s="51">
        <f>800*60*2</f>
        <v>96000</v>
      </c>
      <c r="F12" s="52">
        <v>0.75</v>
      </c>
      <c r="G12" s="169"/>
      <c r="H12" s="44">
        <f t="shared" si="0"/>
        <v>66.666666666666671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5">
      <c r="A13" s="49">
        <v>360</v>
      </c>
      <c r="B13" s="50">
        <v>0.5</v>
      </c>
      <c r="C13" s="171"/>
      <c r="D13"/>
      <c r="E13" s="51">
        <f>980*60*2</f>
        <v>117600</v>
      </c>
      <c r="F13" s="52">
        <v>0.5</v>
      </c>
      <c r="G13" s="169"/>
      <c r="H13" s="44">
        <f t="shared" si="0"/>
        <v>81.666666666666671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5" spans="1:1024" ht="15.75" customHeight="1" x14ac:dyDescent="0.25">
      <c r="A15" s="172" t="s">
        <v>39</v>
      </c>
      <c r="B15" s="172"/>
      <c r="C15" s="172"/>
      <c r="D15" s="172"/>
      <c r="E15" s="172"/>
      <c r="F15" s="172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60" customFormat="1" x14ac:dyDescent="0.25">
      <c r="A16" s="53" t="s">
        <v>40</v>
      </c>
      <c r="B16" s="54" t="s">
        <v>41</v>
      </c>
      <c r="C16" s="55" t="s">
        <v>42</v>
      </c>
      <c r="D16" s="56" t="s">
        <v>43</v>
      </c>
      <c r="E16" s="57" t="s">
        <v>44</v>
      </c>
      <c r="F16" s="58" t="s">
        <v>39</v>
      </c>
      <c r="G16" s="59" t="s">
        <v>45</v>
      </c>
    </row>
    <row r="17" spans="1:11" x14ac:dyDescent="0.25">
      <c r="A17" s="61">
        <v>1</v>
      </c>
      <c r="B17" s="62">
        <v>5</v>
      </c>
      <c r="C17" s="63" t="s">
        <v>46</v>
      </c>
      <c r="D17" s="64">
        <v>15</v>
      </c>
      <c r="E17" s="65" t="s">
        <v>47</v>
      </c>
      <c r="F17" s="66">
        <v>1</v>
      </c>
      <c r="G17" s="67">
        <v>10</v>
      </c>
      <c r="I17"/>
      <c r="J17"/>
      <c r="K17"/>
    </row>
    <row r="18" spans="1:11" x14ac:dyDescent="0.25">
      <c r="A18" s="61">
        <v>2</v>
      </c>
      <c r="B18" s="62">
        <v>3</v>
      </c>
      <c r="C18" s="63" t="s">
        <v>48</v>
      </c>
      <c r="D18" s="64">
        <v>20</v>
      </c>
      <c r="E18" s="65" t="s">
        <v>49</v>
      </c>
      <c r="F18" s="66">
        <v>0.75</v>
      </c>
      <c r="G18" s="67">
        <v>10</v>
      </c>
      <c r="I18"/>
      <c r="J18"/>
      <c r="K18" t="s">
        <v>119</v>
      </c>
    </row>
    <row r="19" spans="1:11" x14ac:dyDescent="0.25">
      <c r="A19" s="61">
        <v>3</v>
      </c>
      <c r="B19" s="62">
        <v>1</v>
      </c>
      <c r="C19" s="68" t="s">
        <v>50</v>
      </c>
      <c r="D19" s="69">
        <v>25</v>
      </c>
      <c r="E19" s="70" t="s">
        <v>51</v>
      </c>
      <c r="F19" s="71">
        <v>0.5</v>
      </c>
      <c r="G19" s="72">
        <v>10</v>
      </c>
      <c r="I19"/>
      <c r="J19"/>
      <c r="K19"/>
    </row>
    <row r="20" spans="1:11" x14ac:dyDescent="0.25">
      <c r="A20" s="61">
        <v>4</v>
      </c>
      <c r="B20" s="61">
        <v>0.5</v>
      </c>
      <c r="C20"/>
      <c r="D20"/>
      <c r="E20" s="73" t="s">
        <v>52</v>
      </c>
      <c r="F20" s="73">
        <v>0</v>
      </c>
      <c r="G20" s="74">
        <v>70</v>
      </c>
      <c r="I20"/>
      <c r="J20"/>
      <c r="K20"/>
    </row>
    <row r="21" spans="1:11" x14ac:dyDescent="0.25">
      <c r="A21"/>
      <c r="B21"/>
      <c r="C21"/>
      <c r="D21"/>
      <c r="E21"/>
      <c r="F21"/>
      <c r="G21"/>
      <c r="I21"/>
      <c r="J21"/>
      <c r="K21"/>
    </row>
    <row r="22" spans="1:11" x14ac:dyDescent="0.25">
      <c r="A22"/>
      <c r="B22"/>
      <c r="C22"/>
      <c r="D22"/>
      <c r="E22"/>
      <c r="F22"/>
      <c r="G22"/>
      <c r="I22"/>
      <c r="J22"/>
      <c r="K22"/>
    </row>
    <row r="23" spans="1:11" x14ac:dyDescent="0.25">
      <c r="A23"/>
      <c r="B23"/>
      <c r="C23"/>
      <c r="D23"/>
      <c r="E23"/>
      <c r="F23"/>
      <c r="G23"/>
      <c r="I23"/>
      <c r="J23"/>
      <c r="K23"/>
    </row>
    <row r="24" spans="1:11" ht="16.5" customHeight="1" x14ac:dyDescent="0.25">
      <c r="A24" s="75" t="s">
        <v>53</v>
      </c>
      <c r="B24" s="76" t="s">
        <v>54</v>
      </c>
      <c r="C24" s="76" t="s">
        <v>55</v>
      </c>
      <c r="D24" s="76" t="s">
        <v>56</v>
      </c>
      <c r="E24" s="173" t="s">
        <v>34</v>
      </c>
      <c r="F24" s="77" t="s">
        <v>57</v>
      </c>
      <c r="G24"/>
      <c r="I24" s="47" t="s">
        <v>38</v>
      </c>
      <c r="J24" s="48" t="s">
        <v>36</v>
      </c>
      <c r="K24" s="48"/>
    </row>
    <row r="25" spans="1:11" x14ac:dyDescent="0.25">
      <c r="A25" s="78" t="s">
        <v>58</v>
      </c>
      <c r="B25" s="79">
        <v>100</v>
      </c>
      <c r="C25" s="80">
        <v>1</v>
      </c>
      <c r="D25" s="170">
        <v>0.5</v>
      </c>
      <c r="E25" s="173"/>
      <c r="F25" s="81" t="s">
        <v>59</v>
      </c>
      <c r="G25"/>
      <c r="I25" s="82">
        <f>F26/B25%</f>
        <v>20160</v>
      </c>
      <c r="J25" s="52">
        <v>1</v>
      </c>
      <c r="K25" s="169"/>
    </row>
    <row r="26" spans="1:11" ht="15.75" x14ac:dyDescent="0.25">
      <c r="A26" s="83"/>
      <c r="B26" s="79">
        <v>75</v>
      </c>
      <c r="C26" s="80">
        <v>0.75</v>
      </c>
      <c r="D26" s="170"/>
      <c r="E26" s="84" t="s">
        <v>60</v>
      </c>
      <c r="F26" s="85">
        <f>14*24*60</f>
        <v>20160</v>
      </c>
      <c r="G26" s="44">
        <v>14</v>
      </c>
      <c r="I26" s="82">
        <f>F26/B26%</f>
        <v>26880</v>
      </c>
      <c r="J26" s="52">
        <v>0.75</v>
      </c>
      <c r="K26" s="169"/>
    </row>
    <row r="27" spans="1:11" ht="15.75" x14ac:dyDescent="0.25">
      <c r="A27" s="86"/>
      <c r="B27" s="79">
        <v>50</v>
      </c>
      <c r="C27" s="80">
        <v>0.5</v>
      </c>
      <c r="D27" s="170"/>
      <c r="E27" s="84" t="s">
        <v>61</v>
      </c>
      <c r="F27" s="85">
        <f>21*24*60</f>
        <v>30240</v>
      </c>
      <c r="G27" s="44">
        <v>21</v>
      </c>
      <c r="I27" s="82">
        <f>F26/B27%</f>
        <v>40320</v>
      </c>
      <c r="J27" s="52">
        <v>0.5</v>
      </c>
      <c r="K27" s="169"/>
    </row>
    <row r="28" spans="1:11" ht="17.25" customHeight="1" x14ac:dyDescent="0.25">
      <c r="A28" s="170" t="s">
        <v>62</v>
      </c>
      <c r="B28" s="79">
        <v>100</v>
      </c>
      <c r="C28" s="80">
        <v>1</v>
      </c>
      <c r="D28" s="170">
        <v>0.5</v>
      </c>
      <c r="E28" s="84" t="s">
        <v>63</v>
      </c>
      <c r="F28" s="85">
        <f>28*24*60</f>
        <v>40320</v>
      </c>
      <c r="G28" s="44">
        <v>28</v>
      </c>
      <c r="I28" s="82">
        <f>F27/B25%</f>
        <v>30240</v>
      </c>
      <c r="J28" s="52">
        <v>1</v>
      </c>
      <c r="K28" s="169"/>
    </row>
    <row r="29" spans="1:11" ht="15.75" x14ac:dyDescent="0.25">
      <c r="A29" s="170"/>
      <c r="B29" s="79">
        <v>75</v>
      </c>
      <c r="C29" s="80">
        <v>0.75</v>
      </c>
      <c r="D29" s="170"/>
      <c r="E29" s="84" t="s">
        <v>64</v>
      </c>
      <c r="F29" s="85" t="s">
        <v>65</v>
      </c>
      <c r="G29"/>
      <c r="I29" s="82">
        <f>F27/B26%</f>
        <v>40320</v>
      </c>
      <c r="J29" s="52">
        <v>0.75</v>
      </c>
      <c r="K29" s="169"/>
    </row>
    <row r="30" spans="1:11" x14ac:dyDescent="0.25">
      <c r="A30" s="170"/>
      <c r="B30" s="79">
        <v>50</v>
      </c>
      <c r="C30" s="80">
        <v>0.5</v>
      </c>
      <c r="D30" s="170"/>
      <c r="E30"/>
      <c r="F30"/>
      <c r="G30"/>
      <c r="I30" s="82">
        <f>F27/B27%</f>
        <v>60480</v>
      </c>
      <c r="J30" s="52">
        <v>0.5</v>
      </c>
      <c r="K30" s="169"/>
    </row>
    <row r="31" spans="1:11" x14ac:dyDescent="0.25">
      <c r="A31" s="87" t="s">
        <v>66</v>
      </c>
      <c r="B31"/>
      <c r="C31"/>
      <c r="D31"/>
      <c r="E31"/>
      <c r="F31"/>
      <c r="G31"/>
      <c r="I31" s="82">
        <f>F28/B25%</f>
        <v>40320</v>
      </c>
      <c r="J31" s="52">
        <v>1</v>
      </c>
      <c r="K31" s="169"/>
    </row>
    <row r="32" spans="1:11" x14ac:dyDescent="0.25">
      <c r="A32" s="55" t="s">
        <v>42</v>
      </c>
      <c r="B32" s="56" t="s">
        <v>43</v>
      </c>
      <c r="C32" s="75" t="s">
        <v>34</v>
      </c>
      <c r="D32" s="76" t="s">
        <v>41</v>
      </c>
      <c r="E32" s="88" t="s">
        <v>44</v>
      </c>
      <c r="F32" s="89" t="s">
        <v>39</v>
      </c>
      <c r="G32" s="59" t="s">
        <v>45</v>
      </c>
      <c r="I32" s="82">
        <f>F28/B26%</f>
        <v>53760</v>
      </c>
      <c r="J32" s="52">
        <v>0.75</v>
      </c>
      <c r="K32" s="169"/>
    </row>
    <row r="33" spans="1:11" x14ac:dyDescent="0.25">
      <c r="A33" s="63" t="s">
        <v>46</v>
      </c>
      <c r="B33" s="64">
        <v>10</v>
      </c>
      <c r="C33" s="90" t="s">
        <v>60</v>
      </c>
      <c r="D33" s="80">
        <v>5</v>
      </c>
      <c r="E33" s="90" t="s">
        <v>67</v>
      </c>
      <c r="F33" s="80">
        <v>1</v>
      </c>
      <c r="G33" s="67">
        <v>10</v>
      </c>
      <c r="I33" s="82">
        <f>F28/B27%</f>
        <v>80640</v>
      </c>
      <c r="J33" s="52">
        <v>0.5</v>
      </c>
      <c r="K33" s="169"/>
    </row>
    <row r="34" spans="1:11" x14ac:dyDescent="0.25">
      <c r="A34" s="63" t="s">
        <v>48</v>
      </c>
      <c r="B34" s="64">
        <v>13</v>
      </c>
      <c r="C34" s="90" t="s">
        <v>61</v>
      </c>
      <c r="D34" s="80">
        <v>3</v>
      </c>
      <c r="E34" s="90" t="s">
        <v>49</v>
      </c>
      <c r="F34" s="80">
        <v>0.75</v>
      </c>
      <c r="G34" s="67">
        <v>10</v>
      </c>
      <c r="I34" s="82">
        <v>99999999999</v>
      </c>
      <c r="J34" s="52">
        <v>1</v>
      </c>
      <c r="K34" s="169"/>
    </row>
    <row r="35" spans="1:11" x14ac:dyDescent="0.25">
      <c r="A35" s="68" t="s">
        <v>50</v>
      </c>
      <c r="B35" s="69">
        <v>17</v>
      </c>
      <c r="C35" s="90" t="s">
        <v>63</v>
      </c>
      <c r="D35" s="80">
        <v>1</v>
      </c>
      <c r="E35" s="90" t="s">
        <v>68</v>
      </c>
      <c r="F35" s="80">
        <v>0.5</v>
      </c>
      <c r="G35" s="72">
        <v>10</v>
      </c>
      <c r="I35" s="82">
        <v>99999999999</v>
      </c>
      <c r="J35" s="52">
        <v>1</v>
      </c>
      <c r="K35" s="169"/>
    </row>
    <row r="36" spans="1:11" x14ac:dyDescent="0.25">
      <c r="C36" s="90" t="s">
        <v>64</v>
      </c>
      <c r="D36" s="80">
        <v>0.5</v>
      </c>
      <c r="E36" s="73" t="s">
        <v>52</v>
      </c>
      <c r="F36" s="73">
        <v>0</v>
      </c>
      <c r="G36" s="74">
        <v>70</v>
      </c>
      <c r="I36" s="82">
        <v>99999999999</v>
      </c>
      <c r="J36" s="52">
        <v>1</v>
      </c>
      <c r="K36" s="169"/>
    </row>
  </sheetData>
  <mergeCells count="17">
    <mergeCell ref="C2:C4"/>
    <mergeCell ref="G2:G4"/>
    <mergeCell ref="C5:C7"/>
    <mergeCell ref="G5:G7"/>
    <mergeCell ref="C8:C10"/>
    <mergeCell ref="G8:G10"/>
    <mergeCell ref="C11:C13"/>
    <mergeCell ref="G11:G13"/>
    <mergeCell ref="A15:F15"/>
    <mergeCell ref="E24:E25"/>
    <mergeCell ref="D25:D27"/>
    <mergeCell ref="K34:K36"/>
    <mergeCell ref="K25:K27"/>
    <mergeCell ref="A28:A30"/>
    <mergeCell ref="D28:D30"/>
    <mergeCell ref="K28:K30"/>
    <mergeCell ref="K31:K3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zoomScaleNormal="100" workbookViewId="0">
      <selection activeCell="C7" sqref="C7"/>
    </sheetView>
  </sheetViews>
  <sheetFormatPr defaultRowHeight="15" x14ac:dyDescent="0.25"/>
  <cols>
    <col min="1" max="1" width="71.5703125"/>
    <col min="2" max="2" width="10.7109375"/>
    <col min="3" max="3" width="7.5703125"/>
    <col min="4" max="4" width="8.7109375"/>
    <col min="5" max="5" width="8.42578125"/>
    <col min="6" max="6" width="16.140625"/>
    <col min="7" max="7" width="14.140625"/>
    <col min="8" max="1025" width="8.7109375"/>
  </cols>
  <sheetData>
    <row r="1" spans="1:8" ht="15.75" customHeight="1" x14ac:dyDescent="0.35">
      <c r="A1" s="174" t="s">
        <v>69</v>
      </c>
      <c r="B1" s="174"/>
      <c r="C1" s="174"/>
      <c r="D1" s="174"/>
      <c r="E1" s="174"/>
      <c r="F1" s="174"/>
      <c r="G1" s="91"/>
    </row>
    <row r="2" spans="1:8" ht="15.75" customHeight="1" x14ac:dyDescent="0.35">
      <c r="A2" s="174"/>
      <c r="B2" s="174"/>
      <c r="C2" s="174"/>
      <c r="D2" s="174"/>
      <c r="E2" s="174"/>
      <c r="F2" s="174"/>
      <c r="G2" s="91"/>
    </row>
    <row r="3" spans="1:8" x14ac:dyDescent="0.25">
      <c r="A3" s="92"/>
      <c r="B3" s="93" t="s">
        <v>60</v>
      </c>
      <c r="C3" s="93" t="s">
        <v>70</v>
      </c>
      <c r="D3" s="93" t="s">
        <v>71</v>
      </c>
      <c r="E3" s="93" t="s">
        <v>72</v>
      </c>
      <c r="F3" s="94" t="s">
        <v>73</v>
      </c>
      <c r="G3" s="95"/>
      <c r="H3" s="96"/>
    </row>
    <row r="4" spans="1:8" ht="15.75" x14ac:dyDescent="0.25">
      <c r="A4" s="97" t="s">
        <v>74</v>
      </c>
      <c r="B4" s="98">
        <f>SUM(KPI_RD!I$1:I$1048402)</f>
        <v>5</v>
      </c>
      <c r="C4" s="98">
        <f>SUM(KPI_RD!J$1:J$1048402)</f>
        <v>3</v>
      </c>
      <c r="D4" s="98">
        <f>SUM(KPI_RD!K$1:K$1048402)</f>
        <v>0</v>
      </c>
      <c r="E4" s="98">
        <f>SUM(KPI_RD!L$1:L$1048402)</f>
        <v>0</v>
      </c>
      <c r="F4" s="99">
        <f>SUM(B4:E4)</f>
        <v>8</v>
      </c>
      <c r="G4" s="100"/>
    </row>
    <row r="5" spans="1:8" x14ac:dyDescent="0.25">
      <c r="A5" s="101" t="s">
        <v>75</v>
      </c>
      <c r="B5" s="102">
        <f>IF(B4&lt;&gt;0,B4/Source!B17,0)</f>
        <v>1</v>
      </c>
      <c r="C5" s="102">
        <f>IF(C4&lt;&gt;0,C4/Source!B18,0)</f>
        <v>1</v>
      </c>
      <c r="D5" s="102">
        <f>IF(D4&lt;&gt;0,D4/Source!B19,0)</f>
        <v>0</v>
      </c>
      <c r="E5" s="102">
        <f>IF(E4&lt;&gt;0,E4/Source!B20,0)</f>
        <v>0</v>
      </c>
      <c r="F5" s="103">
        <f>SUM(B5:E5)</f>
        <v>2</v>
      </c>
      <c r="G5" s="2"/>
    </row>
    <row r="6" spans="1:8" x14ac:dyDescent="0.25">
      <c r="A6" s="101" t="s">
        <v>76</v>
      </c>
      <c r="B6" s="104">
        <f>IF(B5&lt;&gt;0,SUM(KPI_RD!N$1:N$1048402)/B5,0)</f>
        <v>3.2388888888890506</v>
      </c>
      <c r="C6" s="104">
        <f>IF(C5&lt;&gt;0,SUM(KPI_RD!O$1:O$1048402)/C5,0)</f>
        <v>147.92569444444234</v>
      </c>
      <c r="D6" s="104">
        <f>IF(D5&lt;&gt;0,SUM(KPI_RD!P$1:P$1048402)/D5,0)</f>
        <v>0</v>
      </c>
      <c r="E6" s="104">
        <f>IF(E5&lt;&gt;0,SUM(KPI_RD!Q$1:Q$1048402)/E5,0)</f>
        <v>0</v>
      </c>
      <c r="F6" s="105"/>
    </row>
    <row r="7" spans="1:8" x14ac:dyDescent="0.25">
      <c r="A7" s="101" t="s">
        <v>77</v>
      </c>
      <c r="B7" s="106">
        <f>IF(AND(B6&gt;0,B6&lt;=Source!$I25),Source!$J25, IF(AND(B6&gt;Source!$I25,B6&lt;=Source!$I26),Source!$J26,IF(AND(B6&gt;Source!$I26,B6&lt;=Source!$I27),Source!$J27,0)))</f>
        <v>1</v>
      </c>
      <c r="C7" s="107">
        <f>IF(AND(C6&gt;0,C6&lt;=Source!$I28),Source!$J28, IF(AND(C6&gt;Source!$I28,C6&lt;=Source!$I29),Source!$J29,IF(AND(C6&gt;Source!$I29,C6&lt;=Source!$I30),Source!$J30,0)))</f>
        <v>1</v>
      </c>
      <c r="D7" s="107">
        <f>IF(AND(D6&gt;0,D6&lt;=Source!$I31),Source!$J31, IF(AND(D6&gt;Source!$I31,D6&lt;=Source!$I32),Source!$J32,IF(AND(D6&gt;Source!$I32,D6&lt;=Source!$I33),Source!$J33,0)))</f>
        <v>0</v>
      </c>
      <c r="E7" s="107">
        <f>IF(AND(E6&gt;0,E6&lt;=Source!$I34),Source!$J34, IF(AND(E6&gt;Source!$I34,E6&lt;=Source!$I35),Source!$J35,IF(AND(E6&gt;Source!$I35,E6&lt;=Source!$I36),Source!$J36,0)))</f>
        <v>0</v>
      </c>
      <c r="F7" s="108"/>
    </row>
    <row r="8" spans="1:8" x14ac:dyDescent="0.25">
      <c r="A8" s="109" t="s">
        <v>78</v>
      </c>
      <c r="B8" s="110">
        <v>0.55000000000000004</v>
      </c>
      <c r="C8" s="110">
        <v>0.3</v>
      </c>
      <c r="D8" s="110">
        <v>0.1</v>
      </c>
      <c r="E8" s="110">
        <v>0.05</v>
      </c>
      <c r="F8" s="108"/>
    </row>
    <row r="9" spans="1:8" x14ac:dyDescent="0.25">
      <c r="A9" s="111" t="s">
        <v>79</v>
      </c>
      <c r="B9" s="112">
        <f>IF(B8&lt;&gt;0,B8*B7,0)</f>
        <v>0.55000000000000004</v>
      </c>
      <c r="C9" s="112">
        <f>IF(C8&lt;&gt;0,C8*C7,0)</f>
        <v>0.3</v>
      </c>
      <c r="D9" s="112">
        <f>IF(D8&lt;&gt;0,D8*D7,0)</f>
        <v>0</v>
      </c>
      <c r="E9" s="112">
        <f>IF(E8&lt;&gt;0,E8*E7,0)</f>
        <v>0</v>
      </c>
      <c r="F9" s="108"/>
    </row>
    <row r="10" spans="1:8" x14ac:dyDescent="0.25">
      <c r="A10" s="111" t="s">
        <v>80</v>
      </c>
      <c r="B10" s="112">
        <f>SUM(KPI_RD!H$1:H$1048402)</f>
        <v>240</v>
      </c>
      <c r="C10" s="113"/>
      <c r="D10" s="113"/>
      <c r="E10" s="113"/>
      <c r="F10" s="108"/>
    </row>
    <row r="11" spans="1:8" ht="21" x14ac:dyDescent="0.35">
      <c r="A11" s="114" t="s">
        <v>81</v>
      </c>
      <c r="B11" s="115">
        <f>SUM(B9:E9)</f>
        <v>0.85000000000000009</v>
      </c>
      <c r="C11" s="2"/>
      <c r="D11" s="2"/>
      <c r="E11" s="2"/>
      <c r="F11" s="2"/>
    </row>
  </sheetData>
  <sheetProtection sheet="1" objects="1" scenarios="1"/>
  <mergeCells count="1">
    <mergeCell ref="A1:F2"/>
  </mergeCell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zoomScaleNormal="100" workbookViewId="0">
      <selection activeCell="B9" sqref="B9:E9"/>
    </sheetView>
  </sheetViews>
  <sheetFormatPr defaultRowHeight="15" x14ac:dyDescent="0.25"/>
  <cols>
    <col min="1" max="1" width="67"/>
    <col min="2" max="2" width="9.5703125"/>
    <col min="3" max="3" width="7"/>
    <col min="4" max="4" width="6.28515625"/>
    <col min="5" max="5" width="7"/>
    <col min="6" max="6" width="16.140625"/>
    <col min="7" max="1025" width="8.7109375"/>
  </cols>
  <sheetData>
    <row r="1" spans="1:8" ht="8.25" customHeight="1" x14ac:dyDescent="0.25">
      <c r="A1" s="175" t="s">
        <v>82</v>
      </c>
      <c r="B1" s="175"/>
      <c r="C1" s="175"/>
      <c r="D1" s="175"/>
      <c r="E1" s="175"/>
      <c r="F1" s="175"/>
    </row>
    <row r="2" spans="1:8" x14ac:dyDescent="0.25">
      <c r="A2" s="175"/>
      <c r="B2" s="175"/>
      <c r="C2" s="175"/>
      <c r="D2" s="175"/>
      <c r="E2" s="175"/>
      <c r="F2" s="175"/>
    </row>
    <row r="3" spans="1:8" x14ac:dyDescent="0.25">
      <c r="A3" s="92"/>
      <c r="B3" s="93" t="s">
        <v>9</v>
      </c>
      <c r="C3" s="93" t="s">
        <v>10</v>
      </c>
      <c r="D3" s="93" t="s">
        <v>11</v>
      </c>
      <c r="E3" s="93" t="s">
        <v>12</v>
      </c>
      <c r="F3" s="116" t="s">
        <v>83</v>
      </c>
      <c r="G3" s="96"/>
      <c r="H3" s="96"/>
    </row>
    <row r="4" spans="1:8" x14ac:dyDescent="0.25">
      <c r="A4" s="97" t="s">
        <v>84</v>
      </c>
      <c r="B4" s="98">
        <f>SUM(KPI_SUPPORT!J$1:J$1048517)</f>
        <v>0</v>
      </c>
      <c r="C4" s="98">
        <f>SUM(KPI_SUPPORT!K$1:K$1048517)</f>
        <v>0</v>
      </c>
      <c r="D4" s="98">
        <f>SUM(KPI_SUPPORT!L$1:L$1048517)</f>
        <v>0</v>
      </c>
      <c r="E4" s="98">
        <f>SUM(KPI_SUPPORT!M$1:M$1048517)</f>
        <v>0</v>
      </c>
      <c r="F4" s="117">
        <v>0</v>
      </c>
    </row>
    <row r="5" spans="1:8" x14ac:dyDescent="0.25">
      <c r="A5" s="101" t="s">
        <v>85</v>
      </c>
      <c r="B5" s="102">
        <f>IF(B4&lt;&gt;0,B4/Source!B17,0)</f>
        <v>0</v>
      </c>
      <c r="C5" s="102">
        <f>IF(C4&lt;&gt;0,C4/Source!B18,0)</f>
        <v>0</v>
      </c>
      <c r="D5" s="102">
        <f>IF(D4&lt;&gt;0,D4/Source!B19,0)</f>
        <v>0</v>
      </c>
      <c r="E5" s="102">
        <f>IF(E4&lt;&gt;0,E4/Source!B20,0)</f>
        <v>0</v>
      </c>
      <c r="F5" s="103">
        <v>0</v>
      </c>
    </row>
    <row r="6" spans="1:8" x14ac:dyDescent="0.25">
      <c r="A6" s="101" t="s">
        <v>86</v>
      </c>
      <c r="B6" s="102">
        <f>IF(B5&lt;&gt;0,SUM(KPI_SUPPORT!N$1:N$1048517)/B5,0)</f>
        <v>0</v>
      </c>
      <c r="C6" s="102">
        <f>IF(C5&lt;&gt;0,SUM(KPI_SUPPORT!O$1:O$1048517)/C5,0)</f>
        <v>0</v>
      </c>
      <c r="D6" s="102">
        <f>IF(D5&lt;&gt;0,SUM(KPI_SUPPORT!P$1:P$1048517)/D5,0)</f>
        <v>0</v>
      </c>
      <c r="E6" s="102">
        <f>SUM(KPI_SUPPORT!Q$1:Q$1048517)</f>
        <v>0</v>
      </c>
      <c r="F6" s="105"/>
    </row>
    <row r="7" spans="1:8" x14ac:dyDescent="0.25">
      <c r="A7" s="101" t="s">
        <v>76</v>
      </c>
      <c r="B7" s="102">
        <f>IF(B5&lt;&gt;0,SUM(KPI_SUPPORT!R$1:R$1048517)/B5,0)</f>
        <v>0</v>
      </c>
      <c r="C7" s="102">
        <f>IF(C5&lt;&gt;0,SUM(KPI_SUPPORT!S$1:S$1048517)/C5,0)</f>
        <v>0</v>
      </c>
      <c r="D7" s="102">
        <f>IF(D5&lt;&gt;0,SUM(KPI_SUPPORT!T$1:T$1048517)/D5,0)</f>
        <v>0</v>
      </c>
      <c r="E7" s="102">
        <f>IF(E5&lt;&gt;0,SUM(KPI_SUPPORT!U$1:U$1048517)/E5,0)</f>
        <v>0</v>
      </c>
      <c r="F7" s="105"/>
    </row>
    <row r="8" spans="1:8" x14ac:dyDescent="0.25">
      <c r="A8" s="101" t="s">
        <v>87</v>
      </c>
      <c r="B8" s="107">
        <f>IF(AND(B6&gt;0,B6&lt;=Source!$A2),Source!$B2, IF(AND(B6&gt;Source!$A2,B6&lt;=Source!$A3),Source!$B3,IF(AND(B6&gt;Source!$A3,B6&lt;=Source!$A4),Source!$B4,0)))</f>
        <v>0</v>
      </c>
      <c r="C8" s="107">
        <f>IF(AND(C6&gt;0,C6&lt;=Source!$A5),Source!$B5, IF(AND(C6&gt;Source!$A5,C6&lt;=Source!$A6),Source!$B6,IF(AND(C6&gt;Source!$A6,C6&lt;=Source!$A7),Source!$B7,0)))</f>
        <v>0</v>
      </c>
      <c r="D8" s="107">
        <f>IF(AND(D6&gt;0,D6&lt;=Source!$A8),Source!$B8, IF(AND(D6&gt;Source!$A8,D6&lt;=Source!$A9),Source!$B9,IF(AND(D6&gt;Source!$A9,D6&lt;=Source!$A10),Source!$B10,0)))</f>
        <v>0</v>
      </c>
      <c r="E8" s="107">
        <f>IF(AND(E6&gt;0,E6&lt;=Source!$A11),Source!$B11, IF(AND(E6&gt;Source!$A11,E6&lt;=Source!$A12),Source!$B12,IF(AND(E6&gt;Source!$A12,E6&lt;=Source!$A13),Source!$B13,0)))</f>
        <v>0</v>
      </c>
      <c r="F8" s="105"/>
    </row>
    <row r="9" spans="1:8" x14ac:dyDescent="0.25">
      <c r="A9" s="109" t="s">
        <v>88</v>
      </c>
      <c r="B9" s="110">
        <v>0.55000000000000004</v>
      </c>
      <c r="C9" s="110">
        <v>0.3</v>
      </c>
      <c r="D9" s="110">
        <v>0.1</v>
      </c>
      <c r="E9" s="110">
        <v>0.05</v>
      </c>
      <c r="F9" s="108"/>
    </row>
    <row r="10" spans="1:8" x14ac:dyDescent="0.25">
      <c r="A10" s="97" t="s">
        <v>89</v>
      </c>
      <c r="B10" s="118">
        <f>IF(B9&lt;&gt;0,B9*B8,0)</f>
        <v>0</v>
      </c>
      <c r="C10" s="119">
        <f>IF(C9&lt;&gt;0,C9*C8,0)</f>
        <v>0</v>
      </c>
      <c r="D10" s="119">
        <f>IF(D9&lt;&gt;0,D9*D8,0)</f>
        <v>0</v>
      </c>
      <c r="E10" s="119">
        <f>IF(E9&lt;&gt;0,E9*E8,0)</f>
        <v>0</v>
      </c>
      <c r="F10" s="120"/>
    </row>
    <row r="11" spans="1:8" x14ac:dyDescent="0.25">
      <c r="A11" s="101" t="s">
        <v>77</v>
      </c>
      <c r="B11" s="106">
        <f>IF(AND(B7&gt;0,B7&lt;=Source!$E5),Source!$F5, IF(AND(B7&gt;Source!$E5,B7&lt;=Source!$E6),Source!$F6,IF(AND(B7&gt;Source!$E6,B7&lt;=Source!$E7),Source!$F7,0)))</f>
        <v>0</v>
      </c>
      <c r="C11" s="107">
        <f>IF(AND(C7&gt;0,C7&lt;=Source!$E5),Source!$F5, IF(AND(C7&gt;Source!$E5,C7&lt;=Source!$E6),Source!$F6,IF(AND(C7&gt;Source!$E6,C7&lt;=Source!$E7),Source!$F7,0)))</f>
        <v>0</v>
      </c>
      <c r="D11" s="107">
        <f>IF(AND(D7&gt;0,D7&lt;=Source!$E8),Source!$F8, IF(AND(D7&gt;Source!$E8,D7&lt;=Source!$E9),Source!$F9,IF(AND(D7&gt;Source!$E9,D7&lt;=Source!$E10),Source!$F10,0)))</f>
        <v>0</v>
      </c>
      <c r="E11" s="107">
        <f>IF(AND(E7&gt;0,E7&lt;=Source!$E11),Source!$F11, IF(AND(E7&gt;Source!$E11,E7&lt;=Source!$E12),Source!$F12,IF(AND(E7&gt;Source!$E12,E7&lt;=Source!$E13),Source!$F13,0)))</f>
        <v>0</v>
      </c>
      <c r="F11" s="108"/>
    </row>
    <row r="12" spans="1:8" x14ac:dyDescent="0.25">
      <c r="A12" s="109" t="s">
        <v>78</v>
      </c>
      <c r="B12" s="110">
        <f>B9</f>
        <v>0.55000000000000004</v>
      </c>
      <c r="C12" s="110">
        <f>C9</f>
        <v>0.3</v>
      </c>
      <c r="D12" s="110">
        <f>D9</f>
        <v>0.1</v>
      </c>
      <c r="E12" s="110">
        <f>E9</f>
        <v>0.05</v>
      </c>
      <c r="F12" s="108"/>
    </row>
    <row r="13" spans="1:8" x14ac:dyDescent="0.25">
      <c r="A13" s="121" t="s">
        <v>79</v>
      </c>
      <c r="B13" s="122">
        <f>IF(B12&lt;&gt;0,B12*B11,0)</f>
        <v>0</v>
      </c>
      <c r="C13" s="122">
        <f>IF(C12&lt;&gt;0,C12*C11,0)</f>
        <v>0</v>
      </c>
      <c r="D13" s="122">
        <f>IF(D12&lt;&gt;0,D12*D11,0)</f>
        <v>0</v>
      </c>
      <c r="E13" s="122">
        <f>IF(E12&lt;&gt;0,E12*E11,0)</f>
        <v>0</v>
      </c>
      <c r="F13" s="108"/>
    </row>
    <row r="14" spans="1:8" x14ac:dyDescent="0.25">
      <c r="A14" s="109" t="s">
        <v>90</v>
      </c>
      <c r="B14" s="123">
        <v>0.5</v>
      </c>
      <c r="C14" s="124"/>
      <c r="D14" s="124"/>
      <c r="E14" s="124"/>
      <c r="F14" s="108"/>
    </row>
    <row r="15" spans="1:8" x14ac:dyDescent="0.25">
      <c r="A15" s="125" t="s">
        <v>91</v>
      </c>
      <c r="B15" s="126">
        <v>0.5</v>
      </c>
      <c r="C15" s="124"/>
      <c r="D15" s="124"/>
      <c r="E15" s="124"/>
      <c r="F15" s="108"/>
    </row>
    <row r="16" spans="1:8" ht="21" x14ac:dyDescent="0.35">
      <c r="A16" s="114" t="s">
        <v>92</v>
      </c>
      <c r="B16" s="127">
        <f>IF((SUM(B10:E10)*B14)=0,B14,SUM(B10:E10)*B14)</f>
        <v>0.5</v>
      </c>
      <c r="C16" s="128"/>
      <c r="D16" s="128"/>
      <c r="E16" s="128"/>
      <c r="F16" s="129"/>
      <c r="G16" s="2"/>
    </row>
    <row r="17" spans="1:7" ht="21" x14ac:dyDescent="0.35">
      <c r="A17" s="130" t="s">
        <v>93</v>
      </c>
      <c r="B17" s="131">
        <f>IF((SUM(B13:E13)*B15)=0,B15,SUM(B13:E13)*B15)</f>
        <v>0.5</v>
      </c>
      <c r="C17" s="132"/>
      <c r="D17" s="132"/>
      <c r="E17" s="132"/>
      <c r="F17" s="132"/>
      <c r="G17" s="2"/>
    </row>
    <row r="18" spans="1:7" ht="21" x14ac:dyDescent="0.35">
      <c r="A18" s="133" t="s">
        <v>94</v>
      </c>
      <c r="B18" s="134">
        <f>SUM(B16:B17)</f>
        <v>1</v>
      </c>
      <c r="C18" s="2"/>
      <c r="D18" s="2"/>
      <c r="E18" s="2"/>
      <c r="F18" s="2"/>
    </row>
  </sheetData>
  <mergeCells count="1">
    <mergeCell ref="A1:F2"/>
  </mergeCell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"/>
  <sheetViews>
    <sheetView tabSelected="1" zoomScaleNormal="100" workbookViewId="0">
      <selection activeCell="A4" sqref="A4"/>
    </sheetView>
  </sheetViews>
  <sheetFormatPr defaultRowHeight="15" x14ac:dyDescent="0.25"/>
  <cols>
    <col min="1" max="1" width="58.28515625" style="135"/>
    <col min="2" max="3" width="9.7109375"/>
    <col min="4" max="4" width="8.7109375"/>
    <col min="5" max="5" width="9.42578125"/>
    <col min="6" max="6" width="16.140625"/>
    <col min="7" max="7" width="14.140625"/>
    <col min="8" max="1025" width="8.7109375"/>
  </cols>
  <sheetData>
    <row r="1" spans="1:8" ht="28.5" x14ac:dyDescent="0.45">
      <c r="A1" s="136" t="s">
        <v>120</v>
      </c>
      <c r="B1" s="181" t="s">
        <v>42</v>
      </c>
      <c r="C1" s="181"/>
      <c r="D1" s="181"/>
      <c r="E1" s="137">
        <v>1</v>
      </c>
      <c r="F1" s="182"/>
      <c r="G1" s="182"/>
    </row>
    <row r="2" spans="1:8" x14ac:dyDescent="0.25">
      <c r="A2" s="183" t="s">
        <v>95</v>
      </c>
      <c r="B2" s="183"/>
      <c r="C2" s="183"/>
      <c r="D2" s="183"/>
      <c r="E2" s="183"/>
      <c r="F2" s="183"/>
      <c r="G2" s="183"/>
    </row>
    <row r="3" spans="1:8" x14ac:dyDescent="0.25">
      <c r="A3" s="138"/>
      <c r="B3" s="139" t="s">
        <v>60</v>
      </c>
      <c r="C3" s="139" t="s">
        <v>70</v>
      </c>
      <c r="D3" s="139" t="s">
        <v>71</v>
      </c>
      <c r="E3" s="139" t="s">
        <v>72</v>
      </c>
      <c r="F3" s="139" t="s">
        <v>73</v>
      </c>
      <c r="G3" s="95"/>
      <c r="H3" s="96"/>
    </row>
    <row r="4" spans="1:8" x14ac:dyDescent="0.25">
      <c r="A4" s="140" t="s">
        <v>96</v>
      </c>
      <c r="B4" s="141">
        <f>SUM(KPI_PROJECTS!H$1:H$1048535)</f>
        <v>0</v>
      </c>
      <c r="C4" s="141">
        <f>SUM(KPI_PROJECTS!I$1:I$1048535)</f>
        <v>0</v>
      </c>
      <c r="D4" s="141">
        <f>SUM(KPI_PROJECTS!J$1:J$1048535)</f>
        <v>0</v>
      </c>
      <c r="E4" s="141">
        <f>SUM(KPI_PROJECTS!K$1:K$1048535)</f>
        <v>0</v>
      </c>
      <c r="F4" s="141">
        <f>SUM(B4:E4)</f>
        <v>0</v>
      </c>
      <c r="G4" s="95"/>
      <c r="H4" s="96"/>
    </row>
    <row r="5" spans="1:8" x14ac:dyDescent="0.25">
      <c r="A5" s="42" t="s">
        <v>97</v>
      </c>
      <c r="B5" s="142">
        <f>IF(B4&lt;&gt;0,B4/Source!D33,0)</f>
        <v>0</v>
      </c>
      <c r="C5" s="142">
        <f>IF(C4&lt;&gt;0,C4/Source!D34,0)</f>
        <v>0</v>
      </c>
      <c r="D5" s="142">
        <f>IF(D4&lt;&gt;0,D4/Source!D35,0)</f>
        <v>0</v>
      </c>
      <c r="E5" s="142">
        <f>IF(E4&lt;&gt;0,E4/Source!D36,0)</f>
        <v>0</v>
      </c>
      <c r="F5" s="142">
        <f>SUM(B5:E5)</f>
        <v>0</v>
      </c>
      <c r="G5" s="143"/>
      <c r="H5" s="96"/>
    </row>
    <row r="6" spans="1:8" x14ac:dyDescent="0.25">
      <c r="A6" s="184" t="s">
        <v>98</v>
      </c>
      <c r="B6" s="184"/>
      <c r="C6" s="184"/>
      <c r="D6" s="184"/>
      <c r="E6" s="184"/>
      <c r="F6" s="141">
        <f>Result_RD!B10</f>
        <v>240</v>
      </c>
      <c r="G6" s="143"/>
      <c r="H6" s="96"/>
    </row>
    <row r="7" spans="1:8" x14ac:dyDescent="0.25">
      <c r="A7" s="177" t="s">
        <v>99</v>
      </c>
      <c r="B7" s="177"/>
      <c r="C7" s="177"/>
      <c r="D7" s="177"/>
      <c r="E7" s="177"/>
      <c r="F7" s="142">
        <f>F6/5</f>
        <v>48</v>
      </c>
      <c r="G7" s="143"/>
      <c r="H7" s="96"/>
    </row>
    <row r="8" spans="1:8" x14ac:dyDescent="0.25">
      <c r="A8" s="177" t="s">
        <v>100</v>
      </c>
      <c r="B8" s="177"/>
      <c r="C8" s="177"/>
      <c r="D8" s="177"/>
      <c r="E8" s="177"/>
      <c r="F8" s="142">
        <f>F6/30</f>
        <v>8</v>
      </c>
      <c r="G8" s="143"/>
      <c r="H8" s="96"/>
    </row>
    <row r="9" spans="1:8" x14ac:dyDescent="0.25">
      <c r="A9" s="178" t="s">
        <v>101</v>
      </c>
      <c r="B9" s="178"/>
      <c r="C9" s="178"/>
      <c r="D9" s="178"/>
      <c r="E9" s="178"/>
      <c r="F9" s="112">
        <f>F4+F8</f>
        <v>8</v>
      </c>
      <c r="G9" s="143"/>
      <c r="H9" s="96"/>
    </row>
    <row r="10" spans="1:8" ht="15.75" x14ac:dyDescent="0.25">
      <c r="A10" s="144" t="s">
        <v>102</v>
      </c>
      <c r="B10" s="112">
        <f>SUM(KPI_SUPPORT!J$1:J$1048517)</f>
        <v>0</v>
      </c>
      <c r="C10" s="112">
        <f>SUM(KPI_SUPPORT!K$1:K$1048517)</f>
        <v>0</v>
      </c>
      <c r="D10" s="112">
        <f>SUM(KPI_SUPPORT!L$1:L$1048517)</f>
        <v>0</v>
      </c>
      <c r="E10" s="112">
        <f>SUM(KPI_SUPPORT!M$1:M$1048517)</f>
        <v>0</v>
      </c>
      <c r="F10" s="145">
        <f>SUM(B10:E10)</f>
        <v>0</v>
      </c>
      <c r="G10" s="95"/>
      <c r="H10" s="96"/>
    </row>
    <row r="11" spans="1:8" x14ac:dyDescent="0.25">
      <c r="A11" s="146" t="s">
        <v>103</v>
      </c>
      <c r="B11" s="142">
        <f>IF(B10&lt;&gt;0,B10/Source!B17,0)</f>
        <v>0</v>
      </c>
      <c r="C11" s="142">
        <f>IF(C10&lt;&gt;0,C10/Source!B18,0)</f>
        <v>0</v>
      </c>
      <c r="D11" s="142">
        <v>0</v>
      </c>
      <c r="E11" s="142">
        <f>IF(E10&lt;&gt;0,E10/Source!B20,0)</f>
        <v>0</v>
      </c>
      <c r="F11" s="142">
        <f>SUM(B11:E11)</f>
        <v>0</v>
      </c>
      <c r="G11" s="147"/>
      <c r="H11" s="96"/>
    </row>
    <row r="12" spans="1:8" ht="30" x14ac:dyDescent="0.25">
      <c r="A12" s="144" t="s">
        <v>104</v>
      </c>
      <c r="B12" s="112">
        <f>SUM(KPI_RD!I$1:I$1048402)</f>
        <v>5</v>
      </c>
      <c r="C12" s="112">
        <f>SUM(KPI_RD!J$1:J$1048402)</f>
        <v>3</v>
      </c>
      <c r="D12" s="112">
        <f>SUM(KPI_RD!K$1:K$1048402)</f>
        <v>0</v>
      </c>
      <c r="E12" s="112">
        <f>SUM(KPI_RD!L$1:L$1048402)</f>
        <v>0</v>
      </c>
      <c r="F12" s="145">
        <f>SUM(B12:E12)</f>
        <v>8</v>
      </c>
      <c r="G12" s="147"/>
    </row>
    <row r="13" spans="1:8" x14ac:dyDescent="0.25">
      <c r="A13" s="42" t="s">
        <v>105</v>
      </c>
      <c r="B13" s="142">
        <f>IF(B12&lt;&gt;0,B12/Source!B17,0)</f>
        <v>1</v>
      </c>
      <c r="C13" s="142">
        <f>IF(C12&lt;&gt;0,C12/Source!B18,0)</f>
        <v>1</v>
      </c>
      <c r="D13" s="142">
        <f>IF(D12&lt;&gt;0,D12/Source!B19,0)</f>
        <v>0</v>
      </c>
      <c r="E13" s="142">
        <f>IF(E12&lt;&gt;0,E12/Source!B20,0)</f>
        <v>0</v>
      </c>
      <c r="F13" s="148">
        <f>SUM(B13:E13)</f>
        <v>2</v>
      </c>
      <c r="G13" s="2"/>
    </row>
    <row r="14" spans="1:8" ht="15.75" x14ac:dyDescent="0.25">
      <c r="A14" s="179" t="s">
        <v>106</v>
      </c>
      <c r="B14" s="179"/>
      <c r="C14" s="179"/>
      <c r="D14" s="179"/>
      <c r="E14" s="179"/>
      <c r="F14" s="145">
        <f>F12+F10+F4+F6</f>
        <v>248</v>
      </c>
      <c r="G14" s="2"/>
    </row>
    <row r="15" spans="1:8" x14ac:dyDescent="0.25">
      <c r="A15" s="42" t="s">
        <v>107</v>
      </c>
      <c r="B15" s="180">
        <f>IF(E1=1,IF(KPI_TOTAL!F9&gt;((Source!B33*Source!G33/100)+Source!B33),Source!F33,IF(AND(KPI_TOTAL!F9&lt;(Source!B33-(Source!B33*Source!G35/100)),KPI_TOTAL!F9&gt;(Source!B33-(Source!B33*Source!G36/100))),Source!F35,IF(AND(KPI_TOTAL!F9&lt;=((Source!B33*Source!G34/100)+Source!B33),KPI_TOTAL!F9&gt;=(Source!B33-(Source!B33*Source!G34/100))),Source!F34,0))),IF(E1=2,IF(KPI_TOTAL!F9&gt;((Source!B34*Source!G33/100)+Source!B34),Source!F33,IF(AND(KPI_TOTAL!F9&lt;(Source!B34-(Source!B34*Source!G35/100)),KPI_TOTAL!F9&gt;(Source!B34-(Source!B34*Source!G36/100))),Source!F35,IF(AND(KPI_TOTAL!F9&lt;=((Source!B34*Source!G34/100)+Source!B34),KPI_TOTAL!F9&gt;=(Source!B34-(Source!B34*Source!G34/100))),Source!F34,0))),IF(E1=3,IF(KPI_TOTAL!F9&gt;((Source!B35*Source!G33/100)+Source!B35),Source!F33,IF(AND(KPI_TOTAL!F9&lt;(Source!B35-(Source!B35*Source!G35/100)),KPI_TOTAL!F9&gt;(Source!B35-(Source!B35*Source!G36/100))),Source!F35,IF(AND(KPI_TOTAL!F9&lt;=((Source!B35*Source!G34/100)+Source!B35),KPI_TOTAL!F9&gt;=(Source!B35-(Source!B35*Source!G34/100))),Source!F34,0))),0)))</f>
        <v>0.5</v>
      </c>
      <c r="C15" s="180"/>
      <c r="D15" s="180"/>
      <c r="E15" s="180"/>
      <c r="F15" s="108"/>
    </row>
    <row r="16" spans="1:8" x14ac:dyDescent="0.25">
      <c r="A16" s="42" t="s">
        <v>108</v>
      </c>
      <c r="B16" s="176">
        <f>Result_RD!B11</f>
        <v>0.85000000000000009</v>
      </c>
      <c r="C16" s="176"/>
      <c r="D16" s="176"/>
      <c r="E16" s="176"/>
      <c r="F16" s="108"/>
    </row>
    <row r="17" spans="1:7" x14ac:dyDescent="0.25">
      <c r="A17" s="42" t="s">
        <v>109</v>
      </c>
      <c r="B17" s="176">
        <f>Result_SUPPORT!B18</f>
        <v>1</v>
      </c>
      <c r="C17" s="176"/>
      <c r="D17" s="176"/>
      <c r="E17" s="176"/>
      <c r="F17" s="108"/>
    </row>
    <row r="18" spans="1:7" x14ac:dyDescent="0.25">
      <c r="A18" s="42" t="s">
        <v>110</v>
      </c>
      <c r="B18" s="149">
        <v>0.6</v>
      </c>
      <c r="C18" s="124"/>
      <c r="D18" s="124"/>
      <c r="E18" s="124"/>
      <c r="F18" s="108"/>
    </row>
    <row r="19" spans="1:7" x14ac:dyDescent="0.25">
      <c r="A19" s="42" t="s">
        <v>111</v>
      </c>
      <c r="B19" s="149">
        <v>0.1</v>
      </c>
      <c r="C19" s="124"/>
      <c r="D19" s="124"/>
      <c r="E19" s="124"/>
      <c r="F19" s="108"/>
    </row>
    <row r="20" spans="1:7" x14ac:dyDescent="0.25">
      <c r="A20" s="42" t="s">
        <v>112</v>
      </c>
      <c r="B20" s="149">
        <v>0.1</v>
      </c>
      <c r="C20" s="124"/>
      <c r="D20" s="124"/>
      <c r="E20" s="124"/>
      <c r="F20" s="108"/>
    </row>
    <row r="21" spans="1:7" ht="30" x14ac:dyDescent="0.25">
      <c r="A21" s="42" t="s">
        <v>113</v>
      </c>
      <c r="B21" s="149">
        <v>0.2</v>
      </c>
      <c r="C21" s="124"/>
      <c r="D21" s="124"/>
      <c r="E21" s="124"/>
      <c r="F21" s="108"/>
    </row>
    <row r="22" spans="1:7" ht="21" x14ac:dyDescent="0.35">
      <c r="A22" s="150" t="s">
        <v>114</v>
      </c>
      <c r="B22" s="151">
        <f>B15*B18</f>
        <v>0.3</v>
      </c>
      <c r="C22" s="128"/>
      <c r="D22" s="128"/>
      <c r="E22" s="128"/>
      <c r="F22" s="129"/>
      <c r="G22" s="2"/>
    </row>
    <row r="23" spans="1:7" ht="21" x14ac:dyDescent="0.35">
      <c r="A23" s="150" t="s">
        <v>115</v>
      </c>
      <c r="B23" s="151">
        <f>B19*B16</f>
        <v>8.500000000000002E-2</v>
      </c>
      <c r="C23" s="128"/>
      <c r="D23" s="128"/>
      <c r="E23" s="128"/>
      <c r="F23" s="129"/>
      <c r="G23" s="2"/>
    </row>
    <row r="24" spans="1:7" ht="21" x14ac:dyDescent="0.35">
      <c r="A24" s="152" t="s">
        <v>116</v>
      </c>
      <c r="B24" s="153">
        <f>B20*B17</f>
        <v>0.1</v>
      </c>
      <c r="C24" s="132"/>
      <c r="D24" s="132"/>
      <c r="E24" s="132"/>
      <c r="F24" s="132"/>
    </row>
    <row r="25" spans="1:7" ht="21" x14ac:dyDescent="0.35">
      <c r="A25" s="152" t="s">
        <v>117</v>
      </c>
      <c r="B25" s="153">
        <f>B21</f>
        <v>0.2</v>
      </c>
      <c r="C25" s="2"/>
      <c r="D25" s="2"/>
      <c r="E25" s="2"/>
      <c r="F25" s="2"/>
    </row>
    <row r="26" spans="1:7" ht="31.5" x14ac:dyDescent="0.5">
      <c r="A26" s="154" t="s">
        <v>118</v>
      </c>
      <c r="B26" s="155">
        <f>SUM(B22:B25)</f>
        <v>0.68500000000000005</v>
      </c>
      <c r="C26" s="2"/>
      <c r="D26" s="2"/>
      <c r="E26" s="2"/>
      <c r="F26" s="2"/>
    </row>
  </sheetData>
  <mergeCells count="11">
    <mergeCell ref="B1:D1"/>
    <mergeCell ref="F1:G1"/>
    <mergeCell ref="A2:G2"/>
    <mergeCell ref="A6:E6"/>
    <mergeCell ref="A7:E7"/>
    <mergeCell ref="B17:E17"/>
    <mergeCell ref="A8:E8"/>
    <mergeCell ref="A9:E9"/>
    <mergeCell ref="A14:E14"/>
    <mergeCell ref="B15:E15"/>
    <mergeCell ref="B16:E16"/>
  </mergeCell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KPI_SUPPORT</vt:lpstr>
      <vt:lpstr>KPI_RD</vt:lpstr>
      <vt:lpstr>KPI_PROJECTS</vt:lpstr>
      <vt:lpstr>Source</vt:lpstr>
      <vt:lpstr>Result_RD</vt:lpstr>
      <vt:lpstr>Result_SUPPORT</vt:lpstr>
      <vt:lpstr>KPI_TOTAL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</dc:creator>
  <cp:lastModifiedBy>CPE</cp:lastModifiedBy>
  <cp:revision>2</cp:revision>
  <cp:lastPrinted>2012-12-04T10:49:53Z</cp:lastPrinted>
  <dcterms:created xsi:type="dcterms:W3CDTF">2012-12-03T13:32:16Z</dcterms:created>
  <dcterms:modified xsi:type="dcterms:W3CDTF">2017-01-24T09:23:47Z</dcterms:modified>
  <dc:language>ru-RU</dc:language>
</cp:coreProperties>
</file>