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hidePivotFieldList="1"/>
  <bookViews>
    <workbookView xWindow="-108" yWindow="-108" windowWidth="23256" windowHeight="12720" xr2:uid="{00000000-000D-0000-FFFF-FFFF00000000}"/>
  </bookViews>
  <sheets>
    <sheet name="PROJECT PARAMETERS" sheetId="1" r:id="rId1"/>
    <sheet name="PROJECT DETAILS" sheetId="2" r:id="rId2"/>
    <sheet name="PROJECT TOTALS" sheetId="3" r:id="rId3"/>
  </sheets>
  <definedNames>
    <definedName name="_xlnm.Print_Titles" localSheetId="1">'PROJECT DETAILS'!$5:$5</definedName>
    <definedName name="_xlnm.Print_Titles" localSheetId="2">'PROJECT TOTALS'!$5:$5</definedName>
    <definedName name="ProjectType">Parameters[PROJECT TYPE]</definedName>
  </definedName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G2" i="1"/>
  <c r="N2" i="3" l="1"/>
  <c r="B2" i="2"/>
  <c r="K2" i="2" l="1"/>
  <c r="G10" i="2"/>
  <c r="F10" i="2"/>
  <c r="E10" i="2"/>
  <c r="D10" i="2"/>
  <c r="G9" i="2"/>
  <c r="F9" i="2"/>
  <c r="E9" i="2"/>
  <c r="D9" i="2"/>
  <c r="E8" i="2"/>
  <c r="D8" i="2"/>
  <c r="G7" i="2"/>
  <c r="F7" i="2"/>
  <c r="D7" i="2"/>
  <c r="E7" i="2"/>
  <c r="G6" i="2"/>
  <c r="F6" i="2"/>
  <c r="E6" i="2"/>
  <c r="D6" i="2"/>
  <c r="B2" i="3" l="1"/>
  <c r="K9" i="2"/>
  <c r="W6" i="2"/>
  <c r="W7" i="2"/>
  <c r="W8" i="2"/>
  <c r="W9" i="2"/>
  <c r="W10" i="2"/>
  <c r="V6" i="2"/>
  <c r="V7" i="2"/>
  <c r="V8" i="2"/>
  <c r="V9" i="2"/>
  <c r="V10" i="2"/>
  <c r="U6" i="2"/>
  <c r="U7" i="2"/>
  <c r="U8" i="2"/>
  <c r="U9" i="2"/>
  <c r="U10" i="2"/>
  <c r="T6" i="2"/>
  <c r="T7" i="2"/>
  <c r="T8" i="2"/>
  <c r="T9" i="2"/>
  <c r="T10" i="2"/>
  <c r="S6" i="2"/>
  <c r="S7" i="2"/>
  <c r="S8" i="2"/>
  <c r="S9" i="2"/>
  <c r="S10" i="2"/>
  <c r="R6" i="2"/>
  <c r="R7" i="2"/>
  <c r="R8" i="2"/>
  <c r="R9" i="2"/>
  <c r="R10" i="2"/>
  <c r="Q6" i="2"/>
  <c r="Q7" i="2"/>
  <c r="Q8" i="2"/>
  <c r="Q9" i="2"/>
  <c r="Q10" i="2"/>
  <c r="P6" i="2"/>
  <c r="P7" i="2"/>
  <c r="P8" i="2"/>
  <c r="P9" i="2"/>
  <c r="P10" i="2"/>
  <c r="O6" i="2"/>
  <c r="O7" i="2"/>
  <c r="O8" i="2"/>
  <c r="O9" i="2"/>
  <c r="O10" i="2"/>
  <c r="N6" i="2"/>
  <c r="N7" i="2"/>
  <c r="N8" i="2"/>
  <c r="N9" i="2"/>
  <c r="N10" i="2"/>
  <c r="M6" i="2"/>
  <c r="M7" i="2"/>
  <c r="M8" i="2"/>
  <c r="M9" i="2"/>
  <c r="M10" i="2"/>
  <c r="L6" i="2"/>
  <c r="L7" i="2"/>
  <c r="L8" i="2"/>
  <c r="L9" i="2"/>
  <c r="L10" i="2"/>
  <c r="K6" i="2"/>
  <c r="K7" i="2"/>
  <c r="K8" i="2"/>
  <c r="K10" i="2"/>
  <c r="J6" i="2"/>
  <c r="J7" i="2"/>
  <c r="J8" i="2"/>
  <c r="J9" i="2"/>
  <c r="J10" i="2"/>
  <c r="I11" i="2"/>
  <c r="H11" i="2"/>
  <c r="I7" i="1"/>
  <c r="I8" i="1"/>
  <c r="I9" i="1"/>
  <c r="I10" i="1"/>
  <c r="I11" i="1"/>
  <c r="I12" i="1"/>
  <c r="H18" i="1" l="1"/>
  <c r="H20" i="1" s="1"/>
  <c r="F18" i="1"/>
  <c r="F20" i="1" s="1"/>
  <c r="D18" i="1"/>
  <c r="D20" i="1" s="1"/>
  <c r="G18" i="1"/>
  <c r="G20" i="1" s="1"/>
  <c r="E18" i="1"/>
  <c r="E20" i="1" s="1"/>
  <c r="F17" i="1"/>
  <c r="F19" i="1" s="1"/>
  <c r="E17" i="1"/>
  <c r="E19" i="1" s="1"/>
  <c r="C18" i="1"/>
  <c r="C20" i="1" s="1"/>
  <c r="D17" i="1"/>
  <c r="D19" i="1" s="1"/>
  <c r="H17" i="1"/>
  <c r="H19" i="1" s="1"/>
  <c r="C17" i="1"/>
  <c r="C19" i="1" s="1"/>
  <c r="G17" i="1"/>
  <c r="G19" i="1" s="1"/>
  <c r="J11" i="2"/>
  <c r="K11" i="2"/>
</calcChain>
</file>

<file path=xl/sharedStrings.xml><?xml version="1.0" encoding="utf-8"?>
<sst xmlns="http://schemas.openxmlformats.org/spreadsheetml/2006/main" count="84" uniqueCount="59">
  <si>
    <t>PROJECT TYPE</t>
  </si>
  <si>
    <t>ACCOUNT MANAGER</t>
  </si>
  <si>
    <t>PROJECT MANAGER</t>
  </si>
  <si>
    <t>STRATEGY MANAGER</t>
  </si>
  <si>
    <t>DESIGN SPECIALIST</t>
  </si>
  <si>
    <t>EVENT STAFF</t>
  </si>
  <si>
    <t>ADMIN STAFF</t>
  </si>
  <si>
    <t>Event strategy development</t>
  </si>
  <si>
    <t>Event planning</t>
  </si>
  <si>
    <t>Event design</t>
  </si>
  <si>
    <t>Event logistics</t>
  </si>
  <si>
    <t>Event staffing</t>
  </si>
  <si>
    <t>Event assessment</t>
  </si>
  <si>
    <t>Blended rates</t>
  </si>
  <si>
    <t>PLANNED COST</t>
  </si>
  <si>
    <t>ACTUAL COST</t>
  </si>
  <si>
    <t>PLANNED HOURS</t>
  </si>
  <si>
    <t>ACTUAL HOURS</t>
  </si>
  <si>
    <t>PROJECT NAME</t>
  </si>
  <si>
    <t>ESTIMATED START</t>
  </si>
  <si>
    <t>ESTIMATED FINISH</t>
  </si>
  <si>
    <t>ACTUAL FINISH</t>
  </si>
  <si>
    <t>ESTIMATED WORK</t>
  </si>
  <si>
    <t>ESTIMATED DURATION</t>
  </si>
  <si>
    <t>ACTUAL DURATION</t>
  </si>
  <si>
    <t xml:space="preserve">ACCOUNT MANAGER </t>
  </si>
  <si>
    <t xml:space="preserve">PROJECT MANAGER </t>
  </si>
  <si>
    <t xml:space="preserve">STRATEGY MANAGER </t>
  </si>
  <si>
    <t xml:space="preserve">DESIGN SPECIALIST </t>
  </si>
  <si>
    <t xml:space="preserve">EVENT STAFF </t>
  </si>
  <si>
    <t xml:space="preserve">ADMIN STAFF </t>
  </si>
  <si>
    <t>Project 1</t>
  </si>
  <si>
    <t>Project 2</t>
  </si>
  <si>
    <t>Project 3</t>
  </si>
  <si>
    <t>Project 4</t>
  </si>
  <si>
    <t>Project 5</t>
  </si>
  <si>
    <t>TOTAL</t>
  </si>
  <si>
    <t>ACCOUNT MANAGER ESTIMATE</t>
  </si>
  <si>
    <t>PROJECT MANAGER ESTIMATE</t>
  </si>
  <si>
    <t>STRATEGY MANAGER ESTIMATE</t>
  </si>
  <si>
    <t>DESIGN SPECIALIST ESTIMATE</t>
  </si>
  <si>
    <t>DESIGN SPECIALIST ACTUAL</t>
  </si>
  <si>
    <t>Grand Total</t>
  </si>
  <si>
    <t>ROBOTINE MANUFACTURING</t>
  </si>
  <si>
    <t>ACTUAL
START</t>
  </si>
  <si>
    <t>ACTUAL
WORK</t>
  </si>
  <si>
    <t>EVENT STAFF
ESTIMATE</t>
  </si>
  <si>
    <t>ADMIN STAFF
ESTIMATE</t>
  </si>
  <si>
    <t>ACCOUNT MANAGER 
ACTUAL</t>
  </si>
  <si>
    <t>PROJECT MANAGER
ACTUAL</t>
  </si>
  <si>
    <t>STRATEGY MANAGER
ACTUAL</t>
  </si>
  <si>
    <t>EVENT STAFF
ACTUAL</t>
  </si>
  <si>
    <t>ADMIN STAFF
ACTUAL</t>
  </si>
  <si>
    <t>Shaded cells are calculated for you. You do not need to enter anything into them.</t>
  </si>
  <si>
    <t>INFO
To add a row, select the bottom-right most cell in the body of the table (not the totals row) and press Tab, or right-click where you want the row inserted and select Insert | Table Rows Above/Below.
Be sure all unused rows are deleted, as the PROJECT TOTALS PivotTable will use all of the tables cells, and otherwise would give erroneous results.</t>
  </si>
  <si>
    <t>INFO
This PivotTable will not refresh automatically.  To refresh it, go to Data Tab in the ribbon and click Refresh All.</t>
  </si>
  <si>
    <r>
      <rPr>
        <sz val="8"/>
        <color theme="4"/>
        <rFont val="Consolas"/>
        <family val="3"/>
        <scheme val="major"/>
      </rPr>
      <t xml:space="preserve"> </t>
    </r>
    <r>
      <rPr>
        <sz val="22"/>
        <color theme="4"/>
        <rFont val="Consolas"/>
        <family val="3"/>
        <scheme val="major"/>
      </rPr>
      <t>Event management project tracker</t>
    </r>
  </si>
  <si>
    <r>
      <rPr>
        <sz val="8"/>
        <color theme="5"/>
        <rFont val="Consolas"/>
        <family val="3"/>
        <scheme val="major"/>
      </rPr>
      <t xml:space="preserve"> </t>
    </r>
    <r>
      <rPr>
        <sz val="22"/>
        <color theme="5"/>
        <rFont val="Consolas"/>
        <family val="3"/>
        <scheme val="major"/>
      </rPr>
      <t>Event management project tracker</t>
    </r>
  </si>
  <si>
    <r>
      <rPr>
        <sz val="8"/>
        <color theme="7"/>
        <rFont val="Consolas"/>
        <family val="3"/>
        <scheme val="major"/>
      </rPr>
      <t xml:space="preserve"> </t>
    </r>
    <r>
      <rPr>
        <sz val="22"/>
        <color theme="7"/>
        <rFont val="Consolas"/>
        <family val="3"/>
        <scheme val="major"/>
      </rPr>
      <t>Event Management Project Tracker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</si>
</sst>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32" x14ac:knownFonts="1">
    <font>
      <sz val="10"/>
      <color theme="1" tint="0.24994659260841701"/>
      <name val="Consolas"/>
      <family val="2"/>
      <scheme val="minor"/>
    </font>
    <font>
      <sz val="20"/>
      <color theme="1" tint="0.24994659260841701"/>
      <name val="Consolas"/>
      <family val="2"/>
      <scheme val="major"/>
    </font>
    <font>
      <sz val="16"/>
      <color theme="1" tint="0.34998626667073579"/>
      <name val="Consolas"/>
      <family val="2"/>
      <scheme val="major"/>
    </font>
    <font>
      <sz val="12"/>
      <color theme="1" tint="0.24994659260841701"/>
      <name val="Consolas"/>
      <family val="2"/>
      <scheme val="major"/>
    </font>
    <font>
      <sz val="11"/>
      <color theme="0"/>
      <name val="Consolas"/>
      <family val="3"/>
      <scheme val="minor"/>
    </font>
    <font>
      <sz val="11"/>
      <color theme="1"/>
      <name val="Consolas"/>
      <family val="3"/>
      <scheme val="minor"/>
    </font>
    <font>
      <sz val="14"/>
      <color theme="1" tint="0.34998626667073579"/>
      <name val="Consolas"/>
      <family val="3"/>
      <scheme val="minor"/>
    </font>
    <font>
      <sz val="16"/>
      <color theme="1" tint="0.34998626667073579"/>
      <name val="Consolas"/>
      <family val="3"/>
      <scheme val="minor"/>
    </font>
    <font>
      <sz val="10"/>
      <color theme="1" tint="0.24994659260841701"/>
      <name val="Consolas"/>
      <family val="3"/>
      <scheme val="minor"/>
    </font>
    <font>
      <sz val="14"/>
      <color theme="1" tint="0.24994659260841701"/>
      <name val="Consolas"/>
      <family val="3"/>
      <scheme val="minor"/>
    </font>
    <font>
      <i/>
      <sz val="10"/>
      <color theme="1"/>
      <name val="Consolas"/>
      <family val="3"/>
      <scheme val="minor"/>
    </font>
    <font>
      <sz val="10"/>
      <color theme="1"/>
      <name val="Consolas"/>
      <family val="3"/>
      <scheme val="minor"/>
    </font>
    <font>
      <i/>
      <sz val="14"/>
      <color theme="1"/>
      <name val="Consolas"/>
      <family val="3"/>
      <scheme val="minor"/>
    </font>
    <font>
      <sz val="14"/>
      <color theme="1"/>
      <name val="Consolas"/>
      <family val="3"/>
      <scheme val="minor"/>
    </font>
    <font>
      <sz val="12"/>
      <color theme="1" tint="0.24994659260841701"/>
      <name val="Consolas"/>
      <family val="3"/>
      <scheme val="minor"/>
    </font>
    <font>
      <sz val="12"/>
      <color theme="1"/>
      <name val="Consolas"/>
      <family val="3"/>
      <scheme val="minor"/>
    </font>
    <font>
      <b/>
      <sz val="12"/>
      <color theme="1"/>
      <name val="Consolas"/>
      <family val="3"/>
      <scheme val="minor"/>
    </font>
    <font>
      <sz val="40"/>
      <color theme="4"/>
      <name val="Consolas"/>
      <family val="3"/>
      <scheme val="major"/>
    </font>
    <font>
      <sz val="22"/>
      <color theme="4"/>
      <name val="Consolas"/>
      <family val="3"/>
      <scheme val="major"/>
    </font>
    <font>
      <sz val="8"/>
      <color theme="4"/>
      <name val="Consolas"/>
      <family val="3"/>
      <scheme val="major"/>
    </font>
    <font>
      <sz val="20"/>
      <color theme="1" tint="0.24994659260841701"/>
      <name val="Consolas"/>
      <family val="3"/>
      <scheme val="minor"/>
    </font>
    <font>
      <sz val="12"/>
      <color theme="0"/>
      <name val="Consolas"/>
      <family val="3"/>
      <scheme val="minor"/>
    </font>
    <font>
      <sz val="40"/>
      <color theme="5"/>
      <name val="Consolas"/>
      <family val="3"/>
      <scheme val="major"/>
    </font>
    <font>
      <sz val="22"/>
      <color theme="5"/>
      <name val="Consolas"/>
      <family val="3"/>
      <scheme val="major"/>
    </font>
    <font>
      <sz val="8"/>
      <color theme="5"/>
      <name val="Consolas"/>
      <family val="3"/>
      <scheme val="major"/>
    </font>
    <font>
      <b/>
      <sz val="12"/>
      <color theme="1" tint="0.24994659260841701"/>
      <name val="Consolas"/>
      <family val="3"/>
      <scheme val="minor"/>
    </font>
    <font>
      <sz val="40"/>
      <color theme="7"/>
      <name val="Consolas"/>
      <family val="3"/>
      <scheme val="major"/>
    </font>
    <font>
      <sz val="22"/>
      <color theme="7"/>
      <name val="Consolas"/>
      <family val="3"/>
      <scheme val="major"/>
    </font>
    <font>
      <sz val="8"/>
      <color theme="7"/>
      <name val="Consolas"/>
      <family val="3"/>
      <scheme val="major"/>
    </font>
    <font>
      <sz val="12"/>
      <color theme="1" tint="0.24994659260841701"/>
      <name val="Consolas"/>
      <family val="2"/>
      <scheme val="minor"/>
    </font>
    <font>
      <sz val="14"/>
      <color theme="8" tint="-0.249977111117893"/>
      <name val="Consolas"/>
      <family val="3"/>
      <scheme val="minor"/>
    </font>
    <font>
      <b/>
      <sz val="12"/>
      <name val="Consolas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</cellStyleXfs>
  <cellXfs count="7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0" fontId="8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3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9" fontId="15" fillId="0" borderId="0" xfId="0" applyNumberFormat="1" applyFont="1" applyAlignment="1">
      <alignment horizontal="left" vertical="center" indent="1"/>
    </xf>
    <xf numFmtId="9" fontId="15" fillId="3" borderId="0" xfId="0" applyNumberFormat="1" applyFont="1" applyFill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164" fontId="16" fillId="0" borderId="0" xfId="0" applyNumberFormat="1" applyFont="1" applyAlignment="1">
      <alignment horizontal="left" vertical="center" indent="1"/>
    </xf>
    <xf numFmtId="9" fontId="16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7" fillId="0" borderId="0" xfId="1" applyFont="1" applyFill="1" applyBorder="1" applyAlignment="1">
      <alignment horizontal="left"/>
    </xf>
    <xf numFmtId="0" fontId="18" fillId="0" borderId="0" xfId="2" applyFont="1" applyFill="1" applyAlignment="1">
      <alignment horizontal="left"/>
    </xf>
    <xf numFmtId="0" fontId="5" fillId="0" borderId="0" xfId="0" applyFont="1" applyAlignment="1">
      <alignment horizontal="left" vertical="center" indent="1"/>
    </xf>
    <xf numFmtId="0" fontId="20" fillId="0" borderId="0" xfId="1" applyFont="1" applyBorder="1" applyAlignment="1">
      <alignment horizontal="left"/>
    </xf>
    <xf numFmtId="0" fontId="7" fillId="0" borderId="0" xfId="2" applyFont="1" applyAlignment="1">
      <alignment horizontal="left"/>
    </xf>
    <xf numFmtId="0" fontId="14" fillId="0" borderId="0" xfId="3" applyFont="1" applyAlignment="1">
      <alignment horizontal="left" vertical="center"/>
    </xf>
    <xf numFmtId="0" fontId="4" fillId="0" borderId="0" xfId="0" applyFont="1" applyAlignment="1">
      <alignment wrapText="1"/>
    </xf>
    <xf numFmtId="0" fontId="21" fillId="4" borderId="0" xfId="0" applyFont="1" applyFill="1" applyAlignment="1">
      <alignment horizontal="left" vertical="center" wrapText="1" indent="1"/>
    </xf>
    <xf numFmtId="0" fontId="5" fillId="2" borderId="6" xfId="0" applyFont="1" applyFill="1" applyBorder="1"/>
    <xf numFmtId="0" fontId="5" fillId="2" borderId="8" xfId="0" applyFont="1" applyFill="1" applyBorder="1"/>
    <xf numFmtId="14" fontId="15" fillId="0" borderId="0" xfId="0" applyNumberFormat="1" applyFont="1" applyAlignment="1">
      <alignment horizontal="left" vertical="center" indent="1"/>
    </xf>
    <xf numFmtId="0" fontId="5" fillId="2" borderId="9" xfId="0" applyFont="1" applyFill="1" applyBorder="1"/>
    <xf numFmtId="0" fontId="5" fillId="2" borderId="5" xfId="0" applyFont="1" applyFill="1" applyBorder="1"/>
    <xf numFmtId="0" fontId="15" fillId="0" borderId="5" xfId="0" applyFont="1" applyBorder="1" applyAlignment="1">
      <alignment horizontal="left" vertical="center" indent="1"/>
    </xf>
    <xf numFmtId="0" fontId="5" fillId="2" borderId="10" xfId="0" applyFont="1" applyFill="1" applyBorder="1"/>
    <xf numFmtId="0" fontId="5" fillId="2" borderId="12" xfId="0" applyFont="1" applyFill="1" applyBorder="1"/>
    <xf numFmtId="0" fontId="22" fillId="0" borderId="0" xfId="1" applyFont="1" applyBorder="1" applyAlignment="1">
      <alignment horizontal="left"/>
    </xf>
    <xf numFmtId="0" fontId="23" fillId="0" borderId="0" xfId="2" applyFont="1" applyAlignment="1">
      <alignment horizontal="left"/>
    </xf>
    <xf numFmtId="0" fontId="20" fillId="0" borderId="0" xfId="1" applyFont="1" applyBorder="1" applyAlignment="1"/>
    <xf numFmtId="0" fontId="7" fillId="0" borderId="0" xfId="2" applyFont="1" applyAlignment="1"/>
    <xf numFmtId="0" fontId="14" fillId="0" borderId="0" xfId="3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8" fillId="2" borderId="16" xfId="0" applyFont="1" applyFill="1" applyBorder="1" applyAlignment="1">
      <alignment vertical="center" wrapText="1"/>
    </xf>
    <xf numFmtId="0" fontId="8" fillId="2" borderId="17" xfId="0" applyFont="1" applyFill="1" applyBorder="1" applyAlignment="1">
      <alignment vertical="center" wrapText="1"/>
    </xf>
    <xf numFmtId="0" fontId="8" fillId="2" borderId="18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/>
    <xf numFmtId="0" fontId="26" fillId="0" borderId="0" xfId="1" applyFont="1" applyBorder="1" applyAlignment="1">
      <alignment horizontal="left"/>
    </xf>
    <xf numFmtId="0" fontId="27" fillId="0" borderId="0" xfId="2" applyFont="1" applyAlignment="1">
      <alignment horizontal="left"/>
    </xf>
    <xf numFmtId="0" fontId="29" fillId="0" borderId="0" xfId="0" applyFont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left" vertical="center" wrapText="1" indent="1"/>
    </xf>
    <xf numFmtId="0" fontId="30" fillId="0" borderId="0" xfId="3" applyFont="1" applyFill="1" applyAlignment="1">
      <alignment horizontal="right" wrapText="1"/>
    </xf>
    <xf numFmtId="0" fontId="30" fillId="0" borderId="0" xfId="0" applyFont="1" applyAlignment="1">
      <alignment horizontal="right" wrapText="1"/>
    </xf>
    <xf numFmtId="0" fontId="11" fillId="2" borderId="7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30" fillId="0" borderId="0" xfId="3" applyFont="1" applyAlignment="1">
      <alignment horizontal="right" wrapText="1"/>
    </xf>
    <xf numFmtId="0" fontId="11" fillId="2" borderId="14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19" xfId="0" applyFont="1" applyFill="1" applyBorder="1" applyAlignment="1">
      <alignment vertical="center" wrapText="1"/>
    </xf>
    <xf numFmtId="0" fontId="25" fillId="0" borderId="0" xfId="0" applyFont="1" applyFill="1" applyAlignment="1">
      <alignment horizontal="left" vertical="center" wrapText="1" indent="1"/>
    </xf>
    <xf numFmtId="165" fontId="15" fillId="0" borderId="0" xfId="0" applyNumberFormat="1" applyFont="1" applyFill="1" applyBorder="1" applyAlignment="1">
      <alignment horizontal="left" vertical="center" wrapText="1" indent="1"/>
    </xf>
    <xf numFmtId="0" fontId="15" fillId="0" borderId="0" xfId="0" applyFont="1" applyFill="1" applyBorder="1" applyAlignment="1">
      <alignment horizontal="left" vertical="center" wrapText="1" indent="1"/>
    </xf>
    <xf numFmtId="165" fontId="31" fillId="0" borderId="0" xfId="0" applyNumberFormat="1" applyFont="1" applyFill="1" applyBorder="1" applyAlignment="1">
      <alignment horizontal="left" vertical="center" wrapText="1" indent="1"/>
    </xf>
    <xf numFmtId="0" fontId="31" fillId="0" borderId="0" xfId="0" applyFont="1" applyFill="1" applyBorder="1" applyAlignment="1">
      <alignment horizontal="left" vertical="center" wrapText="1" indent="1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243">
    <dxf>
      <alignment wrapText="1" readingOrder="0"/>
    </dxf>
    <dxf>
      <alignment wrapText="1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wrapText="1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b/>
        <family val="1"/>
      </font>
    </dxf>
    <dxf>
      <font>
        <b/>
        <family val="1"/>
      </font>
    </dxf>
    <dxf>
      <alignment vertical="center"/>
    </dxf>
    <dxf>
      <alignment vertical="center"/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 wrapText="1" indent="1"/>
    </dxf>
    <dxf>
      <alignment horizontal="left" wrapText="1" indent="1"/>
    </dxf>
    <dxf>
      <alignment horizontal="left" wrapText="1" indent="1"/>
    </dxf>
    <dxf>
      <alignment vertical="center" indent="0"/>
    </dxf>
    <dxf>
      <alignment vertical="center" indent="0"/>
    </dxf>
    <dxf>
      <alignment vertical="center" indent="0"/>
    </dxf>
    <dxf>
      <alignment horizontal="left" wrapText="1" indent="1"/>
    </dxf>
    <dxf>
      <alignment horizontal="left" wrapText="1" indent="1"/>
    </dxf>
    <dxf>
      <alignment horizontal="left" wrapText="1" indent="1"/>
    </dxf>
    <dxf>
      <border>
        <bottom style="thin">
          <color theme="6"/>
        </bottom>
        <horizontal style="thin">
          <color theme="6"/>
        </horizontal>
      </border>
    </dxf>
    <dxf>
      <border>
        <bottom style="thin">
          <color theme="6"/>
        </bottom>
        <horizontal style="thin">
          <color theme="6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/>
        </horizont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/>
        </horizont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/>
        </horizontal>
      </border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horizontal="left" indent="1"/>
    </dxf>
    <dxf>
      <numFmt numFmtId="165" formatCode="&quot;$&quot;#,##0.00"/>
    </dxf>
    <dxf>
      <alignment horizontal="left" indent="1"/>
    </dxf>
    <dxf>
      <alignment horizontal="left" indent="1"/>
    </dxf>
    <dxf>
      <numFmt numFmtId="165" formatCode="&quot;$&quot;#,##0.00"/>
    </dxf>
    <dxf>
      <alignment horizontal="left" indent="1"/>
    </dxf>
    <dxf>
      <alignment vertical="center"/>
    </dxf>
    <dxf>
      <alignment vertical="center"/>
    </dxf>
    <dxf>
      <alignment horizontal="center"/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font>
        <name val="Consolas"/>
        <family val="3"/>
        <scheme val="minor"/>
      </font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/>
        </horizont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/>
        </horizont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border>
        <bottom style="thin">
          <color theme="6"/>
        </bottom>
        <horizontal style="thin">
          <color theme="6"/>
        </horizontal>
      </border>
    </dxf>
    <dxf>
      <border>
        <bottom style="thin">
          <color theme="6"/>
        </bottom>
        <horizontal style="thin">
          <color theme="6"/>
        </horizontal>
      </border>
    </dxf>
    <dxf>
      <alignment horizontal="left" wrapText="1" indent="1"/>
    </dxf>
    <dxf>
      <alignment horizontal="left" wrapText="1" indent="1"/>
    </dxf>
    <dxf>
      <alignment horizontal="left" wrapText="1" indent="1"/>
    </dxf>
    <dxf>
      <alignment vertical="center" indent="0"/>
    </dxf>
    <dxf>
      <alignment vertical="center" indent="0"/>
    </dxf>
    <dxf>
      <alignment vertical="center" indent="0"/>
    </dxf>
    <dxf>
      <alignment horizontal="left" wrapText="1" indent="1"/>
    </dxf>
    <dxf>
      <alignment horizontal="left" wrapText="1" indent="1"/>
    </dxf>
    <dxf>
      <alignment horizontal="left" wrapText="1" inden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font>
        <name val="Consolas"/>
        <family val="2"/>
        <scheme val="none"/>
      </font>
    </dxf>
    <dxf>
      <alignment vertical="center"/>
    </dxf>
    <dxf>
      <alignment vertical="center"/>
    </dxf>
    <dxf>
      <font>
        <b/>
        <family val="1"/>
      </font>
    </dxf>
    <dxf>
      <font>
        <b/>
        <family val="1"/>
      </font>
    </dxf>
    <dxf>
      <font>
        <color auto="1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thin">
          <color theme="5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name val="Consolas"/>
        <family val="3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onsolas"/>
        <family val="3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3" formatCode="0%"/>
      <fill>
        <patternFill patternType="solid">
          <fgColor indexed="64"/>
          <bgColor theme="4" tint="0.79998168889431442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3" formatCode="0%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3" formatCode="0%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3" formatCode="0%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3" formatCode="0%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3" formatCode="0%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numFmt numFmtId="13" formatCode="0%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family val="3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onsolas"/>
        <family val="3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</font>
    </dxf>
    <dxf>
      <font>
        <b/>
        <i val="0"/>
        <color theme="0"/>
      </font>
      <fill>
        <patternFill>
          <bgColor theme="5"/>
        </patternFill>
      </fill>
    </dxf>
    <dxf>
      <font>
        <color theme="1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 style="thin">
          <color theme="5"/>
        </horizontal>
      </border>
    </dxf>
    <dxf>
      <font>
        <b/>
        <i val="0"/>
      </font>
    </dxf>
    <dxf>
      <font>
        <color theme="0"/>
      </font>
      <fill>
        <patternFill patternType="solid">
          <fgColor theme="7" tint="-0.24994659260841701"/>
          <bgColor theme="7" tint="-0.2499465926084170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 style="thin">
          <color theme="7"/>
        </horizontal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theme="0"/>
      </font>
      <fill>
        <patternFill patternType="solid">
          <fgColor theme="5" tint="0.39997558519241921"/>
          <bgColor theme="5" tint="0.39997558519241921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color auto="1"/>
      </font>
      <border>
        <top style="double">
          <color theme="5" tint="-0.249977111117893"/>
        </top>
      </border>
    </dxf>
    <dxf>
      <font>
        <color theme="0"/>
      </font>
      <fill>
        <patternFill patternType="solid">
          <fgColor theme="5" tint="-0.249977111117893"/>
          <bgColor theme="5" tint="-0.249977111117893"/>
        </patternFill>
      </fill>
      <border>
        <horizontal style="thin">
          <color theme="5" tint="-0.249977111117893"/>
        </horizontal>
      </border>
    </dxf>
  </dxfs>
  <tableStyles count="3" defaultTableStyle="TableStyleMedium3" defaultPivotStyle="PivotStyleLight16">
    <tableStyle name="ProjectTracker" table="0" count="12" xr9:uid="{23DA97AA-2C17-4E01-857D-321976E8BB89}">
      <tableStyleElement type="headerRow" dxfId="242"/>
      <tableStyleElement type="totalRow" dxfId="241"/>
      <tableStyleElement type="firstRowStripe" dxfId="240"/>
      <tableStyleElement type="firstColumnStripe" dxfId="239"/>
      <tableStyleElement type="firstHeaderCell" dxfId="238"/>
      <tableStyleElement type="firstSubtotalRow" dxfId="237"/>
      <tableStyleElement type="secondSubtotalRow" dxfId="236"/>
      <tableStyleElement type="firstColumnSubheading" dxfId="235"/>
      <tableStyleElement type="firstRowSubheading" dxfId="234"/>
      <tableStyleElement type="secondRowSubheading" dxfId="233"/>
      <tableStyleElement type="pageFieldLabels" dxfId="232"/>
      <tableStyleElement type="pageFieldValues" dxfId="231"/>
    </tableStyle>
    <tableStyle name="ProjectTracker 2" table="0" count="3" xr9:uid="{51971F39-EF38-824D-8966-FB8A008C49DF}">
      <tableStyleElement type="wholeTable" dxfId="230"/>
      <tableStyleElement type="headerRow" dxfId="229"/>
      <tableStyleElement type="totalRow" dxfId="228"/>
    </tableStyle>
    <tableStyle name="TableStyleLight1 2" pivot="0" count="3" xr9:uid="{883C2FAA-5AEF-0F45-B99A-E13D3DE4C0FC}">
      <tableStyleElement type="wholeTable" dxfId="227"/>
      <tableStyleElement type="headerRow" dxfId="226"/>
      <tableStyleElement type="totalRow" dxfId="2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pivotCacheDefinition" Target="/xl/pivotCache/pivotCacheDefinition11.xml" Id="rId4" /><Relationship Type="http://schemas.openxmlformats.org/officeDocument/2006/relationships/customXml" Target="/customXml/item13.xml" Id="rId9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j-ea"/>
                <a:cs typeface="Consolas" panose="020B0609020204030204" pitchFamily="49" charset="0"/>
              </a:defRPr>
            </a:pPr>
            <a:r>
              <a:rPr lang="en-US" baseline="0">
                <a:solidFill>
                  <a:schemeClr val="accent1"/>
                </a:solidFill>
                <a:latin typeface="+mn-lt"/>
                <a:cs typeface="Consolas" panose="020B0609020204030204" pitchFamily="49" charset="0"/>
              </a:rPr>
              <a:t>PLANNED vs. ACTUAL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accent1"/>
              </a:solidFill>
              <a:latin typeface="+mn-lt"/>
              <a:ea typeface="+mj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PARAMETERS'!$B$17</c:f>
              <c:strCache>
                <c:ptCount val="1"/>
                <c:pt idx="0">
                  <c:v>PLANNED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PARAMETERS'!$C$16:$H$16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PARAMETERS'!$C$17:$H$17</c:f>
              <c:numCache>
                <c:formatCode>"$"#,##0.00</c:formatCode>
                <c:ptCount val="6"/>
                <c:pt idx="0">
                  <c:v>54000</c:v>
                </c:pt>
                <c:pt idx="1">
                  <c:v>52200</c:v>
                </c:pt>
                <c:pt idx="2">
                  <c:v>24000</c:v>
                </c:pt>
                <c:pt idx="3">
                  <c:v>29000</c:v>
                </c:pt>
                <c:pt idx="4">
                  <c:v>13200</c:v>
                </c:pt>
                <c:pt idx="5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0-4845-B60A-67B25D8A3957}"/>
            </c:ext>
          </c:extLst>
        </c:ser>
        <c:ser>
          <c:idx val="1"/>
          <c:order val="1"/>
          <c:tx>
            <c:strRef>
              <c:f>'PROJECT PARAMETERS'!$B$18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PARAMETERS'!$C$16:$H$16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PARAMETERS'!$C$18:$H$18</c:f>
              <c:numCache>
                <c:formatCode>"$"#,##0.00</c:formatCode>
                <c:ptCount val="6"/>
                <c:pt idx="0">
                  <c:v>54360</c:v>
                </c:pt>
                <c:pt idx="1">
                  <c:v>51540</c:v>
                </c:pt>
                <c:pt idx="2">
                  <c:v>25650</c:v>
                </c:pt>
                <c:pt idx="3">
                  <c:v>28900</c:v>
                </c:pt>
                <c:pt idx="4">
                  <c:v>13400</c:v>
                </c:pt>
                <c:pt idx="5">
                  <c:v>9060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0-4845-B60A-67B25D8A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35542680"/>
        <c:axId val="235555352"/>
      </c:barChart>
      <c:catAx>
        <c:axId val="2355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235555352"/>
        <c:crosses val="autoZero"/>
        <c:auto val="1"/>
        <c:lblAlgn val="ctr"/>
        <c:lblOffset val="100"/>
        <c:noMultiLvlLbl val="0"/>
      </c:catAx>
      <c:valAx>
        <c:axId val="2355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2355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accent1"/>
                </a:solidFill>
                <a:latin typeface="+mn-lt"/>
                <a:ea typeface="+mj-ea"/>
                <a:cs typeface="Consolas" panose="020B0609020204030204" pitchFamily="49" charset="0"/>
              </a:defRPr>
            </a:pPr>
            <a:r>
              <a:rPr lang="en-US" baseline="0">
                <a:solidFill>
                  <a:schemeClr val="accent1"/>
                </a:solidFill>
                <a:latin typeface="+mn-lt"/>
                <a:cs typeface="Consolas" panose="020B0609020204030204" pitchFamily="49" charset="0"/>
              </a:rPr>
              <a:t>PLANNED vs. ACTUAL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accent1"/>
              </a:solidFill>
              <a:latin typeface="+mn-lt"/>
              <a:ea typeface="+mj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PARAMETERS'!$B$19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PARAMETERS'!$C$16:$H$16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PARAMETERS'!$C$19:$H$19</c:f>
              <c:numCache>
                <c:formatCode>#,##0.00</c:formatCode>
                <c:ptCount val="6"/>
                <c:pt idx="0">
                  <c:v>300</c:v>
                </c:pt>
                <c:pt idx="1">
                  <c:v>290</c:v>
                </c:pt>
                <c:pt idx="2">
                  <c:v>133.33333333333334</c:v>
                </c:pt>
                <c:pt idx="3">
                  <c:v>161.11111111111111</c:v>
                </c:pt>
                <c:pt idx="4">
                  <c:v>73.333333333333329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A-44EC-9CDF-5C3EB0A17C14}"/>
            </c:ext>
          </c:extLst>
        </c:ser>
        <c:ser>
          <c:idx val="1"/>
          <c:order val="1"/>
          <c:tx>
            <c:strRef>
              <c:f>'PROJECT PARAMETERS'!$B$20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PARAMETERS'!$C$16:$H$16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PARAMETERS'!$C$20:$H$20</c:f>
              <c:numCache>
                <c:formatCode>#,##0.00</c:formatCode>
                <c:ptCount val="6"/>
                <c:pt idx="0">
                  <c:v>302</c:v>
                </c:pt>
                <c:pt idx="1">
                  <c:v>286.33333333333331</c:v>
                </c:pt>
                <c:pt idx="2">
                  <c:v>142.5</c:v>
                </c:pt>
                <c:pt idx="3">
                  <c:v>160.55555555555554</c:v>
                </c:pt>
                <c:pt idx="4">
                  <c:v>74.444444444444443</c:v>
                </c:pt>
                <c:pt idx="5">
                  <c:v>50.333333333333336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A-44EC-9CDF-5C3EB0A1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35519648"/>
        <c:axId val="235697816"/>
      </c:barChart>
      <c:catAx>
        <c:axId val="2355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235697816"/>
        <c:crosses val="autoZero"/>
        <c:auto val="1"/>
        <c:lblAlgn val="ctr"/>
        <c:lblOffset val="100"/>
        <c:noMultiLvlLbl val="0"/>
      </c:catAx>
      <c:valAx>
        <c:axId val="2356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2355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13</xdr:row>
      <xdr:rowOff>285750</xdr:rowOff>
    </xdr:from>
    <xdr:to>
      <xdr:col>4</xdr:col>
      <xdr:colOff>66674</xdr:colOff>
      <xdr:row>24</xdr:row>
      <xdr:rowOff>31750</xdr:rowOff>
    </xdr:to>
    <xdr:graphicFrame macro="">
      <xdr:nvGraphicFramePr>
        <xdr:cNvPr id="7" name="Chart 6" descr="Column chart showing planned versus actual co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590550</xdr:colOff>
      <xdr:row>13</xdr:row>
      <xdr:rowOff>285750</xdr:rowOff>
    </xdr:from>
    <xdr:to>
      <xdr:col>9</xdr:col>
      <xdr:colOff>0</xdr:colOff>
      <xdr:row>24</xdr:row>
      <xdr:rowOff>31750</xdr:rowOff>
    </xdr:to>
    <xdr:graphicFrame macro="">
      <xdr:nvGraphicFramePr>
        <xdr:cNvPr id="8" name="Chart 7" descr="Column chart showing planned versus actual hour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1.xml" Id="rId1" /></Relationships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14.793584953703" createdVersion="5" refreshedVersion="8" minRefreshableVersion="3" recordCount="5" xr:uid="{00000000-000A-0000-FFFF-FFFF00000000}">
  <cacheSource type="worksheet">
    <worksheetSource name="ProjectDetails"/>
  </cacheSource>
  <cacheFields count="22">
    <cacheField name="PROJECT NAME" numFmtId="0">
      <sharedItems count="27">
        <s v="Project 1"/>
        <s v="Project 2"/>
        <s v="Project 3"/>
        <s v="Project 4"/>
        <s v="Project 5"/>
        <s v="A. Datum Corporation" u="1"/>
        <s v="School of Fine Art" u="1"/>
        <s v="Blue Yonder Airlines" u="1"/>
        <s v="City Power &amp; Light" u="1"/>
        <s v="Lucerne Publishing" u="1"/>
        <s v="Fourth Coffee" u="1"/>
        <s v="Contoso, Ltd." u="1"/>
        <s v="Contoso Pharmaceuticals" u="1"/>
        <s v="Coho Vineyard" u="1"/>
        <s v="Humongous Insurance" u="1"/>
        <s v="Adventure Works" u="1"/>
        <s v="Northwind Traders" u="1"/>
        <s v="Consolidated Messenger" u="1"/>
        <s v="Coho Vineyard &amp; Winery" u="1"/>
        <s v="Fabrikam, Inc." u="1"/>
        <s v="Margie's Travel" u="1"/>
        <s v="Proseware, Inc." u="1"/>
        <s v="Baldwin Museum of Science" u="1"/>
        <s v="Alpine Ski House" u="1"/>
        <s v="Graphic Design Institute" u="1"/>
        <s v="Litware, Inc." u="1"/>
        <s v="Coho Winery" u="1"/>
      </sharedItems>
    </cacheField>
    <cacheField name="PROJECT TYPE" numFmtId="0">
      <sharedItems/>
    </cacheField>
    <cacheField name="ESTIMATED START" numFmtId="14">
      <sharedItems containsSemiMixedTypes="0" containsNonDate="0" containsDate="1" containsString="0" minDate="2023-06-09T00:00:00" maxDate="2027-08-12T00:00:00"/>
    </cacheField>
    <cacheField name="ESTIMATED FINISH" numFmtId="14">
      <sharedItems containsSemiMixedTypes="0" containsNonDate="0" containsDate="1" containsString="0" minDate="2023-08-07T00:00:00" maxDate="2027-08-22T00:00:00"/>
    </cacheField>
    <cacheField name="ACTUAL_x000a_START" numFmtId="14">
      <sharedItems containsSemiMixedTypes="0" containsNonDate="0" containsDate="1" containsString="0" minDate="2023-06-29T00:00:00" maxDate="2027-09-15T00:00:00"/>
    </cacheField>
    <cacheField name="ACTUAL FINISH" numFmtId="14">
      <sharedItems containsSemiMixedTypes="0" containsNonDate="0" containsDate="1" containsString="0" minDate="2023-09-03T00:00:00" maxDate="2027-09-26T00:00:00"/>
    </cacheField>
    <cacheField name="ESTIMATED WORK" numFmtId="0">
      <sharedItems containsSemiMixedTypes="0" containsString="0" containsNumber="1" containsInteger="1" minValue="150" maxValue="500"/>
    </cacheField>
    <cacheField name="ACTUAL_x000a_WORK" numFmtId="0">
      <sharedItems containsSemiMixedTypes="0" containsString="0" containsNumber="1" containsInteger="1" minValue="145" maxValue="500"/>
    </cacheField>
    <cacheField name="ESTIMATED DURATION" numFmtId="0">
      <sharedItems containsSemiMixedTypes="0" containsString="0" containsNumber="1" containsInteger="1" minValue="10" maxValue="67"/>
    </cacheField>
    <cacheField name="ACTUAL DURATION" numFmtId="0">
      <sharedItems containsSemiMixedTypes="0" containsString="0" containsNumber="1" containsInteger="1" minValue="11" maxValue="400"/>
    </cacheField>
    <cacheField name="ACCOUNT MANAGER" numFmtId="14">
      <sharedItems containsSemiMixedTypes="0" containsNonDate="0" containsDate="1" containsString="0" minDate="1914-10-13T00:00:00" maxDate="1949-04-13T00:00:00"/>
    </cacheField>
    <cacheField name="PROJECT MANAGER" numFmtId="14">
      <sharedItems containsSemiMixedTypes="0" containsNonDate="0" containsDate="1" containsString="0" minDate="1906-07-27T00:00:00" maxDate="1965-09-16T00:00:00"/>
    </cacheField>
    <cacheField name="STRATEGY MANAGER" numFmtId="14">
      <sharedItems containsSemiMixedTypes="0" containsNonDate="0" containsDate="1" containsString="0" minDate="1899-12-30T00:00:00" maxDate="1949-04-13T00:00:00"/>
    </cacheField>
    <cacheField name="DESIGN SPECIALIST" numFmtId="14">
      <sharedItems containsSemiMixedTypes="0" containsNonDate="0" containsDate="1" containsString="0" minDate="1899-12-30T00:00:00" maxDate="1968-06-12T00:00:00"/>
    </cacheField>
    <cacheField name="EVENT STAFF" numFmtId="14">
      <sharedItems containsSemiMixedTypes="0" containsNonDate="0" containsDate="1" containsString="0" minDate="1899-12-30T00:00:00" maxDate="1932-11-08T00:00:00"/>
    </cacheField>
    <cacheField name="ADMIN STAFF" numFmtId="14">
      <sharedItems containsSemiMixedTypes="0" containsNonDate="0" containsDate="1" containsString="0" minDate="1902-06-18T00:00:00" maxDate="1908-03-19T00:00:00"/>
    </cacheField>
    <cacheField name="ACCOUNT MANAGER " numFmtId="14">
      <sharedItems containsSemiMixedTypes="0" containsNonDate="0" containsDate="1" containsString="0" minDate="1914-04-16T00:00:00" maxDate="1949-04-13T00:00:00"/>
    </cacheField>
    <cacheField name="PROJECT MANAGER " numFmtId="14">
      <sharedItems containsSemiMixedTypes="0" containsNonDate="0" containsDate="1" containsString="0" minDate="1907-03-24T00:00:00" maxDate="1964-01-25T00:00:00"/>
    </cacheField>
    <cacheField name="STRATEGY MANAGER " numFmtId="14">
      <sharedItems containsSemiMixedTypes="0" containsNonDate="0" containsDate="1" containsString="0" minDate="1899-12-30T00:00:00" maxDate="1954-03-18T00:00:00"/>
    </cacheField>
    <cacheField name="DESIGN SPECIALIST " numFmtId="14">
      <sharedItems containsSemiMixedTypes="0" containsNonDate="0" containsDate="1" containsString="0" minDate="1899-12-30T00:00:00" maxDate="1968-06-12T00:00:00"/>
    </cacheField>
    <cacheField name="EVENT STAFF " numFmtId="14">
      <sharedItems containsSemiMixedTypes="0" containsNonDate="0" containsDate="1" containsString="0" minDate="1899-12-30T00:00:00" maxDate="1933-07-06T00:00:00"/>
    </cacheField>
    <cacheField name="ADMIN STAFF " numFmtId="14">
      <sharedItems containsSemiMixedTypes="0" containsNonDate="0" containsDate="1" containsString="0" minDate="1902-05-19T00:00:00" maxDate="1908-03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Event strategy development"/>
    <d v="2023-06-09T00:00:00"/>
    <d v="2023-08-07T00:00:00"/>
    <d v="2023-06-29T00:00:00"/>
    <d v="2023-09-03T00:00:00"/>
    <n v="200"/>
    <n v="220"/>
    <n v="58"/>
    <n v="64"/>
    <d v="1919-09-17T00:00:00"/>
    <d v="1906-07-27T00:00:00"/>
    <d v="1949-04-12T00:00:00"/>
    <d v="1899-12-30T00:00:00"/>
    <d v="1899-12-30T00:00:00"/>
    <d v="1903-04-14T00:00:00"/>
    <d v="1921-09-06T00:00:00"/>
    <d v="1907-03-24T00:00:00"/>
    <d v="1954-03-17T00:00:00"/>
    <d v="1899-12-30T00:00:00"/>
    <d v="1899-12-30T00:00:00"/>
    <d v="1903-08-12T00:00:00"/>
  </r>
  <r>
    <x v="1"/>
    <s v="Event planning"/>
    <d v="2024-06-25T00:00:00"/>
    <d v="2024-07-27T00:00:00"/>
    <d v="2023-07-15T00:00:00"/>
    <d v="2024-08-25T00:00:00"/>
    <n v="400"/>
    <n v="390"/>
    <n v="32"/>
    <n v="400"/>
    <d v="1939-06-04T00:00:00"/>
    <d v="1965-09-15T00:00:00"/>
    <d v="1916-06-04T00:00:00"/>
    <d v="1910-12-13T00:00:00"/>
    <d v="1899-12-30T00:00:00"/>
    <d v="1906-07-27T00:00:00"/>
    <d v="1938-06-09T00:00:00"/>
    <d v="1964-01-24T00:00:00"/>
    <d v="1916-01-06T00:00:00"/>
    <d v="1910-09-04T00:00:00"/>
    <d v="1899-12-30T00:00:00"/>
    <d v="1906-05-28T00:00:00"/>
  </r>
  <r>
    <x v="2"/>
    <s v="Event design"/>
    <d v="2025-07-12T00:00:00"/>
    <d v="2025-09-19T00:00:00"/>
    <d v="2025-08-07T00:00:00"/>
    <d v="2025-10-25T00:00:00"/>
    <n v="500"/>
    <n v="500"/>
    <n v="67"/>
    <n v="78"/>
    <d v="1949-04-12T00:00:00"/>
    <d v="1932-11-07T00:00:00"/>
    <d v="1899-12-30T00:00:00"/>
    <d v="1968-06-11T00:00:00"/>
    <d v="1899-12-30T00:00:00"/>
    <d v="1908-03-18T00:00:00"/>
    <d v="1949-04-12T00:00:00"/>
    <d v="1932-11-07T00:00:00"/>
    <d v="1899-12-30T00:00:00"/>
    <d v="1968-06-11T00:00:00"/>
    <d v="1899-12-30T00:00:00"/>
    <d v="1908-03-18T00:00:00"/>
  </r>
  <r>
    <x v="3"/>
    <s v="Event logistics"/>
    <d v="2026-07-30T00:00:00"/>
    <d v="2026-09-28T00:00:00"/>
    <d v="2026-09-14T00:00:00"/>
    <d v="2026-11-13T00:00:00"/>
    <n v="150"/>
    <n v="145"/>
    <n v="58"/>
    <n v="59"/>
    <d v="1914-10-13T00:00:00"/>
    <d v="1929-07-26T00:00:00"/>
    <d v="1899-12-30T00:00:00"/>
    <d v="1899-12-30T00:00:00"/>
    <d v="1903-04-14T00:00:00"/>
    <d v="1902-06-18T00:00:00"/>
    <d v="1914-04-16T00:00:00"/>
    <d v="1928-07-31T00:00:00"/>
    <d v="1899-12-30T00:00:00"/>
    <d v="1899-12-30T00:00:00"/>
    <d v="1903-03-05T00:00:00"/>
    <d v="1902-05-19T00:00:00"/>
  </r>
  <r>
    <x v="4"/>
    <s v="Event staffing"/>
    <d v="2027-08-11T00:00:00"/>
    <d v="2027-08-21T00:00:00"/>
    <d v="2027-09-14T00:00:00"/>
    <d v="2027-09-25T00:00:00"/>
    <n v="250"/>
    <n v="255"/>
    <n v="10"/>
    <n v="11"/>
    <d v="1924-08-21T00:00:00"/>
    <d v="1908-03-18T00:00:00"/>
    <d v="1899-12-30T00:00:00"/>
    <d v="1899-12-30T00:00:00"/>
    <d v="1932-11-07T00:00:00"/>
    <d v="1904-02-08T00:00:00"/>
    <d v="1925-02-17T00:00:00"/>
    <d v="1908-05-17T00:00:00"/>
    <d v="1899-12-30T00:00:00"/>
    <d v="1899-12-30T00:00:00"/>
    <d v="1933-07-05T00:00:00"/>
    <d v="1904-03-09T00:00:00"/>
  </r>
</pivotCacheRecord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otals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compactData="0" multipleFieldFilters="0" chartFormat="4">
  <location ref="B5:N11" firstHeaderRow="0" firstDataRow="1" firstDataCol="1"/>
  <pivotFields count="22">
    <pivotField axis="axisRow" compact="0" outline="0" showAll="0">
      <items count="28">
        <item m="1" x="5"/>
        <item m="1" x="15"/>
        <item m="1" x="23"/>
        <item m="1" x="22"/>
        <item m="1" x="7"/>
        <item m="1" x="8"/>
        <item m="1" x="13"/>
        <item m="1" x="18"/>
        <item m="1" x="26"/>
        <item m="1" x="17"/>
        <item m="1" x="12"/>
        <item m="1" x="11"/>
        <item m="1" x="19"/>
        <item m="1" x="10"/>
        <item m="1" x="24"/>
        <item m="1" x="14"/>
        <item m="1" x="25"/>
        <item m="1" x="9"/>
        <item m="1" x="20"/>
        <item m="1" x="16"/>
        <item m="1" x="21"/>
        <item m="1" x="6"/>
        <item x="0"/>
        <item x="1"/>
        <item x="2"/>
        <item x="3"/>
        <item x="4"/>
        <item t="default"/>
      </items>
    </pivotField>
    <pivotField compact="0" outline="0" showAll="0"/>
    <pivotField compact="0" numFmtId="14" outline="0" showAll="0"/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  <pivotField dataField="1" compact="0" numFmtId="164" outline="0" showAll="0" defaultSubtotal="0"/>
  </pivotFields>
  <rowFields count="1">
    <field x="0"/>
  </rowFields>
  <rowItems count="6"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CCOUNT MANAGER ESTIMATE" fld="10" baseField="0" baseItem="5" numFmtId="165"/>
    <dataField name="PROJECT MANAGER ESTIMATE" fld="11" baseField="0" baseItem="11" numFmtId="165"/>
    <dataField name="STRATEGY MANAGER ESTIMATE" fld="12" baseField="0" baseItem="11" numFmtId="165"/>
    <dataField name="DESIGN SPECIALIST ESTIMATE" fld="13" baseField="0" baseItem="11" numFmtId="165"/>
    <dataField name="EVENT STAFF_x000a_ESTIMATE" fld="14" baseField="0" baseItem="11" numFmtId="165"/>
    <dataField name="ADMIN STAFF_x000a_ESTIMATE" fld="15" baseField="0" baseItem="11" numFmtId="165"/>
    <dataField name="ACCOUNT MANAGER _x000a_ACTUAL" fld="16" baseField="0" baseItem="1" numFmtId="165"/>
    <dataField name="PROJECT MANAGER_x000a_ACTUAL" fld="17" baseField="0" baseItem="1" numFmtId="165"/>
    <dataField name="STRATEGY MANAGER_x000a_ACTUAL" fld="18" baseField="0" baseItem="1" numFmtId="165"/>
    <dataField name="DESIGN SPECIALIST ACTUAL" fld="19" baseField="0" baseItem="1" numFmtId="165"/>
    <dataField name="EVENT STAFF_x000a_ACTUAL" fld="20" baseField="0" baseItem="1" numFmtId="165"/>
    <dataField name="ADMIN STAFF_x000a_ACTUAL" fld="21" baseField="0" baseItem="1" numFmtId="165"/>
  </dataFields>
  <formats count="84">
    <format dxfId="167">
      <pivotArea field="0" type="button" dataOnly="0" labelOnly="1" outline="0" axis="axisRow" fieldPosition="0"/>
    </format>
    <format dxfId="16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65">
      <pivotArea outline="0" fieldPosition="0">
        <references count="1">
          <reference field="4294967294" count="1">
            <x v="6"/>
          </reference>
        </references>
      </pivotArea>
    </format>
    <format dxfId="164">
      <pivotArea outline="0" fieldPosition="0">
        <references count="1">
          <reference field="4294967294" count="1">
            <x v="7"/>
          </reference>
        </references>
      </pivotArea>
    </format>
    <format dxfId="163">
      <pivotArea outline="0" fieldPosition="0">
        <references count="1">
          <reference field="4294967294" count="1">
            <x v="8"/>
          </reference>
        </references>
      </pivotArea>
    </format>
    <format dxfId="162">
      <pivotArea outline="0" fieldPosition="0">
        <references count="1">
          <reference field="4294967294" count="1">
            <x v="9"/>
          </reference>
        </references>
      </pivotArea>
    </format>
    <format dxfId="161">
      <pivotArea outline="0" fieldPosition="0">
        <references count="1">
          <reference field="4294967294" count="1">
            <x v="10"/>
          </reference>
        </references>
      </pivotArea>
    </format>
    <format dxfId="160">
      <pivotArea outline="0" fieldPosition="0">
        <references count="1">
          <reference field="4294967294" count="1">
            <x v="11"/>
          </reference>
        </references>
      </pivotArea>
    </format>
    <format dxfId="159">
      <pivotArea dataOnly="0" labelOnly="1" outline="0" fieldPosition="0">
        <references count="1">
          <reference field="4294967294" count="6">
            <x v="6"/>
            <x v="7"/>
            <x v="8"/>
            <x v="9"/>
            <x v="10"/>
            <x v="11"/>
          </reference>
        </references>
      </pivotArea>
    </format>
    <format dxfId="158">
      <pivotArea grandRow="1" outline="0" collapsedLevelsAreSubtotals="1" fieldPosition="0"/>
    </format>
    <format dxfId="157">
      <pivotArea dataOnly="0" labelOnly="1" grandRow="1" outline="0" fieldPosition="0"/>
    </format>
    <format dxfId="156">
      <pivotArea dataOnly="0" labelOnly="1" grandRow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0" type="button" dataOnly="0" labelOnly="1" outline="0" axis="axisRow" fieldPosition="0"/>
    </format>
    <format dxfId="152">
      <pivotArea dataOnly="0" labelOnly="1" outline="0" fieldPosition="0">
        <references count="1">
          <reference field="0" count="0"/>
        </references>
      </pivotArea>
    </format>
    <format dxfId="151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9">
      <pivotArea grandRow="1" outline="0" collapsedLevelsAreSubtotals="1" fieldPosition="0"/>
    </format>
    <format dxfId="148">
      <pivotArea dataOnly="0" labelOnly="1" grandRow="1" outline="0" fieldPosition="0"/>
    </format>
    <format dxfId="147">
      <pivotArea grandRow="1" outline="0" collapsedLevelsAreSubtotals="1" fieldPosition="0"/>
    </format>
    <format dxfId="146">
      <pivotArea dataOnly="0" labelOnly="1" grandRow="1" outline="0" fieldPosition="0"/>
    </format>
    <format dxfId="145">
      <pivotArea grandRow="1" outline="0" collapsedLevelsAreSubtotals="1" fieldPosition="0"/>
    </format>
    <format dxfId="144">
      <pivotArea dataOnly="0" labelOnly="1" grandRow="1" outline="0" fieldPosition="0"/>
    </format>
    <format dxfId="143">
      <pivotArea grandRow="1" outline="0" collapsedLevelsAreSubtotals="1" fieldPosition="0"/>
    </format>
    <format dxfId="142">
      <pivotArea dataOnly="0" labelOnly="1" grandRow="1" outline="0" fieldPosition="0"/>
    </format>
    <format dxfId="141">
      <pivotArea grandRow="1" outline="0" collapsedLevelsAreSubtotals="1" fieldPosition="0"/>
    </format>
    <format dxfId="140">
      <pivotArea dataOnly="0" labelOnly="1" grandRow="1" outline="0" fieldPosition="0"/>
    </format>
    <format dxfId="139">
      <pivotArea dataOnly="0" labelOnly="1" outline="0" fieldPosition="0">
        <references count="1">
          <reference field="0" count="0"/>
        </references>
      </pivotArea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6">
      <pivotArea dataOnly="0" labelOnly="1" grandRow="1" outline="0" fieldPosition="0"/>
    </format>
    <format dxfId="135">
      <pivotArea field="0" type="button" dataOnly="0" labelOnly="1" outline="0" axis="axisRow" fieldPosition="0"/>
    </format>
    <format dxfId="13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3">
      <pivotArea field="0" type="button" dataOnly="0" labelOnly="1" outline="0" axis="axisRow" fieldPosition="0"/>
    </format>
    <format dxfId="13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outline="0" fieldPosition="0">
        <references count="1">
          <reference field="0" count="0"/>
        </references>
      </pivotArea>
    </format>
    <format dxfId="121">
      <pivotArea dataOnly="0" labelOnly="1" grandRow="1" outline="0" fieldPosition="0"/>
    </format>
    <format dxfId="12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9">
      <pivotArea type="all" dataOnly="0" outline="0" fieldPosition="0"/>
    </format>
    <format dxfId="118">
      <pivotArea field="0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collapsedLevelsAreSubtotals="1" fieldPosition="0"/>
    </format>
    <format dxfId="115">
      <pivotArea dataOnly="0" labelOnly="1" outline="0" fieldPosition="0">
        <references count="1">
          <reference field="0" count="0"/>
        </references>
      </pivotArea>
    </format>
    <format dxfId="114">
      <pivotArea dataOnly="0" labelOnly="1" grandRow="1" outline="0" fieldPosition="0"/>
    </format>
    <format dxfId="113">
      <pivotArea outline="0" collapsedLevelsAreSubtotals="1" fieldPosition="0"/>
    </format>
    <format dxfId="112">
      <pivotArea dataOnly="0" labelOnly="1" outline="0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outline="0" fieldPosition="0">
        <references count="1">
          <reference field="0" count="0" selected="0"/>
        </references>
      </pivotArea>
    </format>
    <format dxfId="109">
      <pivotArea dataOnly="0" labelOnly="1" outline="0" fieldPosition="0">
        <references count="1">
          <reference field="0" count="0"/>
        </references>
      </pivotArea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0" count="0"/>
        </references>
      </pivotArea>
    </format>
    <format dxfId="106">
      <pivotArea dataOnly="0" labelOnly="1" grandRow="1" outline="0" fieldPosition="0"/>
    </format>
    <format dxfId="105">
      <pivotArea outline="0" collapsedLevelsAreSubtotals="1" fieldPosition="0"/>
    </format>
    <format dxfId="104">
      <pivotArea dataOnly="0" labelOnly="1" outline="0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dataOnly="0" labelOnly="1" outline="0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6">
      <pivotArea outline="0" collapsedLevelsAreSubtotals="1" fieldPosition="0"/>
    </format>
    <format dxfId="95">
      <pivotArea dataOnly="0" labelOnly="1" outline="0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grandRow="1" outline="0" collapsedLevelsAreSubtotals="1" fieldPosition="0"/>
    </format>
    <format dxfId="92">
      <pivotArea dataOnly="0" labelOnly="1" grandRow="1" outline="0" fieldPosition="0"/>
    </format>
    <format dxfId="91">
      <pivotArea grandRow="1" outline="0" collapsedLevelsAreSubtotals="1" fieldPosition="0"/>
    </format>
    <format dxfId="90">
      <pivotArea dataOnly="0" labelOnly="1" grandRow="1" outline="0" fieldPosition="0"/>
    </format>
    <format dxfId="89">
      <pivotArea grandRow="1" outline="0" collapsedLevelsAreSubtotals="1" fieldPosition="0"/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dataOnly="0" labelOnly="1" grandRow="1" outline="0" fieldPosition="0"/>
    </format>
    <format dxfId="85">
      <pivotArea grandRow="1" outline="0" collapsedLevelsAreSubtotals="1" fieldPosition="0"/>
    </format>
    <format dxfId="84">
      <pivotArea grandRow="1" outline="0" collapsedLevelsAreSubtotals="1" fieldPosition="0"/>
    </format>
  </formats>
  <pivotTableStyleInfo name="ProjectTracker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This PivotTable lists Project Names and calculated values for all items on PROJECT PARAMETERS worksheet, calculated by multiplying the hours duration on the PROJECT DETAILS shee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ameters" displayName="Parameters" ref="B6:I12" totalsRowShown="0" headerRowDxfId="224" dataDxfId="223">
  <autoFilter ref="B6:I1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PROJECT TYPE" dataDxfId="222"/>
    <tableColumn id="2" xr3:uid="{00000000-0010-0000-0000-000002000000}" name="ACCOUNT MANAGER" dataDxfId="221"/>
    <tableColumn id="3" xr3:uid="{00000000-0010-0000-0000-000003000000}" name="PROJECT MANAGER" dataDxfId="220"/>
    <tableColumn id="4" xr3:uid="{00000000-0010-0000-0000-000004000000}" name="STRATEGY MANAGER" dataDxfId="219"/>
    <tableColumn id="5" xr3:uid="{00000000-0010-0000-0000-000005000000}" name="DESIGN SPECIALIST" dataDxfId="218"/>
    <tableColumn id="6" xr3:uid="{00000000-0010-0000-0000-000006000000}" name="EVENT STAFF" dataDxfId="217"/>
    <tableColumn id="7" xr3:uid="{00000000-0010-0000-0000-000007000000}" name="ADMIN STAFF" dataDxfId="216"/>
    <tableColumn id="8" xr3:uid="{00000000-0010-0000-0000-000008000000}" name="TOTAL" dataDxfId="215">
      <calculatedColumnFormula>SUM(Parameters[[#This Row],[ACCOUNT MANAGER]:[ADMIN STAFF]])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Enter Project Type, percentages for Account Manager, Project Manager, Strategy Manager, Design Specialist, Event Staff, and Admin Staff. Total is automatically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Details" displayName="ProjectDetails" ref="B5:W11" totalsRowCount="1" headerRowDxfId="214" dataDxfId="213" totalsRowDxfId="212" dataCellStyle="Normal">
  <autoFilter ref="B5:W1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22">
    <tableColumn id="1" xr3:uid="{00000000-0010-0000-0100-000001000000}" name="PROJECT NAME" totalsRowLabel="TOTAL" dataDxfId="211" totalsRowDxfId="210" dataCellStyle="Normal"/>
    <tableColumn id="2" xr3:uid="{00000000-0010-0000-0100-000002000000}" name="PROJECT TYPE" dataDxfId="209" totalsRowDxfId="208" dataCellStyle="Normal"/>
    <tableColumn id="3" xr3:uid="{00000000-0010-0000-0100-000003000000}" name="ESTIMATED START" dataDxfId="207" totalsRowDxfId="206" dataCellStyle="Normal"/>
    <tableColumn id="4" xr3:uid="{00000000-0010-0000-0100-000004000000}" name="ESTIMATED FINISH" dataDxfId="205" totalsRowDxfId="204" dataCellStyle="Normal"/>
    <tableColumn id="7" xr3:uid="{00000000-0010-0000-0100-000007000000}" name="ACTUAL_x000a_START" dataDxfId="203" totalsRowDxfId="202" dataCellStyle="Normal"/>
    <tableColumn id="8" xr3:uid="{00000000-0010-0000-0100-000008000000}" name="ACTUAL FINISH" dataDxfId="201" totalsRowDxfId="200" dataCellStyle="Normal"/>
    <tableColumn id="5" xr3:uid="{00000000-0010-0000-0100-000005000000}" name="ESTIMATED WORK" totalsRowFunction="sum" dataDxfId="199" totalsRowDxfId="198" dataCellStyle="Normal"/>
    <tableColumn id="9" xr3:uid="{00000000-0010-0000-0100-000009000000}" name="ACTUAL_x000a_WORK" totalsRowFunction="sum" dataDxfId="197" totalsRowDxfId="196" dataCellStyle="Normal"/>
    <tableColumn id="6" xr3:uid="{00000000-0010-0000-0100-000006000000}" name="ESTIMATED DURATION" totalsRowFunction="sum" dataDxfId="195" totalsRowDxfId="194" dataCellStyle="Normal">
      <calculatedColumnFormula>DAYS360(ProjectDetails[[#This Row],[ESTIMATED START]],ProjectDetails[[#This Row],[ESTIMATED FINISH]],FALSE)</calculatedColumnFormula>
    </tableColumn>
    <tableColumn id="10" xr3:uid="{00000000-0010-0000-0100-00000A000000}" name="ACTUAL DURATION" totalsRowFunction="sum" dataDxfId="193" totalsRowDxfId="192" dataCellStyle="Normal">
      <calculatedColumnFormula>DAYS360(ProjectDetails[[#This Row],[ACTUAL
START]],ProjectDetails[[#This Row],[ACTUAL FINISH]],FALSE)</calculatedColumnFormula>
    </tableColumn>
    <tableColumn id="11" xr3:uid="{00000000-0010-0000-0100-00000B000000}" name="ACCOUNT MANAGER" dataDxfId="191" totalsRowDxfId="190" dataCellStyle="Normal">
      <calculatedColumnFormula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Row],[ESTIMATED WORK]]</calculatedColumnFormula>
    </tableColumn>
    <tableColumn id="12" xr3:uid="{00000000-0010-0000-0100-00000C000000}" name="PROJECT MANAGER" dataDxfId="189" totalsRowDxfId="188" dataCellStyle="Normal">
      <calculatedColumnFormula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Row],[ESTIMATED WORK]]</calculatedColumnFormula>
    </tableColumn>
    <tableColumn id="13" xr3:uid="{00000000-0010-0000-0100-00000D000000}" name="STRATEGY MANAGER" dataDxfId="187" totalsRowDxfId="186" dataCellStyle="Normal">
      <calculatedColumnFormula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Row],[ESTIMATED WORK]]</calculatedColumnFormula>
    </tableColumn>
    <tableColumn id="14" xr3:uid="{00000000-0010-0000-0100-00000E000000}" name="DESIGN SPECIALIST" dataDxfId="185" totalsRowDxfId="184" dataCellStyle="Normal">
      <calculatedColumnFormula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Row],[ESTIMATED WORK]]</calculatedColumnFormula>
    </tableColumn>
    <tableColumn id="15" xr3:uid="{00000000-0010-0000-0100-00000F000000}" name="EVENT STAFF" dataDxfId="183" totalsRowDxfId="182" dataCellStyle="Normal">
      <calculatedColumnFormula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Row],[ESTIMATED WORK]]</calculatedColumnFormula>
    </tableColumn>
    <tableColumn id="16" xr3:uid="{00000000-0010-0000-0100-000010000000}" name="ADMIN STAFF" dataDxfId="181" totalsRowDxfId="180" dataCellStyle="Normal">
      <calculatedColumnFormula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Row],[ESTIMATED WORK]]</calculatedColumnFormula>
    </tableColumn>
    <tableColumn id="17" xr3:uid="{00000000-0010-0000-0100-000011000000}" name="ACCOUNT MANAGER " dataDxfId="179" totalsRowDxfId="178" dataCellStyle="Normal">
      <calculatedColumnFormula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Row],[ACTUAL
WORK]]</calculatedColumnFormula>
    </tableColumn>
    <tableColumn id="18" xr3:uid="{00000000-0010-0000-0100-000012000000}" name="PROJECT MANAGER " dataDxfId="177" totalsRowDxfId="176" dataCellStyle="Normal">
      <calculatedColumnFormula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Row],[ACTUAL
WORK]]</calculatedColumnFormula>
    </tableColumn>
    <tableColumn id="19" xr3:uid="{00000000-0010-0000-0100-000013000000}" name="STRATEGY MANAGER " dataDxfId="175" totalsRowDxfId="174" dataCellStyle="Normal">
      <calculatedColumnFormula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Row],[ACTUAL
WORK]]</calculatedColumnFormula>
    </tableColumn>
    <tableColumn id="20" xr3:uid="{00000000-0010-0000-0100-000014000000}" name="DESIGN SPECIALIST " dataDxfId="173" totalsRowDxfId="172" dataCellStyle="Normal">
      <calculatedColumnFormula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Row],[ACTUAL
WORK]]</calculatedColumnFormula>
    </tableColumn>
    <tableColumn id="21" xr3:uid="{00000000-0010-0000-0100-000015000000}" name="EVENT STAFF " dataDxfId="171" totalsRowDxfId="170" dataCellStyle="Normal">
      <calculatedColumnFormula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Row],[ACTUAL
WORK]]</calculatedColumnFormula>
    </tableColumn>
    <tableColumn id="22" xr3:uid="{00000000-0010-0000-0100-000016000000}" name="ADMIN STAFF " dataDxfId="169" totalsRowDxfId="168" dataCellStyle="Normal">
      <calculatedColumnFormula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Row],[ACTUAL
WORK]]</calculatedColumnFormula>
    </tableColumn>
  </tableColumns>
  <tableStyleInfo name="TableStyleLight1 2" showFirstColumn="0" showLastColumn="0" showRowStripes="1" showColumnStripes="0"/>
  <extLst>
    <ext xmlns:x14="http://schemas.microsoft.com/office/spreadsheetml/2009/9/main" uri="{504A1905-F514-4f6f-8877-14C23A59335A}">
      <x14:table altTextSummary="Enter Project Name, Estimated Start &amp; Finish dates, Actual Start &amp; Finish dates, Estimated &amp; Actual work &amp; select Project Type. Estimated &amp; Actual Duration are auto calculated"/>
    </ext>
  </extLst>
</table>
</file>

<file path=xl/theme/theme11.xml><?xml version="1.0" encoding="utf-8"?>
<a:theme xmlns:a="http://schemas.openxmlformats.org/drawingml/2006/main" name="MarketingProjectPlan">
  <a:themeElements>
    <a:clrScheme name="TM04099170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0054F5"/>
      </a:accent1>
      <a:accent2>
        <a:srgbClr val="008080"/>
      </a:accent2>
      <a:accent3>
        <a:srgbClr val="F68914"/>
      </a:accent3>
      <a:accent4>
        <a:srgbClr val="8A2BE2"/>
      </a:accent4>
      <a:accent5>
        <a:srgbClr val="EF3245"/>
      </a:accent5>
      <a:accent6>
        <a:srgbClr val="EDECF3"/>
      </a:accent6>
      <a:hlink>
        <a:srgbClr val="467886"/>
      </a:hlink>
      <a:folHlink>
        <a:srgbClr val="96607D"/>
      </a:folHlink>
    </a:clrScheme>
    <a:fontScheme name="Custom 48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1.bin" Id="rId2" /><Relationship Type="http://schemas.openxmlformats.org/officeDocument/2006/relationships/pivotTable" Target="/xl/pivotTables/pivotTable1.xml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50"/>
  <sheetViews>
    <sheetView showGridLines="0" tabSelected="1" zoomScaleNormal="100" workbookViewId="0"/>
  </sheetViews>
  <sheetFormatPr defaultColWidth="9.109375" defaultRowHeight="14.4" x14ac:dyDescent="0.3"/>
  <cols>
    <col min="1" max="1" width="2.88671875" style="1" customWidth="1"/>
    <col min="2" max="2" width="40.6640625" style="2" customWidth="1"/>
    <col min="3" max="9" width="16.88671875" style="3" customWidth="1"/>
    <col min="10" max="10" width="2.88671875" style="2" customWidth="1"/>
    <col min="11" max="16384" width="9.109375" style="2"/>
  </cols>
  <sheetData>
    <row r="1" spans="1:10" ht="20.100000000000001" customHeight="1" x14ac:dyDescent="0.3"/>
    <row r="2" spans="1:10" ht="50.1" customHeight="1" x14ac:dyDescent="0.9">
      <c r="B2" s="24" t="s">
        <v>43</v>
      </c>
      <c r="C2" s="4"/>
      <c r="D2" s="4"/>
      <c r="E2" s="5"/>
      <c r="F2" s="5"/>
      <c r="G2" s="64" t="str">
        <f>B2 &amp; ":" &amp; CHAR(10) &amp; "CONFIDENTIAL"</f>
        <v>ROBOTINE MANUFACTURING:
CONFIDENTIAL</v>
      </c>
      <c r="H2" s="65"/>
      <c r="I2" s="65"/>
      <c r="J2" s="6"/>
    </row>
    <row r="3" spans="1:10" ht="30" customHeight="1" x14ac:dyDescent="0.5">
      <c r="B3" s="25" t="s">
        <v>56</v>
      </c>
      <c r="C3" s="4"/>
      <c r="D3" s="4"/>
      <c r="E3" s="5"/>
      <c r="F3" s="5"/>
      <c r="G3" s="5"/>
      <c r="H3" s="5"/>
      <c r="I3" s="5"/>
    </row>
    <row r="4" spans="1:10" s="8" customFormat="1" ht="49.5" customHeight="1" x14ac:dyDescent="0.25">
      <c r="A4" s="7"/>
      <c r="C4" s="9"/>
      <c r="G4" s="61" t="s">
        <v>53</v>
      </c>
      <c r="H4" s="62"/>
      <c r="I4" s="63"/>
    </row>
    <row r="5" spans="1:10" s="8" customFormat="1" ht="24.9" customHeight="1" x14ac:dyDescent="0.25">
      <c r="A5" s="7"/>
      <c r="B5" s="10"/>
      <c r="C5" s="11"/>
      <c r="D5" s="11"/>
      <c r="E5" s="12"/>
      <c r="F5" s="12"/>
      <c r="G5" s="12"/>
      <c r="H5" s="12"/>
      <c r="I5" s="12"/>
    </row>
    <row r="6" spans="1:10" s="8" customFormat="1" ht="45" customHeight="1" x14ac:dyDescent="0.25">
      <c r="A6" s="7"/>
      <c r="B6" s="55" t="s">
        <v>0</v>
      </c>
      <c r="C6" s="55" t="s">
        <v>1</v>
      </c>
      <c r="D6" s="55" t="s">
        <v>2</v>
      </c>
      <c r="E6" s="55" t="s">
        <v>3</v>
      </c>
      <c r="F6" s="55" t="s">
        <v>4</v>
      </c>
      <c r="G6" s="55" t="s">
        <v>5</v>
      </c>
      <c r="H6" s="55" t="s">
        <v>6</v>
      </c>
      <c r="I6" s="55" t="s">
        <v>36</v>
      </c>
    </row>
    <row r="7" spans="1:10" s="8" customFormat="1" ht="39.9" customHeight="1" x14ac:dyDescent="0.25">
      <c r="A7" s="7"/>
      <c r="B7" s="13" t="s">
        <v>7</v>
      </c>
      <c r="C7" s="14">
        <v>0.2</v>
      </c>
      <c r="D7" s="14">
        <v>0.1</v>
      </c>
      <c r="E7" s="14">
        <v>0.6</v>
      </c>
      <c r="F7" s="14">
        <v>0</v>
      </c>
      <c r="G7" s="14">
        <v>0</v>
      </c>
      <c r="H7" s="14">
        <v>0.1</v>
      </c>
      <c r="I7" s="15">
        <f>SUM(Parameters[[#This Row],[ACCOUNT MANAGER]:[ADMIN STAFF]])</f>
        <v>1</v>
      </c>
    </row>
    <row r="8" spans="1:10" s="8" customFormat="1" ht="39.9" customHeight="1" x14ac:dyDescent="0.25">
      <c r="A8" s="7"/>
      <c r="B8" s="13" t="s">
        <v>8</v>
      </c>
      <c r="C8" s="14">
        <v>0.2</v>
      </c>
      <c r="D8" s="14">
        <v>0.5</v>
      </c>
      <c r="E8" s="14">
        <v>0.1</v>
      </c>
      <c r="F8" s="14">
        <v>0.1</v>
      </c>
      <c r="G8" s="14">
        <v>0</v>
      </c>
      <c r="H8" s="14">
        <v>0.1</v>
      </c>
      <c r="I8" s="15">
        <f>SUM(Parameters[[#This Row],[ACCOUNT MANAGER]:[ADMIN STAFF]])</f>
        <v>0.99999999999999989</v>
      </c>
    </row>
    <row r="9" spans="1:10" s="8" customFormat="1" ht="39.9" customHeight="1" x14ac:dyDescent="0.25">
      <c r="A9" s="7"/>
      <c r="B9" s="13" t="s">
        <v>9</v>
      </c>
      <c r="C9" s="14">
        <v>0.2</v>
      </c>
      <c r="D9" s="14">
        <v>0.2</v>
      </c>
      <c r="E9" s="14">
        <v>0</v>
      </c>
      <c r="F9" s="14">
        <v>0.5</v>
      </c>
      <c r="G9" s="14">
        <v>0</v>
      </c>
      <c r="H9" s="14">
        <v>0.1</v>
      </c>
      <c r="I9" s="15">
        <f>SUM(Parameters[[#This Row],[ACCOUNT MANAGER]:[ADMIN STAFF]])</f>
        <v>1</v>
      </c>
    </row>
    <row r="10" spans="1:10" s="8" customFormat="1" ht="39.9" customHeight="1" x14ac:dyDescent="0.25">
      <c r="A10" s="7"/>
      <c r="B10" s="13" t="s">
        <v>10</v>
      </c>
      <c r="C10" s="14">
        <v>0.2</v>
      </c>
      <c r="D10" s="14">
        <v>0.6</v>
      </c>
      <c r="E10" s="14">
        <v>0</v>
      </c>
      <c r="F10" s="14">
        <v>0</v>
      </c>
      <c r="G10" s="14">
        <v>0.1</v>
      </c>
      <c r="H10" s="14">
        <v>0.1</v>
      </c>
      <c r="I10" s="15">
        <f>SUM(Parameters[[#This Row],[ACCOUNT MANAGER]:[ADMIN STAFF]])</f>
        <v>1</v>
      </c>
    </row>
    <row r="11" spans="1:10" s="8" customFormat="1" ht="39.9" customHeight="1" x14ac:dyDescent="0.25">
      <c r="A11" s="7"/>
      <c r="B11" s="13" t="s">
        <v>11</v>
      </c>
      <c r="C11" s="14">
        <v>0.2</v>
      </c>
      <c r="D11" s="14">
        <v>0.1</v>
      </c>
      <c r="E11" s="14">
        <v>0</v>
      </c>
      <c r="F11" s="14">
        <v>0</v>
      </c>
      <c r="G11" s="14">
        <v>0.6</v>
      </c>
      <c r="H11" s="14">
        <v>0.1</v>
      </c>
      <c r="I11" s="15">
        <f>SUM(Parameters[[#This Row],[ACCOUNT MANAGER]:[ADMIN STAFF]])</f>
        <v>1</v>
      </c>
    </row>
    <row r="12" spans="1:10" s="8" customFormat="1" ht="39.9" customHeight="1" x14ac:dyDescent="0.25">
      <c r="A12" s="7"/>
      <c r="B12" s="13" t="s">
        <v>12</v>
      </c>
      <c r="C12" s="14">
        <v>0.2</v>
      </c>
      <c r="D12" s="14">
        <v>0.2</v>
      </c>
      <c r="E12" s="14">
        <v>0.2</v>
      </c>
      <c r="F12" s="14">
        <v>0.2</v>
      </c>
      <c r="G12" s="14">
        <v>0</v>
      </c>
      <c r="H12" s="14">
        <v>0.2</v>
      </c>
      <c r="I12" s="15">
        <f>SUM(Parameters[[#This Row],[ACCOUNT MANAGER]:[ADMIN STAFF]])</f>
        <v>1</v>
      </c>
    </row>
    <row r="13" spans="1:10" s="8" customFormat="1" ht="39.9" customHeight="1" x14ac:dyDescent="0.25">
      <c r="A13" s="7"/>
      <c r="B13" s="16" t="s">
        <v>13</v>
      </c>
      <c r="C13" s="17">
        <v>180</v>
      </c>
      <c r="D13" s="17">
        <v>120</v>
      </c>
      <c r="E13" s="17">
        <v>150</v>
      </c>
      <c r="F13" s="17">
        <v>100</v>
      </c>
      <c r="G13" s="17">
        <v>80</v>
      </c>
      <c r="H13" s="17">
        <v>60</v>
      </c>
      <c r="I13" s="18"/>
    </row>
    <row r="14" spans="1:10" s="8" customFormat="1" ht="35.1" customHeight="1" x14ac:dyDescent="0.25">
      <c r="A14" s="7"/>
      <c r="B14" s="26"/>
      <c r="C14" s="12"/>
      <c r="D14" s="12"/>
      <c r="E14" s="12"/>
      <c r="F14" s="12"/>
      <c r="G14" s="12"/>
      <c r="H14" s="12"/>
      <c r="I14" s="12"/>
    </row>
    <row r="15" spans="1:10" s="8" customFormat="1" ht="35.1" customHeight="1" x14ac:dyDescent="0.25">
      <c r="A15" s="7"/>
      <c r="C15" s="12"/>
      <c r="D15" s="12"/>
      <c r="E15" s="12"/>
      <c r="F15" s="12"/>
      <c r="G15" s="12"/>
      <c r="H15" s="12"/>
      <c r="I15" s="12"/>
    </row>
    <row r="16" spans="1:10" s="8" customFormat="1" ht="35.1" customHeight="1" x14ac:dyDescent="0.25">
      <c r="A16" s="7"/>
      <c r="B16" s="7"/>
      <c r="C16" s="19" t="s">
        <v>1</v>
      </c>
      <c r="D16" s="19" t="s">
        <v>2</v>
      </c>
      <c r="E16" s="19" t="s">
        <v>3</v>
      </c>
      <c r="F16" s="19" t="s">
        <v>4</v>
      </c>
      <c r="G16" s="19" t="s">
        <v>5</v>
      </c>
      <c r="H16" s="19" t="s">
        <v>6</v>
      </c>
      <c r="I16" s="12"/>
    </row>
    <row r="17" spans="1:9" s="8" customFormat="1" ht="35.1" customHeight="1" x14ac:dyDescent="0.25">
      <c r="A17" s="7"/>
      <c r="B17" s="19" t="s">
        <v>14</v>
      </c>
      <c r="C17" s="20">
        <f>SUBTOTAL(109,ProjectDetails[ACCOUNT MANAGER])</f>
        <v>54000</v>
      </c>
      <c r="D17" s="20">
        <f>SUBTOTAL(109,ProjectDetails[PROJECT MANAGER])</f>
        <v>52200</v>
      </c>
      <c r="E17" s="20">
        <f>SUBTOTAL(109,ProjectDetails[STRATEGY MANAGER])</f>
        <v>24000</v>
      </c>
      <c r="F17" s="20">
        <f>SUBTOTAL(109,ProjectDetails[DESIGN SPECIALIST])</f>
        <v>29000</v>
      </c>
      <c r="G17" s="20">
        <f>SUBTOTAL(109,ProjectDetails[EVENT STAFF])</f>
        <v>13200</v>
      </c>
      <c r="H17" s="20">
        <f>SUBTOTAL(109,ProjectDetails[ADMIN STAFF])</f>
        <v>9000</v>
      </c>
      <c r="I17" s="12"/>
    </row>
    <row r="18" spans="1:9" s="8" customFormat="1" ht="35.1" customHeight="1" x14ac:dyDescent="0.25">
      <c r="A18" s="7"/>
      <c r="B18" s="19" t="s">
        <v>15</v>
      </c>
      <c r="C18" s="20">
        <f>SUBTOTAL(109,ProjectDetails[[ACCOUNT MANAGER ]])</f>
        <v>54360</v>
      </c>
      <c r="D18" s="20">
        <f>SUBTOTAL(109,ProjectDetails[[PROJECT MANAGER ]])</f>
        <v>51540</v>
      </c>
      <c r="E18" s="20">
        <f>SUBTOTAL(109,ProjectDetails[[STRATEGY MANAGER ]])</f>
        <v>25650</v>
      </c>
      <c r="F18" s="20">
        <f>SUBTOTAL(109,ProjectDetails[[DESIGN SPECIALIST ]])</f>
        <v>28900</v>
      </c>
      <c r="G18" s="20">
        <f>SUBTOTAL(109,ProjectDetails[[EVENT STAFF ]])</f>
        <v>13400</v>
      </c>
      <c r="H18" s="20">
        <f>SUBTOTAL(109,ProjectDetails[[ADMIN STAFF ]])</f>
        <v>9060</v>
      </c>
      <c r="I18" s="12"/>
    </row>
    <row r="19" spans="1:9" s="8" customFormat="1" ht="35.1" customHeight="1" x14ac:dyDescent="0.25">
      <c r="A19" s="7"/>
      <c r="B19" s="19" t="s">
        <v>16</v>
      </c>
      <c r="C19" s="21">
        <f>C17/$C$13</f>
        <v>300</v>
      </c>
      <c r="D19" s="21">
        <f t="shared" ref="D19:H19" si="0">D17/$C$13</f>
        <v>290</v>
      </c>
      <c r="E19" s="21">
        <f t="shared" si="0"/>
        <v>133.33333333333334</v>
      </c>
      <c r="F19" s="21">
        <f t="shared" si="0"/>
        <v>161.11111111111111</v>
      </c>
      <c r="G19" s="21">
        <f t="shared" si="0"/>
        <v>73.333333333333329</v>
      </c>
      <c r="H19" s="21">
        <f t="shared" si="0"/>
        <v>50</v>
      </c>
      <c r="I19" s="12"/>
    </row>
    <row r="20" spans="1:9" s="8" customFormat="1" ht="35.1" customHeight="1" x14ac:dyDescent="0.25">
      <c r="A20" s="7"/>
      <c r="B20" s="19" t="s">
        <v>17</v>
      </c>
      <c r="C20" s="21">
        <f>C18/$C$13</f>
        <v>302</v>
      </c>
      <c r="D20" s="21">
        <f>D18/$C$13</f>
        <v>286.33333333333331</v>
      </c>
      <c r="E20" s="21">
        <f>E18/$C$13</f>
        <v>142.5</v>
      </c>
      <c r="F20" s="21">
        <f>F18/$C$13</f>
        <v>160.55555555555554</v>
      </c>
      <c r="G20" s="21">
        <f>G18/$C$13</f>
        <v>74.444444444444443</v>
      </c>
      <c r="H20" s="21">
        <f>H18/$C$13</f>
        <v>50.333333333333336</v>
      </c>
      <c r="I20" s="12"/>
    </row>
    <row r="21" spans="1:9" s="8" customFormat="1" ht="35.1" customHeight="1" x14ac:dyDescent="0.25">
      <c r="A21" s="7"/>
      <c r="C21" s="12"/>
      <c r="D21" s="12"/>
      <c r="E21" s="12"/>
      <c r="F21" s="19"/>
      <c r="G21" s="19"/>
      <c r="H21" s="19"/>
      <c r="I21" s="19"/>
    </row>
    <row r="22" spans="1:9" s="8" customFormat="1" ht="35.1" customHeight="1" x14ac:dyDescent="0.25">
      <c r="A22" s="7"/>
      <c r="C22" s="12"/>
      <c r="D22" s="12"/>
      <c r="E22" s="12"/>
      <c r="F22" s="19"/>
      <c r="G22" s="19"/>
      <c r="H22" s="19"/>
      <c r="I22" s="19"/>
    </row>
    <row r="23" spans="1:9" s="8" customFormat="1" ht="35.1" customHeight="1" x14ac:dyDescent="0.25">
      <c r="A23" s="7"/>
      <c r="C23" s="12"/>
      <c r="D23" s="12"/>
      <c r="E23" s="12"/>
      <c r="F23" s="19"/>
      <c r="G23" s="19"/>
      <c r="H23" s="19"/>
      <c r="I23" s="19"/>
    </row>
    <row r="24" spans="1:9" s="8" customFormat="1" ht="35.1" customHeight="1" x14ac:dyDescent="0.25">
      <c r="A24" s="7"/>
      <c r="C24" s="12"/>
      <c r="D24" s="12"/>
      <c r="E24" s="12"/>
      <c r="F24" s="19"/>
      <c r="G24" s="19"/>
      <c r="H24" s="19"/>
      <c r="I24" s="19"/>
    </row>
    <row r="25" spans="1:9" s="8" customFormat="1" ht="35.1" customHeight="1" x14ac:dyDescent="0.3">
      <c r="A25" s="7"/>
      <c r="B25" s="22"/>
      <c r="C25" s="22"/>
      <c r="D25" s="22"/>
      <c r="E25" s="12"/>
      <c r="F25" s="19"/>
      <c r="G25" s="19"/>
      <c r="H25" s="19"/>
      <c r="I25" s="19"/>
    </row>
    <row r="26" spans="1:9" s="8" customFormat="1" ht="35.1" customHeight="1" x14ac:dyDescent="0.3">
      <c r="A26" s="7"/>
      <c r="B26" s="22"/>
      <c r="C26" s="22"/>
      <c r="D26" s="22"/>
      <c r="E26" s="12"/>
      <c r="F26" s="19"/>
      <c r="G26" s="19"/>
      <c r="H26" s="19"/>
      <c r="I26" s="19"/>
    </row>
    <row r="27" spans="1:9" s="8" customFormat="1" ht="35.1" customHeight="1" x14ac:dyDescent="0.3">
      <c r="A27" s="7"/>
      <c r="B27" s="22"/>
      <c r="C27" s="22"/>
      <c r="D27" s="22"/>
      <c r="E27" s="12"/>
      <c r="F27" s="19"/>
      <c r="G27" s="19"/>
      <c r="H27" s="19"/>
      <c r="I27" s="19"/>
    </row>
    <row r="28" spans="1:9" s="8" customFormat="1" ht="35.1" customHeight="1" x14ac:dyDescent="0.3">
      <c r="A28" s="7"/>
      <c r="B28" s="22"/>
      <c r="C28" s="22"/>
      <c r="D28" s="22"/>
      <c r="E28" s="12"/>
      <c r="F28" s="19"/>
      <c r="G28" s="19"/>
      <c r="H28" s="19"/>
      <c r="I28" s="19"/>
    </row>
    <row r="29" spans="1:9" s="8" customFormat="1" ht="35.1" customHeight="1" x14ac:dyDescent="0.3">
      <c r="A29" s="7"/>
      <c r="B29" s="22"/>
      <c r="C29" s="22"/>
      <c r="D29" s="22"/>
      <c r="E29" s="12"/>
      <c r="F29" s="19"/>
      <c r="G29" s="19"/>
      <c r="H29" s="19"/>
      <c r="I29" s="19"/>
    </row>
    <row r="30" spans="1:9" s="8" customFormat="1" ht="35.1" customHeight="1" x14ac:dyDescent="0.3">
      <c r="A30" s="7"/>
      <c r="B30" s="22"/>
      <c r="C30" s="22"/>
      <c r="D30" s="22"/>
      <c r="E30" s="12"/>
      <c r="F30" s="19"/>
      <c r="G30" s="19"/>
      <c r="H30" s="19"/>
      <c r="I30" s="19"/>
    </row>
    <row r="31" spans="1:9" ht="30" customHeight="1" x14ac:dyDescent="0.3">
      <c r="B31" s="22"/>
      <c r="C31" s="22"/>
      <c r="D31" s="22"/>
      <c r="F31" s="23"/>
      <c r="G31" s="23"/>
      <c r="H31" s="23"/>
      <c r="I31" s="23"/>
    </row>
    <row r="32" spans="1:9" ht="30" customHeight="1" x14ac:dyDescent="0.3">
      <c r="B32" s="22"/>
      <c r="C32" s="22"/>
      <c r="D32" s="22"/>
      <c r="F32" s="23"/>
      <c r="G32" s="23"/>
      <c r="H32" s="23"/>
      <c r="I32" s="23"/>
    </row>
    <row r="33" spans="2:9" ht="30" customHeight="1" x14ac:dyDescent="0.3">
      <c r="B33" s="22"/>
      <c r="C33" s="22"/>
      <c r="D33" s="22"/>
      <c r="F33" s="23"/>
      <c r="G33" s="23"/>
      <c r="H33" s="23"/>
      <c r="I33" s="23"/>
    </row>
    <row r="34" spans="2:9" ht="30" customHeight="1" x14ac:dyDescent="0.3">
      <c r="B34" s="22"/>
      <c r="C34" s="22"/>
      <c r="D34" s="22"/>
      <c r="F34" s="23"/>
      <c r="G34" s="23"/>
      <c r="H34" s="23"/>
      <c r="I34" s="23"/>
    </row>
    <row r="35" spans="2:9" ht="30" customHeight="1" x14ac:dyDescent="0.3">
      <c r="B35" s="22"/>
      <c r="C35" s="22"/>
      <c r="D35" s="22"/>
      <c r="F35" s="23"/>
      <c r="G35" s="23"/>
      <c r="H35" s="23"/>
      <c r="I35" s="23"/>
    </row>
    <row r="36" spans="2:9" ht="30" customHeight="1" x14ac:dyDescent="0.3">
      <c r="B36" s="22"/>
      <c r="C36" s="22"/>
      <c r="D36" s="22"/>
      <c r="F36" s="23"/>
      <c r="G36" s="23"/>
      <c r="H36" s="23"/>
      <c r="I36" s="23"/>
    </row>
    <row r="37" spans="2:9" ht="30" customHeight="1" x14ac:dyDescent="0.3">
      <c r="B37" s="22"/>
      <c r="C37" s="22"/>
      <c r="D37" s="22"/>
      <c r="F37" s="23"/>
      <c r="G37" s="23"/>
      <c r="H37" s="23"/>
      <c r="I37" s="23"/>
    </row>
    <row r="38" spans="2:9" ht="30" customHeight="1" x14ac:dyDescent="0.3">
      <c r="B38" s="22"/>
      <c r="C38" s="22"/>
      <c r="D38" s="22"/>
      <c r="F38" s="23"/>
      <c r="G38" s="23"/>
      <c r="H38" s="23"/>
      <c r="I38" s="23"/>
    </row>
    <row r="39" spans="2:9" ht="30" customHeight="1" x14ac:dyDescent="0.3">
      <c r="B39" s="22"/>
      <c r="C39" s="22"/>
      <c r="D39" s="22"/>
      <c r="F39" s="23"/>
      <c r="G39" s="23"/>
      <c r="H39" s="23"/>
      <c r="I39" s="23"/>
    </row>
    <row r="40" spans="2:9" ht="30" customHeight="1" x14ac:dyDescent="0.3">
      <c r="B40" s="22"/>
      <c r="C40" s="22"/>
      <c r="D40" s="22"/>
      <c r="F40" s="23"/>
      <c r="G40" s="23"/>
      <c r="H40" s="23"/>
      <c r="I40" s="23"/>
    </row>
    <row r="41" spans="2:9" ht="30" customHeight="1" x14ac:dyDescent="0.3">
      <c r="B41" s="22"/>
      <c r="C41" s="22"/>
      <c r="D41" s="22"/>
      <c r="F41" s="23"/>
      <c r="G41" s="23"/>
      <c r="H41" s="23"/>
      <c r="I41" s="23"/>
    </row>
    <row r="42" spans="2:9" ht="30" customHeight="1" x14ac:dyDescent="0.3">
      <c r="B42" s="22"/>
      <c r="C42" s="22"/>
      <c r="D42" s="22"/>
      <c r="F42" s="23"/>
      <c r="G42" s="23"/>
      <c r="H42" s="23"/>
      <c r="I42" s="23"/>
    </row>
    <row r="43" spans="2:9" ht="30" customHeight="1" x14ac:dyDescent="0.3">
      <c r="B43" s="22"/>
      <c r="C43" s="22"/>
      <c r="D43" s="22"/>
      <c r="F43" s="23"/>
      <c r="G43" s="23"/>
      <c r="H43" s="23"/>
      <c r="I43" s="23"/>
    </row>
    <row r="44" spans="2:9" ht="30" customHeight="1" x14ac:dyDescent="0.3">
      <c r="B44" s="22"/>
      <c r="C44" s="22"/>
      <c r="D44" s="22"/>
      <c r="F44" s="23"/>
      <c r="G44" s="23"/>
      <c r="H44" s="23"/>
      <c r="I44" s="23"/>
    </row>
    <row r="45" spans="2:9" ht="30" customHeight="1" x14ac:dyDescent="0.3"/>
    <row r="46" spans="2:9" ht="30" customHeight="1" x14ac:dyDescent="0.3"/>
    <row r="47" spans="2:9" ht="30" customHeight="1" x14ac:dyDescent="0.3"/>
    <row r="48" spans="2:9" ht="30" customHeight="1" x14ac:dyDescent="0.3"/>
    <row r="49" ht="30" customHeight="1" x14ac:dyDescent="0.3"/>
    <row r="50" ht="30" customHeight="1" x14ac:dyDescent="0.3"/>
  </sheetData>
  <mergeCells count="2">
    <mergeCell ref="G4:I4"/>
    <mergeCell ref="G2:I2"/>
  </mergeCells>
  <dataValidations count="6">
    <dataValidation allowBlank="1" showInputMessage="1" showErrorMessage="1" prompt="Title of this worksheet is in cell at right" sqref="A3" xr:uid="{2C5B12D8-C364-4164-B4D5-D63E1A2238C2}"/>
    <dataValidation allowBlank="1" showInputMessage="1" showErrorMessage="1" prompt="Enter details in Parameters table starting in cell at right. Next instruction is in cell A13." sqref="A6" xr:uid="{1DFF8811-9B69-4644-B785-C216CE5DAA82}"/>
    <dataValidation allowBlank="1" showInputMessage="1" showErrorMessage="1" prompt="Enter Blended Rates in cells at right, cells C13 through H13. Next instruction is in cell A15." sqref="A13" xr:uid="{E6293BD8-FCA4-4626-9AA5-C91B25A408B8}"/>
    <dataValidation allowBlank="1" showInputMessage="1" showErrorMessage="1" prompt="Column chart showing planned versus actual cost is in cell at right, and column chart showing planned versus actual hours is in cell F15." sqref="A15" xr:uid="{F38CF4BC-4477-466E-BE3D-3102DF1EE3E4}"/>
    <dataValidation allowBlank="1" showInputMessage="1" showErrorMessage="1" prompt="Track Project Parameters, Project Details, and Project Totals in this Event Planning Tracker workbook._x000a__x000a_Enter data in the table below to update the column charts._x000a__x000a_Tips are in column A._x000a__x000a_" sqref="A1" xr:uid="{4C0E73D7-E745-4239-AD95-771E474967F9}"/>
    <dataValidation allowBlank="1" showInputMessage="1" showErrorMessage="1" prompt="Enter company name in cell at right" sqref="A2" xr:uid="{84461D50-76C2-4498-8814-876DD9E8C18B}"/>
  </dataValidations>
  <printOptions horizontalCentered="1"/>
  <pageMargins left="0.4" right="0.4" top="0.4" bottom="0.4" header="0.3" footer="0.3"/>
  <pageSetup scale="60" orientation="landscape" horizontalDpi="4294967293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fitToPage="1"/>
  </sheetPr>
  <dimension ref="A1:AC16"/>
  <sheetViews>
    <sheetView showGridLines="0" zoomScaleNormal="100" workbookViewId="0"/>
  </sheetViews>
  <sheetFormatPr defaultColWidth="9.109375" defaultRowHeight="14.4" x14ac:dyDescent="0.3"/>
  <cols>
    <col min="1" max="1" width="2.88671875" style="1" customWidth="1"/>
    <col min="2" max="2" width="35.88671875" style="2" customWidth="1"/>
    <col min="3" max="3" width="38.6640625" style="2" bestFit="1" customWidth="1"/>
    <col min="4" max="11" width="17.33203125" style="2" customWidth="1"/>
    <col min="12" max="23" width="17.33203125" style="2" hidden="1" customWidth="1"/>
    <col min="24" max="25" width="2.88671875" style="2" customWidth="1"/>
    <col min="26" max="28" width="8.88671875" style="2" customWidth="1"/>
    <col min="29" max="29" width="2.88671875" style="2" customWidth="1"/>
    <col min="30" max="16384" width="9.109375" style="2"/>
  </cols>
  <sheetData>
    <row r="1" spans="1:29" ht="20.100000000000001" customHeight="1" x14ac:dyDescent="0.3"/>
    <row r="2" spans="1:29" ht="50.1" customHeight="1" x14ac:dyDescent="0.9">
      <c r="B2" s="40" t="str">
        <f>'PROJECT PARAMETERS'!B2</f>
        <v>ROBOTINE MANUFACTURING</v>
      </c>
      <c r="C2" s="27"/>
      <c r="D2" s="27"/>
      <c r="E2" s="27"/>
      <c r="F2" s="27"/>
      <c r="G2" s="27"/>
      <c r="H2" s="27"/>
      <c r="K2" s="70" t="str">
        <f>'PROJECT PARAMETERS'!G2</f>
        <v>ROBOTINE MANUFACTURING:
CONFIDENTIAL</v>
      </c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</row>
    <row r="3" spans="1:29" ht="30" customHeight="1" x14ac:dyDescent="0.5">
      <c r="B3" s="41" t="s">
        <v>57</v>
      </c>
      <c r="C3" s="28"/>
      <c r="D3" s="28"/>
      <c r="E3" s="28"/>
      <c r="F3" s="28"/>
      <c r="G3" s="28"/>
      <c r="H3" s="28"/>
      <c r="I3" s="28"/>
      <c r="J3" s="28"/>
      <c r="K3" s="28"/>
    </row>
    <row r="4" spans="1:29" s="8" customFormat="1" ht="24.9" customHeight="1" x14ac:dyDescent="0.25">
      <c r="A4" s="7"/>
      <c r="C4" s="29"/>
      <c r="D4" s="29"/>
      <c r="E4" s="29"/>
      <c r="F4" s="29"/>
      <c r="G4" s="29"/>
      <c r="H4" s="29"/>
      <c r="I4" s="29"/>
      <c r="J4" s="29"/>
      <c r="K4" s="29"/>
    </row>
    <row r="5" spans="1:29" ht="45" customHeight="1" x14ac:dyDescent="0.3">
      <c r="A5" s="30"/>
      <c r="B5" s="60" t="s">
        <v>18</v>
      </c>
      <c r="C5" s="60" t="s">
        <v>0</v>
      </c>
      <c r="D5" s="60" t="s">
        <v>19</v>
      </c>
      <c r="E5" s="60" t="s">
        <v>20</v>
      </c>
      <c r="F5" s="60" t="s">
        <v>44</v>
      </c>
      <c r="G5" s="60" t="s">
        <v>21</v>
      </c>
      <c r="H5" s="60" t="s">
        <v>22</v>
      </c>
      <c r="I5" s="60" t="s">
        <v>45</v>
      </c>
      <c r="J5" s="60" t="s">
        <v>23</v>
      </c>
      <c r="K5" s="60" t="s">
        <v>24</v>
      </c>
      <c r="L5" s="31" t="s">
        <v>1</v>
      </c>
      <c r="M5" s="31" t="s">
        <v>2</v>
      </c>
      <c r="N5" s="31" t="s">
        <v>3</v>
      </c>
      <c r="O5" s="31" t="s">
        <v>4</v>
      </c>
      <c r="P5" s="31" t="s">
        <v>5</v>
      </c>
      <c r="Q5" s="31" t="s">
        <v>6</v>
      </c>
      <c r="R5" s="31" t="s">
        <v>25</v>
      </c>
      <c r="S5" s="31" t="s">
        <v>26</v>
      </c>
      <c r="T5" s="31" t="s">
        <v>27</v>
      </c>
      <c r="U5" s="31" t="s">
        <v>28</v>
      </c>
      <c r="V5" s="31" t="s">
        <v>29</v>
      </c>
      <c r="W5" s="31" t="s">
        <v>30</v>
      </c>
      <c r="Y5" s="32"/>
      <c r="Z5" s="66" t="s">
        <v>54</v>
      </c>
      <c r="AA5" s="67"/>
      <c r="AB5" s="67"/>
      <c r="AC5" s="33"/>
    </row>
    <row r="6" spans="1:29" ht="39.9" customHeight="1" x14ac:dyDescent="0.3">
      <c r="B6" s="13" t="s">
        <v>31</v>
      </c>
      <c r="C6" s="13" t="s">
        <v>7</v>
      </c>
      <c r="D6" s="34">
        <f ca="1">DATE(YEAR(TODAY()),6,9)</f>
        <v>45086</v>
      </c>
      <c r="E6" s="34">
        <f ca="1" xml:space="preserve"> DATE(YEAR(TODAY()),8,7)</f>
        <v>45145</v>
      </c>
      <c r="F6" s="34">
        <f ca="1">DATE(YEAR(TODAY()),6,29)</f>
        <v>45106</v>
      </c>
      <c r="G6" s="34">
        <f ca="1">DATE(YEAR(TODAY()),9,3)</f>
        <v>45172</v>
      </c>
      <c r="H6" s="13">
        <v>200</v>
      </c>
      <c r="I6" s="13">
        <v>220</v>
      </c>
      <c r="J6" s="13">
        <f ca="1">DAYS360(ProjectDetails[[#This Row],[ESTIMATED START]],ProjectDetails[[#This Row],[ESTIMATED FINISH]],FALSE)</f>
        <v>58</v>
      </c>
      <c r="K6" s="37">
        <f ca="1">DAYS360(ProjectDetails[[#This Row],[ACTUAL
START]],ProjectDetails[[#This Row],[ACTUAL FINISH]],FALSE)</f>
        <v>64</v>
      </c>
      <c r="L6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Row],[ESTIMATED WORK]]</f>
        <v>7200</v>
      </c>
      <c r="M6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Row],[ESTIMATED WORK]]</f>
        <v>2400</v>
      </c>
      <c r="N6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Row],[ESTIMATED WORK]]</f>
        <v>18000</v>
      </c>
      <c r="O6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Row],[ESTIMATED WORK]]</f>
        <v>0</v>
      </c>
      <c r="P6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Row],[ESTIMATED WORK]]</f>
        <v>0</v>
      </c>
      <c r="Q6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Row],[ESTIMATED WORK]]</f>
        <v>1200</v>
      </c>
      <c r="R6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Row],[ACTUAL
WORK]]</f>
        <v>7920</v>
      </c>
      <c r="S6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Row],[ACTUAL
WORK]]</f>
        <v>2640</v>
      </c>
      <c r="T6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Row],[ACTUAL
WORK]]</f>
        <v>19800</v>
      </c>
      <c r="U6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Row],[ACTUAL
WORK]]</f>
        <v>0</v>
      </c>
      <c r="V6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Row],[ACTUAL
WORK]]</f>
        <v>0</v>
      </c>
      <c r="W6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Row],[ACTUAL
WORK]]</f>
        <v>1320</v>
      </c>
      <c r="Y6" s="35"/>
      <c r="Z6" s="68"/>
      <c r="AA6" s="68"/>
      <c r="AB6" s="68"/>
      <c r="AC6" s="36"/>
    </row>
    <row r="7" spans="1:29" ht="39.9" customHeight="1" x14ac:dyDescent="0.3">
      <c r="B7" s="13" t="s">
        <v>32</v>
      </c>
      <c r="C7" s="13" t="s">
        <v>8</v>
      </c>
      <c r="D7" s="34">
        <f ca="1">DATE(YEAR(TODAY())+1,6,25)</f>
        <v>45468</v>
      </c>
      <c r="E7" s="34">
        <f ca="1">DATE(YEAR(TODAY())+1,7,27)</f>
        <v>45500</v>
      </c>
      <c r="F7" s="34">
        <f ca="1">DATE(YEAR(TODAY()),7,15)</f>
        <v>45122</v>
      </c>
      <c r="G7" s="34">
        <f ca="1">DATE(YEAR(TODAY())+1,8,25)</f>
        <v>45529</v>
      </c>
      <c r="H7" s="13">
        <v>400</v>
      </c>
      <c r="I7" s="13">
        <v>390</v>
      </c>
      <c r="J7" s="13">
        <f ca="1">DAYS360(ProjectDetails[[#This Row],[ESTIMATED START]],ProjectDetails[[#This Row],[ESTIMATED FINISH]],FALSE)</f>
        <v>32</v>
      </c>
      <c r="K7" s="37">
        <f ca="1">DAYS360(ProjectDetails[[#This Row],[ACTUAL
START]],ProjectDetails[[#This Row],[ACTUAL FINISH]],FALSE)</f>
        <v>400</v>
      </c>
      <c r="L7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Row],[ESTIMATED WORK]]</f>
        <v>14400</v>
      </c>
      <c r="M7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Row],[ESTIMATED WORK]]</f>
        <v>24000</v>
      </c>
      <c r="N7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Row],[ESTIMATED WORK]]</f>
        <v>6000</v>
      </c>
      <c r="O7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Row],[ESTIMATED WORK]]</f>
        <v>4000</v>
      </c>
      <c r="P7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Row],[ESTIMATED WORK]]</f>
        <v>0</v>
      </c>
      <c r="Q7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Row],[ESTIMATED WORK]]</f>
        <v>2400</v>
      </c>
      <c r="R7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Row],[ACTUAL
WORK]]</f>
        <v>14040</v>
      </c>
      <c r="S7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Row],[ACTUAL
WORK]]</f>
        <v>23400</v>
      </c>
      <c r="T7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Row],[ACTUAL
WORK]]</f>
        <v>5850</v>
      </c>
      <c r="U7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Row],[ACTUAL
WORK]]</f>
        <v>3900</v>
      </c>
      <c r="V7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Row],[ACTUAL
WORK]]</f>
        <v>0</v>
      </c>
      <c r="W7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Row],[ACTUAL
WORK]]</f>
        <v>2340</v>
      </c>
      <c r="Y7" s="35"/>
      <c r="Z7" s="68"/>
      <c r="AA7" s="68"/>
      <c r="AB7" s="68"/>
      <c r="AC7" s="36"/>
    </row>
    <row r="8" spans="1:29" ht="39.9" customHeight="1" x14ac:dyDescent="0.3">
      <c r="B8" s="13" t="s">
        <v>33</v>
      </c>
      <c r="C8" s="13" t="s">
        <v>9</v>
      </c>
      <c r="D8" s="34">
        <f ca="1">DATE(YEAR(TODAY())+2,7,12)</f>
        <v>45850</v>
      </c>
      <c r="E8" s="34">
        <f ca="1">DATE(YEAR(TODAY())+2,9,19)</f>
        <v>45919</v>
      </c>
      <c r="F8" s="34">
        <f ca="1">DATE(YEAR(TODAY())+2,8,7)</f>
        <v>45876</v>
      </c>
      <c r="G8" s="34">
        <f ca="1">DATE(YEAR(TODAY())+2,10,25)</f>
        <v>45955</v>
      </c>
      <c r="H8" s="13">
        <v>500</v>
      </c>
      <c r="I8" s="13">
        <v>500</v>
      </c>
      <c r="J8" s="13">
        <f ca="1">DAYS360(ProjectDetails[[#This Row],[ESTIMATED START]],ProjectDetails[[#This Row],[ESTIMATED FINISH]],FALSE)</f>
        <v>67</v>
      </c>
      <c r="K8" s="37">
        <f ca="1">DAYS360(ProjectDetails[[#This Row],[ACTUAL
START]],ProjectDetails[[#This Row],[ACTUAL FINISH]],FALSE)</f>
        <v>78</v>
      </c>
      <c r="L8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Row],[ESTIMATED WORK]]</f>
        <v>18000</v>
      </c>
      <c r="M8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Row],[ESTIMATED WORK]]</f>
        <v>12000</v>
      </c>
      <c r="N8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Row],[ESTIMATED WORK]]</f>
        <v>0</v>
      </c>
      <c r="O8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Row],[ESTIMATED WORK]]</f>
        <v>25000</v>
      </c>
      <c r="P8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Row],[ESTIMATED WORK]]</f>
        <v>0</v>
      </c>
      <c r="Q8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Row],[ESTIMATED WORK]]</f>
        <v>3000</v>
      </c>
      <c r="R8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Row],[ACTUAL
WORK]]</f>
        <v>18000</v>
      </c>
      <c r="S8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Row],[ACTUAL
WORK]]</f>
        <v>12000</v>
      </c>
      <c r="T8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Row],[ACTUAL
WORK]]</f>
        <v>0</v>
      </c>
      <c r="U8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Row],[ACTUAL
WORK]]</f>
        <v>25000</v>
      </c>
      <c r="V8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Row],[ACTUAL
WORK]]</f>
        <v>0</v>
      </c>
      <c r="W8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Row],[ACTUAL
WORK]]</f>
        <v>3000</v>
      </c>
      <c r="Y8" s="35"/>
      <c r="Z8" s="68"/>
      <c r="AA8" s="68"/>
      <c r="AB8" s="68"/>
      <c r="AC8" s="36"/>
    </row>
    <row r="9" spans="1:29" ht="39.9" customHeight="1" x14ac:dyDescent="0.3">
      <c r="B9" s="13" t="s">
        <v>34</v>
      </c>
      <c r="C9" s="13" t="s">
        <v>10</v>
      </c>
      <c r="D9" s="34">
        <f ca="1">DATE(YEAR(TODAY())+3,7,30)</f>
        <v>46233</v>
      </c>
      <c r="E9" s="34">
        <f ca="1">DATE(YEAR(TODAY())+3,9,28)</f>
        <v>46293</v>
      </c>
      <c r="F9" s="34">
        <f ca="1">DATE(YEAR(TODAY())+3,9,14)</f>
        <v>46279</v>
      </c>
      <c r="G9" s="34">
        <f ca="1">DATE(YEAR(TODAY())+3,11,13)</f>
        <v>46339</v>
      </c>
      <c r="H9" s="13">
        <v>150</v>
      </c>
      <c r="I9" s="13">
        <v>145</v>
      </c>
      <c r="J9" s="13">
        <f ca="1">DAYS360(ProjectDetails[[#This Row],[ESTIMATED START]],ProjectDetails[[#This Row],[ESTIMATED FINISH]],FALSE)</f>
        <v>58</v>
      </c>
      <c r="K9" s="37">
        <f ca="1">DAYS360(ProjectDetails[[#This Row],[ACTUAL
START]],ProjectDetails[[#This Row],[ACTUAL FINISH]],FALSE)</f>
        <v>59</v>
      </c>
      <c r="L9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Row],[ESTIMATED WORK]]</f>
        <v>5400</v>
      </c>
      <c r="M9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Row],[ESTIMATED WORK]]</f>
        <v>10800</v>
      </c>
      <c r="N9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Row],[ESTIMATED WORK]]</f>
        <v>0</v>
      </c>
      <c r="O9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Row],[ESTIMATED WORK]]</f>
        <v>0</v>
      </c>
      <c r="P9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Row],[ESTIMATED WORK]]</f>
        <v>1200</v>
      </c>
      <c r="Q9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Row],[ESTIMATED WORK]]</f>
        <v>900</v>
      </c>
      <c r="R9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Row],[ACTUAL
WORK]]</f>
        <v>5220</v>
      </c>
      <c r="S9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Row],[ACTUAL
WORK]]</f>
        <v>10440</v>
      </c>
      <c r="T9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Row],[ACTUAL
WORK]]</f>
        <v>0</v>
      </c>
      <c r="U9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Row],[ACTUAL
WORK]]</f>
        <v>0</v>
      </c>
      <c r="V9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Row],[ACTUAL
WORK]]</f>
        <v>1160</v>
      </c>
      <c r="W9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Row],[ACTUAL
WORK]]</f>
        <v>870</v>
      </c>
      <c r="Y9" s="35"/>
      <c r="Z9" s="68"/>
      <c r="AA9" s="68"/>
      <c r="AB9" s="68"/>
      <c r="AC9" s="36"/>
    </row>
    <row r="10" spans="1:29" ht="39.9" customHeight="1" x14ac:dyDescent="0.3">
      <c r="B10" s="13" t="s">
        <v>35</v>
      </c>
      <c r="C10" s="13" t="s">
        <v>11</v>
      </c>
      <c r="D10" s="34">
        <f ca="1">DATE(YEAR(TODAY())+4,8,11)</f>
        <v>46610</v>
      </c>
      <c r="E10" s="34">
        <f ca="1">DATE(YEAR(TODAY())+4,8,21)</f>
        <v>46620</v>
      </c>
      <c r="F10" s="34">
        <f ca="1">DATE(YEAR(TODAY())+4,9,14)</f>
        <v>46644</v>
      </c>
      <c r="G10" s="34">
        <f ca="1">DATE(YEAR(TODAY())+4,9,25)</f>
        <v>46655</v>
      </c>
      <c r="H10" s="13">
        <v>250</v>
      </c>
      <c r="I10" s="13">
        <v>255</v>
      </c>
      <c r="J10" s="13">
        <f ca="1">DAYS360(ProjectDetails[[#This Row],[ESTIMATED START]],ProjectDetails[[#This Row],[ESTIMATED FINISH]],FALSE)</f>
        <v>10</v>
      </c>
      <c r="K10" s="37">
        <f ca="1">DAYS360(ProjectDetails[[#This Row],[ACTUAL
START]],ProjectDetails[[#This Row],[ACTUAL FINISH]],FALSE)</f>
        <v>11</v>
      </c>
      <c r="L10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Row],[ESTIMATED WORK]]</f>
        <v>9000</v>
      </c>
      <c r="M10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Row],[ESTIMATED WORK]]</f>
        <v>3000</v>
      </c>
      <c r="N10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Row],[ESTIMATED WORK]]</f>
        <v>0</v>
      </c>
      <c r="O10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Row],[ESTIMATED WORK]]</f>
        <v>0</v>
      </c>
      <c r="P10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Row],[ESTIMATED WORK]]</f>
        <v>12000</v>
      </c>
      <c r="Q10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Row],[ESTIMATED WORK]]</f>
        <v>1500</v>
      </c>
      <c r="R10" s="34">
        <f>INDEX(Parameters[],MATCH(ProjectDetails[[#This Row],[PROJECT TYPE]],Parameters[PROJECT TYPE],0),MATCH(ProjectDetails[[#Headers],[ACCOUNT MANAGER]],Parameters[#Headers],0))*INDEX('PROJECT PARAMETERS'!$B$13:$H$13,1,MATCH(ProjectDetails[[#Headers],[ACCOUNT MANAGER]],Parameters[#Headers],0))*ProjectDetails[[#This Row],[ACTUAL
WORK]]</f>
        <v>9180</v>
      </c>
      <c r="S10" s="34">
        <f>INDEX(Parameters[],MATCH(ProjectDetails[[#This Row],[PROJECT TYPE]],Parameters[PROJECT TYPE],0),MATCH(ProjectDetails[[#Headers],[PROJECT MANAGER]],Parameters[#Headers],0))*INDEX('PROJECT PARAMETERS'!$B$13:$H$13,1,MATCH(ProjectDetails[[#Headers],[PROJECT MANAGER]],Parameters[#Headers],0))*ProjectDetails[[#This Row],[ACTUAL
WORK]]</f>
        <v>3060</v>
      </c>
      <c r="T10" s="34">
        <f>INDEX(Parameters[],MATCH(ProjectDetails[[#This Row],[PROJECT TYPE]],Parameters[PROJECT TYPE],0),MATCH(ProjectDetails[[#Headers],[STRATEGY MANAGER]],Parameters[#Headers],0))*INDEX('PROJECT PARAMETERS'!$B$13:$H$13,1,MATCH(ProjectDetails[[#Headers],[STRATEGY MANAGER]],Parameters[#Headers],0))*ProjectDetails[[#This Row],[ACTUAL
WORK]]</f>
        <v>0</v>
      </c>
      <c r="U10" s="34">
        <f>INDEX(Parameters[],MATCH(ProjectDetails[[#This Row],[PROJECT TYPE]],Parameters[PROJECT TYPE],0),MATCH(ProjectDetails[[#Headers],[DESIGN SPECIALIST]],Parameters[#Headers],0))*INDEX('PROJECT PARAMETERS'!$B$13:$H$13,1,MATCH(ProjectDetails[[#Headers],[DESIGN SPECIALIST]],Parameters[#Headers],0))*ProjectDetails[[#This Row],[ACTUAL
WORK]]</f>
        <v>0</v>
      </c>
      <c r="V10" s="34">
        <f>INDEX(Parameters[],MATCH(ProjectDetails[[#This Row],[PROJECT TYPE]],Parameters[PROJECT TYPE],0),MATCH(ProjectDetails[[#Headers],[EVENT STAFF]],Parameters[#Headers],0))*INDEX('PROJECT PARAMETERS'!$B$13:$H$13,1,MATCH(ProjectDetails[[#Headers],[EVENT STAFF]],Parameters[#Headers],0))*ProjectDetails[[#This Row],[ACTUAL
WORK]]</f>
        <v>12240</v>
      </c>
      <c r="W10" s="34">
        <f>INDEX(Parameters[],MATCH(ProjectDetails[[#This Row],[PROJECT TYPE]],Parameters[PROJECT TYPE],0),MATCH(ProjectDetails[[#Headers],[ADMIN STAFF]],Parameters[#Headers],0))*INDEX('PROJECT PARAMETERS'!$B$13:$H$13,1,MATCH(ProjectDetails[[#Headers],[ADMIN STAFF]],Parameters[#Headers],0))*ProjectDetails[[#This Row],[ACTUAL
WORK]]</f>
        <v>1530</v>
      </c>
      <c r="Y10" s="35"/>
      <c r="Z10" s="68"/>
      <c r="AA10" s="68"/>
      <c r="AB10" s="68"/>
      <c r="AC10" s="36"/>
    </row>
    <row r="11" spans="1:29" ht="39.9" customHeight="1" x14ac:dyDescent="0.3">
      <c r="B11" s="13" t="s">
        <v>36</v>
      </c>
      <c r="C11" s="13"/>
      <c r="D11" s="13"/>
      <c r="E11" s="13"/>
      <c r="F11" s="13"/>
      <c r="G11" s="13"/>
      <c r="H11" s="13">
        <f>SUBTOTAL(109,ProjectDetails[ESTIMATED WORK])</f>
        <v>1500</v>
      </c>
      <c r="I11" s="13">
        <f>SUBTOTAL(109,ProjectDetails[ACTUAL
WORK])</f>
        <v>1510</v>
      </c>
      <c r="J11" s="13">
        <f ca="1">SUBTOTAL(109,ProjectDetails[ESTIMATED DURATION])</f>
        <v>225</v>
      </c>
      <c r="K11" s="37">
        <f ca="1">SUBTOTAL(109,ProjectDetails[ACTUAL DURATION])</f>
        <v>612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Y11" s="38"/>
      <c r="Z11" s="69"/>
      <c r="AA11" s="69"/>
      <c r="AB11" s="69"/>
      <c r="AC11" s="39"/>
    </row>
    <row r="12" spans="1:29" ht="39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29" ht="39.9" customHeight="1" x14ac:dyDescent="0.3"/>
    <row r="14" spans="1:29" ht="39.9" customHeight="1" x14ac:dyDescent="0.3"/>
    <row r="15" spans="1:29" ht="39.9" customHeight="1" x14ac:dyDescent="0.3"/>
    <row r="16" spans="1:29" ht="39.9" customHeight="1" x14ac:dyDescent="0.3"/>
  </sheetData>
  <mergeCells count="2">
    <mergeCell ref="Z5:AB11"/>
    <mergeCell ref="K2:AC2"/>
  </mergeCells>
  <dataValidations count="5">
    <dataValidation allowBlank="1" showInputMessage="1" showErrorMessage="1" prompt="Title of this worksheet is in cell at right" sqref="A3" xr:uid="{13FFF2FC-8675-47F6-8CD2-EE8FB7DC4995}"/>
    <dataValidation allowBlank="1" showInputMessage="1" showErrorMessage="1" prompt="Create Project Details in this worksheet" sqref="A1" xr:uid="{44D77635-C242-4E57-9087-2A2E67C2E47B}"/>
    <dataValidation allowBlank="1" showInputMessage="1" showErrorMessage="1" prompt="Company Name is automatically in cell at right" sqref="A2" xr:uid="{8B68C0AC-C542-432B-9F1D-FD481625DA16}"/>
    <dataValidation allowBlank="1" showInputMessage="1" showErrorMessage="1" prompt="Enter information in Project Details table starting in cell at right" sqref="A5" xr:uid="{97348F54-8524-4F7D-B80E-EC5F498E88DA}"/>
    <dataValidation type="list" allowBlank="1" showInputMessage="1" showErrorMessage="1" sqref="C6:C10" xr:uid="{00000000-0002-0000-0100-000000000000}">
      <formula1>ProjectType</formula1>
    </dataValidation>
  </dataValidations>
  <printOptions horizontalCentered="1"/>
  <pageMargins left="0.4" right="0.4" top="0.4" bottom="0.4" header="0.3" footer="0.3"/>
  <pageSetup scale="53" fitToHeight="0" orientation="landscape" horizontalDpi="4294967293" verticalDpi="1200" r:id="rId1"/>
  <headerFooter differentFirst="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/>
    <pageSetUpPr fitToPage="1"/>
  </sheetPr>
  <dimension ref="A1:T28"/>
  <sheetViews>
    <sheetView showGridLines="0" zoomScaleNormal="100" workbookViewId="0"/>
  </sheetViews>
  <sheetFormatPr defaultColWidth="9.109375" defaultRowHeight="14.4" x14ac:dyDescent="0.3"/>
  <cols>
    <col min="1" max="1" width="2.88671875" style="1" customWidth="1"/>
    <col min="2" max="2" width="21.109375" style="2" bestFit="1" customWidth="1"/>
    <col min="3" max="14" width="16.77734375" style="2" customWidth="1"/>
    <col min="15" max="16" width="2.88671875" style="2" customWidth="1"/>
    <col min="17" max="19" width="8.88671875" style="2" customWidth="1"/>
    <col min="20" max="20" width="2.88671875" style="2" customWidth="1"/>
    <col min="21" max="16384" width="9.109375" style="2"/>
  </cols>
  <sheetData>
    <row r="1" spans="1:20" ht="20.100000000000001" customHeight="1" x14ac:dyDescent="0.3"/>
    <row r="2" spans="1:20" ht="50.1" customHeight="1" x14ac:dyDescent="0.9">
      <c r="B2" s="58" t="str">
        <f>'PROJECT PARAMETERS'!B2</f>
        <v>ROBOTINE MANUFACTURING</v>
      </c>
      <c r="C2" s="42"/>
      <c r="D2" s="42"/>
      <c r="E2" s="42"/>
      <c r="F2" s="42"/>
      <c r="G2" s="42"/>
      <c r="H2" s="42"/>
      <c r="I2" s="42"/>
      <c r="J2" s="42"/>
      <c r="N2" s="70" t="str">
        <f>'PROJECT PARAMETERS'!G2</f>
        <v>ROBOTINE MANUFACTURING:
CONFIDENTIAL</v>
      </c>
      <c r="O2" s="70"/>
      <c r="P2" s="70"/>
      <c r="Q2" s="70"/>
      <c r="R2" s="70"/>
      <c r="S2" s="70"/>
      <c r="T2" s="70"/>
    </row>
    <row r="3" spans="1:20" ht="30" customHeight="1" x14ac:dyDescent="0.5">
      <c r="B3" s="59" t="s">
        <v>58</v>
      </c>
      <c r="C3" s="43"/>
      <c r="D3" s="43"/>
      <c r="E3" s="43"/>
      <c r="F3" s="43"/>
      <c r="G3" s="43"/>
      <c r="H3" s="43"/>
      <c r="I3" s="43"/>
      <c r="J3" s="43"/>
      <c r="K3" s="43"/>
    </row>
    <row r="4" spans="1:20" s="8" customFormat="1" ht="24.9" customHeight="1" x14ac:dyDescent="0.25">
      <c r="A4" s="7"/>
      <c r="C4" s="44"/>
      <c r="D4" s="44"/>
      <c r="E4" s="44"/>
      <c r="F4" s="44"/>
      <c r="G4" s="44"/>
      <c r="H4" s="44"/>
      <c r="I4" s="44"/>
      <c r="J4" s="44"/>
      <c r="K4" s="44"/>
    </row>
    <row r="5" spans="1:20" s="46" customFormat="1" ht="55.5" customHeight="1" x14ac:dyDescent="0.25">
      <c r="A5" s="45"/>
      <c r="B5" s="74" t="s">
        <v>18</v>
      </c>
      <c r="C5" s="74" t="s">
        <v>37</v>
      </c>
      <c r="D5" s="74" t="s">
        <v>38</v>
      </c>
      <c r="E5" s="74" t="s">
        <v>39</v>
      </c>
      <c r="F5" s="74" t="s">
        <v>40</v>
      </c>
      <c r="G5" s="74" t="s">
        <v>46</v>
      </c>
      <c r="H5" s="74" t="s">
        <v>47</v>
      </c>
      <c r="I5" s="74" t="s">
        <v>48</v>
      </c>
      <c r="J5" s="74" t="s">
        <v>49</v>
      </c>
      <c r="K5" s="74" t="s">
        <v>50</v>
      </c>
      <c r="L5" s="74" t="s">
        <v>41</v>
      </c>
      <c r="M5" s="74" t="s">
        <v>51</v>
      </c>
      <c r="N5" s="74" t="s">
        <v>52</v>
      </c>
      <c r="P5" s="47"/>
      <c r="Q5" s="71" t="s">
        <v>55</v>
      </c>
      <c r="R5" s="71"/>
      <c r="S5" s="71"/>
      <c r="T5" s="48"/>
    </row>
    <row r="6" spans="1:20" s="50" customFormat="1" ht="39.9" customHeight="1" x14ac:dyDescent="0.25">
      <c r="A6" s="49"/>
      <c r="B6" s="76" t="s">
        <v>31</v>
      </c>
      <c r="C6" s="75">
        <v>7200</v>
      </c>
      <c r="D6" s="75">
        <v>2400</v>
      </c>
      <c r="E6" s="75">
        <v>18000</v>
      </c>
      <c r="F6" s="75">
        <v>0</v>
      </c>
      <c r="G6" s="75">
        <v>0</v>
      </c>
      <c r="H6" s="75">
        <v>1200</v>
      </c>
      <c r="I6" s="75">
        <v>7920</v>
      </c>
      <c r="J6" s="75">
        <v>2640</v>
      </c>
      <c r="K6" s="75">
        <v>19800</v>
      </c>
      <c r="L6" s="75">
        <v>0</v>
      </c>
      <c r="M6" s="75">
        <v>0</v>
      </c>
      <c r="N6" s="75">
        <v>1320</v>
      </c>
      <c r="P6" s="51"/>
      <c r="Q6" s="72"/>
      <c r="R6" s="72"/>
      <c r="S6" s="72"/>
      <c r="T6" s="52"/>
    </row>
    <row r="7" spans="1:20" s="50" customFormat="1" ht="39.9" customHeight="1" x14ac:dyDescent="0.25">
      <c r="A7" s="49"/>
      <c r="B7" s="76" t="s">
        <v>32</v>
      </c>
      <c r="C7" s="75">
        <v>14400</v>
      </c>
      <c r="D7" s="75">
        <v>24000</v>
      </c>
      <c r="E7" s="75">
        <v>6000</v>
      </c>
      <c r="F7" s="75">
        <v>4000</v>
      </c>
      <c r="G7" s="75">
        <v>0</v>
      </c>
      <c r="H7" s="75">
        <v>2400</v>
      </c>
      <c r="I7" s="75">
        <v>14040</v>
      </c>
      <c r="J7" s="75">
        <v>23400</v>
      </c>
      <c r="K7" s="75">
        <v>5850</v>
      </c>
      <c r="L7" s="75">
        <v>3900</v>
      </c>
      <c r="M7" s="75">
        <v>0</v>
      </c>
      <c r="N7" s="75">
        <v>2340</v>
      </c>
      <c r="P7" s="51"/>
      <c r="Q7" s="72"/>
      <c r="R7" s="72"/>
      <c r="S7" s="72"/>
      <c r="T7" s="52"/>
    </row>
    <row r="8" spans="1:20" s="50" customFormat="1" ht="39.9" customHeight="1" x14ac:dyDescent="0.25">
      <c r="A8" s="49"/>
      <c r="B8" s="76" t="s">
        <v>33</v>
      </c>
      <c r="C8" s="75">
        <v>18000</v>
      </c>
      <c r="D8" s="75">
        <v>12000</v>
      </c>
      <c r="E8" s="75">
        <v>0</v>
      </c>
      <c r="F8" s="75">
        <v>25000</v>
      </c>
      <c r="G8" s="75">
        <v>0</v>
      </c>
      <c r="H8" s="75">
        <v>3000</v>
      </c>
      <c r="I8" s="75">
        <v>18000</v>
      </c>
      <c r="J8" s="75">
        <v>12000</v>
      </c>
      <c r="K8" s="75">
        <v>0</v>
      </c>
      <c r="L8" s="75">
        <v>25000</v>
      </c>
      <c r="M8" s="75">
        <v>0</v>
      </c>
      <c r="N8" s="75">
        <v>3000</v>
      </c>
      <c r="P8" s="51"/>
      <c r="Q8" s="72"/>
      <c r="R8" s="72"/>
      <c r="S8" s="72"/>
      <c r="T8" s="52"/>
    </row>
    <row r="9" spans="1:20" s="50" customFormat="1" ht="39.9" customHeight="1" x14ac:dyDescent="0.25">
      <c r="A9" s="49"/>
      <c r="B9" s="76" t="s">
        <v>34</v>
      </c>
      <c r="C9" s="75">
        <v>5400</v>
      </c>
      <c r="D9" s="75">
        <v>10800</v>
      </c>
      <c r="E9" s="75">
        <v>0</v>
      </c>
      <c r="F9" s="75">
        <v>0</v>
      </c>
      <c r="G9" s="75">
        <v>1200</v>
      </c>
      <c r="H9" s="75">
        <v>900</v>
      </c>
      <c r="I9" s="75">
        <v>5220</v>
      </c>
      <c r="J9" s="75">
        <v>10440</v>
      </c>
      <c r="K9" s="75">
        <v>0</v>
      </c>
      <c r="L9" s="75">
        <v>0</v>
      </c>
      <c r="M9" s="75">
        <v>1160</v>
      </c>
      <c r="N9" s="75">
        <v>870</v>
      </c>
      <c r="P9" s="51"/>
      <c r="Q9" s="72"/>
      <c r="R9" s="72"/>
      <c r="S9" s="72"/>
      <c r="T9" s="52"/>
    </row>
    <row r="10" spans="1:20" s="50" customFormat="1" ht="39.9" customHeight="1" x14ac:dyDescent="0.25">
      <c r="A10" s="49"/>
      <c r="B10" s="76" t="s">
        <v>35</v>
      </c>
      <c r="C10" s="75">
        <v>9000</v>
      </c>
      <c r="D10" s="75">
        <v>3000</v>
      </c>
      <c r="E10" s="75">
        <v>0</v>
      </c>
      <c r="F10" s="75">
        <v>0</v>
      </c>
      <c r="G10" s="75">
        <v>12000</v>
      </c>
      <c r="H10" s="75">
        <v>1500</v>
      </c>
      <c r="I10" s="75">
        <v>9180</v>
      </c>
      <c r="J10" s="75">
        <v>3060</v>
      </c>
      <c r="K10" s="75">
        <v>0</v>
      </c>
      <c r="L10" s="75">
        <v>0</v>
      </c>
      <c r="M10" s="75">
        <v>12240</v>
      </c>
      <c r="N10" s="75">
        <v>1530</v>
      </c>
      <c r="P10" s="51"/>
      <c r="Q10" s="72"/>
      <c r="R10" s="72"/>
      <c r="S10" s="72"/>
      <c r="T10" s="52"/>
    </row>
    <row r="11" spans="1:20" s="50" customFormat="1" ht="39.9" customHeight="1" x14ac:dyDescent="0.25">
      <c r="A11" s="49"/>
      <c r="B11" s="78" t="s">
        <v>42</v>
      </c>
      <c r="C11" s="77">
        <v>54000</v>
      </c>
      <c r="D11" s="77">
        <v>52200</v>
      </c>
      <c r="E11" s="77">
        <v>24000</v>
      </c>
      <c r="F11" s="77">
        <v>29000</v>
      </c>
      <c r="G11" s="77">
        <v>13200</v>
      </c>
      <c r="H11" s="77">
        <v>9000</v>
      </c>
      <c r="I11" s="77">
        <v>54360</v>
      </c>
      <c r="J11" s="77">
        <v>51540</v>
      </c>
      <c r="K11" s="77">
        <v>25650</v>
      </c>
      <c r="L11" s="77">
        <v>28900</v>
      </c>
      <c r="M11" s="77">
        <v>13400</v>
      </c>
      <c r="N11" s="77">
        <v>9060</v>
      </c>
      <c r="P11" s="53"/>
      <c r="Q11" s="73"/>
      <c r="R11" s="73"/>
      <c r="S11" s="73"/>
      <c r="T11" s="54"/>
    </row>
    <row r="12" spans="1:20" s="50" customFormat="1" ht="39.9" customHeight="1" x14ac:dyDescent="0.25">
      <c r="A12" s="49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20" s="50" customFormat="1" ht="39.9" customHeight="1" x14ac:dyDescent="0.25">
      <c r="A13" s="49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20" s="50" customFormat="1" ht="39.9" customHeight="1" x14ac:dyDescent="0.25">
      <c r="A14" s="49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1:20" s="50" customFormat="1" ht="39.9" customHeight="1" x14ac:dyDescent="0.25">
      <c r="A15" s="49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1:20" s="50" customFormat="1" ht="39.9" customHeight="1" x14ac:dyDescent="0.25">
      <c r="A16" s="49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2:14" x14ac:dyDescent="0.3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</row>
    <row r="18" spans="2:14" x14ac:dyDescent="0.3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2:14" x14ac:dyDescent="0.3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2:14" x14ac:dyDescent="0.3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2:14" x14ac:dyDescent="0.3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2:14" x14ac:dyDescent="0.3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2:14" x14ac:dyDescent="0.3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</row>
    <row r="24" spans="2:14" x14ac:dyDescent="0.3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2:14" x14ac:dyDescent="0.3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2:14" x14ac:dyDescent="0.3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2:14" x14ac:dyDescent="0.3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</row>
    <row r="28" spans="2:14" x14ac:dyDescent="0.3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</sheetData>
  <mergeCells count="2">
    <mergeCell ref="Q5:S11"/>
    <mergeCell ref="N2:T2"/>
  </mergeCells>
  <dataValidations count="4">
    <dataValidation allowBlank="1" showInputMessage="1" showErrorMessage="1" prompt="Get Project Totals in this worksheet" sqref="A1" xr:uid="{92CEB5DE-C93A-4EBC-9E74-048CF5237B4D}"/>
    <dataValidation allowBlank="1" showInputMessage="1" showErrorMessage="1" prompt="Title of this worksheet is in cell at right" sqref="A3" xr:uid="{63379B75-80A6-42E2-B12B-D3EFFEA6AA6C}"/>
    <dataValidation allowBlank="1" showInputMessage="1" showErrorMessage="1" prompt="Company Name is automatically updated in cell at right" sqref="A2" xr:uid="{688CF0F6-9F2E-4A71-8FBF-3D1342C62279}"/>
    <dataValidation allowBlank="1" showInputMessage="1" showErrorMessage="1" prompt="PivotTable starting in cell at right. To refresh it, go to Data Tab in the ribbon and click Refresh All." sqref="A5" xr:uid="{90E37BF6-693C-4128-AA06-A80778C79664}"/>
  </dataValidations>
  <printOptions horizontalCentered="1"/>
  <pageMargins left="0.4" right="0.4" top="0.4" bottom="0.4" header="0.3" footer="0.3"/>
  <pageSetup scale="50" fitToHeight="0" orientation="landscape" horizontalDpi="4294967293" r:id="rId2"/>
  <headerFooter differentFirst="1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8E179CC0-1145-4A50-A879-C65FAC39D038}"/>
</file>

<file path=customXml/itemProps22.xml><?xml version="1.0" encoding="utf-8"?>
<ds:datastoreItem xmlns:ds="http://schemas.openxmlformats.org/officeDocument/2006/customXml" ds:itemID="{FA1036CD-E93C-49CD-A1CF-5B2585786D5C}"/>
</file>

<file path=customXml/itemProps31.xml><?xml version="1.0" encoding="utf-8"?>
<ds:datastoreItem xmlns:ds="http://schemas.openxmlformats.org/officeDocument/2006/customXml" ds:itemID="{FE17D069-1074-4C1B-A5F4-BCAF3736C720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TM04099170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ap:HeadingPairs>
  <ap:TitlesOfParts>
    <vt:vector baseType="lpstr" size="6">
      <vt:lpstr>PROJECT PARAMETERS</vt:lpstr>
      <vt:lpstr>PROJECT DETAILS</vt:lpstr>
      <vt:lpstr>PROJECT TOTALS</vt:lpstr>
      <vt:lpstr>'PROJECT DETAILS'!Print_Titles</vt:lpstr>
      <vt:lpstr>'PROJECT TOTALS'!Print_Titles</vt:lpstr>
      <vt:lpstr>ProjectType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2023-09-13T07:39:46Z</dcterms:created>
  <dcterms:modified xsi:type="dcterms:W3CDTF">2023-10-15T23:06:29Z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