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91.xml" ContentType="application/vnd.openxmlformats-officedocument.spreadsheetml.table+xml"/>
  <Override PartName="/xl/drawings/drawing31.xml" ContentType="application/vnd.openxmlformats-officedocument.drawing+xml"/>
  <Override PartName="/xl/tables/table122.xml" ContentType="application/vnd.openxmlformats-officedocument.spreadsheetml.table+xml"/>
  <Override PartName="/xl/tables/table113.xml" ContentType="application/vnd.openxmlformats-officedocument.spreadsheetml.table+xml"/>
  <Override PartName="/xl/tables/table104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55.xml" ContentType="application/vnd.openxmlformats-officedocument.spreadsheetml.table+xml"/>
  <Override PartName="/xl/drawings/drawing22.xml" ContentType="application/vnd.openxmlformats-officedocument.drawing+xml"/>
  <Override PartName="/xl/tables/table86.xml" ContentType="application/vnd.openxmlformats-officedocument.spreadsheetml.table+xml"/>
  <Override PartName="/xl/tables/table77.xml" ContentType="application/vnd.openxmlformats-officedocument.spreadsheetml.table+xml"/>
  <Override PartName="/xl/tables/table68.xml" ContentType="application/vnd.openxmlformats-officedocument.spreadsheetml.table+xml"/>
  <Override PartName="/xl/worksheets/sheet13.xml" ContentType="application/vnd.openxmlformats-officedocument.spreadsheetml.worksheet+xml"/>
  <Override PartName="/xl/tables/table19.xml" ContentType="application/vnd.openxmlformats-officedocument.spreadsheetml.table+xml"/>
  <Override PartName="/xl/drawings/drawing13.xml" ContentType="application/vnd.openxmlformats-officedocument.drawing+xml"/>
  <Override PartName="/xl/tables/table410.xml" ContentType="application/vnd.openxmlformats-officedocument.spreadsheetml.table+xml"/>
  <Override PartName="/xl/tables/table311.xml" ContentType="application/vnd.openxmlformats-officedocument.spreadsheetml.table+xml"/>
  <Override PartName="/xl/tables/table212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bookViews>
    <workbookView xWindow="-108" yWindow="-108" windowWidth="23256" windowHeight="12720" xr2:uid="{00000000-000D-0000-FFFF-FFFF00000000}"/>
  </bookViews>
  <sheets>
    <sheet name="Planned expenses" sheetId="1" r:id="rId1"/>
    <sheet name="Actual expenses" sheetId="2" r:id="rId2"/>
    <sheet name="Expense variances" sheetId="3" r:id="rId3"/>
    <sheet name="Expenses analysis" sheetId="4" r:id="rId4"/>
  </sheets>
  <definedNames>
    <definedName name="MonthlyChart_Data1">OFFSET('Planned expenses'!$C$37,0,0,1,MonthsWithActual)</definedName>
    <definedName name="MonthsWithActual">COUNTIF('Actual expenses'!$C$37:$N$37,"&lt;&gt;"&amp;0)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O35" i="2"/>
  <c r="O34" i="2"/>
  <c r="O30" i="2"/>
  <c r="O29" i="2"/>
  <c r="O28" i="2"/>
  <c r="O27" i="2"/>
  <c r="O26" i="2"/>
  <c r="O25" i="2"/>
  <c r="O21" i="2"/>
  <c r="O20" i="2"/>
  <c r="O19" i="2"/>
  <c r="O18" i="2"/>
  <c r="O17" i="2"/>
  <c r="O16" i="2"/>
  <c r="O15" i="2"/>
  <c r="O14" i="2"/>
  <c r="O10" i="2"/>
  <c r="O9" i="2"/>
  <c r="O35" i="1"/>
  <c r="O34" i="1"/>
  <c r="O30" i="1"/>
  <c r="O29" i="1"/>
  <c r="O28" i="1"/>
  <c r="O27" i="1"/>
  <c r="O26" i="1"/>
  <c r="O25" i="1"/>
  <c r="O9" i="1"/>
  <c r="O10" i="1"/>
  <c r="O21" i="1"/>
  <c r="O20" i="1"/>
  <c r="O19" i="1"/>
  <c r="O18" i="1"/>
  <c r="O17" i="1"/>
  <c r="O16" i="1"/>
  <c r="O15" i="1"/>
  <c r="O14" i="1"/>
  <c r="B2" i="2"/>
  <c r="E28" i="3"/>
  <c r="H17" i="3"/>
  <c r="N9" i="3"/>
  <c r="F19" i="3"/>
  <c r="J10" i="3"/>
  <c r="O12" i="1"/>
  <c r="G9" i="3"/>
  <c r="G20" i="3"/>
  <c r="I32" i="1"/>
  <c r="L7" i="1"/>
  <c r="G12" i="2"/>
  <c r="J23" i="1"/>
  <c r="K15" i="3"/>
  <c r="K12" i="2"/>
  <c r="I29" i="3"/>
  <c r="E26" i="3"/>
  <c r="L20" i="3"/>
  <c r="J32" i="1"/>
  <c r="G15" i="3"/>
  <c r="E32" i="1"/>
  <c r="N21" i="3"/>
  <c r="H20" i="3"/>
  <c r="E16" i="3"/>
  <c r="K32" i="2"/>
  <c r="C34" i="3"/>
  <c r="G12" i="1"/>
  <c r="N17" i="3"/>
  <c r="C15" i="3"/>
  <c r="G35" i="3"/>
  <c r="C32" i="2"/>
  <c r="F12" i="2"/>
  <c r="N25" i="3"/>
  <c r="J20" i="3"/>
  <c r="I7" i="2"/>
  <c r="M25" i="3"/>
  <c r="F15" i="3"/>
  <c r="K23" i="2"/>
  <c r="K28" i="3"/>
  <c r="H12" i="2"/>
  <c r="M20" i="3"/>
  <c r="K20" i="3"/>
  <c r="H26" i="3"/>
  <c r="K7" i="1"/>
  <c r="F25" i="3"/>
  <c r="H32" i="1"/>
  <c r="J19" i="3"/>
  <c r="C7" i="2"/>
  <c r="O23" i="2"/>
  <c r="D32" i="1"/>
  <c r="I27" i="3"/>
  <c r="K9" i="3"/>
  <c r="D30" i="3"/>
  <c r="J12" i="2"/>
  <c r="N10" i="3"/>
  <c r="H10" i="3"/>
  <c r="M19" i="3"/>
  <c r="J26" i="3"/>
  <c r="C32" i="1"/>
  <c r="G26" i="3"/>
  <c r="D12" i="2"/>
  <c r="C9" i="3"/>
  <c r="F9" i="3"/>
  <c r="C18" i="3"/>
  <c r="D25" i="3"/>
  <c r="H27" i="3"/>
  <c r="D12" i="1"/>
  <c r="L32" i="2"/>
  <c r="I23" i="2"/>
  <c r="H21" i="3"/>
  <c r="J27" i="3"/>
  <c r="L16" i="3"/>
  <c r="M34" i="3"/>
  <c r="H34" i="3"/>
  <c r="K16" i="3"/>
  <c r="F16" i="3"/>
  <c r="L30" i="3"/>
  <c r="J35" i="3"/>
  <c r="F32" i="1"/>
  <c r="M18" i="3"/>
  <c r="D29" i="3"/>
  <c r="J12" i="1"/>
  <c r="F29" i="3"/>
  <c r="K25" i="3"/>
  <c r="M16" i="3"/>
  <c r="N14" i="3"/>
  <c r="K27" i="3"/>
  <c r="E14" i="3"/>
  <c r="L12" i="1"/>
  <c r="J15" i="3"/>
  <c r="G10" i="3"/>
  <c r="D19" i="3"/>
  <c r="H7" i="1"/>
  <c r="N29" i="3"/>
  <c r="N28" i="3"/>
  <c r="M28" i="3"/>
  <c r="C10" i="3"/>
  <c r="E17" i="3"/>
  <c r="G28" i="3"/>
  <c r="L9" i="3"/>
  <c r="L19" i="3"/>
  <c r="J7" i="2"/>
  <c r="M23" i="2"/>
  <c r="N32" i="1"/>
  <c r="J16" i="3"/>
  <c r="E12" i="1"/>
  <c r="J17" i="3"/>
  <c r="K14" i="3"/>
  <c r="H29" i="3"/>
  <c r="L17" i="3"/>
  <c r="G14" i="3"/>
  <c r="G32" i="1"/>
  <c r="N34" i="3"/>
  <c r="L10" i="3"/>
  <c r="H14" i="3"/>
  <c r="C17" i="3"/>
  <c r="H28" i="3"/>
  <c r="C16" i="3"/>
  <c r="L15" i="3"/>
  <c r="L23" i="2"/>
  <c r="M32" i="1"/>
  <c r="C20" i="3"/>
  <c r="C27" i="3"/>
  <c r="H19" i="3"/>
  <c r="E20" i="3"/>
  <c r="N26" i="3"/>
  <c r="I7" i="1"/>
  <c r="F32" i="2"/>
  <c r="I18" i="3"/>
  <c r="E32" i="2"/>
  <c r="G29" i="3"/>
  <c r="D35" i="3"/>
  <c r="F10" i="3"/>
  <c r="L23" i="1"/>
  <c r="L14" i="3"/>
  <c r="I15" i="3"/>
  <c r="J25" i="3"/>
  <c r="I14" i="3"/>
  <c r="L27" i="3"/>
  <c r="F21" i="3"/>
  <c r="I12" i="1"/>
  <c r="N35" i="3"/>
  <c r="C7" i="1"/>
  <c r="M14" i="3"/>
  <c r="M10" i="3"/>
  <c r="D17" i="3"/>
  <c r="H12" i="1"/>
  <c r="L29" i="3"/>
  <c r="I28" i="3"/>
  <c r="K35" i="3"/>
  <c r="D28" i="3"/>
  <c r="F18" i="3"/>
  <c r="D32" i="2"/>
  <c r="H23" i="1"/>
  <c r="D23" i="1"/>
  <c r="E27" i="3"/>
  <c r="D20" i="3"/>
  <c r="J14" i="3"/>
  <c r="D27" i="3"/>
  <c r="N27" i="3"/>
  <c r="M9" i="3"/>
  <c r="E25" i="3"/>
  <c r="K23" i="1"/>
  <c r="L32" i="1"/>
  <c r="C23" i="1"/>
  <c r="I35" i="3"/>
  <c r="D15" i="3"/>
  <c r="I20" i="3"/>
  <c r="M12" i="2"/>
  <c r="L12" i="2"/>
  <c r="F34" i="3"/>
  <c r="E19" i="3"/>
  <c r="F7" i="2"/>
  <c r="H9" i="3"/>
  <c r="E21" i="3"/>
  <c r="K17" i="3"/>
  <c r="D7" i="2"/>
  <c r="J29" i="3"/>
  <c r="D16" i="3"/>
  <c r="M12" i="1"/>
  <c r="D34" i="3"/>
  <c r="F28" i="3"/>
  <c r="L25" i="3"/>
  <c r="E9" i="3"/>
  <c r="G16" i="3"/>
  <c r="L28" i="3"/>
  <c r="H15" i="3"/>
  <c r="J32" i="2"/>
  <c r="K34" i="3"/>
  <c r="K21" i="3"/>
  <c r="G7" i="2"/>
  <c r="M30" i="3"/>
  <c r="I17" i="3"/>
  <c r="E12" i="2"/>
  <c r="H30" i="3"/>
  <c r="D21" i="3"/>
  <c r="D18" i="3"/>
  <c r="M32" i="2"/>
  <c r="O7" i="2"/>
  <c r="L34" i="3"/>
  <c r="F30" i="3"/>
  <c r="L35" i="3"/>
  <c r="M7" i="1"/>
  <c r="I30" i="3"/>
  <c r="D7" i="1"/>
  <c r="N7" i="2"/>
  <c r="F35" i="3"/>
  <c r="J7" i="1"/>
  <c r="H7" i="2"/>
  <c r="G25" i="3"/>
  <c r="M7" i="2"/>
  <c r="G32" i="2"/>
  <c r="N12" i="1"/>
  <c r="I9" i="3"/>
  <c r="M35" i="3"/>
  <c r="C35" i="3"/>
  <c r="J30" i="3"/>
  <c r="M26" i="3"/>
  <c r="C23" i="2"/>
  <c r="D23" i="2"/>
  <c r="N18" i="3"/>
  <c r="J21" i="3"/>
  <c r="G17" i="3"/>
  <c r="F26" i="3"/>
  <c r="F23" i="1"/>
  <c r="K10" i="3"/>
  <c r="F17" i="3"/>
  <c r="M15" i="3"/>
  <c r="E29" i="3"/>
  <c r="K12" i="1"/>
  <c r="H18" i="3"/>
  <c r="C19" i="3"/>
  <c r="I10" i="3"/>
  <c r="K7" i="2"/>
  <c r="J9" i="3"/>
  <c r="J34" i="3"/>
  <c r="E30" i="3"/>
  <c r="D14" i="3"/>
  <c r="E10" i="3"/>
  <c r="M21" i="3"/>
  <c r="N23" i="2"/>
  <c r="D10" i="3"/>
  <c r="N15" i="3"/>
  <c r="E7" i="2"/>
  <c r="G7" i="1"/>
  <c r="H25" i="3"/>
  <c r="M29" i="3"/>
  <c r="D26" i="3"/>
  <c r="H23" i="2"/>
  <c r="K32" i="1"/>
  <c r="O32" i="2"/>
  <c r="N30" i="3"/>
  <c r="F20" i="3"/>
  <c r="I26" i="3"/>
  <c r="N23" i="1"/>
  <c r="C29" i="3"/>
  <c r="K29" i="3"/>
  <c r="C12" i="2"/>
  <c r="M17" i="3"/>
  <c r="E35" i="3"/>
  <c r="F14" i="3"/>
  <c r="H32" i="2"/>
  <c r="G23" i="2"/>
  <c r="C12" i="1"/>
  <c r="E23" i="1"/>
  <c r="I16" i="3"/>
  <c r="E34" i="3"/>
  <c r="G30" i="3"/>
  <c r="F23" i="2"/>
  <c r="H35" i="3"/>
  <c r="J23" i="2"/>
  <c r="K18" i="3"/>
  <c r="L21" i="3"/>
  <c r="O12" i="2"/>
  <c r="F12" i="1"/>
  <c r="E15" i="3"/>
  <c r="I23" i="1"/>
  <c r="G18" i="3"/>
  <c r="C25" i="3"/>
  <c r="D9" i="3"/>
  <c r="N7" i="1"/>
  <c r="F7" i="1"/>
  <c r="I25" i="3"/>
  <c r="H16" i="3"/>
  <c r="K26" i="3"/>
  <c r="N20" i="3"/>
  <c r="J28" i="3"/>
  <c r="G27" i="3"/>
  <c r="N12" i="2"/>
  <c r="I12" i="2"/>
  <c r="J18" i="3"/>
  <c r="N16" i="3"/>
  <c r="K30" i="3"/>
  <c r="E18" i="3"/>
  <c r="O7" i="1"/>
  <c r="I19" i="3"/>
  <c r="N19" i="3"/>
  <c r="E7" i="1"/>
  <c r="G21" i="3"/>
  <c r="I32" i="2"/>
  <c r="O32" i="1"/>
  <c r="K19" i="3"/>
  <c r="N32" i="2"/>
  <c r="C28" i="3"/>
  <c r="E23" i="2"/>
  <c r="G23" i="1"/>
  <c r="C30" i="3"/>
  <c r="O23" i="1"/>
  <c r="M23" i="1"/>
  <c r="I21" i="3"/>
  <c r="M27" i="3"/>
  <c r="L7" i="2"/>
  <c r="C21" i="3"/>
  <c r="G34" i="3"/>
  <c r="C26" i="3"/>
  <c r="G19" i="3"/>
  <c r="I34" i="3"/>
  <c r="L26" i="3"/>
  <c r="F27" i="3"/>
  <c r="L18" i="3"/>
  <c r="C14" i="3"/>
  <c r="G37" i="2" l="1"/>
  <c r="F37" i="2"/>
  <c r="E37" i="2"/>
  <c r="O28" i="3"/>
  <c r="I37" i="2"/>
  <c r="M37" i="2"/>
  <c r="D37" i="1"/>
  <c r="C37" i="1"/>
  <c r="O35" i="3"/>
  <c r="O30" i="3"/>
  <c r="O16" i="3"/>
  <c r="O18" i="3"/>
  <c r="J37" i="2"/>
  <c r="L37" i="1"/>
  <c r="O20" i="3"/>
  <c r="O19" i="3"/>
  <c r="I37" i="1"/>
  <c r="N37" i="1"/>
  <c r="L37" i="2"/>
  <c r="O37" i="2"/>
  <c r="K37" i="1"/>
  <c r="O14" i="3"/>
  <c r="O17" i="3"/>
  <c r="O15" i="3"/>
  <c r="M37" i="1"/>
  <c r="F37" i="1"/>
  <c r="O37" i="1"/>
  <c r="O25" i="3"/>
  <c r="N37" i="2"/>
  <c r="O21" i="3"/>
  <c r="O34" i="3"/>
  <c r="C37" i="2"/>
  <c r="H37" i="1"/>
  <c r="O29" i="3"/>
  <c r="O9" i="3"/>
  <c r="O27" i="3"/>
  <c r="O26" i="3"/>
  <c r="H37" i="2"/>
  <c r="K37" i="2"/>
  <c r="E37" i="1"/>
  <c r="J37" i="1"/>
  <c r="D37" i="2"/>
  <c r="O10" i="3"/>
  <c r="G37" i="1"/>
  <c r="F32" i="3"/>
  <c r="L23" i="3"/>
  <c r="H12" i="3"/>
  <c r="J12" i="3"/>
  <c r="C23" i="3"/>
  <c r="J32" i="3"/>
  <c r="L32" i="3"/>
  <c r="G32" i="3"/>
  <c r="K7" i="3"/>
  <c r="H32" i="3"/>
  <c r="K32" i="3"/>
  <c r="G7" i="3"/>
  <c r="N7" i="3"/>
  <c r="N23" i="3"/>
  <c r="M12" i="3"/>
  <c r="L12" i="3"/>
  <c r="E12" i="3"/>
  <c r="L7" i="3"/>
  <c r="I7" i="3"/>
  <c r="D32" i="3"/>
  <c r="I32" i="3"/>
  <c r="D23" i="3"/>
  <c r="F23" i="3"/>
  <c r="J7" i="3"/>
  <c r="M7" i="3"/>
  <c r="M23" i="3"/>
  <c r="H23" i="3"/>
  <c r="E23" i="3"/>
  <c r="O7" i="3"/>
  <c r="F7" i="3"/>
  <c r="K12" i="3"/>
  <c r="N12" i="3"/>
  <c r="E32" i="3"/>
  <c r="N32" i="3"/>
  <c r="O12" i="3"/>
  <c r="E7" i="3"/>
  <c r="G23" i="3"/>
  <c r="J23" i="3"/>
  <c r="I23" i="3"/>
  <c r="D7" i="3"/>
  <c r="G12" i="3"/>
  <c r="C7" i="3"/>
  <c r="D12" i="3"/>
  <c r="K23" i="3"/>
  <c r="C32" i="3"/>
  <c r="M32" i="3"/>
  <c r="C12" i="3"/>
  <c r="I12" i="3"/>
  <c r="H7" i="3"/>
  <c r="F12" i="3"/>
  <c r="O32" i="3"/>
  <c r="O23" i="3"/>
  <c r="C37" i="3" l="1"/>
  <c r="I37" i="3"/>
  <c r="L37" i="3"/>
  <c r="N37" i="3"/>
  <c r="G37" i="3"/>
  <c r="M37" i="3"/>
  <c r="D37" i="3"/>
  <c r="F37" i="3"/>
  <c r="K37" i="3"/>
  <c r="E37" i="3"/>
  <c r="H37" i="3"/>
  <c r="J37" i="3"/>
  <c r="O37" i="3"/>
  <c r="B5" i="4"/>
  <c r="D16" i="4"/>
  <c r="C15" i="4"/>
  <c r="C17" i="4"/>
  <c r="D15" i="4"/>
  <c r="D18" i="4"/>
  <c r="C18" i="4"/>
  <c r="C16" i="4"/>
  <c r="D17" i="4"/>
  <c r="E16" i="4" l="1"/>
  <c r="F16" i="4" s="1"/>
  <c r="E18" i="4"/>
  <c r="F18" i="4" s="1"/>
  <c r="E15" i="4"/>
  <c r="F15" i="4" s="1"/>
  <c r="E17" i="4"/>
  <c r="F17" i="4" s="1"/>
</calcChain>
</file>

<file path=xl/sharedStrings.xml><?xml version="1.0" encoding="utf-8"?>
<sst xmlns="http://schemas.openxmlformats.org/spreadsheetml/2006/main" count="297" uniqueCount="69">
  <si>
    <t>PLANNED EXPENSES</t>
  </si>
  <si>
    <t>May</t>
  </si>
  <si>
    <t>Wages</t>
  </si>
  <si>
    <t>Benefits</t>
  </si>
  <si>
    <t>OFFICE COSTS</t>
  </si>
  <si>
    <t>Office lease</t>
  </si>
  <si>
    <t>Gas</t>
  </si>
  <si>
    <t>Electric</t>
  </si>
  <si>
    <t>Water</t>
  </si>
  <si>
    <t>Telephone</t>
  </si>
  <si>
    <t>Internet access</t>
  </si>
  <si>
    <t>Office supplies</t>
  </si>
  <si>
    <t>Security</t>
  </si>
  <si>
    <t>MARKETING COSTS</t>
  </si>
  <si>
    <t>Web site hosting</t>
  </si>
  <si>
    <t>Web site updates</t>
  </si>
  <si>
    <t>Collateral preparation</t>
  </si>
  <si>
    <t>Collateral printing</t>
  </si>
  <si>
    <t>Marketing events</t>
  </si>
  <si>
    <t>Miscellaneous expenses</t>
  </si>
  <si>
    <t>Training classes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</si>
  <si>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</si>
  <si>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</si>
  <si>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</si>
  <si>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</si>
  <si>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</si>
  <si>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</si>
  <si>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</si>
  <si>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</si>
  <si>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</si>
  <si>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</si>
  <si>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</si>
  <si>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</si>
  <si>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Total</t>
  </si>
  <si>
    <t>EMPLOYEE COSTS</t>
  </si>
  <si>
    <t>Travel costs</t>
  </si>
  <si>
    <t>TRAINING / TRAVEL</t>
  </si>
  <si>
    <t>ACTUAL EXPENSES</t>
  </si>
  <si>
    <t>EXPENSE VARIANCES</t>
  </si>
  <si>
    <t>MONTHLY TOTAL</t>
  </si>
  <si>
    <t>MONTHLY VARIANCE</t>
  </si>
  <si>
    <t>EXPENSES ANALYSIS</t>
  </si>
  <si>
    <t>CATEGORY</t>
  </si>
  <si>
    <t>VARIANCE</t>
  </si>
  <si>
    <t>VARIANCE %</t>
  </si>
  <si>
    <t xml:space="preserve"> PLANNED vs ACTUAL EXPENSES</t>
  </si>
  <si>
    <t>.</t>
  </si>
  <si>
    <t>MONTHLY EXPENSES</t>
  </si>
  <si>
    <t xml:space="preserve"> EMPLOYEE COSTS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</si>
  <si>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</si>
  <si>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</si>
  <si>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</si>
  <si>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</si>
  <si>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</si>
  <si>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</si>
  <si>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</si>
  <si>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</si>
  <si>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</si>
  <si>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</si>
  <si>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</si>
  <si>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</si>
  <si>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</si>
  <si>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TRAINING/TRAVEL</t>
  </si>
  <si>
    <t>Market Financial Consulting</t>
  </si>
  <si>
    <t xml:space="preserve">  Note: negative values mean actual expense is higher than planned expense</t>
  </si>
  <si>
    <t>Employee costs</t>
  </si>
  <si>
    <t>Office costs</t>
  </si>
  <si>
    <t>Marketing costs</t>
  </si>
  <si>
    <t>Training /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</si>
</sst>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;;;"/>
  </numFmts>
  <fonts count="34" x14ac:knownFonts="1">
    <font>
      <sz val="11"/>
      <color theme="1"/>
      <name val="Palatino Linotype"/>
      <family val="2"/>
      <scheme val="minor"/>
    </font>
    <font>
      <sz val="11"/>
      <color theme="1" tint="0.14999847407452621"/>
      <name val="Palatino Linotype"/>
      <family val="1"/>
      <scheme val="minor"/>
    </font>
    <font>
      <sz val="28"/>
      <color theme="1" tint="0.14999847407452621"/>
      <name val="Corbel"/>
      <family val="2"/>
      <scheme val="major"/>
    </font>
    <font>
      <sz val="18"/>
      <color theme="1" tint="0.14999847407452621"/>
      <name val="Corbel"/>
      <family val="2"/>
      <scheme val="major"/>
    </font>
    <font>
      <sz val="11"/>
      <color theme="1"/>
      <name val="Palatino Linotype"/>
      <family val="1"/>
      <scheme val="minor"/>
    </font>
    <font>
      <sz val="10"/>
      <color theme="1" tint="0.14999847407452621"/>
      <name val="Palatino Linotype"/>
      <family val="1"/>
      <scheme val="minor"/>
    </font>
    <font>
      <sz val="12"/>
      <color theme="1" tint="0.14999847407452621"/>
      <name val="Corbel"/>
      <family val="2"/>
      <scheme val="major"/>
    </font>
    <font>
      <sz val="11"/>
      <color theme="1" tint="0.14999847407452621"/>
      <name val="Corbel"/>
      <family val="2"/>
      <scheme val="major"/>
    </font>
    <font>
      <sz val="10"/>
      <color theme="1" tint="0.14999847407452621"/>
      <name val="Corbel"/>
      <family val="2"/>
      <scheme val="major"/>
    </font>
    <font>
      <sz val="13"/>
      <color theme="1"/>
      <name val="Corbel"/>
      <family val="2"/>
      <scheme val="major"/>
    </font>
    <font>
      <sz val="8"/>
      <color theme="1" tint="0.14999847407452621"/>
      <name val="Palatino Linotype"/>
      <family val="1"/>
      <scheme val="minor"/>
    </font>
    <font>
      <sz val="10"/>
      <color theme="1" tint="0.34998626667073579"/>
      <name val="Corbel"/>
      <family val="2"/>
      <scheme val="major"/>
    </font>
    <font>
      <sz val="13"/>
      <color theme="1" tint="0.14999847407452621"/>
      <name val="Corbel"/>
      <family val="2"/>
      <scheme val="major"/>
    </font>
    <font>
      <b/>
      <sz val="28"/>
      <color theme="8" tint="-0.499984740745262"/>
      <name val="Corbel"/>
      <family val="2"/>
      <scheme val="major"/>
    </font>
    <font>
      <b/>
      <sz val="28"/>
      <color theme="9" tint="-0.499984740745262"/>
      <name val="Corbel"/>
      <family val="2"/>
      <scheme val="major"/>
    </font>
    <font>
      <b/>
      <sz val="28"/>
      <color theme="5" tint="-0.499984740745262"/>
      <name val="Corbel"/>
      <family val="2"/>
      <scheme val="major"/>
    </font>
    <font>
      <sz val="18"/>
      <color theme="1" tint="4.9989318521683403E-2"/>
      <name val="Corbel"/>
      <family val="2"/>
      <scheme val="major"/>
    </font>
    <font>
      <sz val="11"/>
      <color theme="1" tint="0.14999847407452621"/>
      <name val="Palatino Linotype"/>
      <family val="1"/>
      <scheme val="minor"/>
    </font>
    <font>
      <sz val="8"/>
      <color theme="1"/>
      <name val="Palatino Linotype"/>
      <family val="1"/>
      <scheme val="minor"/>
    </font>
    <font>
      <sz val="12"/>
      <name val="Corbel"/>
      <family val="2"/>
      <scheme val="major"/>
    </font>
    <font>
      <b/>
      <sz val="12"/>
      <name val="Corbel"/>
      <family val="2"/>
      <scheme val="major"/>
    </font>
    <font>
      <b/>
      <sz val="13"/>
      <name val="Corbel"/>
      <family val="2"/>
      <scheme val="major"/>
    </font>
    <font>
      <b/>
      <sz val="11"/>
      <name val="Palatino Linotype"/>
      <family val="1"/>
      <scheme val="minor"/>
    </font>
    <font>
      <b/>
      <sz val="36"/>
      <color theme="8" tint="-0.499984740745262"/>
      <name val="Corbel"/>
      <family val="2"/>
      <scheme val="major"/>
    </font>
    <font>
      <sz val="36"/>
      <color theme="1" tint="0.14999847407452621"/>
      <name val="Corbel"/>
      <family val="2"/>
      <scheme val="major"/>
    </font>
    <font>
      <b/>
      <sz val="36"/>
      <color theme="1"/>
      <name val="Corbel"/>
      <family val="2"/>
      <scheme val="major"/>
    </font>
    <font>
      <sz val="18"/>
      <color theme="1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12"/>
      <color theme="1"/>
      <name val="Corbel"/>
      <family val="2"/>
      <scheme val="major"/>
    </font>
    <font>
      <b/>
      <sz val="13"/>
      <color theme="1"/>
      <name val="Corbel"/>
      <family val="2"/>
      <scheme val="major"/>
    </font>
    <font>
      <b/>
      <sz val="11"/>
      <color theme="1"/>
      <name val="Palatino Linotype"/>
      <family val="1"/>
      <scheme val="minor"/>
    </font>
    <font>
      <sz val="11"/>
      <color theme="7"/>
      <name val="Palatino Linotype"/>
      <family val="1"/>
      <scheme val="minor"/>
    </font>
    <font>
      <sz val="28"/>
      <color theme="7"/>
      <name val="Corbel"/>
      <family val="2"/>
      <scheme val="major"/>
    </font>
    <font>
      <sz val="11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0.59996337778862885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0" tint="-4.9989318521683403E-2"/>
      </right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4" fontId="4" fillId="2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4" fontId="4" fillId="2" borderId="8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indent="1"/>
    </xf>
    <xf numFmtId="44" fontId="5" fillId="3" borderId="5" xfId="0" applyNumberFormat="1" applyFont="1" applyFill="1" applyBorder="1" applyAlignment="1">
      <alignment horizontal="center" vertical="center"/>
    </xf>
    <xf numFmtId="10" fontId="5" fillId="3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44" fontId="5" fillId="0" borderId="0" xfId="0" applyNumberFormat="1" applyFont="1" applyAlignment="1">
      <alignment horizontal="right" vertical="center"/>
    </xf>
    <xf numFmtId="4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44" fontId="1" fillId="4" borderId="0" xfId="0" applyNumberFormat="1" applyFont="1" applyFill="1" applyAlignment="1">
      <alignment horizontal="left" vertical="center"/>
    </xf>
    <xf numFmtId="44" fontId="2" fillId="4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indent="2"/>
    </xf>
    <xf numFmtId="44" fontId="1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4" fontId="2" fillId="3" borderId="0" xfId="0" applyNumberFormat="1" applyFont="1" applyFill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44" fontId="1" fillId="3" borderId="2" xfId="0" applyNumberFormat="1" applyFont="1" applyFill="1" applyBorder="1" applyAlignment="1">
      <alignment horizontal="left" vertical="center"/>
    </xf>
    <xf numFmtId="44" fontId="17" fillId="0" borderId="3" xfId="0" applyNumberFormat="1" applyFont="1" applyBorder="1" applyAlignment="1">
      <alignment horizontal="left" vertical="center"/>
    </xf>
    <xf numFmtId="44" fontId="17" fillId="0" borderId="0" xfId="0" applyNumberFormat="1" applyFont="1" applyAlignment="1">
      <alignment horizontal="left" vertical="center"/>
    </xf>
    <xf numFmtId="44" fontId="1" fillId="0" borderId="2" xfId="0" applyNumberFormat="1" applyFont="1" applyBorder="1" applyAlignment="1">
      <alignment horizontal="left" vertical="center"/>
    </xf>
    <xf numFmtId="44" fontId="24" fillId="3" borderId="16" xfId="0" applyNumberFormat="1" applyFont="1" applyFill="1" applyBorder="1" applyAlignment="1">
      <alignment vertical="center"/>
    </xf>
    <xf numFmtId="44" fontId="24" fillId="4" borderId="16" xfId="0" applyNumberFormat="1" applyFont="1" applyFill="1" applyBorder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44" fontId="1" fillId="3" borderId="0" xfId="0" applyNumberFormat="1" applyFont="1" applyFill="1" applyAlignment="1">
      <alignment horizontal="right" vertical="center"/>
    </xf>
    <xf numFmtId="44" fontId="1" fillId="3" borderId="0" xfId="0" applyNumberFormat="1" applyFont="1" applyFill="1" applyAlignment="1">
      <alignment horizontal="center" vertical="center"/>
    </xf>
    <xf numFmtId="164" fontId="18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44" fontId="1" fillId="3" borderId="14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44" fontId="3" fillId="3" borderId="0" xfId="0" applyNumberFormat="1" applyFont="1" applyFill="1" applyAlignment="1">
      <alignment horizontal="right" vertical="center"/>
    </xf>
    <xf numFmtId="44" fontId="3" fillId="3" borderId="0" xfId="0" applyNumberFormat="1" applyFont="1" applyFill="1" applyAlignment="1">
      <alignment horizontal="center" vertical="center"/>
    </xf>
    <xf numFmtId="44" fontId="3" fillId="3" borderId="0" xfId="0" applyNumberFormat="1" applyFont="1" applyFill="1" applyAlignment="1">
      <alignment horizontal="left" vertical="center"/>
    </xf>
    <xf numFmtId="44" fontId="3" fillId="3" borderId="14" xfId="0" applyNumberFormat="1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44" fontId="12" fillId="3" borderId="0" xfId="0" applyNumberFormat="1" applyFont="1" applyFill="1" applyAlignment="1">
      <alignment horizontal="left" vertical="center" wrapText="1"/>
    </xf>
    <xf numFmtId="44" fontId="12" fillId="3" borderId="14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44" fontId="5" fillId="3" borderId="0" xfId="0" applyNumberFormat="1" applyFont="1" applyFill="1" applyAlignment="1">
      <alignment horizontal="left" vertical="center"/>
    </xf>
    <xf numFmtId="44" fontId="5" fillId="3" borderId="14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 indent="2"/>
    </xf>
    <xf numFmtId="44" fontId="5" fillId="3" borderId="0" xfId="0" applyNumberFormat="1" applyFont="1" applyFill="1" applyAlignment="1">
      <alignment horizontal="right" vertical="center"/>
    </xf>
    <xf numFmtId="44" fontId="5" fillId="3" borderId="0" xfId="0" applyNumberFormat="1" applyFont="1" applyFill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44" fontId="8" fillId="3" borderId="15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indent="1"/>
    </xf>
    <xf numFmtId="44" fontId="5" fillId="3" borderId="12" xfId="0" applyNumberFormat="1" applyFont="1" applyFill="1" applyBorder="1" applyAlignment="1">
      <alignment horizontal="center" vertical="center"/>
    </xf>
    <xf numFmtId="10" fontId="5" fillId="3" borderId="13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44" fontId="7" fillId="3" borderId="0" xfId="0" applyNumberFormat="1" applyFont="1" applyFill="1" applyAlignment="1">
      <alignment horizontal="right"/>
    </xf>
    <xf numFmtId="44" fontId="7" fillId="3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44" fontId="4" fillId="7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top"/>
    </xf>
    <xf numFmtId="44" fontId="33" fillId="3" borderId="0" xfId="0" applyNumberFormat="1" applyFont="1" applyFill="1" applyAlignment="1">
      <alignment horizontal="right"/>
    </xf>
    <xf numFmtId="44" fontId="33" fillId="3" borderId="0" xfId="0" applyNumberFormat="1" applyFont="1" applyFill="1" applyAlignment="1">
      <alignment horizontal="center"/>
    </xf>
    <xf numFmtId="44" fontId="33" fillId="3" borderId="0" xfId="0" applyNumberFormat="1" applyFont="1" applyFill="1" applyAlignment="1">
      <alignment horizontal="left"/>
    </xf>
    <xf numFmtId="0" fontId="33" fillId="3" borderId="0" xfId="0" applyFont="1" applyFill="1" applyAlignment="1">
      <alignment horizontal="left"/>
    </xf>
    <xf numFmtId="44" fontId="31" fillId="8" borderId="0" xfId="0" applyNumberFormat="1" applyFont="1" applyFill="1" applyAlignment="1">
      <alignment horizontal="left" vertical="center"/>
    </xf>
    <xf numFmtId="0" fontId="31" fillId="8" borderId="0" xfId="0" applyFont="1" applyFill="1" applyAlignment="1">
      <alignment horizontal="left" vertical="center"/>
    </xf>
    <xf numFmtId="44" fontId="32" fillId="8" borderId="0" xfId="0" applyNumberFormat="1" applyFont="1" applyFill="1" applyAlignment="1">
      <alignment vertical="center"/>
    </xf>
    <xf numFmtId="0" fontId="32" fillId="8" borderId="0" xfId="0" applyFont="1" applyFill="1" applyAlignment="1">
      <alignment vertical="center"/>
    </xf>
    <xf numFmtId="44" fontId="32" fillId="8" borderId="16" xfId="0" applyNumberFormat="1" applyFont="1" applyFill="1" applyBorder="1" applyAlignment="1">
      <alignment vertical="center"/>
    </xf>
    <xf numFmtId="0" fontId="32" fillId="8" borderId="16" xfId="0" applyFont="1" applyFill="1" applyBorder="1" applyAlignment="1">
      <alignment vertical="center"/>
    </xf>
    <xf numFmtId="44" fontId="33" fillId="8" borderId="0" xfId="0" applyNumberFormat="1" applyFont="1" applyFill="1" applyAlignment="1">
      <alignment horizontal="left"/>
    </xf>
    <xf numFmtId="0" fontId="33" fillId="8" borderId="0" xfId="0" applyFont="1" applyFill="1" applyAlignment="1">
      <alignment horizontal="left"/>
    </xf>
    <xf numFmtId="44" fontId="1" fillId="9" borderId="0" xfId="0" applyNumberFormat="1" applyFont="1" applyFill="1" applyAlignment="1">
      <alignment horizontal="left" vertical="center"/>
    </xf>
    <xf numFmtId="44" fontId="2" fillId="9" borderId="0" xfId="0" applyNumberFormat="1" applyFont="1" applyFill="1" applyAlignment="1">
      <alignment vertical="center"/>
    </xf>
    <xf numFmtId="44" fontId="2" fillId="9" borderId="16" xfId="0" applyNumberFormat="1" applyFont="1" applyFill="1" applyBorder="1" applyAlignment="1">
      <alignment vertical="center"/>
    </xf>
    <xf numFmtId="0" fontId="9" fillId="7" borderId="18" xfId="0" applyFont="1" applyFill="1" applyBorder="1" applyAlignment="1">
      <alignment horizontal="left" vertical="center" indent="1"/>
    </xf>
    <xf numFmtId="0" fontId="29" fillId="6" borderId="0" xfId="0" applyFont="1" applyFill="1" applyAlignment="1">
      <alignment horizontal="left" vertical="center" indent="1"/>
    </xf>
    <xf numFmtId="44" fontId="17" fillId="0" borderId="19" xfId="0" applyNumberFormat="1" applyFont="1" applyBorder="1" applyAlignment="1">
      <alignment horizontal="left" vertical="center"/>
    </xf>
    <xf numFmtId="44" fontId="30" fillId="6" borderId="0" xfId="0" applyNumberFormat="1" applyFont="1" applyFill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44" fontId="4" fillId="7" borderId="22" xfId="0" applyNumberFormat="1" applyFont="1" applyFill="1" applyBorder="1" applyAlignment="1">
      <alignment horizontal="left" vertical="center"/>
    </xf>
    <xf numFmtId="44" fontId="17" fillId="0" borderId="23" xfId="0" applyNumberFormat="1" applyFont="1" applyBorder="1" applyAlignment="1">
      <alignment horizontal="left" vertical="center"/>
    </xf>
    <xf numFmtId="44" fontId="1" fillId="0" borderId="23" xfId="0" applyNumberFormat="1" applyFont="1" applyBorder="1" applyAlignment="1">
      <alignment horizontal="left" vertical="center"/>
    </xf>
    <xf numFmtId="44" fontId="1" fillId="3" borderId="21" xfId="0" applyNumberFormat="1" applyFont="1" applyFill="1" applyBorder="1" applyAlignment="1">
      <alignment horizontal="left" vertical="center"/>
    </xf>
    <xf numFmtId="44" fontId="1" fillId="3" borderId="23" xfId="0" applyNumberFormat="1" applyFont="1" applyFill="1" applyBorder="1" applyAlignment="1">
      <alignment horizontal="left" vertical="center"/>
    </xf>
    <xf numFmtId="44" fontId="30" fillId="6" borderId="23" xfId="0" applyNumberFormat="1" applyFont="1" applyFill="1" applyBorder="1" applyAlignment="1">
      <alignment horizontal="left" vertical="center"/>
    </xf>
    <xf numFmtId="44" fontId="4" fillId="7" borderId="25" xfId="0" applyNumberFormat="1" applyFont="1" applyFill="1" applyBorder="1" applyAlignment="1">
      <alignment horizontal="left" vertical="center"/>
    </xf>
    <xf numFmtId="44" fontId="17" fillId="0" borderId="11" xfId="0" applyNumberFormat="1" applyFont="1" applyBorder="1" applyAlignment="1">
      <alignment horizontal="left" vertical="center"/>
    </xf>
    <xf numFmtId="44" fontId="1" fillId="0" borderId="11" xfId="0" applyNumberFormat="1" applyFont="1" applyBorder="1" applyAlignment="1">
      <alignment horizontal="left" vertical="center"/>
    </xf>
    <xf numFmtId="44" fontId="1" fillId="3" borderId="11" xfId="0" applyNumberFormat="1" applyFont="1" applyFill="1" applyBorder="1" applyAlignment="1">
      <alignment horizontal="left" vertical="center"/>
    </xf>
    <xf numFmtId="44" fontId="17" fillId="0" borderId="26" xfId="0" applyNumberFormat="1" applyFont="1" applyBorder="1" applyAlignment="1">
      <alignment horizontal="left" vertical="center"/>
    </xf>
    <xf numFmtId="44" fontId="4" fillId="7" borderId="28" xfId="0" applyNumberFormat="1" applyFont="1" applyFill="1" applyBorder="1" applyAlignment="1">
      <alignment horizontal="left" vertical="center"/>
    </xf>
    <xf numFmtId="44" fontId="17" fillId="0" borderId="12" xfId="0" applyNumberFormat="1" applyFont="1" applyBorder="1" applyAlignment="1">
      <alignment horizontal="left" vertical="center"/>
    </xf>
    <xf numFmtId="44" fontId="1" fillId="0" borderId="12" xfId="0" applyNumberFormat="1" applyFont="1" applyBorder="1" applyAlignment="1">
      <alignment horizontal="left" vertical="center"/>
    </xf>
    <xf numFmtId="44" fontId="1" fillId="3" borderId="12" xfId="0" applyNumberFormat="1" applyFont="1" applyFill="1" applyBorder="1" applyAlignment="1">
      <alignment horizontal="left" vertical="center"/>
    </xf>
    <xf numFmtId="44" fontId="30" fillId="6" borderId="12" xfId="0" applyNumberFormat="1" applyFont="1" applyFill="1" applyBorder="1" applyAlignment="1">
      <alignment horizontal="left" vertical="center"/>
    </xf>
    <xf numFmtId="44" fontId="4" fillId="7" borderId="18" xfId="0" applyNumberFormat="1" applyFont="1" applyFill="1" applyBorder="1" applyAlignment="1">
      <alignment horizontal="left" vertical="center"/>
    </xf>
    <xf numFmtId="44" fontId="30" fillId="6" borderId="31" xfId="0" applyNumberFormat="1" applyFont="1" applyFill="1" applyBorder="1" applyAlignment="1">
      <alignment horizontal="left" vertical="center"/>
    </xf>
    <xf numFmtId="44" fontId="17" fillId="3" borderId="0" xfId="0" applyNumberFormat="1" applyFont="1" applyFill="1" applyAlignment="1">
      <alignment horizontal="left" vertical="center"/>
    </xf>
    <xf numFmtId="0" fontId="27" fillId="12" borderId="24" xfId="0" applyFont="1" applyFill="1" applyBorder="1" applyAlignment="1">
      <alignment horizontal="left" vertical="center" indent="2"/>
    </xf>
    <xf numFmtId="0" fontId="9" fillId="11" borderId="25" xfId="0" applyFont="1" applyFill="1" applyBorder="1" applyAlignment="1">
      <alignment horizontal="left" vertical="center" indent="1"/>
    </xf>
    <xf numFmtId="0" fontId="17" fillId="3" borderId="11" xfId="0" applyFont="1" applyFill="1" applyBorder="1" applyAlignment="1">
      <alignment horizontal="left" vertical="center" indent="1"/>
    </xf>
    <xf numFmtId="0" fontId="1" fillId="3" borderId="11" xfId="0" applyFont="1" applyFill="1" applyBorder="1" applyAlignment="1">
      <alignment horizontal="left" vertical="center" indent="2"/>
    </xf>
    <xf numFmtId="0" fontId="29" fillId="12" borderId="11" xfId="0" applyFont="1" applyFill="1" applyBorder="1" applyAlignment="1">
      <alignment horizontal="left" vertical="center" indent="1"/>
    </xf>
    <xf numFmtId="44" fontId="28" fillId="12" borderId="27" xfId="0" applyNumberFormat="1" applyFont="1" applyFill="1" applyBorder="1" applyAlignment="1">
      <alignment horizontal="center" vertical="center"/>
    </xf>
    <xf numFmtId="44" fontId="4" fillId="11" borderId="28" xfId="0" applyNumberFormat="1" applyFont="1" applyFill="1" applyBorder="1" applyAlignment="1">
      <alignment horizontal="left" vertical="center"/>
    </xf>
    <xf numFmtId="44" fontId="17" fillId="3" borderId="12" xfId="0" applyNumberFormat="1" applyFont="1" applyFill="1" applyBorder="1" applyAlignment="1">
      <alignment horizontal="left" vertical="center"/>
    </xf>
    <xf numFmtId="44" fontId="30" fillId="12" borderId="12" xfId="0" applyNumberFormat="1" applyFont="1" applyFill="1" applyBorder="1" applyAlignment="1">
      <alignment horizontal="left" vertical="center"/>
    </xf>
    <xf numFmtId="44" fontId="28" fillId="12" borderId="24" xfId="0" applyNumberFormat="1" applyFont="1" applyFill="1" applyBorder="1" applyAlignment="1">
      <alignment horizontal="center" vertical="center"/>
    </xf>
    <xf numFmtId="44" fontId="4" fillId="11" borderId="25" xfId="0" applyNumberFormat="1" applyFont="1" applyFill="1" applyBorder="1" applyAlignment="1">
      <alignment horizontal="left" vertical="center"/>
    </xf>
    <xf numFmtId="44" fontId="17" fillId="3" borderId="11" xfId="0" applyNumberFormat="1" applyFont="1" applyFill="1" applyBorder="1" applyAlignment="1">
      <alignment horizontal="left" vertical="center"/>
    </xf>
    <xf numFmtId="44" fontId="30" fillId="12" borderId="11" xfId="0" applyNumberFormat="1" applyFont="1" applyFill="1" applyBorder="1" applyAlignment="1">
      <alignment horizontal="left" vertical="center"/>
    </xf>
    <xf numFmtId="44" fontId="4" fillId="11" borderId="18" xfId="0" applyNumberFormat="1" applyFont="1" applyFill="1" applyBorder="1" applyAlignment="1">
      <alignment horizontal="left" vertical="center"/>
    </xf>
    <xf numFmtId="44" fontId="28" fillId="12" borderId="17" xfId="0" applyNumberFormat="1" applyFont="1" applyFill="1" applyBorder="1" applyAlignment="1">
      <alignment horizontal="center" vertical="center"/>
    </xf>
    <xf numFmtId="44" fontId="30" fillId="12" borderId="0" xfId="0" applyNumberFormat="1" applyFont="1" applyFill="1" applyAlignment="1">
      <alignment horizontal="left" vertical="center"/>
    </xf>
    <xf numFmtId="0" fontId="1" fillId="0" borderId="11" xfId="0" applyFont="1" applyBorder="1" applyAlignment="1">
      <alignment horizontal="left" vertical="center" indent="2"/>
    </xf>
    <xf numFmtId="44" fontId="1" fillId="10" borderId="0" xfId="0" applyNumberFormat="1" applyFont="1" applyFill="1" applyAlignment="1">
      <alignment horizontal="left" vertical="center"/>
    </xf>
    <xf numFmtId="44" fontId="2" fillId="10" borderId="0" xfId="0" applyNumberFormat="1" applyFont="1" applyFill="1" applyAlignment="1">
      <alignment vertical="center"/>
    </xf>
    <xf numFmtId="44" fontId="2" fillId="10" borderId="16" xfId="0" applyNumberFormat="1" applyFont="1" applyFill="1" applyBorder="1" applyAlignment="1">
      <alignment vertical="center"/>
    </xf>
    <xf numFmtId="44" fontId="4" fillId="2" borderId="10" xfId="0" applyNumberFormat="1" applyFont="1" applyFill="1" applyBorder="1" applyAlignment="1">
      <alignment horizontal="left" vertical="center"/>
    </xf>
    <xf numFmtId="44" fontId="17" fillId="0" borderId="9" xfId="0" applyNumberFormat="1" applyFont="1" applyBorder="1" applyAlignment="1">
      <alignment horizontal="left" vertical="center"/>
    </xf>
    <xf numFmtId="44" fontId="1" fillId="0" borderId="7" xfId="0" applyNumberFormat="1" applyFont="1" applyBorder="1" applyAlignment="1">
      <alignment horizontal="left" vertical="center"/>
    </xf>
    <xf numFmtId="44" fontId="1" fillId="3" borderId="7" xfId="0" applyNumberFormat="1" applyFont="1" applyFill="1" applyBorder="1" applyAlignment="1">
      <alignment horizontal="left" vertical="center"/>
    </xf>
    <xf numFmtId="44" fontId="4" fillId="2" borderId="7" xfId="0" applyNumberFormat="1" applyFont="1" applyFill="1" applyBorder="1" applyAlignment="1">
      <alignment horizontal="left" vertical="center"/>
    </xf>
    <xf numFmtId="0" fontId="19" fillId="5" borderId="24" xfId="0" applyFont="1" applyFill="1" applyBorder="1" applyAlignment="1">
      <alignment horizontal="left" vertical="center" indent="2"/>
    </xf>
    <xf numFmtId="0" fontId="9" fillId="2" borderId="25" xfId="0" applyFont="1" applyFill="1" applyBorder="1" applyAlignment="1">
      <alignment horizontal="left" vertical="center" indent="1"/>
    </xf>
    <xf numFmtId="0" fontId="17" fillId="0" borderId="11" xfId="0" applyFont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21" fillId="5" borderId="11" xfId="0" applyFont="1" applyFill="1" applyBorder="1" applyAlignment="1">
      <alignment horizontal="left" vertical="center" indent="1"/>
    </xf>
    <xf numFmtId="44" fontId="20" fillId="5" borderId="27" xfId="0" applyNumberFormat="1" applyFont="1" applyFill="1" applyBorder="1" applyAlignment="1">
      <alignment horizontal="center" vertical="center"/>
    </xf>
    <xf numFmtId="44" fontId="4" fillId="2" borderId="28" xfId="0" applyNumberFormat="1" applyFont="1" applyFill="1" applyBorder="1" applyAlignment="1">
      <alignment horizontal="left" vertical="center"/>
    </xf>
    <xf numFmtId="44" fontId="4" fillId="2" borderId="12" xfId="0" applyNumberFormat="1" applyFont="1" applyFill="1" applyBorder="1" applyAlignment="1">
      <alignment horizontal="left" vertical="center"/>
    </xf>
    <xf numFmtId="44" fontId="22" fillId="5" borderId="12" xfId="0" applyNumberFormat="1" applyFont="1" applyFill="1" applyBorder="1" applyAlignment="1">
      <alignment horizontal="left" vertical="center"/>
    </xf>
    <xf numFmtId="44" fontId="20" fillId="5" borderId="17" xfId="0" applyNumberFormat="1" applyFont="1" applyFill="1" applyBorder="1" applyAlignment="1">
      <alignment horizontal="center" vertical="center"/>
    </xf>
    <xf numFmtId="44" fontId="4" fillId="2" borderId="32" xfId="0" applyNumberFormat="1" applyFont="1" applyFill="1" applyBorder="1" applyAlignment="1">
      <alignment horizontal="left" vertical="center"/>
    </xf>
    <xf numFmtId="44" fontId="20" fillId="5" borderId="29" xfId="0" applyNumberFormat="1" applyFont="1" applyFill="1" applyBorder="1" applyAlignment="1">
      <alignment horizontal="center" vertical="center"/>
    </xf>
    <xf numFmtId="44" fontId="20" fillId="5" borderId="24" xfId="0" applyNumberFormat="1" applyFont="1" applyFill="1" applyBorder="1" applyAlignment="1">
      <alignment horizontal="center" vertical="center"/>
    </xf>
    <xf numFmtId="44" fontId="4" fillId="2" borderId="33" xfId="0" applyNumberFormat="1" applyFont="1" applyFill="1" applyBorder="1" applyAlignment="1">
      <alignment horizontal="left" vertical="center"/>
    </xf>
    <xf numFmtId="44" fontId="1" fillId="0" borderId="34" xfId="0" applyNumberFormat="1" applyFont="1" applyBorder="1" applyAlignment="1">
      <alignment horizontal="left" vertical="center"/>
    </xf>
    <xf numFmtId="44" fontId="1" fillId="3" borderId="34" xfId="0" applyNumberFormat="1" applyFont="1" applyFill="1" applyBorder="1" applyAlignment="1">
      <alignment horizontal="left" vertical="center"/>
    </xf>
    <xf numFmtId="44" fontId="4" fillId="2" borderId="34" xfId="0" applyNumberFormat="1" applyFont="1" applyFill="1" applyBorder="1" applyAlignment="1">
      <alignment horizontal="left" vertical="center"/>
    </xf>
    <xf numFmtId="44" fontId="22" fillId="5" borderId="11" xfId="0" applyNumberFormat="1" applyFont="1" applyFill="1" applyBorder="1" applyAlignment="1">
      <alignment horizontal="left" vertical="center"/>
    </xf>
    <xf numFmtId="44" fontId="4" fillId="2" borderId="18" xfId="0" applyNumberFormat="1" applyFont="1" applyFill="1" applyBorder="1" applyAlignment="1">
      <alignment horizontal="left" vertical="center"/>
    </xf>
    <xf numFmtId="44" fontId="4" fillId="2" borderId="0" xfId="0" applyNumberFormat="1" applyFont="1" applyFill="1" applyAlignment="1">
      <alignment horizontal="left" vertical="center"/>
    </xf>
    <xf numFmtId="44" fontId="22" fillId="5" borderId="0" xfId="0" applyNumberFormat="1" applyFont="1" applyFill="1" applyAlignment="1">
      <alignment horizontal="left" vertical="center"/>
    </xf>
    <xf numFmtId="44" fontId="4" fillId="2" borderId="25" xfId="0" applyNumberFormat="1" applyFont="1" applyFill="1" applyBorder="1" applyAlignment="1">
      <alignment horizontal="left" vertical="center"/>
    </xf>
    <xf numFmtId="44" fontId="1" fillId="3" borderId="24" xfId="0" applyNumberFormat="1" applyFont="1" applyFill="1" applyBorder="1" applyAlignment="1">
      <alignment horizontal="left" vertical="center"/>
    </xf>
    <xf numFmtId="44" fontId="1" fillId="3" borderId="35" xfId="0" applyNumberFormat="1" applyFont="1" applyFill="1" applyBorder="1" applyAlignment="1">
      <alignment horizontal="left" vertical="center"/>
    </xf>
    <xf numFmtId="44" fontId="4" fillId="2" borderId="36" xfId="0" applyNumberFormat="1" applyFont="1" applyFill="1" applyBorder="1" applyAlignment="1">
      <alignment horizontal="left" vertical="center"/>
    </xf>
    <xf numFmtId="44" fontId="17" fillId="0" borderId="13" xfId="0" applyNumberFormat="1" applyFont="1" applyBorder="1" applyAlignment="1">
      <alignment horizontal="left" vertical="center"/>
    </xf>
    <xf numFmtId="44" fontId="1" fillId="0" borderId="13" xfId="0" applyNumberFormat="1" applyFont="1" applyBorder="1" applyAlignment="1">
      <alignment horizontal="left" vertical="center"/>
    </xf>
    <xf numFmtId="44" fontId="1" fillId="3" borderId="13" xfId="0" applyNumberFormat="1" applyFont="1" applyFill="1" applyBorder="1" applyAlignment="1">
      <alignment horizontal="left" vertical="center"/>
    </xf>
    <xf numFmtId="44" fontId="4" fillId="2" borderId="13" xfId="0" applyNumberFormat="1" applyFont="1" applyFill="1" applyBorder="1" applyAlignment="1">
      <alignment horizontal="left" vertical="center"/>
    </xf>
    <xf numFmtId="44" fontId="22" fillId="5" borderId="37" xfId="0" applyNumberFormat="1" applyFont="1" applyFill="1" applyBorder="1" applyAlignment="1">
      <alignment horizontal="left" vertical="center"/>
    </xf>
    <xf numFmtId="44" fontId="20" fillId="5" borderId="30" xfId="0" applyNumberFormat="1" applyFont="1" applyFill="1" applyBorder="1" applyAlignment="1">
      <alignment horizontal="center" vertical="center"/>
    </xf>
    <xf numFmtId="44" fontId="1" fillId="0" borderId="31" xfId="0" applyNumberFormat="1" applyFont="1" applyBorder="1" applyAlignment="1">
      <alignment horizontal="left" vertical="center"/>
    </xf>
    <xf numFmtId="44" fontId="4" fillId="2" borderId="11" xfId="0" applyNumberFormat="1" applyFont="1" applyFill="1" applyBorder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 indent="2"/>
    </xf>
    <xf numFmtId="44" fontId="1" fillId="8" borderId="0" xfId="0" applyNumberFormat="1" applyFont="1" applyFill="1" applyAlignment="1">
      <alignment horizontal="right" vertical="center"/>
    </xf>
    <xf numFmtId="44" fontId="31" fillId="8" borderId="0" xfId="0" applyNumberFormat="1" applyFont="1" applyFill="1" applyAlignment="1">
      <alignment horizontal="right" vertical="center"/>
    </xf>
    <xf numFmtId="44" fontId="31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3" fillId="8" borderId="0" xfId="0" applyFont="1" applyFill="1"/>
    <xf numFmtId="44" fontId="2" fillId="8" borderId="0" xfId="0" applyNumberFormat="1" applyFont="1" applyFill="1" applyAlignment="1">
      <alignment horizontal="right" vertical="center"/>
    </xf>
    <xf numFmtId="44" fontId="32" fillId="8" borderId="0" xfId="0" applyNumberFormat="1" applyFont="1" applyFill="1" applyAlignment="1">
      <alignment horizontal="right" vertical="center"/>
    </xf>
    <xf numFmtId="44" fontId="32" fillId="8" borderId="0" xfId="0" applyNumberFormat="1" applyFont="1" applyFill="1" applyAlignment="1">
      <alignment horizontal="center" vertical="center"/>
    </xf>
    <xf numFmtId="0" fontId="2" fillId="8" borderId="16" xfId="0" applyFont="1" applyFill="1" applyBorder="1" applyAlignment="1">
      <alignment vertical="center"/>
    </xf>
    <xf numFmtId="0" fontId="23" fillId="8" borderId="16" xfId="0" applyFont="1" applyFill="1" applyBorder="1" applyAlignment="1">
      <alignment vertical="center"/>
    </xf>
    <xf numFmtId="44" fontId="2" fillId="8" borderId="16" xfId="0" applyNumberFormat="1" applyFont="1" applyFill="1" applyBorder="1" applyAlignment="1">
      <alignment horizontal="right" vertical="center"/>
    </xf>
    <xf numFmtId="44" fontId="32" fillId="8" borderId="16" xfId="0" applyNumberFormat="1" applyFont="1" applyFill="1" applyBorder="1" applyAlignment="1">
      <alignment horizontal="right" vertical="center"/>
    </xf>
    <xf numFmtId="44" fontId="32" fillId="8" borderId="16" xfId="0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left"/>
    </xf>
    <xf numFmtId="44" fontId="7" fillId="8" borderId="0" xfId="0" applyNumberFormat="1" applyFont="1" applyFill="1" applyAlignment="1">
      <alignment horizontal="right"/>
    </xf>
    <xf numFmtId="44" fontId="33" fillId="8" borderId="0" xfId="0" applyNumberFormat="1" applyFont="1" applyFill="1" applyAlignment="1">
      <alignment horizontal="right"/>
    </xf>
    <xf numFmtId="44" fontId="33" fillId="8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 indent="2"/>
    </xf>
    <xf numFmtId="0" fontId="2" fillId="9" borderId="0" xfId="0" applyFont="1" applyFill="1" applyAlignment="1">
      <alignment vertical="center"/>
    </xf>
    <xf numFmtId="0" fontId="26" fillId="9" borderId="0" xfId="0" applyFont="1" applyFill="1"/>
    <xf numFmtId="0" fontId="2" fillId="9" borderId="16" xfId="0" applyFont="1" applyFill="1" applyBorder="1" applyAlignment="1">
      <alignment vertical="center"/>
    </xf>
    <xf numFmtId="0" fontId="25" fillId="9" borderId="16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 indent="2"/>
    </xf>
    <xf numFmtId="0" fontId="2" fillId="10" borderId="0" xfId="0" applyFont="1" applyFill="1" applyAlignment="1">
      <alignment vertical="center"/>
    </xf>
    <xf numFmtId="0" fontId="16" fillId="10" borderId="0" xfId="0" applyFont="1" applyFill="1"/>
    <xf numFmtId="0" fontId="2" fillId="10" borderId="16" xfId="0" applyFont="1" applyFill="1" applyBorder="1" applyAlignment="1">
      <alignment vertical="center"/>
    </xf>
    <xf numFmtId="0" fontId="25" fillId="10" borderId="16" xfId="0" applyFont="1" applyFill="1" applyBorder="1" applyAlignment="1">
      <alignment vertical="center"/>
    </xf>
    <xf numFmtId="0" fontId="14" fillId="10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 indent="2"/>
    </xf>
    <xf numFmtId="0" fontId="2" fillId="4" borderId="0" xfId="0" applyFont="1" applyFill="1" applyAlignment="1">
      <alignment vertical="center"/>
    </xf>
    <xf numFmtId="0" fontId="26" fillId="4" borderId="0" xfId="0" applyFont="1" applyFill="1"/>
    <xf numFmtId="0" fontId="24" fillId="4" borderId="16" xfId="0" applyFont="1" applyFill="1" applyBorder="1" applyAlignment="1">
      <alignment vertical="center"/>
    </xf>
    <xf numFmtId="0" fontId="25" fillId="4" borderId="16" xfId="0" applyFont="1" applyFill="1" applyBorder="1" applyAlignment="1">
      <alignment vertical="center"/>
    </xf>
    <xf numFmtId="0" fontId="13" fillId="4" borderId="0" xfId="0" applyFont="1" applyFill="1" applyAlignment="1">
      <alignment vertical="top"/>
    </xf>
    <xf numFmtId="0" fontId="27" fillId="6" borderId="0" xfId="0" applyFont="1" applyFill="1" applyAlignment="1">
      <alignment horizontal="left" vertical="center" indent="2"/>
    </xf>
    <xf numFmtId="44" fontId="28" fillId="6" borderId="23" xfId="0" applyNumberFormat="1" applyFont="1" applyFill="1" applyBorder="1" applyAlignment="1">
      <alignment horizontal="center" vertical="center"/>
    </xf>
    <xf numFmtId="44" fontId="28" fillId="6" borderId="11" xfId="0" applyNumberFormat="1" applyFont="1" applyFill="1" applyBorder="1" applyAlignment="1">
      <alignment horizontal="center" vertical="center"/>
    </xf>
    <xf numFmtId="44" fontId="28" fillId="6" borderId="12" xfId="0" applyNumberFormat="1" applyFont="1" applyFill="1" applyBorder="1" applyAlignment="1">
      <alignment horizontal="center" vertical="center"/>
    </xf>
    <xf numFmtId="44" fontId="28" fillId="6" borderId="0" xfId="0" applyNumberFormat="1" applyFont="1" applyFill="1" applyAlignment="1">
      <alignment horizontal="center" vertical="center"/>
    </xf>
    <xf numFmtId="44" fontId="28" fillId="6" borderId="3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9" fillId="7" borderId="0" xfId="0" applyFont="1" applyFill="1" applyAlignment="1">
      <alignment horizontal="left" vertical="center" indent="1"/>
    </xf>
    <xf numFmtId="44" fontId="4" fillId="7" borderId="0" xfId="0" applyNumberFormat="1" applyFont="1" applyFill="1" applyAlignment="1">
      <alignment horizontal="left" vertical="center"/>
    </xf>
    <xf numFmtId="44" fontId="30" fillId="0" borderId="11" xfId="0" applyNumberFormat="1" applyFont="1" applyBorder="1" applyAlignment="1">
      <alignment horizontal="left" vertical="center"/>
    </xf>
    <xf numFmtId="44" fontId="30" fillId="0" borderId="12" xfId="0" applyNumberFormat="1" applyFont="1" applyBorder="1" applyAlignment="1">
      <alignment horizontal="left" vertical="center"/>
    </xf>
  </cellXfs>
  <cellStyles count="1">
    <cellStyle name="Normal" xfId="0" builtinId="0"/>
  </cellStyles>
  <dxfs count="244"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5" tint="-0.24994659260841701"/>
        </patternFill>
      </fill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79998168889431442"/>
        </left>
        <right style="thin">
          <color theme="5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79998168889431442"/>
        </left>
        <right style="thin">
          <color theme="9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Palatino Linotype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List" pivot="0" count="4" xr9:uid="{6D6BEF57-4AAE-44B1-ABB3-91764BA8624B}">
      <tableStyleElement type="wholeTable" dxfId="243"/>
      <tableStyleElement type="headerRow" dxfId="242"/>
      <tableStyleElement type="totalRow" dxfId="241"/>
      <tableStyleElement type="firstRowStripe" dxfId="240"/>
    </tableStyle>
    <tableStyle name="TableStyleLight4 2" pivot="0" count="7" xr9:uid="{00000000-0011-0000-FFFF-FFFF00000000}">
      <tableStyleElement type="wholeTable" dxfId="239"/>
      <tableStyleElement type="headerRow" dxfId="238"/>
      <tableStyleElement type="totalRow" dxfId="237"/>
      <tableStyleElement type="firstColumn" dxfId="236"/>
      <tableStyleElement type="lastColumn" dxfId="235"/>
      <tableStyleElement type="firstRowStripe" dxfId="234"/>
      <tableStyleElement type="firstColumnStripe" dxfId="2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6452775492616"/>
          <c:y val="0.12970588631470853"/>
          <c:w val="0.78535472245073856"/>
          <c:h val="0.86566478852482009"/>
        </c:manualLayout>
      </c:layout>
      <c:barChart>
        <c:barDir val="bar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'Expenses analysis'!$B$15:$B$18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 / travel</c:v>
                </c:pt>
              </c:strCache>
            </c:strRef>
          </c:cat>
          <c:val>
            <c:numRef>
              <c:f>'Expenses analysis'!$C$15:$C$18</c:f>
              <c:numCache>
                <c:formatCode>_("$"* #,##0.00_);_("$"* \(#,##0.00\);_("$"* "-"??_);_(@_)</c:formatCode>
                <c:ptCount val="4"/>
                <c:pt idx="0">
                  <c:v>657225</c:v>
                </c:pt>
                <c:pt idx="1">
                  <c:v>69320</c:v>
                </c:pt>
                <c:pt idx="2">
                  <c:v>32400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BB3-825C-C2B0992236D0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'Expenses analysis'!$B$15:$B$18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 / travel</c:v>
                </c:pt>
              </c:strCache>
            </c:strRef>
          </c:cat>
          <c:val>
            <c:numRef>
              <c:f>'Expenses analysis'!$D$15:$D$18</c:f>
              <c:numCache>
                <c:formatCode>_("$"* #,##0.00_);_("$"* \(#,##0.00\);_("$"* "-"??_);_(@_)</c:formatCode>
                <c:ptCount val="4"/>
                <c:pt idx="0">
                  <c:v>659130</c:v>
                </c:pt>
                <c:pt idx="1">
                  <c:v>69350</c:v>
                </c:pt>
                <c:pt idx="2">
                  <c:v>33159</c:v>
                </c:pt>
                <c:pt idx="3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BB3-825C-C2B09922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5670640"/>
        <c:axId val="555672608"/>
      </c:barChart>
      <c:catAx>
        <c:axId val="555670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55672608"/>
        <c:crosses val="autoZero"/>
        <c:auto val="1"/>
        <c:lblAlgn val="ctr"/>
        <c:lblOffset val="100"/>
        <c:noMultiLvlLbl val="0"/>
      </c:catAx>
      <c:valAx>
        <c:axId val="555672608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556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2686567164179E-3"/>
          <c:y val="0"/>
          <c:w val="0.23230305167077997"/>
          <c:h val="9.0983175958727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sz="105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7249927092448"/>
          <c:y val="6.9838375466224623E-2"/>
          <c:w val="0.79724725381549533"/>
          <c:h val="0.92744535475575673"/>
        </c:manualLayout>
      </c:layout>
      <c:barChart>
        <c:barDir val="bar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'Planned expenses'!$C$6:$N$6</c:f>
              <c:strCache>
                <c:ptCount val="12"/>
                <c:pt idx="0">
                  <c:v> January </c:v>
                </c:pt>
                <c:pt idx="1">
                  <c:v> February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September </c:v>
                </c:pt>
                <c:pt idx="9">
                  <c:v> October </c:v>
                </c:pt>
                <c:pt idx="10">
                  <c:v> November </c:v>
                </c:pt>
                <c:pt idx="11">
                  <c:v> December </c:v>
                </c:pt>
              </c:strCache>
            </c:strRef>
          </c:cat>
          <c:val>
            <c:numRef>
              <c:f>'Planned expenses'!$C$37:$H$37</c:f>
              <c:numCache>
                <c:formatCode>_("$"* #,##0.00_);_("$"* \(#,##0.00\);_("$"* "-"??_);_(@_)</c:formatCode>
                <c:ptCount val="6"/>
                <c:pt idx="0">
                  <c:v>131420</c:v>
                </c:pt>
                <c:pt idx="1">
                  <c:v>126820</c:v>
                </c:pt>
                <c:pt idx="2">
                  <c:v>126820</c:v>
                </c:pt>
                <c:pt idx="3">
                  <c:v>137695</c:v>
                </c:pt>
                <c:pt idx="4">
                  <c:v>129695</c:v>
                </c:pt>
                <c:pt idx="5">
                  <c:v>130495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A19-AA2E-41FE6E1BB9CF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'Planned expenses'!$C$6:$N$6</c:f>
              <c:strCache>
                <c:ptCount val="12"/>
                <c:pt idx="0">
                  <c:v> January </c:v>
                </c:pt>
                <c:pt idx="1">
                  <c:v> February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September </c:v>
                </c:pt>
                <c:pt idx="9">
                  <c:v> October </c:v>
                </c:pt>
                <c:pt idx="10">
                  <c:v> November </c:v>
                </c:pt>
                <c:pt idx="11">
                  <c:v> December </c:v>
                </c:pt>
              </c:strCache>
            </c:strRef>
          </c:cat>
          <c:val>
            <c:numRef>
              <c:f>'Actual expenses'!$C$37:$N$37</c:f>
              <c:numCache>
                <c:formatCode>_("$"* #,##0.00_);_("$"* \(#,##0.00\);_("$"* "-"??_);_(@_)</c:formatCode>
                <c:ptCount val="12"/>
                <c:pt idx="0">
                  <c:v>129682</c:v>
                </c:pt>
                <c:pt idx="1">
                  <c:v>127804</c:v>
                </c:pt>
                <c:pt idx="2">
                  <c:v>125565</c:v>
                </c:pt>
                <c:pt idx="3">
                  <c:v>137394</c:v>
                </c:pt>
                <c:pt idx="4">
                  <c:v>128255</c:v>
                </c:pt>
                <c:pt idx="5">
                  <c:v>134239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F7-4A19-AA2E-41FE6E1B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8010624"/>
        <c:axId val="438017184"/>
      </c:barChart>
      <c:catAx>
        <c:axId val="43801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38017184"/>
        <c:crosses val="autoZero"/>
        <c:auto val="1"/>
        <c:lblAlgn val="ctr"/>
        <c:lblOffset val="100"/>
        <c:noMultiLvlLbl val="0"/>
      </c:catAx>
      <c:valAx>
        <c:axId val="438017184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380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0.3196241383584752"/>
          <c:h val="4.55468774905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1.png" Id="rId3" /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Relationship Type="http://schemas.openxmlformats.org/officeDocument/2006/relationships/image" Target="/xl/media/image2.svg" Id="rId4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136768</xdr:colOff>
      <xdr:row>0</xdr:row>
      <xdr:rowOff>0</xdr:rowOff>
    </xdr:from>
    <xdr:to>
      <xdr:col>14</xdr:col>
      <xdr:colOff>637135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31423F-24ED-E940-850F-751013B7934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191108" y="0"/>
          <a:ext cx="6398247" cy="1621736"/>
          <a:chOff x="9107525" y="0"/>
          <a:chExt cx="7065290" cy="1615288"/>
        </a:xfrm>
      </xdr:grpSpPr>
      <xdr:pic>
        <xdr:nvPicPr>
          <xdr:cNvPr id="4" name="Graphic 3">
            <a:extLst>
              <a:ext uri="{FF2B5EF4-FFF2-40B4-BE49-F238E27FC236}">
                <a16:creationId xmlns:a16="http://schemas.microsoft.com/office/drawing/2014/main" id="{0FD42D38-1E46-17B3-5A39-9944CB9261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6" name="Graphic 5">
            <a:extLst>
              <a:ext uri="{FF2B5EF4-FFF2-40B4-BE49-F238E27FC236}">
                <a16:creationId xmlns:a16="http://schemas.microsoft.com/office/drawing/2014/main" id="{6356941A-0B95-C8A8-522E-F38CCEB1B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7" name="Graphic 9">
            <a:extLst>
              <a:ext uri="{FF2B5EF4-FFF2-40B4-BE49-F238E27FC236}">
                <a16:creationId xmlns:a16="http://schemas.microsoft.com/office/drawing/2014/main" id="{EEA5D5C1-BCB5-E376-D8B9-B8F149360321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117226</xdr:colOff>
      <xdr:row>0</xdr:row>
      <xdr:rowOff>0</xdr:rowOff>
    </xdr:from>
    <xdr:to>
      <xdr:col>14</xdr:col>
      <xdr:colOff>617593</xdr:colOff>
      <xdr:row>2</xdr:row>
      <xdr:rowOff>501596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77E23E6-65E5-6845-BCD1-490E04B2755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171566" y="0"/>
          <a:ext cx="6398247" cy="1621736"/>
          <a:chOff x="9107525" y="0"/>
          <a:chExt cx="7065290" cy="1615288"/>
        </a:xfrm>
      </xdr:grpSpPr>
      <xdr:pic>
        <xdr:nvPicPr>
          <xdr:cNvPr id="5" name="Graphic 4">
            <a:extLst>
              <a:ext uri="{FF2B5EF4-FFF2-40B4-BE49-F238E27FC236}">
                <a16:creationId xmlns:a16="http://schemas.microsoft.com/office/drawing/2014/main" id="{1DD71FEB-0FE1-7DD9-31AF-DA4E7CC45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7" name="Graphic 6">
            <a:extLst>
              <a:ext uri="{FF2B5EF4-FFF2-40B4-BE49-F238E27FC236}">
                <a16:creationId xmlns:a16="http://schemas.microsoft.com/office/drawing/2014/main" id="{FDAC5ABC-4A36-7D4B-F3D4-A41EDA2704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8" name="Graphic 9">
            <a:extLst>
              <a:ext uri="{FF2B5EF4-FFF2-40B4-BE49-F238E27FC236}">
                <a16:creationId xmlns:a16="http://schemas.microsoft.com/office/drawing/2014/main" id="{58D66A50-DADC-7D68-A092-22AD018641E3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139371</xdr:colOff>
      <xdr:row>0</xdr:row>
      <xdr:rowOff>0</xdr:rowOff>
    </xdr:from>
    <xdr:to>
      <xdr:col>14</xdr:col>
      <xdr:colOff>639738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AB0BC6-F1A4-0FC7-B682-75741E7E87F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193711" y="0"/>
          <a:ext cx="6398247" cy="1621736"/>
          <a:chOff x="9107525" y="0"/>
          <a:chExt cx="7065290" cy="1615288"/>
        </a:xfrm>
      </xdr:grpSpPr>
      <xdr:pic>
        <xdr:nvPicPr>
          <xdr:cNvPr id="4" name="Graphic 3">
            <a:extLst>
              <a:ext uri="{FF2B5EF4-FFF2-40B4-BE49-F238E27FC236}">
                <a16:creationId xmlns:a16="http://schemas.microsoft.com/office/drawing/2014/main" id="{F2C13704-0A2C-0649-8A57-97780C151A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5" name="Graphic 4">
            <a:extLst>
              <a:ext uri="{FF2B5EF4-FFF2-40B4-BE49-F238E27FC236}">
                <a16:creationId xmlns:a16="http://schemas.microsoft.com/office/drawing/2014/main" id="{6DFE69F7-7EB9-394E-96D9-6AD5E74C57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6" name="Graphic 9">
            <a:extLst>
              <a:ext uri="{FF2B5EF4-FFF2-40B4-BE49-F238E27FC236}">
                <a16:creationId xmlns:a16="http://schemas.microsoft.com/office/drawing/2014/main" id="{3971DBEA-1A69-D640-B8C6-DC6DE0B04BDA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0</xdr:colOff>
      <xdr:row>12</xdr:row>
      <xdr:rowOff>1</xdr:rowOff>
    </xdr:to>
    <xdr:graphicFrame macro="">
      <xdr:nvGraphicFramePr>
        <xdr:cNvPr id="4" name="Chart 3" descr="Planned versus actual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7" name="Chart 6" descr="Monthly expenses 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1053682</xdr:colOff>
      <xdr:row>0</xdr:row>
      <xdr:rowOff>0</xdr:rowOff>
    </xdr:from>
    <xdr:to>
      <xdr:col>11</xdr:col>
      <xdr:colOff>623491</xdr:colOff>
      <xdr:row>2</xdr:row>
      <xdr:rowOff>497688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CAEF5D20-DB09-88DE-2205-39037F6DE1C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49682" y="0"/>
          <a:ext cx="2808309" cy="1615288"/>
        </a:xfrm>
        <a:prstGeom prst="rect">
          <a:avLst/>
        </a:prstGeom>
      </xdr:spPr>
    </xdr:pic>
    <xdr:clientData/>
  </xdr:twoCellAnchor>
  <xdr:twoCellAnchor>
    <xdr:from>
      <xdr:col>5</xdr:col>
      <xdr:colOff>901700</xdr:colOff>
      <xdr:row>0</xdr:row>
      <xdr:rowOff>0</xdr:rowOff>
    </xdr:from>
    <xdr:to>
      <xdr:col>9</xdr:col>
      <xdr:colOff>439466</xdr:colOff>
      <xdr:row>2</xdr:row>
      <xdr:rowOff>81120</xdr:rowOff>
    </xdr:to>
    <xdr:sp macro="" textlink="">
      <xdr:nvSpPr>
        <xdr:cNvPr id="8" name="Graphic 9">
          <a:extLst>
            <a:ext uri="{FF2B5EF4-FFF2-40B4-BE49-F238E27FC236}">
              <a16:creationId xmlns:a16="http://schemas.microsoft.com/office/drawing/2014/main" id="{86702051-66A8-E3B9-950A-D6DF216126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5613400" y="0"/>
          <a:ext cx="2382566" cy="1198720"/>
        </a:xfrm>
        <a:custGeom>
          <a:avLst/>
          <a:gdLst>
            <a:gd name="connsiteX0" fmla="*/ 1200150 w 2400300"/>
            <a:gd name="connsiteY0" fmla="*/ 1200150 h 1200150"/>
            <a:gd name="connsiteX1" fmla="*/ 2400300 w 2400300"/>
            <a:gd name="connsiteY1" fmla="*/ 0 h 1200150"/>
            <a:gd name="connsiteX2" fmla="*/ 0 w 2400300"/>
            <a:gd name="connsiteY2" fmla="*/ 0 h 1200150"/>
            <a:gd name="connsiteX3" fmla="*/ 1200150 w 2400300"/>
            <a:gd name="connsiteY3" fmla="*/ 1200150 h 1200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0300" h="1200150">
              <a:moveTo>
                <a:pt x="1200150" y="1200150"/>
              </a:moveTo>
              <a:cubicBezTo>
                <a:pt x="1863090" y="1200150"/>
                <a:pt x="2400300" y="662940"/>
                <a:pt x="2400300" y="0"/>
              </a:cubicBezTo>
              <a:lnTo>
                <a:pt x="0" y="0"/>
              </a:lnTo>
              <a:cubicBezTo>
                <a:pt x="0" y="662940"/>
                <a:pt x="537210" y="1200150"/>
                <a:pt x="1200150" y="1200150"/>
              </a:cubicBezTo>
              <a:close/>
            </a:path>
          </a:pathLst>
        </a:custGeom>
        <a:solidFill>
          <a:srgbClr val="000000">
            <a:alpha val="50000"/>
          </a:srgbClr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</xdr:wsDr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Var_OfficeCosts" displayName="Var_OfficeCosts" ref="B13:O21" totalsRowShown="0" headerRowDxfId="52" dataDxfId="51">
  <autoFilter ref="B13:O21" xr:uid="{00000000-0009-0000-0100-00000D000000}"/>
  <tableColumns count="14">
    <tableColumn id="1" xr3:uid="{00000000-0010-0000-0900-000001000000}" name="OFFICE COSTS" dataDxfId="50"/>
    <tableColumn id="2" xr3:uid="{00000000-0010-0000-0900-000002000000}" name="JANUARY" dataDxfId="49">
      <calculatedColumnFormula>IF(INDIRECT("Actual_OfficeCosts["&amp;C$6&amp;"]")="","",INDIRECT("Plan_OfficeCosts["&amp;C$6&amp;"]")-INDIRECT("Actual_OfficeCosts["&amp;C$6&amp;"]"))</calculatedColumnFormula>
    </tableColumn>
    <tableColumn id="3" xr3:uid="{00000000-0010-0000-0900-000003000000}" name="FEBRUARY" dataDxfId="48">
      <calculatedColumnFormula>IF(INDIRECT("Actual_OfficeCosts["&amp;D$6&amp;"]")="","",INDIRECT("Plan_OfficeCosts["&amp;D$6&amp;"]")-INDIRECT("Actual_OfficeCosts["&amp;D$6&amp;"]"))</calculatedColumnFormula>
    </tableColumn>
    <tableColumn id="4" xr3:uid="{00000000-0010-0000-0900-000004000000}" name="MARCH" dataDxfId="47">
      <calculatedColumnFormula>IF(INDIRECT("Actual_OfficeCosts["&amp;E$6&amp;"]")="","",INDIRECT("Plan_OfficeCosts["&amp;E$6&amp;"]")-INDIRECT("Actual_OfficeCosts["&amp;E$6&amp;"]"))</calculatedColumnFormula>
    </tableColumn>
    <tableColumn id="5" xr3:uid="{00000000-0010-0000-0900-000005000000}" name="APRIL" dataDxfId="46">
      <calculatedColumnFormula>IF(INDIRECT("Actual_OfficeCosts["&amp;F$6&amp;"]")="","",INDIRECT("Plan_OfficeCosts["&amp;F$6&amp;"]")-INDIRECT("Actual_OfficeCosts["&amp;F$6&amp;"]"))</calculatedColumnFormula>
    </tableColumn>
    <tableColumn id="6" xr3:uid="{00000000-0010-0000-0900-000006000000}" name="MAY" dataDxfId="45">
      <calculatedColumnFormula>IF(INDIRECT("Actual_OfficeCosts["&amp;G$6&amp;"]")="","",INDIRECT("Plan_OfficeCosts["&amp;G$6&amp;"]")-INDIRECT("Actual_OfficeCosts["&amp;G$6&amp;"]"))</calculatedColumnFormula>
    </tableColumn>
    <tableColumn id="7" xr3:uid="{00000000-0010-0000-0900-000007000000}" name="JUNE" dataDxfId="44">
      <calculatedColumnFormula>IF(INDIRECT("Actual_OfficeCosts["&amp;H$6&amp;"]")="","",INDIRECT("Plan_OfficeCosts["&amp;H$6&amp;"]")-INDIRECT("Actual_OfficeCosts["&amp;H$6&amp;"]"))</calculatedColumnFormula>
    </tableColumn>
    <tableColumn id="8" xr3:uid="{00000000-0010-0000-0900-000008000000}" name="JULY" dataDxfId="43">
      <calculatedColumnFormula>IF(INDIRECT("Actual_OfficeCosts["&amp;I$6&amp;"]")="","",INDIRECT("Plan_OfficeCosts["&amp;I$6&amp;"]")-INDIRECT("Actual_OfficeCosts["&amp;I$6&amp;"]"))</calculatedColumnFormula>
    </tableColumn>
    <tableColumn id="9" xr3:uid="{00000000-0010-0000-0900-000009000000}" name="AUGUST" dataDxfId="42">
      <calculatedColumnFormula>IF(INDIRECT("Actual_OfficeCosts["&amp;J$6&amp;"]")="","",INDIRECT("Plan_OfficeCosts["&amp;J$6&amp;"]")-INDIRECT("Actual_OfficeCosts["&amp;J$6&amp;"]"))</calculatedColumnFormula>
    </tableColumn>
    <tableColumn id="10" xr3:uid="{00000000-0010-0000-0900-00000A000000}" name="SEPTEMBER" dataDxfId="41">
      <calculatedColumnFormula>IF(INDIRECT("Actual_OfficeCosts["&amp;K$6&amp;"]")="","",INDIRECT("Plan_OfficeCosts["&amp;K$6&amp;"]")-INDIRECT("Actual_OfficeCosts["&amp;K$6&amp;"]"))</calculatedColumnFormula>
    </tableColumn>
    <tableColumn id="11" xr3:uid="{00000000-0010-0000-0900-00000B000000}" name="OCTOBER" dataDxfId="40">
      <calculatedColumnFormula>IF(INDIRECT("Actual_OfficeCosts["&amp;L$6&amp;"]")="","",INDIRECT("Plan_OfficeCosts["&amp;L$6&amp;"]")-INDIRECT("Actual_OfficeCosts["&amp;L$6&amp;"]"))</calculatedColumnFormula>
    </tableColumn>
    <tableColumn id="12" xr3:uid="{00000000-0010-0000-0900-00000C000000}" name="NOVEMBER" dataDxfId="39">
      <calculatedColumnFormula>IF(INDIRECT("Actual_OfficeCosts["&amp;M$6&amp;"]")="","",INDIRECT("Plan_OfficeCosts["&amp;M$6&amp;"]")-INDIRECT("Actual_OfficeCosts["&amp;M$6&amp;"]"))</calculatedColumnFormula>
    </tableColumn>
    <tableColumn id="13" xr3:uid="{00000000-0010-0000-0900-00000D000000}" name="DECEMBER" dataDxfId="38">
      <calculatedColumnFormula>IF(INDIRECT("Actual_OfficeCosts["&amp;N$6&amp;"]")="","",INDIRECT("Plan_OfficeCosts["&amp;N$6&amp;"]")-INDIRECT("Actual_OfficeCosts["&amp;N$6&amp;"]"))</calculatedColumnFormula>
    </tableColumn>
    <tableColumn id="14" xr3:uid="{00000000-0010-0000-0900-00000E000000}" name="TOTAL" dataDxfId="37">
      <calculatedColumnFormula>SUM(Var_OfficeCosts[[#This Row],[JANUARY]:[DECEMBER]])</calculatedColumnFormula>
    </tableColumn>
  </tableColumns>
  <tableStyleInfo name="List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Var_MarketingCosts" displayName="Var_MarketingCosts" ref="B24:O30" totalsRowShown="0" headerRowDxfId="36" dataDxfId="35">
  <autoFilter ref="B24:O30" xr:uid="{00000000-0009-0000-0100-00000E000000}"/>
  <tableColumns count="14">
    <tableColumn id="1" xr3:uid="{00000000-0010-0000-0A00-000001000000}" name="MARKETING COSTS" dataDxfId="34"/>
    <tableColumn id="2" xr3:uid="{00000000-0010-0000-0A00-000002000000}" name="JANUARY" dataDxfId="33">
      <calculatedColumnFormula>IF(INDIRECT("Actual_MarketingCosts["&amp;C$6&amp;"]")="","",INDIRECT("Plan_MarketingCosts["&amp;C$6&amp;"]")-INDIRECT("Actual_MarketingCosts["&amp;C$6&amp;"]"))</calculatedColumnFormula>
    </tableColumn>
    <tableColumn id="3" xr3:uid="{00000000-0010-0000-0A00-000003000000}" name="FEBRUARY" dataDxfId="32">
      <calculatedColumnFormula>IF(INDIRECT("Actual_MarketingCosts["&amp;D$6&amp;"]")="","",INDIRECT("Plan_MarketingCosts["&amp;D$6&amp;"]")-INDIRECT("Actual_MarketingCosts["&amp;D$6&amp;"]"))</calculatedColumnFormula>
    </tableColumn>
    <tableColumn id="4" xr3:uid="{00000000-0010-0000-0A00-000004000000}" name="MARCH" dataDxfId="31">
      <calculatedColumnFormula>IF(INDIRECT("Actual_MarketingCosts["&amp;E$6&amp;"]")="","",INDIRECT("Plan_MarketingCosts["&amp;E$6&amp;"]")-INDIRECT("Actual_MarketingCosts["&amp;E$6&amp;"]"))</calculatedColumnFormula>
    </tableColumn>
    <tableColumn id="5" xr3:uid="{00000000-0010-0000-0A00-000005000000}" name="APRIL" dataDxfId="30">
      <calculatedColumnFormula>IF(INDIRECT("Actual_MarketingCosts["&amp;F$6&amp;"]")="","",INDIRECT("Plan_MarketingCosts["&amp;F$6&amp;"]")-INDIRECT("Actual_MarketingCosts["&amp;F$6&amp;"]"))</calculatedColumnFormula>
    </tableColumn>
    <tableColumn id="6" xr3:uid="{00000000-0010-0000-0A00-000006000000}" name="MAY" dataDxfId="29">
      <calculatedColumnFormula>IF(INDIRECT("Actual_MarketingCosts["&amp;G$6&amp;"]")="","",INDIRECT("Plan_MarketingCosts["&amp;G$6&amp;"]")-INDIRECT("Actual_MarketingCosts["&amp;G$6&amp;"]"))</calculatedColumnFormula>
    </tableColumn>
    <tableColumn id="7" xr3:uid="{00000000-0010-0000-0A00-000007000000}" name="JUNE" dataDxfId="28">
      <calculatedColumnFormula>IF(INDIRECT("Actual_MarketingCosts["&amp;H$6&amp;"]")="","",INDIRECT("Plan_MarketingCosts["&amp;H$6&amp;"]")-INDIRECT("Actual_MarketingCosts["&amp;H$6&amp;"]"))</calculatedColumnFormula>
    </tableColumn>
    <tableColumn id="8" xr3:uid="{00000000-0010-0000-0A00-000008000000}" name="JULY" dataDxfId="27">
      <calculatedColumnFormula>IF(INDIRECT("Actual_MarketingCosts["&amp;I$6&amp;"]")="","",INDIRECT("Plan_MarketingCosts["&amp;I$6&amp;"]")-INDIRECT("Actual_MarketingCosts["&amp;I$6&amp;"]"))</calculatedColumnFormula>
    </tableColumn>
    <tableColumn id="9" xr3:uid="{00000000-0010-0000-0A00-000009000000}" name="AUGUST" dataDxfId="26">
      <calculatedColumnFormula>IF(INDIRECT("Actual_MarketingCosts["&amp;J$6&amp;"]")="","",INDIRECT("Plan_MarketingCosts["&amp;J$6&amp;"]")-INDIRECT("Actual_MarketingCosts["&amp;J$6&amp;"]"))</calculatedColumnFormula>
    </tableColumn>
    <tableColumn id="10" xr3:uid="{00000000-0010-0000-0A00-00000A000000}" name="SEPTEMBER" dataDxfId="25">
      <calculatedColumnFormula>IF(INDIRECT("Actual_MarketingCosts["&amp;K$6&amp;"]")="","",INDIRECT("Plan_MarketingCosts["&amp;K$6&amp;"]")-INDIRECT("Actual_MarketingCosts["&amp;K$6&amp;"]"))</calculatedColumnFormula>
    </tableColumn>
    <tableColumn id="11" xr3:uid="{00000000-0010-0000-0A00-00000B000000}" name="OCTOBER" dataDxfId="24">
      <calculatedColumnFormula>IF(INDIRECT("Actual_MarketingCosts["&amp;L$6&amp;"]")="","",INDIRECT("Plan_MarketingCosts["&amp;L$6&amp;"]")-INDIRECT("Actual_MarketingCosts["&amp;L$6&amp;"]"))</calculatedColumnFormula>
    </tableColumn>
    <tableColumn id="12" xr3:uid="{00000000-0010-0000-0A00-00000C000000}" name="NOVEMBER" dataDxfId="23">
      <calculatedColumnFormula>IF(INDIRECT("Actual_MarketingCosts["&amp;M$6&amp;"]")="","",INDIRECT("Plan_MarketingCosts["&amp;M$6&amp;"]")-INDIRECT("Actual_MarketingCosts["&amp;M$6&amp;"]"))</calculatedColumnFormula>
    </tableColumn>
    <tableColumn id="13" xr3:uid="{00000000-0010-0000-0A00-00000D000000}" name="DECEMBER" dataDxfId="22">
      <calculatedColumnFormula>IF(INDIRECT("Actual_MarketingCosts["&amp;N$6&amp;"]")="","",INDIRECT("Plan_MarketingCosts["&amp;N$6&amp;"]")-INDIRECT("Actual_MarketingCosts["&amp;N$6&amp;"]"))</calculatedColumnFormula>
    </tableColumn>
    <tableColumn id="14" xr3:uid="{00000000-0010-0000-0A00-00000E000000}" name="TOTAL" dataDxfId="21">
      <calculatedColumnFormula>SUM(Var_MarketingCosts[[#This Row],[JANUARY]:[DECEMBER]])</calculatedColumnFormula>
    </tableColumn>
  </tableColumns>
  <tableStyleInfo name="List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Var_TrainingTravel" displayName="Var_TrainingTravel" ref="B33:O35" totalsRowShown="0" headerRowDxfId="20" dataDxfId="19">
  <autoFilter ref="B33:O35" xr:uid="{00000000-0009-0000-0100-00000F000000}"/>
  <tableColumns count="14">
    <tableColumn id="1" xr3:uid="{00000000-0010-0000-0B00-000001000000}" name="TRAINING/TRAVEL" dataDxfId="18"/>
    <tableColumn id="2" xr3:uid="{00000000-0010-0000-0B00-000002000000}" name="JANUARY" dataDxfId="17">
      <calculatedColumnFormula>IF(INDIRECT("Actual_TrainingTravel["&amp;C$6&amp;"]")="","",INDIRECT("Plan_TrainingTravel["&amp;C$6&amp;"]")-INDIRECT("Actual_TrainingTravel["&amp;C$6&amp;"]"))</calculatedColumnFormula>
    </tableColumn>
    <tableColumn id="3" xr3:uid="{00000000-0010-0000-0B00-000003000000}" name="FEBRUARY" dataDxfId="16">
      <calculatedColumnFormula>IF(INDIRECT("Actual_TrainingTravel["&amp;D$6&amp;"]")="","",INDIRECT("Plan_TrainingTravel["&amp;D$6&amp;"]")-INDIRECT("Actual_TrainingTravel["&amp;D$6&amp;"]"))</calculatedColumnFormula>
    </tableColumn>
    <tableColumn id="4" xr3:uid="{00000000-0010-0000-0B00-000004000000}" name="MARCH" dataDxfId="15">
      <calculatedColumnFormula>IF(INDIRECT("Actual_TrainingTravel["&amp;E$6&amp;"]")="","",INDIRECT("Plan_TrainingTravel["&amp;E$6&amp;"]")-INDIRECT("Actual_TrainingTravel["&amp;E$6&amp;"]"))</calculatedColumnFormula>
    </tableColumn>
    <tableColumn id="5" xr3:uid="{00000000-0010-0000-0B00-000005000000}" name="APRIL" dataDxfId="14">
      <calculatedColumnFormula>IF(INDIRECT("Actual_TrainingTravel["&amp;F$6&amp;"]")="","",INDIRECT("Plan_TrainingTravel["&amp;F$6&amp;"]")-INDIRECT("Actual_TrainingTravel["&amp;F$6&amp;"]"))</calculatedColumnFormula>
    </tableColumn>
    <tableColumn id="6" xr3:uid="{00000000-0010-0000-0B00-000006000000}" name="MAY" dataDxfId="13">
      <calculatedColumnFormula>IF(INDIRECT("Actual_TrainingTravel["&amp;G$6&amp;"]")="","",INDIRECT("Plan_TrainingTravel["&amp;G$6&amp;"]")-INDIRECT("Actual_TrainingTravel["&amp;G$6&amp;"]"))</calculatedColumnFormula>
    </tableColumn>
    <tableColumn id="7" xr3:uid="{00000000-0010-0000-0B00-000007000000}" name="JUNE" dataDxfId="12">
      <calculatedColumnFormula>IF(INDIRECT("Actual_TrainingTravel["&amp;H$6&amp;"]")="","",INDIRECT("Plan_TrainingTravel["&amp;H$6&amp;"]")-INDIRECT("Actual_TrainingTravel["&amp;H$6&amp;"]"))</calculatedColumnFormula>
    </tableColumn>
    <tableColumn id="8" xr3:uid="{00000000-0010-0000-0B00-000008000000}" name="JULY" dataDxfId="11">
      <calculatedColumnFormula>IF(INDIRECT("Actual_TrainingTravel["&amp;I$6&amp;"]")="","",INDIRECT("Plan_TrainingTravel["&amp;I$6&amp;"]")-INDIRECT("Actual_TrainingTravel["&amp;I$6&amp;"]"))</calculatedColumnFormula>
    </tableColumn>
    <tableColumn id="9" xr3:uid="{00000000-0010-0000-0B00-000009000000}" name="AUGUST" dataDxfId="10">
      <calculatedColumnFormula>IF(INDIRECT("Actual_TrainingTravel["&amp;J$6&amp;"]")="","",INDIRECT("Plan_TrainingTravel["&amp;J$6&amp;"]")-INDIRECT("Actual_TrainingTravel["&amp;J$6&amp;"]"))</calculatedColumnFormula>
    </tableColumn>
    <tableColumn id="10" xr3:uid="{00000000-0010-0000-0B00-00000A000000}" name="SEPTEMBER" dataDxfId="9">
      <calculatedColumnFormula>IF(INDIRECT("Actual_TrainingTravel["&amp;K$6&amp;"]")="","",INDIRECT("Plan_TrainingTravel["&amp;K$6&amp;"]")-INDIRECT("Actual_TrainingTravel["&amp;K$6&amp;"]"))</calculatedColumnFormula>
    </tableColumn>
    <tableColumn id="11" xr3:uid="{00000000-0010-0000-0B00-00000B000000}" name="OCTOBER" dataDxfId="8">
      <calculatedColumnFormula>IF(INDIRECT("Actual_TrainingTravel["&amp;L$6&amp;"]")="","",INDIRECT("Plan_TrainingTravel["&amp;L$6&amp;"]")-INDIRECT("Actual_TrainingTravel["&amp;L$6&amp;"]"))</calculatedColumnFormula>
    </tableColumn>
    <tableColumn id="12" xr3:uid="{00000000-0010-0000-0B00-00000C000000}" name="NOVEMBER" dataDxfId="7">
      <calculatedColumnFormula>IF(INDIRECT("Actual_TrainingTravel["&amp;M$6&amp;"]")="","",INDIRECT("Plan_TrainingTravel["&amp;M$6&amp;"]")-INDIRECT("Actual_TrainingTravel["&amp;M$6&amp;"]"))</calculatedColumnFormula>
    </tableColumn>
    <tableColumn id="13" xr3:uid="{00000000-0010-0000-0B00-00000D000000}" name="DECEMBER" dataDxfId="6">
      <calculatedColumnFormula>IF(INDIRECT("Actual_TrainingTravel["&amp;N$6&amp;"]")="","",INDIRECT("Plan_TrainingTravel["&amp;N$6&amp;"]")-INDIRECT("Actual_TrainingTravel["&amp;N$6&amp;"]"))</calculatedColumnFormula>
    </tableColumn>
    <tableColumn id="14" xr3:uid="{00000000-0010-0000-0B00-00000E000000}" name="TOTAL" dataDxfId="5">
      <calculatedColumnFormula>SUM(Var_TrainingTravel[[#This Row],[JANUARY]:[DECEMBER]])</calculatedColumnFormula>
    </tableColumn>
  </tableColumns>
  <tableStyleInfo name="List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_EmployeeCosts" displayName="Plan_EmployeeCosts" ref="B8:O10" totalsRowShown="0" headerRowDxfId="232" dataDxfId="231">
  <autoFilter ref="B8:O10" xr:uid="{00000000-0009-0000-0100-000001000000}"/>
  <tableColumns count="14">
    <tableColumn id="1" xr3:uid="{00000000-0010-0000-0000-000001000000}" name=" EMPLOYEE COSTS" dataDxfId="230"/>
    <tableColumn id="2" xr3:uid="{00000000-0010-0000-0000-000002000000}" name="JANUARY" dataDxfId="229" totalsRowDxfId="228"/>
    <tableColumn id="3" xr3:uid="{00000000-0010-0000-0000-000003000000}" name="FEBRUARY" dataDxfId="227" totalsRowDxfId="226"/>
    <tableColumn id="4" xr3:uid="{00000000-0010-0000-0000-000004000000}" name="MARCH" dataDxfId="225" totalsRowDxfId="224"/>
    <tableColumn id="5" xr3:uid="{00000000-0010-0000-0000-000005000000}" name="APRIL" dataDxfId="223" totalsRowDxfId="222"/>
    <tableColumn id="6" xr3:uid="{00000000-0010-0000-0000-000006000000}" name="MAY" dataDxfId="221" totalsRowDxfId="220"/>
    <tableColumn id="7" xr3:uid="{00000000-0010-0000-0000-000007000000}" name="JUNE" dataDxfId="219" totalsRowDxfId="218"/>
    <tableColumn id="8" xr3:uid="{00000000-0010-0000-0000-000008000000}" name="JULY" dataDxfId="217" totalsRowDxfId="216"/>
    <tableColumn id="9" xr3:uid="{00000000-0010-0000-0000-000009000000}" name="AUGUST" dataDxfId="215" totalsRowDxfId="214"/>
    <tableColumn id="10" xr3:uid="{00000000-0010-0000-0000-00000A000000}" name="SEPTEMBER" dataDxfId="213" totalsRowDxfId="212"/>
    <tableColumn id="11" xr3:uid="{00000000-0010-0000-0000-00000B000000}" name="OCTOBER" dataDxfId="211" totalsRowDxfId="210"/>
    <tableColumn id="12" xr3:uid="{00000000-0010-0000-0000-00000C000000}" name="NOVEMBER" dataDxfId="209" totalsRowDxfId="208"/>
    <tableColumn id="13" xr3:uid="{00000000-0010-0000-0000-00000D000000}" name="DECEMBER" dataDxfId="207" totalsRowDxfId="206"/>
    <tableColumn id="14" xr3:uid="{00000000-0010-0000-0000-00000E000000}" name="TOTAL" dataDxfId="205"/>
  </tableColumns>
  <tableStyleInfo name="List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_OfficeCosts" displayName="Plan_OfficeCosts" ref="B13:O21" totalsRowShown="0" headerRowDxfId="204" dataDxfId="203">
  <autoFilter ref="B13:O21" xr:uid="{00000000-0009-0000-0100-000002000000}"/>
  <tableColumns count="14">
    <tableColumn id="1" xr3:uid="{00000000-0010-0000-0100-000001000000}" name="OFFICE COSTS" dataDxfId="202"/>
    <tableColumn id="2" xr3:uid="{00000000-0010-0000-0100-000002000000}" name="JANUARY" dataDxfId="201"/>
    <tableColumn id="3" xr3:uid="{00000000-0010-0000-0100-000003000000}" name="FEBRUARY" dataDxfId="200"/>
    <tableColumn id="4" xr3:uid="{00000000-0010-0000-0100-000004000000}" name="MARCH" dataDxfId="199"/>
    <tableColumn id="5" xr3:uid="{00000000-0010-0000-0100-000005000000}" name="APRIL" dataDxfId="198"/>
    <tableColumn id="6" xr3:uid="{00000000-0010-0000-0100-000006000000}" name="MAY" dataDxfId="197"/>
    <tableColumn id="7" xr3:uid="{00000000-0010-0000-0100-000007000000}" name="JUNE" dataDxfId="196"/>
    <tableColumn id="8" xr3:uid="{00000000-0010-0000-0100-000008000000}" name="JULY" dataDxfId="195"/>
    <tableColumn id="9" xr3:uid="{00000000-0010-0000-0100-000009000000}" name="AUGUST" dataDxfId="194"/>
    <tableColumn id="10" xr3:uid="{00000000-0010-0000-0100-00000A000000}" name="SEPTEMBER" dataDxfId="193"/>
    <tableColumn id="11" xr3:uid="{00000000-0010-0000-0100-00000B000000}" name="OCTOBER" dataDxfId="192"/>
    <tableColumn id="12" xr3:uid="{00000000-0010-0000-0100-00000C000000}" name="NOVEMBER" dataDxfId="191"/>
    <tableColumn id="13" xr3:uid="{00000000-0010-0000-0100-00000D000000}" name="DECEMBER" dataDxfId="190"/>
    <tableColumn id="14" xr3:uid="{00000000-0010-0000-0100-00000E000000}" name="TOTAL" dataDxfId="189"/>
  </tableColumns>
  <tableStyleInfo name="List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lan_MarketingCosts" displayName="Plan_MarketingCosts" ref="B24:O30" totalsRowShown="0" headerRowDxfId="188" dataDxfId="187">
  <autoFilter ref="B24:O30" xr:uid="{00000000-0009-0000-0100-000003000000}"/>
  <tableColumns count="14">
    <tableColumn id="1" xr3:uid="{00000000-0010-0000-0200-000001000000}" name="MARKETING COSTS" dataDxfId="186"/>
    <tableColumn id="2" xr3:uid="{00000000-0010-0000-0200-000002000000}" name="JANUARY" dataDxfId="185"/>
    <tableColumn id="3" xr3:uid="{00000000-0010-0000-0200-000003000000}" name="FEBRUARY" dataDxfId="184"/>
    <tableColumn id="4" xr3:uid="{00000000-0010-0000-0200-000004000000}" name="MARCH" dataDxfId="183"/>
    <tableColumn id="5" xr3:uid="{00000000-0010-0000-0200-000005000000}" name="APRIL" dataDxfId="182"/>
    <tableColumn id="6" xr3:uid="{00000000-0010-0000-0200-000006000000}" name="MAY" dataDxfId="181"/>
    <tableColumn id="7" xr3:uid="{00000000-0010-0000-0200-000007000000}" name="JUNE" dataDxfId="180"/>
    <tableColumn id="8" xr3:uid="{00000000-0010-0000-0200-000008000000}" name="JULY" dataDxfId="179"/>
    <tableColumn id="9" xr3:uid="{00000000-0010-0000-0200-000009000000}" name="AUGUST" dataDxfId="178"/>
    <tableColumn id="10" xr3:uid="{00000000-0010-0000-0200-00000A000000}" name="SEPTEMBER" dataDxfId="177"/>
    <tableColumn id="11" xr3:uid="{00000000-0010-0000-0200-00000B000000}" name="OCTOBER" dataDxfId="176"/>
    <tableColumn id="12" xr3:uid="{00000000-0010-0000-0200-00000C000000}" name="NOVEMBER" dataDxfId="175"/>
    <tableColumn id="13" xr3:uid="{00000000-0010-0000-0200-00000D000000}" name="DECEMBER" dataDxfId="174"/>
    <tableColumn id="14" xr3:uid="{00000000-0010-0000-0200-00000E000000}" name="TOTAL" dataDxfId="173"/>
  </tableColumns>
  <tableStyleInfo name="List" showFirstColumn="0" showLastColumn="0" showRowStripes="1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lan_TrainingTravel" displayName="Plan_TrainingTravel" ref="B33:O35" totalsRowShown="0" headerRowDxfId="172" dataDxfId="171">
  <autoFilter ref="B33:O35" xr:uid="{00000000-0009-0000-0100-000006000000}"/>
  <tableColumns count="14">
    <tableColumn id="1" xr3:uid="{00000000-0010-0000-0300-000001000000}" name="TRAINING/TRAVEL" dataDxfId="170"/>
    <tableColumn id="2" xr3:uid="{00000000-0010-0000-0300-000002000000}" name="JANUARY" dataDxfId="169"/>
    <tableColumn id="3" xr3:uid="{00000000-0010-0000-0300-000003000000}" name="FEBRUARY" dataDxfId="168"/>
    <tableColumn id="4" xr3:uid="{00000000-0010-0000-0300-000004000000}" name="MARCH" dataDxfId="167"/>
    <tableColumn id="5" xr3:uid="{00000000-0010-0000-0300-000005000000}" name="APRIL" dataDxfId="166"/>
    <tableColumn id="6" xr3:uid="{00000000-0010-0000-0300-000006000000}" name="MAY" dataDxfId="165"/>
    <tableColumn id="7" xr3:uid="{00000000-0010-0000-0300-000007000000}" name="JUNE" dataDxfId="164"/>
    <tableColumn id="8" xr3:uid="{00000000-0010-0000-0300-000008000000}" name="JULY" dataDxfId="163"/>
    <tableColumn id="9" xr3:uid="{00000000-0010-0000-0300-000009000000}" name="AUGUST" dataDxfId="162"/>
    <tableColumn id="10" xr3:uid="{00000000-0010-0000-0300-00000A000000}" name="SEPTEMBER" dataDxfId="161"/>
    <tableColumn id="11" xr3:uid="{00000000-0010-0000-0300-00000B000000}" name="OCTOBER" dataDxfId="160"/>
    <tableColumn id="12" xr3:uid="{00000000-0010-0000-0300-00000C000000}" name="NOVEMBER" dataDxfId="159"/>
    <tableColumn id="13" xr3:uid="{00000000-0010-0000-0300-00000D000000}" name="DECEMBER" dataDxfId="158"/>
    <tableColumn id="14" xr3:uid="{00000000-0010-0000-0300-00000E000000}" name="TOTAL" dataDxfId="157"/>
  </tableColumns>
  <tableStyleInfo name="List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Actual_EmployeeCosts" displayName="Actual_EmployeeCosts" ref="B8:O10" totalsRowShown="0" headerRowDxfId="156" dataDxfId="155">
  <autoFilter ref="B8:O10" xr:uid="{00000000-0009-0000-0100-000008000000}"/>
  <tableColumns count="14">
    <tableColumn id="1" xr3:uid="{00000000-0010-0000-0400-000001000000}" name=" EMPLOYEE COSTS" dataDxfId="154"/>
    <tableColumn id="2" xr3:uid="{00000000-0010-0000-0400-000002000000}" name="JANUARY" dataDxfId="153" totalsRowDxfId="152"/>
    <tableColumn id="3" xr3:uid="{00000000-0010-0000-0400-000003000000}" name="FEBRUARY" dataDxfId="151" totalsRowDxfId="150"/>
    <tableColumn id="4" xr3:uid="{00000000-0010-0000-0400-000004000000}" name="MARCH" dataDxfId="149" totalsRowDxfId="148"/>
    <tableColumn id="5" xr3:uid="{00000000-0010-0000-0400-000005000000}" name="APRIL" dataDxfId="147" totalsRowDxfId="146"/>
    <tableColumn id="6" xr3:uid="{00000000-0010-0000-0400-000006000000}" name="MAY" dataDxfId="145" totalsRowDxfId="144"/>
    <tableColumn id="7" xr3:uid="{00000000-0010-0000-0400-000007000000}" name="JUNE" dataDxfId="143" totalsRowDxfId="142"/>
    <tableColumn id="8" xr3:uid="{00000000-0010-0000-0400-000008000000}" name="JULY" dataDxfId="141" totalsRowDxfId="140"/>
    <tableColumn id="9" xr3:uid="{00000000-0010-0000-0400-000009000000}" name="AUGUST" dataDxfId="139" totalsRowDxfId="138"/>
    <tableColumn id="10" xr3:uid="{00000000-0010-0000-0400-00000A000000}" name="SEPTEMBER" dataDxfId="137" totalsRowDxfId="136"/>
    <tableColumn id="11" xr3:uid="{00000000-0010-0000-0400-00000B000000}" name="OCTOBER" dataDxfId="135" totalsRowDxfId="134"/>
    <tableColumn id="12" xr3:uid="{00000000-0010-0000-0400-00000C000000}" name="NOVEMBER" dataDxfId="133" totalsRowDxfId="132"/>
    <tableColumn id="13" xr3:uid="{00000000-0010-0000-0400-00000D000000}" name="DECEMBER" dataDxfId="131" totalsRowDxfId="130"/>
    <tableColumn id="14" xr3:uid="{00000000-0010-0000-0400-00000E000000}" name="TOTAL" dataDxfId="129"/>
  </tableColumns>
  <tableStyleInfo name="List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Actual_OfficeCosts" displayName="Actual_OfficeCosts" ref="B13:O21" totalsRowShown="0" headerRowDxfId="128" dataDxfId="127">
  <autoFilter ref="B13:O21" xr:uid="{00000000-0009-0000-0100-000009000000}"/>
  <tableColumns count="14">
    <tableColumn id="1" xr3:uid="{00000000-0010-0000-0500-000001000000}" name="OFFICE COSTS" dataDxfId="126"/>
    <tableColumn id="2" xr3:uid="{00000000-0010-0000-0500-000002000000}" name="JANUARY" dataDxfId="125"/>
    <tableColumn id="3" xr3:uid="{00000000-0010-0000-0500-000003000000}" name="FEBRUARY" dataDxfId="124"/>
    <tableColumn id="4" xr3:uid="{00000000-0010-0000-0500-000004000000}" name="MARCH" dataDxfId="123"/>
    <tableColumn id="5" xr3:uid="{00000000-0010-0000-0500-000005000000}" name="APRIL" dataDxfId="122"/>
    <tableColumn id="6" xr3:uid="{00000000-0010-0000-0500-000006000000}" name="MAY" dataDxfId="121"/>
    <tableColumn id="7" xr3:uid="{00000000-0010-0000-0500-000007000000}" name="JUNE" dataDxfId="120"/>
    <tableColumn id="8" xr3:uid="{00000000-0010-0000-0500-000008000000}" name="JULY" dataDxfId="119"/>
    <tableColumn id="9" xr3:uid="{00000000-0010-0000-0500-000009000000}" name="AUGUST" dataDxfId="118"/>
    <tableColumn id="10" xr3:uid="{00000000-0010-0000-0500-00000A000000}" name="SEPTEMBER" dataDxfId="117"/>
    <tableColumn id="11" xr3:uid="{00000000-0010-0000-0500-00000B000000}" name="OCTOBER" dataDxfId="116"/>
    <tableColumn id="12" xr3:uid="{00000000-0010-0000-0500-00000C000000}" name="NOVEMBER" dataDxfId="115"/>
    <tableColumn id="13" xr3:uid="{00000000-0010-0000-0500-00000D000000}" name="DECEMBER" dataDxfId="114"/>
    <tableColumn id="14" xr3:uid="{00000000-0010-0000-0500-00000E000000}" name="TOTAL" dataDxfId="113"/>
  </tableColumns>
  <tableStyleInfo name="List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Actual_MarketingCosts" displayName="Actual_MarketingCosts" ref="B24:O30" totalsRowShown="0" headerRowDxfId="112" dataDxfId="111">
  <autoFilter ref="B24:O30" xr:uid="{00000000-0009-0000-0100-00000A000000}"/>
  <tableColumns count="14">
    <tableColumn id="1" xr3:uid="{00000000-0010-0000-0600-000001000000}" name="MARKETING COSTS" dataDxfId="110"/>
    <tableColumn id="2" xr3:uid="{00000000-0010-0000-0600-000002000000}" name="JANUARY" dataDxfId="109"/>
    <tableColumn id="3" xr3:uid="{00000000-0010-0000-0600-000003000000}" name="FEBRUARY" dataDxfId="108"/>
    <tableColumn id="4" xr3:uid="{00000000-0010-0000-0600-000004000000}" name="MARCH" dataDxfId="107"/>
    <tableColumn id="5" xr3:uid="{00000000-0010-0000-0600-000005000000}" name="APRIL" dataDxfId="106"/>
    <tableColumn id="6" xr3:uid="{00000000-0010-0000-0600-000006000000}" name="MAY" dataDxfId="105"/>
    <tableColumn id="7" xr3:uid="{00000000-0010-0000-0600-000007000000}" name="JUNE" dataDxfId="104"/>
    <tableColumn id="8" xr3:uid="{00000000-0010-0000-0600-000008000000}" name="JULY" dataDxfId="103"/>
    <tableColumn id="9" xr3:uid="{00000000-0010-0000-0600-000009000000}" name="AUGUST" dataDxfId="102"/>
    <tableColumn id="10" xr3:uid="{00000000-0010-0000-0600-00000A000000}" name="SEPTEMBER" dataDxfId="101"/>
    <tableColumn id="11" xr3:uid="{00000000-0010-0000-0600-00000B000000}" name="OCTOBER" dataDxfId="100"/>
    <tableColumn id="12" xr3:uid="{00000000-0010-0000-0600-00000C000000}" name="NOVEMBER" dataDxfId="99"/>
    <tableColumn id="13" xr3:uid="{00000000-0010-0000-0600-00000D000000}" name="DECEMBER" dataDxfId="98"/>
    <tableColumn id="14" xr3:uid="{00000000-0010-0000-0600-00000E000000}" name="TOTAL" dataDxfId="97"/>
  </tableColumns>
  <tableStyleInfo name="List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Actual_TrainingTravel" displayName="Actual_TrainingTravel" ref="B33:O35" totalsRowShown="0" headerRowDxfId="96" dataDxfId="95">
  <autoFilter ref="B33:O35" xr:uid="{00000000-0009-0000-0100-00000B000000}"/>
  <tableColumns count="14">
    <tableColumn id="1" xr3:uid="{00000000-0010-0000-0700-000001000000}" name="TRAINING/TRAVEL" dataDxfId="94"/>
    <tableColumn id="2" xr3:uid="{00000000-0010-0000-0700-000002000000}" name="JANUARY" dataDxfId="93"/>
    <tableColumn id="3" xr3:uid="{00000000-0010-0000-0700-000003000000}" name="FEBRUARY" dataDxfId="92"/>
    <tableColumn id="4" xr3:uid="{00000000-0010-0000-0700-000004000000}" name="MARCH" dataDxfId="91"/>
    <tableColumn id="5" xr3:uid="{00000000-0010-0000-0700-000005000000}" name="APRIL" dataDxfId="90"/>
    <tableColumn id="6" xr3:uid="{00000000-0010-0000-0700-000006000000}" name="MAY" dataDxfId="89"/>
    <tableColumn id="7" xr3:uid="{00000000-0010-0000-0700-000007000000}" name="JUNE" dataDxfId="88"/>
    <tableColumn id="8" xr3:uid="{00000000-0010-0000-0700-000008000000}" name="JULY" dataDxfId="87"/>
    <tableColumn id="9" xr3:uid="{00000000-0010-0000-0700-000009000000}" name="AUGUST" dataDxfId="86"/>
    <tableColumn id="10" xr3:uid="{00000000-0010-0000-0700-00000A000000}" name="SEPTEMBER" dataDxfId="85"/>
    <tableColumn id="11" xr3:uid="{00000000-0010-0000-0700-00000B000000}" name="OCTOBER" dataDxfId="84"/>
    <tableColumn id="12" xr3:uid="{00000000-0010-0000-0700-00000C000000}" name="NOVEMBER" dataDxfId="83"/>
    <tableColumn id="13" xr3:uid="{00000000-0010-0000-0700-00000D000000}" name="DECEMBER" dataDxfId="82"/>
    <tableColumn id="14" xr3:uid="{00000000-0010-0000-0700-00000E000000}" name="TOTAL" dataDxfId="81"/>
  </tableColumns>
  <tableStyleInfo name="List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Var_EmployeeCosts" displayName="Var_EmployeeCosts" ref="B8:O10" totalsRowShown="0" headerRowDxfId="80" dataDxfId="79">
  <autoFilter ref="B8:O10" xr:uid="{00000000-000C-0000-FFFF-FFFF08000000}"/>
  <tableColumns count="14">
    <tableColumn id="1" xr3:uid="{00000000-0010-0000-0800-000001000000}" name=" EMPLOYEE COSTS" dataDxfId="78"/>
    <tableColumn id="2" xr3:uid="{00000000-0010-0000-0800-000002000000}" name="JANUARY" dataDxfId="77" totalsRowDxfId="76">
      <calculatedColumnFormula>IF(INDIRECT("Actual_EmployeeCosts["&amp;C$6&amp;"]")="","",INDIRECT("Plan_EmployeeCosts["&amp;C$6&amp;"]")-INDIRECT("Actual_EmployeeCosts["&amp;C$6&amp;"]"))</calculatedColumnFormula>
    </tableColumn>
    <tableColumn id="3" xr3:uid="{00000000-0010-0000-0800-000003000000}" name="FEBRUARY" dataDxfId="75" totalsRowDxfId="74">
      <calculatedColumnFormula>IF(INDIRECT("Actual_EmployeeCosts["&amp;D$6&amp;"]")="","",INDIRECT("Plan_EmployeeCosts["&amp;D$6&amp;"]")-INDIRECT("Actual_EmployeeCosts["&amp;D$6&amp;"]"))</calculatedColumnFormula>
    </tableColumn>
    <tableColumn id="4" xr3:uid="{00000000-0010-0000-0800-000004000000}" name="MARCH" dataDxfId="73" totalsRowDxfId="72">
      <calculatedColumnFormula>IF(INDIRECT("Actual_EmployeeCosts["&amp;E$6&amp;"]")="","",INDIRECT("Plan_EmployeeCosts["&amp;E$6&amp;"]")-INDIRECT("Actual_EmployeeCosts["&amp;E$6&amp;"]"))</calculatedColumnFormula>
    </tableColumn>
    <tableColumn id="5" xr3:uid="{00000000-0010-0000-0800-000005000000}" name="APRIL" dataDxfId="71" totalsRowDxfId="70">
      <calculatedColumnFormula>IF(INDIRECT("Actual_EmployeeCosts["&amp;F$6&amp;"]")="","",INDIRECT("Plan_EmployeeCosts["&amp;F$6&amp;"]")-INDIRECT("Actual_EmployeeCosts["&amp;F$6&amp;"]"))</calculatedColumnFormula>
    </tableColumn>
    <tableColumn id="6" xr3:uid="{00000000-0010-0000-0800-000006000000}" name="MAY" dataDxfId="69" totalsRowDxfId="68">
      <calculatedColumnFormula>IF(INDIRECT("Actual_EmployeeCosts["&amp;G$6&amp;"]")="","",INDIRECT("Plan_EmployeeCosts["&amp;G$6&amp;"]")-INDIRECT("Actual_EmployeeCosts["&amp;G$6&amp;"]"))</calculatedColumnFormula>
    </tableColumn>
    <tableColumn id="7" xr3:uid="{00000000-0010-0000-0800-000007000000}" name="JUNE" dataDxfId="67" totalsRowDxfId="66">
      <calculatedColumnFormula>IF(INDIRECT("Actual_EmployeeCosts["&amp;H$6&amp;"]")="","",INDIRECT("Plan_EmployeeCosts["&amp;H$6&amp;"]")-INDIRECT("Actual_EmployeeCosts["&amp;H$6&amp;"]"))</calculatedColumnFormula>
    </tableColumn>
    <tableColumn id="8" xr3:uid="{00000000-0010-0000-0800-000008000000}" name="JULY" dataDxfId="65" totalsRowDxfId="64">
      <calculatedColumnFormula>IF(INDIRECT("Actual_EmployeeCosts["&amp;I$6&amp;"]")="","",INDIRECT("Plan_EmployeeCosts["&amp;I$6&amp;"]")-INDIRECT("Actual_EmployeeCosts["&amp;I$6&amp;"]"))</calculatedColumnFormula>
    </tableColumn>
    <tableColumn id="9" xr3:uid="{00000000-0010-0000-0800-000009000000}" name="AUGUST" dataDxfId="63" totalsRowDxfId="62">
      <calculatedColumnFormula>IF(INDIRECT("Actual_EmployeeCosts["&amp;J$6&amp;"]")="","",INDIRECT("Plan_EmployeeCosts["&amp;J$6&amp;"]")-INDIRECT("Actual_EmployeeCosts["&amp;J$6&amp;"]"))</calculatedColumnFormula>
    </tableColumn>
    <tableColumn id="10" xr3:uid="{00000000-0010-0000-0800-00000A000000}" name="SEPTEMBER" dataDxfId="61" totalsRowDxfId="60">
      <calculatedColumnFormula>IF(INDIRECT("Actual_EmployeeCosts["&amp;K$6&amp;"]")="","",INDIRECT("Plan_EmployeeCosts["&amp;K$6&amp;"]")-INDIRECT("Actual_EmployeeCosts["&amp;K$6&amp;"]"))</calculatedColumnFormula>
    </tableColumn>
    <tableColumn id="11" xr3:uid="{00000000-0010-0000-0800-00000B000000}" name="OCTOBER" dataDxfId="59" totalsRowDxfId="58">
      <calculatedColumnFormula>IF(INDIRECT("Actual_EmployeeCosts["&amp;L$6&amp;"]")="","",INDIRECT("Plan_EmployeeCosts["&amp;L$6&amp;"]")-INDIRECT("Actual_EmployeeCosts["&amp;L$6&amp;"]"))</calculatedColumnFormula>
    </tableColumn>
    <tableColumn id="12" xr3:uid="{00000000-0010-0000-0800-00000C000000}" name="NOVEMBER" dataDxfId="57" totalsRowDxfId="56">
      <calculatedColumnFormula>IF(INDIRECT("Actual_EmployeeCosts["&amp;M$6&amp;"]")="","",INDIRECT("Plan_EmployeeCosts["&amp;M$6&amp;"]")-INDIRECT("Actual_EmployeeCosts["&amp;M$6&amp;"]"))</calculatedColumnFormula>
    </tableColumn>
    <tableColumn id="13" xr3:uid="{00000000-0010-0000-0800-00000D000000}" name="DECEMBER" dataDxfId="55" totalsRowDxfId="54">
      <calculatedColumnFormula>IF(INDIRECT("Actual_EmployeeCosts["&amp;N$6&amp;"]")="","",INDIRECT("Plan_EmployeeCosts["&amp;N$6&amp;"]")-INDIRECT("Actual_EmployeeCosts["&amp;N$6&amp;"]"))</calculatedColumnFormula>
    </tableColumn>
    <tableColumn id="14" xr3:uid="{00000000-0010-0000-0800-00000E000000}" name="TOTAL" dataDxfId="53">
      <calculatedColumnFormula>SUM(Var_EmployeeCosts[[#This Row],[JANUARY]:[DECEMBER]])</calculatedColumnFormula>
    </tableColumn>
  </tableColumns>
  <tableStyleInfo name="List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Expense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DAA9A"/>
      </a:accent1>
      <a:accent2>
        <a:srgbClr val="F4AF00"/>
      </a:accent2>
      <a:accent3>
        <a:srgbClr val="86BB7F"/>
      </a:accent3>
      <a:accent4>
        <a:srgbClr val="E9665E"/>
      </a:accent4>
      <a:accent5>
        <a:srgbClr val="00391B"/>
      </a:accent5>
      <a:accent6>
        <a:srgbClr val="A08C87"/>
      </a:accent6>
      <a:hlink>
        <a:srgbClr val="0563C1"/>
      </a:hlink>
      <a:folHlink>
        <a:srgbClr val="954F72"/>
      </a:folHlink>
    </a:clrScheme>
    <a:fontScheme name="Custom 45">
      <a:majorFont>
        <a:latin typeface="Corbel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9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Relationship Type="http://schemas.openxmlformats.org/officeDocument/2006/relationships/table" Target="/xl/tables/table410.xml" Id="rId6" /><Relationship Type="http://schemas.openxmlformats.org/officeDocument/2006/relationships/table" Target="/xl/tables/table311.xml" Id="rId5" /><Relationship Type="http://schemas.openxmlformats.org/officeDocument/2006/relationships/table" Target="/xl/tables/table212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55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86.xml" Id="rId6" /><Relationship Type="http://schemas.openxmlformats.org/officeDocument/2006/relationships/table" Target="/xl/tables/table77.xml" Id="rId5" /><Relationship Type="http://schemas.openxmlformats.org/officeDocument/2006/relationships/table" Target="/xl/tables/table68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9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122.xml" Id="rId6" /><Relationship Type="http://schemas.openxmlformats.org/officeDocument/2006/relationships/table" Target="/xl/tables/table113.xml" Id="rId5" /><Relationship Type="http://schemas.openxmlformats.org/officeDocument/2006/relationships/table" Target="/xl/tables/table104.xml" Id="rId4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showGridLines="0" tabSelected="1" zoomScaleNormal="100" workbookViewId="0"/>
  </sheetViews>
  <sheetFormatPr defaultColWidth="16.6640625" defaultRowHeight="24" customHeight="1" x14ac:dyDescent="0.35"/>
  <cols>
    <col min="1" max="1" width="2.77734375" style="1" customWidth="1"/>
    <col min="2" max="2" width="28.6640625" style="12" customWidth="1"/>
    <col min="3" max="15" width="14.33203125" style="2" customWidth="1"/>
    <col min="16" max="16" width="2.77734375" style="3" customWidth="1"/>
    <col min="17" max="16384" width="16.6640625" style="3"/>
  </cols>
  <sheetData>
    <row r="1" spans="1:16" ht="60" customHeight="1" x14ac:dyDescent="0.35">
      <c r="A1" s="209"/>
      <c r="B1" s="210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6"/>
      <c r="P1" s="27" t="s">
        <v>32</v>
      </c>
    </row>
    <row r="2" spans="1:16" s="4" customFormat="1" ht="28.5" customHeight="1" x14ac:dyDescent="0.45">
      <c r="A2" s="211"/>
      <c r="B2" s="212" t="s">
        <v>63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9"/>
      <c r="P2" s="28"/>
    </row>
    <row r="3" spans="1:16" s="42" customFormat="1" ht="55.05" customHeight="1" thickBot="1" x14ac:dyDescent="0.4">
      <c r="A3" s="213"/>
      <c r="B3" s="214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  <c r="P3" s="41"/>
    </row>
    <row r="4" spans="1:16" s="4" customFormat="1" ht="45" customHeight="1" thickTop="1" x14ac:dyDescent="0.35">
      <c r="A4" s="211"/>
      <c r="B4" s="215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9"/>
      <c r="P4" s="28"/>
    </row>
    <row r="5" spans="1:16" ht="30" customHeight="1" x14ac:dyDescent="0.35">
      <c r="A5" s="24"/>
      <c r="B5" s="25"/>
      <c r="C5" s="26"/>
      <c r="D5" s="26"/>
      <c r="E5" s="26"/>
      <c r="F5" s="26"/>
      <c r="G5" s="106"/>
      <c r="H5" s="26"/>
      <c r="I5" s="26"/>
      <c r="J5" s="106"/>
      <c r="K5" s="26"/>
      <c r="L5" s="106"/>
      <c r="M5" s="26"/>
      <c r="N5" s="26"/>
      <c r="O5" s="26"/>
      <c r="P5" s="31"/>
    </row>
    <row r="6" spans="1:16" s="10" customFormat="1" ht="36" customHeight="1" x14ac:dyDescent="0.35">
      <c r="A6" s="32"/>
      <c r="B6" s="141"/>
      <c r="C6" s="146" t="s">
        <v>21</v>
      </c>
      <c r="D6" s="150" t="s">
        <v>22</v>
      </c>
      <c r="E6" s="152" t="s">
        <v>23</v>
      </c>
      <c r="F6" s="153" t="s">
        <v>24</v>
      </c>
      <c r="G6" s="153" t="s">
        <v>1</v>
      </c>
      <c r="H6" s="150" t="s">
        <v>25</v>
      </c>
      <c r="I6" s="171" t="s">
        <v>26</v>
      </c>
      <c r="J6" s="153" t="s">
        <v>27</v>
      </c>
      <c r="K6" s="146" t="s">
        <v>28</v>
      </c>
      <c r="L6" s="153" t="s">
        <v>29</v>
      </c>
      <c r="M6" s="146" t="s">
        <v>30</v>
      </c>
      <c r="N6" s="146" t="s">
        <v>31</v>
      </c>
      <c r="O6" s="150" t="s">
        <v>33</v>
      </c>
      <c r="P6" s="32"/>
    </row>
    <row r="7" spans="1:16" s="5" customFormat="1" ht="24" customHeight="1" x14ac:dyDescent="0.35">
      <c r="A7" s="33"/>
      <c r="B7" s="142" t="s">
        <v>34</v>
      </c>
      <c r="C7" s="147">
        <f ca="1">SUM(INDIRECT("Plan_EmployeeCosts["&amp;C$6&amp;"]"))</f>
        <v>107950</v>
      </c>
      <c r="D7" s="136">
        <f t="shared" ref="D7:O7" ca="1" si="0">SUM(INDIRECT("Plan_EmployeeCosts["&amp;D$6&amp;"]"))</f>
        <v>107950</v>
      </c>
      <c r="E7" s="151">
        <f t="shared" ca="1" si="0"/>
        <v>107950</v>
      </c>
      <c r="F7" s="154">
        <f t="shared" ca="1" si="0"/>
        <v>111125</v>
      </c>
      <c r="G7" s="162">
        <f t="shared" ca="1" si="0"/>
        <v>111125</v>
      </c>
      <c r="H7" s="159">
        <f t="shared" ca="1" si="0"/>
        <v>111125</v>
      </c>
      <c r="I7" s="147">
        <f t="shared" ca="1" si="0"/>
        <v>111125</v>
      </c>
      <c r="J7" s="162">
        <f t="shared" ca="1" si="0"/>
        <v>117348</v>
      </c>
      <c r="K7" s="147">
        <f t="shared" ca="1" si="0"/>
        <v>117348</v>
      </c>
      <c r="L7" s="162">
        <f t="shared" ca="1" si="0"/>
        <v>117348</v>
      </c>
      <c r="M7" s="147">
        <f t="shared" ca="1" si="0"/>
        <v>117348</v>
      </c>
      <c r="N7" s="147">
        <f t="shared" ca="1" si="0"/>
        <v>117348</v>
      </c>
      <c r="O7" s="159">
        <f t="shared" ca="1" si="0"/>
        <v>1355090</v>
      </c>
      <c r="P7" s="34"/>
    </row>
    <row r="8" spans="1:16" ht="24" hidden="1" customHeight="1" x14ac:dyDescent="0.35">
      <c r="A8" s="24"/>
      <c r="B8" s="143" t="s">
        <v>48</v>
      </c>
      <c r="C8" s="109" t="s">
        <v>49</v>
      </c>
      <c r="D8" s="137" t="s">
        <v>50</v>
      </c>
      <c r="E8" s="36" t="s">
        <v>51</v>
      </c>
      <c r="F8" s="107" t="s">
        <v>52</v>
      </c>
      <c r="G8" s="104" t="s">
        <v>53</v>
      </c>
      <c r="H8" s="37" t="s">
        <v>54</v>
      </c>
      <c r="I8" s="109" t="s">
        <v>55</v>
      </c>
      <c r="J8" s="104" t="s">
        <v>56</v>
      </c>
      <c r="K8" s="109" t="s">
        <v>57</v>
      </c>
      <c r="L8" s="104" t="s">
        <v>58</v>
      </c>
      <c r="M8" s="109" t="s">
        <v>59</v>
      </c>
      <c r="N8" s="109" t="s">
        <v>60</v>
      </c>
      <c r="O8" s="37" t="s">
        <v>61</v>
      </c>
      <c r="P8" s="31"/>
    </row>
    <row r="9" spans="1:16" ht="24" customHeight="1" x14ac:dyDescent="0.35">
      <c r="A9" s="24"/>
      <c r="B9" s="132" t="s">
        <v>2</v>
      </c>
      <c r="C9" s="110">
        <v>85000</v>
      </c>
      <c r="D9" s="138">
        <v>85000</v>
      </c>
      <c r="E9" s="38">
        <v>85000</v>
      </c>
      <c r="F9" s="155">
        <v>87500</v>
      </c>
      <c r="G9" s="105">
        <v>87500</v>
      </c>
      <c r="H9" s="2">
        <v>87500</v>
      </c>
      <c r="I9" s="110">
        <v>87500</v>
      </c>
      <c r="J9" s="105">
        <v>92400</v>
      </c>
      <c r="K9" s="110">
        <v>92400</v>
      </c>
      <c r="L9" s="105">
        <v>92400</v>
      </c>
      <c r="M9" s="110">
        <v>92400</v>
      </c>
      <c r="N9" s="110">
        <v>92400</v>
      </c>
      <c r="O9" s="2">
        <f>SUM(Plan_EmployeeCosts[[#This Row],[JANUARY]:[DECEMBER]])</f>
        <v>1067000</v>
      </c>
      <c r="P9" s="31"/>
    </row>
    <row r="10" spans="1:16" ht="24" customHeight="1" x14ac:dyDescent="0.35">
      <c r="A10" s="24"/>
      <c r="B10" s="132" t="s">
        <v>3</v>
      </c>
      <c r="C10" s="110">
        <v>22950</v>
      </c>
      <c r="D10" s="138">
        <v>22950</v>
      </c>
      <c r="E10" s="38">
        <v>22950</v>
      </c>
      <c r="F10" s="155">
        <v>23625</v>
      </c>
      <c r="G10" s="105">
        <v>23625</v>
      </c>
      <c r="H10" s="2">
        <v>23625</v>
      </c>
      <c r="I10" s="110">
        <v>23625</v>
      </c>
      <c r="J10" s="105">
        <v>24948</v>
      </c>
      <c r="K10" s="110">
        <v>24948</v>
      </c>
      <c r="L10" s="105">
        <v>24948</v>
      </c>
      <c r="M10" s="110">
        <v>24948</v>
      </c>
      <c r="N10" s="110">
        <v>24948</v>
      </c>
      <c r="O10" s="2">
        <f>SUM(Plan_EmployeeCosts[[#This Row],[JANUARY]:[DECEMBER]])</f>
        <v>288090</v>
      </c>
      <c r="P10" s="31"/>
    </row>
    <row r="11" spans="1:16" s="5" customFormat="1" ht="24" customHeight="1" x14ac:dyDescent="0.35">
      <c r="A11" s="33"/>
      <c r="B11" s="119"/>
      <c r="C11" s="111"/>
      <c r="D11" s="139"/>
      <c r="E11" s="35"/>
      <c r="F11" s="156"/>
      <c r="G11" s="163"/>
      <c r="H11" s="164"/>
      <c r="I11" s="111"/>
      <c r="J11" s="106"/>
      <c r="K11" s="111"/>
      <c r="L11" s="106"/>
      <c r="M11" s="111"/>
      <c r="N11" s="111"/>
      <c r="O11" s="26"/>
      <c r="P11" s="34"/>
    </row>
    <row r="12" spans="1:16" s="5" customFormat="1" ht="24" customHeight="1" x14ac:dyDescent="0.35">
      <c r="A12" s="33"/>
      <c r="B12" s="142" t="s">
        <v>4</v>
      </c>
      <c r="C12" s="147">
        <f ca="1">SUM(INDIRECT("Plan_OfficeCosts["&amp;C$6&amp;"]"))</f>
        <v>11370</v>
      </c>
      <c r="D12" s="136">
        <f t="shared" ref="D12:O12" ca="1" si="1">SUM(INDIRECT("Plan_OfficeCosts["&amp;D$6&amp;"]"))</f>
        <v>11770</v>
      </c>
      <c r="E12" s="11">
        <f t="shared" ca="1" si="1"/>
        <v>11770</v>
      </c>
      <c r="F12" s="154">
        <f t="shared" ca="1" si="1"/>
        <v>11470</v>
      </c>
      <c r="G12" s="159">
        <f t="shared" ca="1" si="1"/>
        <v>11470</v>
      </c>
      <c r="H12" s="165">
        <f t="shared" ca="1" si="1"/>
        <v>11470</v>
      </c>
      <c r="I12" s="147">
        <f t="shared" ca="1" si="1"/>
        <v>11470</v>
      </c>
      <c r="J12" s="162">
        <f t="shared" ca="1" si="1"/>
        <v>11470</v>
      </c>
      <c r="K12" s="147">
        <f t="shared" ca="1" si="1"/>
        <v>11470</v>
      </c>
      <c r="L12" s="162">
        <f t="shared" ca="1" si="1"/>
        <v>11470</v>
      </c>
      <c r="M12" s="147">
        <f t="shared" ca="1" si="1"/>
        <v>11770</v>
      </c>
      <c r="N12" s="147">
        <f t="shared" ca="1" si="1"/>
        <v>11770</v>
      </c>
      <c r="O12" s="159">
        <f t="shared" ca="1" si="1"/>
        <v>138740</v>
      </c>
      <c r="P12" s="34"/>
    </row>
    <row r="13" spans="1:16" ht="24" hidden="1" customHeight="1" x14ac:dyDescent="0.35">
      <c r="A13" s="24"/>
      <c r="B13" s="143" t="s">
        <v>4</v>
      </c>
      <c r="C13" s="109" t="s">
        <v>49</v>
      </c>
      <c r="D13" s="137" t="s">
        <v>50</v>
      </c>
      <c r="E13" s="36" t="s">
        <v>51</v>
      </c>
      <c r="F13" s="107" t="s">
        <v>52</v>
      </c>
      <c r="G13" s="37" t="s">
        <v>53</v>
      </c>
      <c r="H13" s="166" t="s">
        <v>54</v>
      </c>
      <c r="I13" s="109" t="s">
        <v>55</v>
      </c>
      <c r="J13" s="104" t="s">
        <v>56</v>
      </c>
      <c r="K13" s="109" t="s">
        <v>57</v>
      </c>
      <c r="L13" s="104" t="s">
        <v>58</v>
      </c>
      <c r="M13" s="109" t="s">
        <v>59</v>
      </c>
      <c r="N13" s="109" t="s">
        <v>60</v>
      </c>
      <c r="O13" s="37" t="s">
        <v>61</v>
      </c>
      <c r="P13" s="31"/>
    </row>
    <row r="14" spans="1:16" ht="24" customHeight="1" x14ac:dyDescent="0.35">
      <c r="A14" s="24"/>
      <c r="B14" s="132" t="s">
        <v>5</v>
      </c>
      <c r="C14" s="110">
        <v>9800</v>
      </c>
      <c r="D14" s="138">
        <v>9800</v>
      </c>
      <c r="E14" s="38">
        <v>9800</v>
      </c>
      <c r="F14" s="155">
        <v>9800</v>
      </c>
      <c r="G14" s="2">
        <v>9800</v>
      </c>
      <c r="H14" s="167">
        <v>9800</v>
      </c>
      <c r="I14" s="110">
        <v>9800</v>
      </c>
      <c r="J14" s="105">
        <v>9800</v>
      </c>
      <c r="K14" s="110">
        <v>9800</v>
      </c>
      <c r="L14" s="105">
        <v>9800</v>
      </c>
      <c r="M14" s="110">
        <v>9800</v>
      </c>
      <c r="N14" s="110">
        <v>9800</v>
      </c>
      <c r="O14" s="2">
        <f>SUM(Plan_OfficeCosts[[#This Row],[JANUARY]:[DECEMBER]])</f>
        <v>117600</v>
      </c>
      <c r="P14" s="31"/>
    </row>
    <row r="15" spans="1:16" ht="24" customHeight="1" x14ac:dyDescent="0.35">
      <c r="A15" s="24"/>
      <c r="B15" s="132" t="s">
        <v>6</v>
      </c>
      <c r="C15" s="110">
        <v>0</v>
      </c>
      <c r="D15" s="138">
        <v>400</v>
      </c>
      <c r="E15" s="38">
        <v>400</v>
      </c>
      <c r="F15" s="155">
        <v>100</v>
      </c>
      <c r="G15" s="2">
        <v>100</v>
      </c>
      <c r="H15" s="167">
        <v>100</v>
      </c>
      <c r="I15" s="110">
        <v>100</v>
      </c>
      <c r="J15" s="105">
        <v>100</v>
      </c>
      <c r="K15" s="110">
        <v>100</v>
      </c>
      <c r="L15" s="105">
        <v>100</v>
      </c>
      <c r="M15" s="110">
        <v>400</v>
      </c>
      <c r="N15" s="110">
        <v>400</v>
      </c>
      <c r="O15" s="2">
        <f>SUM(Plan_OfficeCosts[[#This Row],[JANUARY]:[DECEMBER]])</f>
        <v>2300</v>
      </c>
      <c r="P15" s="31"/>
    </row>
    <row r="16" spans="1:16" ht="24" customHeight="1" x14ac:dyDescent="0.35">
      <c r="A16" s="24"/>
      <c r="B16" s="132" t="s">
        <v>7</v>
      </c>
      <c r="C16" s="110">
        <v>300</v>
      </c>
      <c r="D16" s="138">
        <v>300</v>
      </c>
      <c r="E16" s="38">
        <v>300</v>
      </c>
      <c r="F16" s="155">
        <v>300</v>
      </c>
      <c r="G16" s="2">
        <v>300</v>
      </c>
      <c r="H16" s="167">
        <v>300</v>
      </c>
      <c r="I16" s="110">
        <v>300</v>
      </c>
      <c r="J16" s="105">
        <v>300</v>
      </c>
      <c r="K16" s="110">
        <v>300</v>
      </c>
      <c r="L16" s="105">
        <v>300</v>
      </c>
      <c r="M16" s="110">
        <v>300</v>
      </c>
      <c r="N16" s="110">
        <v>300</v>
      </c>
      <c r="O16" s="2">
        <f>SUM(Plan_OfficeCosts[[#This Row],[JANUARY]:[DECEMBER]])</f>
        <v>3600</v>
      </c>
      <c r="P16" s="31"/>
    </row>
    <row r="17" spans="1:16" ht="24" customHeight="1" x14ac:dyDescent="0.35">
      <c r="A17" s="24"/>
      <c r="B17" s="132" t="s">
        <v>8</v>
      </c>
      <c r="C17" s="110">
        <v>40</v>
      </c>
      <c r="D17" s="138">
        <v>40</v>
      </c>
      <c r="E17" s="38">
        <v>40</v>
      </c>
      <c r="F17" s="155">
        <v>40</v>
      </c>
      <c r="G17" s="2">
        <v>40</v>
      </c>
      <c r="H17" s="167">
        <v>40</v>
      </c>
      <c r="I17" s="110">
        <v>40</v>
      </c>
      <c r="J17" s="105">
        <v>40</v>
      </c>
      <c r="K17" s="110">
        <v>40</v>
      </c>
      <c r="L17" s="105">
        <v>40</v>
      </c>
      <c r="M17" s="110">
        <v>40</v>
      </c>
      <c r="N17" s="110">
        <v>40</v>
      </c>
      <c r="O17" s="2">
        <f>SUM(Plan_OfficeCosts[[#This Row],[JANUARY]:[DECEMBER]])</f>
        <v>480</v>
      </c>
      <c r="P17" s="31"/>
    </row>
    <row r="18" spans="1:16" ht="24" customHeight="1" x14ac:dyDescent="0.35">
      <c r="A18" s="24"/>
      <c r="B18" s="132" t="s">
        <v>9</v>
      </c>
      <c r="C18" s="110">
        <v>250</v>
      </c>
      <c r="D18" s="138">
        <v>250</v>
      </c>
      <c r="E18" s="38">
        <v>250</v>
      </c>
      <c r="F18" s="155">
        <v>250</v>
      </c>
      <c r="G18" s="2">
        <v>250</v>
      </c>
      <c r="H18" s="167">
        <v>250</v>
      </c>
      <c r="I18" s="110">
        <v>250</v>
      </c>
      <c r="J18" s="105">
        <v>250</v>
      </c>
      <c r="K18" s="110">
        <v>250</v>
      </c>
      <c r="L18" s="105">
        <v>250</v>
      </c>
      <c r="M18" s="110">
        <v>250</v>
      </c>
      <c r="N18" s="110">
        <v>250</v>
      </c>
      <c r="O18" s="2">
        <f>SUM(Plan_OfficeCosts[[#This Row],[JANUARY]:[DECEMBER]])</f>
        <v>3000</v>
      </c>
      <c r="P18" s="31"/>
    </row>
    <row r="19" spans="1:16" ht="24" customHeight="1" x14ac:dyDescent="0.35">
      <c r="A19" s="24"/>
      <c r="B19" s="132" t="s">
        <v>10</v>
      </c>
      <c r="C19" s="110">
        <v>180</v>
      </c>
      <c r="D19" s="138">
        <v>180</v>
      </c>
      <c r="E19" s="38">
        <v>180</v>
      </c>
      <c r="F19" s="155">
        <v>180</v>
      </c>
      <c r="G19" s="2">
        <v>180</v>
      </c>
      <c r="H19" s="167">
        <v>180</v>
      </c>
      <c r="I19" s="110">
        <v>180</v>
      </c>
      <c r="J19" s="105">
        <v>180</v>
      </c>
      <c r="K19" s="110">
        <v>180</v>
      </c>
      <c r="L19" s="105">
        <v>180</v>
      </c>
      <c r="M19" s="110">
        <v>180</v>
      </c>
      <c r="N19" s="110">
        <v>180</v>
      </c>
      <c r="O19" s="2">
        <f>SUM(Plan_OfficeCosts[[#This Row],[JANUARY]:[DECEMBER]])</f>
        <v>2160</v>
      </c>
      <c r="P19" s="31"/>
    </row>
    <row r="20" spans="1:16" ht="24" customHeight="1" x14ac:dyDescent="0.35">
      <c r="A20" s="24"/>
      <c r="B20" s="132" t="s">
        <v>11</v>
      </c>
      <c r="C20" s="110">
        <v>200</v>
      </c>
      <c r="D20" s="138">
        <v>200</v>
      </c>
      <c r="E20" s="38">
        <v>200</v>
      </c>
      <c r="F20" s="155">
        <v>200</v>
      </c>
      <c r="G20" s="2">
        <v>200</v>
      </c>
      <c r="H20" s="167">
        <v>200</v>
      </c>
      <c r="I20" s="110">
        <v>200</v>
      </c>
      <c r="J20" s="105">
        <v>200</v>
      </c>
      <c r="K20" s="110">
        <v>200</v>
      </c>
      <c r="L20" s="105">
        <v>200</v>
      </c>
      <c r="M20" s="110">
        <v>200</v>
      </c>
      <c r="N20" s="110">
        <v>200</v>
      </c>
      <c r="O20" s="2">
        <f>SUM(Plan_OfficeCosts[[#This Row],[JANUARY]:[DECEMBER]])</f>
        <v>2400</v>
      </c>
      <c r="P20" s="31"/>
    </row>
    <row r="21" spans="1:16" s="5" customFormat="1" ht="24" customHeight="1" x14ac:dyDescent="0.35">
      <c r="A21" s="33"/>
      <c r="B21" s="132" t="s">
        <v>12</v>
      </c>
      <c r="C21" s="110">
        <v>600</v>
      </c>
      <c r="D21" s="138">
        <v>600</v>
      </c>
      <c r="E21" s="38">
        <v>600</v>
      </c>
      <c r="F21" s="155">
        <v>600</v>
      </c>
      <c r="G21" s="2">
        <v>600</v>
      </c>
      <c r="H21" s="167">
        <v>600</v>
      </c>
      <c r="I21" s="110">
        <v>600</v>
      </c>
      <c r="J21" s="105">
        <v>600</v>
      </c>
      <c r="K21" s="110">
        <v>600</v>
      </c>
      <c r="L21" s="105">
        <v>600</v>
      </c>
      <c r="M21" s="110">
        <v>600</v>
      </c>
      <c r="N21" s="110">
        <v>600</v>
      </c>
      <c r="O21" s="2">
        <f>SUM(Plan_OfficeCosts[[#This Row],[JANUARY]:[DECEMBER]])</f>
        <v>7200</v>
      </c>
      <c r="P21" s="34"/>
    </row>
    <row r="22" spans="1:16" ht="24" customHeight="1" x14ac:dyDescent="0.35">
      <c r="A22" s="24"/>
      <c r="B22" s="119"/>
      <c r="C22" s="111"/>
      <c r="D22" s="139"/>
      <c r="E22" s="35"/>
      <c r="F22" s="156"/>
      <c r="G22" s="26"/>
      <c r="H22" s="168"/>
      <c r="I22" s="111"/>
      <c r="J22" s="111"/>
      <c r="K22" s="111"/>
      <c r="L22" s="106"/>
      <c r="M22" s="111"/>
      <c r="N22" s="111"/>
      <c r="O22" s="26"/>
      <c r="P22" s="31"/>
    </row>
    <row r="23" spans="1:16" ht="24" customHeight="1" x14ac:dyDescent="0.35">
      <c r="A23" s="24"/>
      <c r="B23" s="144" t="s">
        <v>13</v>
      </c>
      <c r="C23" s="148">
        <f ca="1">SUM(INDIRECT("Plan_MarketingCosts["&amp;C$6&amp;"]"))</f>
        <v>8100</v>
      </c>
      <c r="D23" s="140">
        <f t="shared" ref="D23:O23" ca="1" si="2">SUM(INDIRECT("Plan_MarketingCosts["&amp;D$6&amp;"]"))</f>
        <v>3100</v>
      </c>
      <c r="E23" s="9">
        <f t="shared" ca="1" si="2"/>
        <v>3100</v>
      </c>
      <c r="F23" s="157">
        <f t="shared" ca="1" si="2"/>
        <v>11100</v>
      </c>
      <c r="G23" s="160">
        <f t="shared" ca="1" si="2"/>
        <v>3100</v>
      </c>
      <c r="H23" s="169">
        <f t="shared" ca="1" si="2"/>
        <v>3900</v>
      </c>
      <c r="I23" s="148">
        <f t="shared" ca="1" si="2"/>
        <v>8100</v>
      </c>
      <c r="J23" s="148">
        <f t="shared" ca="1" si="2"/>
        <v>6100</v>
      </c>
      <c r="K23" s="148">
        <f t="shared" ca="1" si="2"/>
        <v>3100</v>
      </c>
      <c r="L23" s="173">
        <f t="shared" ca="1" si="2"/>
        <v>8100</v>
      </c>
      <c r="M23" s="148">
        <f t="shared" ca="1" si="2"/>
        <v>3100</v>
      </c>
      <c r="N23" s="148">
        <f t="shared" ca="1" si="2"/>
        <v>6900</v>
      </c>
      <c r="O23" s="160">
        <f t="shared" ca="1" si="2"/>
        <v>67800</v>
      </c>
      <c r="P23" s="31"/>
    </row>
    <row r="24" spans="1:16" ht="24" hidden="1" customHeight="1" x14ac:dyDescent="0.35">
      <c r="A24" s="24"/>
      <c r="B24" s="143" t="s">
        <v>13</v>
      </c>
      <c r="C24" s="109" t="s">
        <v>49</v>
      </c>
      <c r="D24" s="137" t="s">
        <v>50</v>
      </c>
      <c r="E24" s="36" t="s">
        <v>51</v>
      </c>
      <c r="F24" s="107" t="s">
        <v>52</v>
      </c>
      <c r="G24" s="37" t="s">
        <v>53</v>
      </c>
      <c r="H24" s="166" t="s">
        <v>54</v>
      </c>
      <c r="I24" s="109" t="s">
        <v>55</v>
      </c>
      <c r="J24" s="109" t="s">
        <v>56</v>
      </c>
      <c r="K24" s="109" t="s">
        <v>57</v>
      </c>
      <c r="L24" s="104" t="s">
        <v>58</v>
      </c>
      <c r="M24" s="109" t="s">
        <v>59</v>
      </c>
      <c r="N24" s="109" t="s">
        <v>60</v>
      </c>
      <c r="O24" s="37" t="s">
        <v>61</v>
      </c>
      <c r="P24" s="31"/>
    </row>
    <row r="25" spans="1:16" ht="24" customHeight="1" x14ac:dyDescent="0.35">
      <c r="A25" s="24"/>
      <c r="B25" s="132" t="s">
        <v>14</v>
      </c>
      <c r="C25" s="110">
        <v>500</v>
      </c>
      <c r="D25" s="138">
        <v>500</v>
      </c>
      <c r="E25" s="38">
        <v>500</v>
      </c>
      <c r="F25" s="155">
        <v>500</v>
      </c>
      <c r="G25" s="2">
        <v>500</v>
      </c>
      <c r="H25" s="167">
        <v>500</v>
      </c>
      <c r="I25" s="110">
        <v>500</v>
      </c>
      <c r="J25" s="110">
        <v>500</v>
      </c>
      <c r="K25" s="110">
        <v>500</v>
      </c>
      <c r="L25" s="105">
        <v>500</v>
      </c>
      <c r="M25" s="110">
        <v>500</v>
      </c>
      <c r="N25" s="110">
        <v>500</v>
      </c>
      <c r="O25" s="2">
        <f>SUM(Plan_MarketingCosts[[#This Row],[JANUARY]:[DECEMBER]])</f>
        <v>6000</v>
      </c>
      <c r="P25" s="31"/>
    </row>
    <row r="26" spans="1:16" ht="24" customHeight="1" x14ac:dyDescent="0.35">
      <c r="A26" s="24"/>
      <c r="B26" s="132" t="s">
        <v>15</v>
      </c>
      <c r="C26" s="110">
        <v>200</v>
      </c>
      <c r="D26" s="138">
        <v>200</v>
      </c>
      <c r="E26" s="38">
        <v>200</v>
      </c>
      <c r="F26" s="155">
        <v>200</v>
      </c>
      <c r="G26" s="2">
        <v>200</v>
      </c>
      <c r="H26" s="167">
        <v>1000</v>
      </c>
      <c r="I26" s="110">
        <v>200</v>
      </c>
      <c r="J26" s="110">
        <v>200</v>
      </c>
      <c r="K26" s="110">
        <v>200</v>
      </c>
      <c r="L26" s="105">
        <v>200</v>
      </c>
      <c r="M26" s="110">
        <v>200</v>
      </c>
      <c r="N26" s="110">
        <v>1000</v>
      </c>
      <c r="O26" s="2">
        <f>SUM(Plan_MarketingCosts[[#This Row],[JANUARY]:[DECEMBER]])</f>
        <v>4000</v>
      </c>
      <c r="P26" s="31"/>
    </row>
    <row r="27" spans="1:16" ht="24" customHeight="1" x14ac:dyDescent="0.35">
      <c r="A27" s="24"/>
      <c r="B27" s="132" t="s">
        <v>16</v>
      </c>
      <c r="C27" s="110">
        <v>5000</v>
      </c>
      <c r="D27" s="138">
        <v>0</v>
      </c>
      <c r="E27" s="38">
        <v>0</v>
      </c>
      <c r="F27" s="155">
        <v>5000</v>
      </c>
      <c r="G27" s="2">
        <v>0</v>
      </c>
      <c r="H27" s="167">
        <v>0</v>
      </c>
      <c r="I27" s="110">
        <v>5000</v>
      </c>
      <c r="J27" s="110">
        <v>0</v>
      </c>
      <c r="K27" s="110">
        <v>0</v>
      </c>
      <c r="L27" s="105">
        <v>5000</v>
      </c>
      <c r="M27" s="110">
        <v>0</v>
      </c>
      <c r="N27" s="110">
        <v>0</v>
      </c>
      <c r="O27" s="2">
        <f>SUM(Plan_MarketingCosts[[#This Row],[JANUARY]:[DECEMBER]])</f>
        <v>20000</v>
      </c>
      <c r="P27" s="31"/>
    </row>
    <row r="28" spans="1:16" ht="24" customHeight="1" x14ac:dyDescent="0.35">
      <c r="A28" s="24"/>
      <c r="B28" s="132" t="s">
        <v>17</v>
      </c>
      <c r="C28" s="110">
        <v>200</v>
      </c>
      <c r="D28" s="138">
        <v>200</v>
      </c>
      <c r="E28" s="38">
        <v>200</v>
      </c>
      <c r="F28" s="155">
        <v>200</v>
      </c>
      <c r="G28" s="2">
        <v>200</v>
      </c>
      <c r="H28" s="167">
        <v>200</v>
      </c>
      <c r="I28" s="110">
        <v>200</v>
      </c>
      <c r="J28" s="110">
        <v>200</v>
      </c>
      <c r="K28" s="110">
        <v>200</v>
      </c>
      <c r="L28" s="105">
        <v>200</v>
      </c>
      <c r="M28" s="110">
        <v>200</v>
      </c>
      <c r="N28" s="110">
        <v>200</v>
      </c>
      <c r="O28" s="2">
        <f>SUM(Plan_MarketingCosts[[#This Row],[JANUARY]:[DECEMBER]])</f>
        <v>2400</v>
      </c>
      <c r="P28" s="31"/>
    </row>
    <row r="29" spans="1:16" ht="24" customHeight="1" x14ac:dyDescent="0.35">
      <c r="A29" s="24"/>
      <c r="B29" s="132" t="s">
        <v>18</v>
      </c>
      <c r="C29" s="110">
        <v>2000</v>
      </c>
      <c r="D29" s="138">
        <v>2000</v>
      </c>
      <c r="E29" s="38">
        <v>2000</v>
      </c>
      <c r="F29" s="155">
        <v>5000</v>
      </c>
      <c r="G29" s="2">
        <v>2000</v>
      </c>
      <c r="H29" s="167">
        <v>2000</v>
      </c>
      <c r="I29" s="110">
        <v>2000</v>
      </c>
      <c r="J29" s="110">
        <v>5000</v>
      </c>
      <c r="K29" s="110">
        <v>2000</v>
      </c>
      <c r="L29" s="105">
        <v>2000</v>
      </c>
      <c r="M29" s="110">
        <v>2000</v>
      </c>
      <c r="N29" s="110">
        <v>5000</v>
      </c>
      <c r="O29" s="2">
        <f>SUM(Plan_MarketingCosts[[#This Row],[JANUARY]:[DECEMBER]])</f>
        <v>33000</v>
      </c>
      <c r="P29" s="31"/>
    </row>
    <row r="30" spans="1:16" ht="24" customHeight="1" x14ac:dyDescent="0.35">
      <c r="A30" s="24"/>
      <c r="B30" s="132" t="s">
        <v>19</v>
      </c>
      <c r="C30" s="110">
        <v>200</v>
      </c>
      <c r="D30" s="138">
        <v>200</v>
      </c>
      <c r="E30" s="38">
        <v>200</v>
      </c>
      <c r="F30" s="155">
        <v>200</v>
      </c>
      <c r="G30" s="2">
        <v>200</v>
      </c>
      <c r="H30" s="167">
        <v>200</v>
      </c>
      <c r="I30" s="110">
        <v>200</v>
      </c>
      <c r="J30" s="110">
        <v>200</v>
      </c>
      <c r="K30" s="110">
        <v>200</v>
      </c>
      <c r="L30" s="105">
        <v>200</v>
      </c>
      <c r="M30" s="110">
        <v>200</v>
      </c>
      <c r="N30" s="110">
        <v>200</v>
      </c>
      <c r="O30" s="2">
        <f>SUM(Plan_MarketingCosts[[#This Row],[JANUARY]:[DECEMBER]])</f>
        <v>2400</v>
      </c>
      <c r="P30" s="31"/>
    </row>
    <row r="31" spans="1:16" ht="24" customHeight="1" x14ac:dyDescent="0.35">
      <c r="A31" s="24"/>
      <c r="B31" s="119"/>
      <c r="C31" s="111"/>
      <c r="D31" s="139"/>
      <c r="E31" s="35"/>
      <c r="F31" s="156"/>
      <c r="G31" s="26"/>
      <c r="H31" s="168"/>
      <c r="I31" s="111"/>
      <c r="J31" s="111"/>
      <c r="K31" s="111"/>
      <c r="L31" s="106"/>
      <c r="M31" s="111"/>
      <c r="N31" s="111"/>
      <c r="O31" s="26"/>
      <c r="P31" s="31"/>
    </row>
    <row r="32" spans="1:16" ht="24" customHeight="1" x14ac:dyDescent="0.35">
      <c r="A32" s="24"/>
      <c r="B32" s="144" t="s">
        <v>36</v>
      </c>
      <c r="C32" s="148">
        <f ca="1">SUM(INDIRECT("Plan_TrainingTravel["&amp;C$6&amp;"]"))</f>
        <v>4000</v>
      </c>
      <c r="D32" s="140">
        <f t="shared" ref="D32:O32" ca="1" si="3">SUM(INDIRECT("Plan_TrainingTravel["&amp;D$6&amp;"]"))</f>
        <v>4000</v>
      </c>
      <c r="E32" s="9">
        <f t="shared" ca="1" si="3"/>
        <v>4000</v>
      </c>
      <c r="F32" s="157">
        <f t="shared" ca="1" si="3"/>
        <v>4000</v>
      </c>
      <c r="G32" s="160">
        <f t="shared" ca="1" si="3"/>
        <v>4000</v>
      </c>
      <c r="H32" s="169">
        <f t="shared" ca="1" si="3"/>
        <v>4000</v>
      </c>
      <c r="I32" s="148">
        <f t="shared" ca="1" si="3"/>
        <v>4000</v>
      </c>
      <c r="J32" s="148">
        <f t="shared" ca="1" si="3"/>
        <v>4000</v>
      </c>
      <c r="K32" s="148">
        <f t="shared" ca="1" si="3"/>
        <v>4000</v>
      </c>
      <c r="L32" s="173">
        <f t="shared" ca="1" si="3"/>
        <v>4000</v>
      </c>
      <c r="M32" s="148">
        <f t="shared" ca="1" si="3"/>
        <v>4000</v>
      </c>
      <c r="N32" s="148">
        <f t="shared" ca="1" si="3"/>
        <v>4000</v>
      </c>
      <c r="O32" s="160">
        <f t="shared" ca="1" si="3"/>
        <v>48000</v>
      </c>
      <c r="P32" s="31"/>
    </row>
    <row r="33" spans="1:16" ht="24" hidden="1" customHeight="1" x14ac:dyDescent="0.35">
      <c r="A33" s="24"/>
      <c r="B33" s="143" t="s">
        <v>62</v>
      </c>
      <c r="C33" s="109" t="s">
        <v>49</v>
      </c>
      <c r="D33" s="137" t="s">
        <v>50</v>
      </c>
      <c r="E33" s="36" t="s">
        <v>51</v>
      </c>
      <c r="F33" s="107" t="s">
        <v>52</v>
      </c>
      <c r="G33" s="37" t="s">
        <v>53</v>
      </c>
      <c r="H33" s="166" t="s">
        <v>54</v>
      </c>
      <c r="I33" s="109" t="s">
        <v>55</v>
      </c>
      <c r="J33" s="109" t="s">
        <v>56</v>
      </c>
      <c r="K33" s="109" t="s">
        <v>57</v>
      </c>
      <c r="L33" s="104" t="s">
        <v>58</v>
      </c>
      <c r="M33" s="109" t="s">
        <v>59</v>
      </c>
      <c r="N33" s="109" t="s">
        <v>60</v>
      </c>
      <c r="O33" s="37" t="s">
        <v>61</v>
      </c>
      <c r="P33" s="31"/>
    </row>
    <row r="34" spans="1:16" ht="24" customHeight="1" x14ac:dyDescent="0.35">
      <c r="A34" s="24"/>
      <c r="B34" s="132" t="s">
        <v>20</v>
      </c>
      <c r="C34" s="110">
        <v>2000</v>
      </c>
      <c r="D34" s="138">
        <v>2000</v>
      </c>
      <c r="E34" s="38">
        <v>2000</v>
      </c>
      <c r="F34" s="155">
        <v>2000</v>
      </c>
      <c r="G34" s="2">
        <v>2000</v>
      </c>
      <c r="H34" s="167">
        <v>2000</v>
      </c>
      <c r="I34" s="110">
        <v>2000</v>
      </c>
      <c r="J34" s="110">
        <v>2000</v>
      </c>
      <c r="K34" s="110">
        <v>2000</v>
      </c>
      <c r="L34" s="105">
        <v>2000</v>
      </c>
      <c r="M34" s="110">
        <v>2000</v>
      </c>
      <c r="N34" s="110">
        <v>2000</v>
      </c>
      <c r="O34" s="2">
        <f>SUM(Plan_TrainingTravel[[#This Row],[JANUARY]:[DECEMBER]])</f>
        <v>24000</v>
      </c>
      <c r="P34" s="31"/>
    </row>
    <row r="35" spans="1:16" ht="24" customHeight="1" x14ac:dyDescent="0.35">
      <c r="A35" s="24"/>
      <c r="B35" s="132" t="s">
        <v>35</v>
      </c>
      <c r="C35" s="110">
        <v>2000</v>
      </c>
      <c r="D35" s="110">
        <v>2000</v>
      </c>
      <c r="E35" s="105">
        <v>2000</v>
      </c>
      <c r="F35" s="105">
        <v>2000</v>
      </c>
      <c r="G35" s="2">
        <v>2000</v>
      </c>
      <c r="H35" s="167">
        <v>2000</v>
      </c>
      <c r="I35" s="110">
        <v>2000</v>
      </c>
      <c r="J35" s="110">
        <v>2000</v>
      </c>
      <c r="K35" s="110">
        <v>2000</v>
      </c>
      <c r="L35" s="105">
        <v>2000</v>
      </c>
      <c r="M35" s="110">
        <v>2000</v>
      </c>
      <c r="N35" s="110">
        <v>2000</v>
      </c>
      <c r="O35" s="2">
        <f>SUM(Plan_TrainingTravel[[#This Row],[JANUARY]:[DECEMBER]])</f>
        <v>24000</v>
      </c>
      <c r="P35" s="31"/>
    </row>
    <row r="36" spans="1:16" ht="24" customHeight="1" x14ac:dyDescent="0.35">
      <c r="A36" s="24"/>
      <c r="B36" s="119"/>
      <c r="C36" s="111"/>
      <c r="D36" s="111"/>
      <c r="E36" s="106"/>
      <c r="F36" s="106"/>
      <c r="G36" s="26"/>
      <c r="H36" s="168"/>
      <c r="I36" s="111"/>
      <c r="J36" s="111"/>
      <c r="K36" s="111"/>
      <c r="L36" s="106"/>
      <c r="M36" s="111"/>
      <c r="N36" s="111"/>
      <c r="O36" s="26"/>
      <c r="P36" s="31"/>
    </row>
    <row r="37" spans="1:16" ht="36" customHeight="1" x14ac:dyDescent="0.35">
      <c r="A37" s="24"/>
      <c r="B37" s="145" t="s">
        <v>39</v>
      </c>
      <c r="C37" s="149">
        <f t="shared" ref="C37:O37" ca="1" si="4">C7+C12+C23+C32</f>
        <v>131420</v>
      </c>
      <c r="D37" s="149">
        <f t="shared" ca="1" si="4"/>
        <v>126820</v>
      </c>
      <c r="E37" s="158">
        <f t="shared" ca="1" si="4"/>
        <v>126820</v>
      </c>
      <c r="F37" s="158">
        <f t="shared" ca="1" si="4"/>
        <v>137695</v>
      </c>
      <c r="G37" s="161">
        <f t="shared" ca="1" si="4"/>
        <v>129695</v>
      </c>
      <c r="H37" s="170">
        <f t="shared" ca="1" si="4"/>
        <v>130495</v>
      </c>
      <c r="I37" s="149">
        <f t="shared" ca="1" si="4"/>
        <v>134695</v>
      </c>
      <c r="J37" s="149">
        <f t="shared" ca="1" si="4"/>
        <v>138918</v>
      </c>
      <c r="K37" s="149">
        <f t="shared" ca="1" si="4"/>
        <v>135918</v>
      </c>
      <c r="L37" s="158">
        <f t="shared" ca="1" si="4"/>
        <v>140918</v>
      </c>
      <c r="M37" s="149">
        <f t="shared" ca="1" si="4"/>
        <v>136218</v>
      </c>
      <c r="N37" s="149">
        <f t="shared" ca="1" si="4"/>
        <v>140018</v>
      </c>
      <c r="O37" s="161">
        <f t="shared" ca="1" si="4"/>
        <v>1609630</v>
      </c>
      <c r="P37" s="31"/>
    </row>
    <row r="38" spans="1:16" ht="24" customHeight="1" x14ac:dyDescent="0.35">
      <c r="A38" s="24"/>
      <c r="B38" s="25"/>
      <c r="C38" s="26"/>
      <c r="D38" s="26"/>
      <c r="E38" s="26"/>
      <c r="F38" s="26"/>
      <c r="G38" s="26"/>
      <c r="H38" s="26"/>
      <c r="I38" s="111"/>
      <c r="J38" s="26"/>
      <c r="K38" s="26"/>
      <c r="L38" s="26"/>
      <c r="M38" s="26"/>
      <c r="N38" s="26"/>
      <c r="O38" s="26"/>
      <c r="P38" s="31"/>
    </row>
    <row r="39" spans="1:16" ht="24" customHeight="1" x14ac:dyDescent="0.35">
      <c r="I39" s="172"/>
    </row>
  </sheetData>
  <dataValidations count="2">
    <dataValidation allowBlank="1" showInputMessage="1" showErrorMessage="1" prompt="Enter your company name in this cell" sqref="B2" xr:uid="{00000000-0002-0000-0000-000000000000}"/>
    <dataValidation allowBlank="1" showInputMessage="1" showErrorMessage="1" promptTitle="Expense budget template" prompt="Enter your company name in cell B2._x000a__x000a_Enter your planned expenses and actual expenses on this tab and the next tab._x000a__x000a_When adding or editing line items, make sure you apply the changes in all four data tabs._x000a__x000a_" sqref="A1" xr:uid="{00000000-0002-0000-0000-000001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8"/>
  <sheetViews>
    <sheetView showGridLines="0" zoomScaleNormal="100" workbookViewId="0"/>
  </sheetViews>
  <sheetFormatPr defaultColWidth="16.6640625" defaultRowHeight="24" customHeight="1" x14ac:dyDescent="0.35"/>
  <cols>
    <col min="1" max="1" width="2.77734375" style="1" customWidth="1"/>
    <col min="2" max="2" width="28.6640625" style="12" customWidth="1"/>
    <col min="3" max="15" width="14.33203125" style="2" customWidth="1"/>
    <col min="16" max="16" width="2.77734375" style="3" customWidth="1"/>
    <col min="17" max="16384" width="16.6640625" style="3"/>
  </cols>
  <sheetData>
    <row r="1" spans="1:16" ht="60" customHeight="1" x14ac:dyDescent="0.35">
      <c r="A1" s="202"/>
      <c r="B1" s="20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26"/>
      <c r="P1" s="27" t="s">
        <v>32</v>
      </c>
    </row>
    <row r="2" spans="1:16" s="4" customFormat="1" ht="28.5" customHeight="1" x14ac:dyDescent="0.45">
      <c r="A2" s="204"/>
      <c r="B2" s="205" t="str">
        <f>'Planned expenses'!B2</f>
        <v>Market Financial Consulting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29"/>
      <c r="P2" s="28"/>
    </row>
    <row r="3" spans="1:16" s="4" customFormat="1" ht="55.05" customHeight="1" thickBot="1" x14ac:dyDescent="0.4">
      <c r="A3" s="206"/>
      <c r="B3" s="207" t="s">
        <v>37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30"/>
      <c r="P3" s="28"/>
    </row>
    <row r="4" spans="1:16" s="4" customFormat="1" ht="45" customHeight="1" thickTop="1" x14ac:dyDescent="0.35">
      <c r="A4" s="204"/>
      <c r="B4" s="208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29"/>
      <c r="P4" s="28"/>
    </row>
    <row r="5" spans="1:16" ht="30" customHeight="1" x14ac:dyDescent="0.35">
      <c r="A5" s="24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31"/>
    </row>
    <row r="6" spans="1:16" s="10" customFormat="1" ht="36" customHeight="1" x14ac:dyDescent="0.35">
      <c r="A6" s="32"/>
      <c r="B6" s="116"/>
      <c r="C6" s="121" t="s">
        <v>21</v>
      </c>
      <c r="D6" s="121" t="s">
        <v>22</v>
      </c>
      <c r="E6" s="121" t="s">
        <v>23</v>
      </c>
      <c r="F6" s="121" t="s">
        <v>24</v>
      </c>
      <c r="G6" s="121" t="s">
        <v>1</v>
      </c>
      <c r="H6" s="121" t="s">
        <v>25</v>
      </c>
      <c r="I6" s="125" t="s">
        <v>26</v>
      </c>
      <c r="J6" s="121" t="s">
        <v>27</v>
      </c>
      <c r="K6" s="121" t="s">
        <v>28</v>
      </c>
      <c r="L6" s="121" t="s">
        <v>29</v>
      </c>
      <c r="M6" s="121" t="s">
        <v>30</v>
      </c>
      <c r="N6" s="121" t="s">
        <v>31</v>
      </c>
      <c r="O6" s="130" t="s">
        <v>33</v>
      </c>
      <c r="P6" s="32"/>
    </row>
    <row r="7" spans="1:16" s="5" customFormat="1" ht="24" customHeight="1" x14ac:dyDescent="0.35">
      <c r="A7" s="33"/>
      <c r="B7" s="117" t="s">
        <v>34</v>
      </c>
      <c r="C7" s="122">
        <f ca="1">SUM(INDIRECT("Actual_EmployeeCosts["&amp;C$6&amp;"]"))</f>
        <v>107950</v>
      </c>
      <c r="D7" s="122">
        <f t="shared" ref="D7:O7" ca="1" si="0">SUM(INDIRECT("Actual_EmployeeCosts["&amp;D$6&amp;"]"))</f>
        <v>107950</v>
      </c>
      <c r="E7" s="122">
        <f t="shared" ca="1" si="0"/>
        <v>107950</v>
      </c>
      <c r="F7" s="122">
        <f t="shared" ca="1" si="0"/>
        <v>111760</v>
      </c>
      <c r="G7" s="122">
        <f t="shared" ca="1" si="0"/>
        <v>111760</v>
      </c>
      <c r="H7" s="122">
        <f t="shared" ca="1" si="0"/>
        <v>111760</v>
      </c>
      <c r="I7" s="126">
        <f t="shared" ca="1" si="0"/>
        <v>0</v>
      </c>
      <c r="J7" s="122">
        <f t="shared" ca="1" si="0"/>
        <v>0</v>
      </c>
      <c r="K7" s="122">
        <f t="shared" ca="1" si="0"/>
        <v>0</v>
      </c>
      <c r="L7" s="122">
        <f t="shared" ca="1" si="0"/>
        <v>0</v>
      </c>
      <c r="M7" s="122">
        <f t="shared" ca="1" si="0"/>
        <v>0</v>
      </c>
      <c r="N7" s="122">
        <f t="shared" ca="1" si="0"/>
        <v>0</v>
      </c>
      <c r="O7" s="129">
        <f t="shared" ca="1" si="0"/>
        <v>659130</v>
      </c>
      <c r="P7" s="34"/>
    </row>
    <row r="8" spans="1:16" ht="24" hidden="1" customHeight="1" x14ac:dyDescent="0.35">
      <c r="A8" s="24"/>
      <c r="B8" s="118" t="s">
        <v>48</v>
      </c>
      <c r="C8" s="123" t="s">
        <v>49</v>
      </c>
      <c r="D8" s="123" t="s">
        <v>50</v>
      </c>
      <c r="E8" s="123" t="s">
        <v>51</v>
      </c>
      <c r="F8" s="123" t="s">
        <v>52</v>
      </c>
      <c r="G8" s="123" t="s">
        <v>53</v>
      </c>
      <c r="H8" s="123" t="s">
        <v>54</v>
      </c>
      <c r="I8" s="127" t="s">
        <v>55</v>
      </c>
      <c r="J8" s="123" t="s">
        <v>56</v>
      </c>
      <c r="K8" s="123" t="s">
        <v>57</v>
      </c>
      <c r="L8" s="123" t="s">
        <v>58</v>
      </c>
      <c r="M8" s="123" t="s">
        <v>59</v>
      </c>
      <c r="N8" s="123" t="s">
        <v>60</v>
      </c>
      <c r="O8" s="115" t="s">
        <v>61</v>
      </c>
      <c r="P8" s="31"/>
    </row>
    <row r="9" spans="1:16" ht="24" customHeight="1" x14ac:dyDescent="0.35">
      <c r="A9" s="24"/>
      <c r="B9" s="132" t="s">
        <v>2</v>
      </c>
      <c r="C9" s="110">
        <v>85000</v>
      </c>
      <c r="D9" s="110">
        <v>85000</v>
      </c>
      <c r="E9" s="110">
        <v>85000</v>
      </c>
      <c r="F9" s="110">
        <v>88000</v>
      </c>
      <c r="G9" s="110">
        <v>88000</v>
      </c>
      <c r="H9" s="110">
        <v>88000</v>
      </c>
      <c r="I9" s="105"/>
      <c r="J9" s="110"/>
      <c r="K9" s="110"/>
      <c r="L9" s="110"/>
      <c r="M9" s="110"/>
      <c r="N9" s="110"/>
      <c r="O9" s="2">
        <f>SUM(Actual_EmployeeCosts[[#This Row],[JANUARY]:[DECEMBER]])</f>
        <v>519000</v>
      </c>
      <c r="P9" s="31"/>
    </row>
    <row r="10" spans="1:16" ht="24" customHeight="1" x14ac:dyDescent="0.35">
      <c r="A10" s="24"/>
      <c r="B10" s="132" t="s">
        <v>3</v>
      </c>
      <c r="C10" s="110">
        <v>22950</v>
      </c>
      <c r="D10" s="110">
        <v>22950</v>
      </c>
      <c r="E10" s="110">
        <v>22950</v>
      </c>
      <c r="F10" s="110">
        <v>23760</v>
      </c>
      <c r="G10" s="110">
        <v>23760</v>
      </c>
      <c r="H10" s="110">
        <v>23760</v>
      </c>
      <c r="I10" s="105"/>
      <c r="J10" s="110"/>
      <c r="K10" s="110"/>
      <c r="L10" s="110"/>
      <c r="M10" s="110"/>
      <c r="N10" s="110"/>
      <c r="O10" s="2">
        <f>SUM(Actual_EmployeeCosts[[#This Row],[JANUARY]:[DECEMBER]])</f>
        <v>140130</v>
      </c>
      <c r="P10" s="31"/>
    </row>
    <row r="11" spans="1:16" s="5" customFormat="1" ht="24" customHeight="1" x14ac:dyDescent="0.35">
      <c r="A11" s="33"/>
      <c r="B11" s="119"/>
      <c r="C11" s="111"/>
      <c r="D11" s="111"/>
      <c r="E11" s="111"/>
      <c r="F11" s="111"/>
      <c r="G11" s="111"/>
      <c r="H11" s="111"/>
      <c r="I11" s="106"/>
      <c r="J11" s="111"/>
      <c r="K11" s="111"/>
      <c r="L11" s="111"/>
      <c r="M11" s="111"/>
      <c r="N11" s="111"/>
      <c r="O11" s="26"/>
      <c r="P11" s="34"/>
    </row>
    <row r="12" spans="1:16" s="5" customFormat="1" ht="24" customHeight="1" x14ac:dyDescent="0.35">
      <c r="A12" s="33"/>
      <c r="B12" s="117" t="s">
        <v>4</v>
      </c>
      <c r="C12" s="122">
        <f ca="1">SUM(INDIRECT("Actual_OfficeCosts["&amp;C$6&amp;"]"))</f>
        <v>11387</v>
      </c>
      <c r="D12" s="122">
        <f t="shared" ref="D12:O12" ca="1" si="1">SUM(INDIRECT("Actual_OfficeCosts["&amp;D$6&amp;"]"))</f>
        <v>11698</v>
      </c>
      <c r="E12" s="122">
        <f t="shared" ca="1" si="1"/>
        <v>11692</v>
      </c>
      <c r="F12" s="122">
        <f t="shared" ca="1" si="1"/>
        <v>11611</v>
      </c>
      <c r="G12" s="122">
        <f t="shared" ca="1" si="1"/>
        <v>11508</v>
      </c>
      <c r="H12" s="122">
        <f t="shared" ca="1" si="1"/>
        <v>11454</v>
      </c>
      <c r="I12" s="126">
        <f t="shared" ca="1" si="1"/>
        <v>0</v>
      </c>
      <c r="J12" s="122">
        <f t="shared" ca="1" si="1"/>
        <v>0</v>
      </c>
      <c r="K12" s="122">
        <f t="shared" ca="1" si="1"/>
        <v>0</v>
      </c>
      <c r="L12" s="122">
        <f t="shared" ca="1" si="1"/>
        <v>0</v>
      </c>
      <c r="M12" s="122">
        <f t="shared" ca="1" si="1"/>
        <v>0</v>
      </c>
      <c r="N12" s="122">
        <f t="shared" ca="1" si="1"/>
        <v>0</v>
      </c>
      <c r="O12" s="129">
        <f t="shared" ca="1" si="1"/>
        <v>69350</v>
      </c>
      <c r="P12" s="34"/>
    </row>
    <row r="13" spans="1:16" ht="24" hidden="1" customHeight="1" x14ac:dyDescent="0.35">
      <c r="A13" s="24"/>
      <c r="B13" s="118" t="s">
        <v>4</v>
      </c>
      <c r="C13" s="123" t="s">
        <v>49</v>
      </c>
      <c r="D13" s="123" t="s">
        <v>50</v>
      </c>
      <c r="E13" s="123" t="s">
        <v>51</v>
      </c>
      <c r="F13" s="123" t="s">
        <v>52</v>
      </c>
      <c r="G13" s="123" t="s">
        <v>53</v>
      </c>
      <c r="H13" s="123" t="s">
        <v>54</v>
      </c>
      <c r="I13" s="127" t="s">
        <v>55</v>
      </c>
      <c r="J13" s="123" t="s">
        <v>56</v>
      </c>
      <c r="K13" s="123" t="s">
        <v>57</v>
      </c>
      <c r="L13" s="123" t="s">
        <v>58</v>
      </c>
      <c r="M13" s="123" t="s">
        <v>59</v>
      </c>
      <c r="N13" s="123" t="s">
        <v>60</v>
      </c>
      <c r="O13" s="115" t="s">
        <v>61</v>
      </c>
      <c r="P13" s="31"/>
    </row>
    <row r="14" spans="1:16" ht="24" customHeight="1" x14ac:dyDescent="0.35">
      <c r="A14" s="24"/>
      <c r="B14" s="132" t="s">
        <v>5</v>
      </c>
      <c r="C14" s="110">
        <v>9800</v>
      </c>
      <c r="D14" s="110">
        <v>9800</v>
      </c>
      <c r="E14" s="110">
        <v>9800</v>
      </c>
      <c r="F14" s="110">
        <v>9800</v>
      </c>
      <c r="G14" s="110">
        <v>9800</v>
      </c>
      <c r="H14" s="110">
        <v>9800</v>
      </c>
      <c r="I14" s="105"/>
      <c r="J14" s="110"/>
      <c r="K14" s="110"/>
      <c r="L14" s="110"/>
      <c r="M14" s="110"/>
      <c r="N14" s="110"/>
      <c r="O14" s="2">
        <f>SUM(Actual_OfficeCosts[[#This Row],[JANUARY]:[DECEMBER]])</f>
        <v>58800</v>
      </c>
      <c r="P14" s="31"/>
    </row>
    <row r="15" spans="1:16" ht="24" customHeight="1" x14ac:dyDescent="0.35">
      <c r="A15" s="24"/>
      <c r="B15" s="132" t="s">
        <v>6</v>
      </c>
      <c r="C15" s="110">
        <v>4</v>
      </c>
      <c r="D15" s="110">
        <v>430</v>
      </c>
      <c r="E15" s="110">
        <v>385</v>
      </c>
      <c r="F15" s="110">
        <v>230</v>
      </c>
      <c r="G15" s="110">
        <v>87</v>
      </c>
      <c r="H15" s="110">
        <v>88</v>
      </c>
      <c r="I15" s="105"/>
      <c r="J15" s="110"/>
      <c r="K15" s="110"/>
      <c r="L15" s="110"/>
      <c r="M15" s="110"/>
      <c r="N15" s="110"/>
      <c r="O15" s="2">
        <f>SUM(Actual_OfficeCosts[[#This Row],[JANUARY]:[DECEMBER]])</f>
        <v>1224</v>
      </c>
      <c r="P15" s="31"/>
    </row>
    <row r="16" spans="1:16" ht="24" customHeight="1" x14ac:dyDescent="0.35">
      <c r="A16" s="24"/>
      <c r="B16" s="132" t="s">
        <v>7</v>
      </c>
      <c r="C16" s="110">
        <v>288</v>
      </c>
      <c r="D16" s="110">
        <v>278</v>
      </c>
      <c r="E16" s="110">
        <v>268</v>
      </c>
      <c r="F16" s="110">
        <v>299</v>
      </c>
      <c r="G16" s="110">
        <v>306</v>
      </c>
      <c r="H16" s="110">
        <v>290</v>
      </c>
      <c r="I16" s="105"/>
      <c r="J16" s="110"/>
      <c r="K16" s="110"/>
      <c r="L16" s="110"/>
      <c r="M16" s="110"/>
      <c r="N16" s="110"/>
      <c r="O16" s="2">
        <f>SUM(Actual_OfficeCosts[[#This Row],[JANUARY]:[DECEMBER]])</f>
        <v>1729</v>
      </c>
      <c r="P16" s="31"/>
    </row>
    <row r="17" spans="1:16" ht="24" customHeight="1" x14ac:dyDescent="0.35">
      <c r="A17" s="24"/>
      <c r="B17" s="132" t="s">
        <v>8</v>
      </c>
      <c r="C17" s="110">
        <v>35</v>
      </c>
      <c r="D17" s="110">
        <v>33</v>
      </c>
      <c r="E17" s="110">
        <v>34</v>
      </c>
      <c r="F17" s="110">
        <v>36</v>
      </c>
      <c r="G17" s="110">
        <v>34</v>
      </c>
      <c r="H17" s="110">
        <v>36</v>
      </c>
      <c r="I17" s="105"/>
      <c r="J17" s="110"/>
      <c r="K17" s="110"/>
      <c r="L17" s="110"/>
      <c r="M17" s="110"/>
      <c r="N17" s="110"/>
      <c r="O17" s="2">
        <f>SUM(Actual_OfficeCosts[[#This Row],[JANUARY]:[DECEMBER]])</f>
        <v>208</v>
      </c>
      <c r="P17" s="31"/>
    </row>
    <row r="18" spans="1:16" ht="24" customHeight="1" x14ac:dyDescent="0.35">
      <c r="A18" s="24"/>
      <c r="B18" s="132" t="s">
        <v>9</v>
      </c>
      <c r="C18" s="110">
        <v>224</v>
      </c>
      <c r="D18" s="110">
        <v>235</v>
      </c>
      <c r="E18" s="110">
        <v>265</v>
      </c>
      <c r="F18" s="110">
        <v>245</v>
      </c>
      <c r="G18" s="110">
        <v>245</v>
      </c>
      <c r="H18" s="110">
        <v>220</v>
      </c>
      <c r="I18" s="105"/>
      <c r="J18" s="110"/>
      <c r="K18" s="110"/>
      <c r="L18" s="110"/>
      <c r="M18" s="110"/>
      <c r="N18" s="110"/>
      <c r="O18" s="2">
        <f>SUM(Actual_OfficeCosts[[#This Row],[JANUARY]:[DECEMBER]])</f>
        <v>1434</v>
      </c>
      <c r="P18" s="31"/>
    </row>
    <row r="19" spans="1:16" ht="24" customHeight="1" x14ac:dyDescent="0.35">
      <c r="A19" s="24"/>
      <c r="B19" s="132" t="s">
        <v>10</v>
      </c>
      <c r="C19" s="110">
        <v>180</v>
      </c>
      <c r="D19" s="110">
        <v>180</v>
      </c>
      <c r="E19" s="110">
        <v>180</v>
      </c>
      <c r="F19" s="110">
        <v>180</v>
      </c>
      <c r="G19" s="110">
        <v>180</v>
      </c>
      <c r="H19" s="110">
        <v>180</v>
      </c>
      <c r="I19" s="105"/>
      <c r="J19" s="110"/>
      <c r="K19" s="110"/>
      <c r="L19" s="110"/>
      <c r="M19" s="110"/>
      <c r="N19" s="110"/>
      <c r="O19" s="2">
        <f>SUM(Actual_OfficeCosts[[#This Row],[JANUARY]:[DECEMBER]])</f>
        <v>1080</v>
      </c>
      <c r="P19" s="31"/>
    </row>
    <row r="20" spans="1:16" ht="24" customHeight="1" x14ac:dyDescent="0.35">
      <c r="A20" s="24"/>
      <c r="B20" s="132" t="s">
        <v>11</v>
      </c>
      <c r="C20" s="110">
        <v>256</v>
      </c>
      <c r="D20" s="110">
        <v>142</v>
      </c>
      <c r="E20" s="110">
        <v>160</v>
      </c>
      <c r="F20" s="110">
        <v>221</v>
      </c>
      <c r="G20" s="110">
        <v>256</v>
      </c>
      <c r="H20" s="110">
        <v>240</v>
      </c>
      <c r="I20" s="105"/>
      <c r="J20" s="110"/>
      <c r="K20" s="110"/>
      <c r="L20" s="110"/>
      <c r="M20" s="110"/>
      <c r="N20" s="110"/>
      <c r="O20" s="2">
        <f>SUM(Actual_OfficeCosts[[#This Row],[JANUARY]:[DECEMBER]])</f>
        <v>1275</v>
      </c>
      <c r="P20" s="31"/>
    </row>
    <row r="21" spans="1:16" s="5" customFormat="1" ht="24" customHeight="1" x14ac:dyDescent="0.35">
      <c r="A21" s="33"/>
      <c r="B21" s="132" t="s">
        <v>12</v>
      </c>
      <c r="C21" s="110">
        <v>600</v>
      </c>
      <c r="D21" s="110">
        <v>600</v>
      </c>
      <c r="E21" s="110">
        <v>600</v>
      </c>
      <c r="F21" s="110">
        <v>600</v>
      </c>
      <c r="G21" s="110">
        <v>600</v>
      </c>
      <c r="H21" s="110">
        <v>600</v>
      </c>
      <c r="I21" s="105"/>
      <c r="J21" s="110"/>
      <c r="K21" s="110"/>
      <c r="L21" s="110"/>
      <c r="M21" s="110"/>
      <c r="N21" s="110"/>
      <c r="O21" s="2">
        <f>SUM(Actual_OfficeCosts[[#This Row],[JANUARY]:[DECEMBER]])</f>
        <v>3600</v>
      </c>
      <c r="P21" s="34"/>
    </row>
    <row r="22" spans="1:16" ht="24" customHeight="1" x14ac:dyDescent="0.35">
      <c r="A22" s="24"/>
      <c r="B22" s="119"/>
      <c r="C22" s="111"/>
      <c r="D22" s="111"/>
      <c r="E22" s="111"/>
      <c r="F22" s="111"/>
      <c r="G22" s="111"/>
      <c r="H22" s="111"/>
      <c r="I22" s="106"/>
      <c r="J22" s="111"/>
      <c r="K22" s="111"/>
      <c r="L22" s="111"/>
      <c r="M22" s="111"/>
      <c r="N22" s="111"/>
      <c r="O22" s="26"/>
      <c r="P22" s="31"/>
    </row>
    <row r="23" spans="1:16" s="5" customFormat="1" ht="24" customHeight="1" x14ac:dyDescent="0.35">
      <c r="A23" s="33"/>
      <c r="B23" s="117" t="s">
        <v>13</v>
      </c>
      <c r="C23" s="122">
        <f ca="1">SUM(INDIRECT("Actual_MarketingCosts["&amp;C$6&amp;"]"))</f>
        <v>7545</v>
      </c>
      <c r="D23" s="122">
        <f t="shared" ref="D23:O23" ca="1" si="2">SUM(INDIRECT("Actual_MarketingCosts["&amp;D$6&amp;"]"))</f>
        <v>3556</v>
      </c>
      <c r="E23" s="122">
        <f t="shared" ca="1" si="2"/>
        <v>3123</v>
      </c>
      <c r="F23" s="122">
        <f t="shared" ca="1" si="2"/>
        <v>11223</v>
      </c>
      <c r="G23" s="122">
        <f t="shared" ca="1" si="2"/>
        <v>2987</v>
      </c>
      <c r="H23" s="122">
        <f t="shared" ca="1" si="2"/>
        <v>4725</v>
      </c>
      <c r="I23" s="126">
        <f t="shared" ca="1" si="2"/>
        <v>0</v>
      </c>
      <c r="J23" s="122">
        <f t="shared" ca="1" si="2"/>
        <v>0</v>
      </c>
      <c r="K23" s="122">
        <f t="shared" ca="1" si="2"/>
        <v>0</v>
      </c>
      <c r="L23" s="122">
        <f t="shared" ca="1" si="2"/>
        <v>0</v>
      </c>
      <c r="M23" s="122">
        <f t="shared" ca="1" si="2"/>
        <v>0</v>
      </c>
      <c r="N23" s="122">
        <f t="shared" ca="1" si="2"/>
        <v>0</v>
      </c>
      <c r="O23" s="129">
        <f t="shared" ca="1" si="2"/>
        <v>33159</v>
      </c>
      <c r="P23" s="34"/>
    </row>
    <row r="24" spans="1:16" ht="24" hidden="1" customHeight="1" x14ac:dyDescent="0.35">
      <c r="A24" s="24"/>
      <c r="B24" s="118" t="s">
        <v>13</v>
      </c>
      <c r="C24" s="123" t="s">
        <v>49</v>
      </c>
      <c r="D24" s="123" t="s">
        <v>50</v>
      </c>
      <c r="E24" s="123" t="s">
        <v>51</v>
      </c>
      <c r="F24" s="123" t="s">
        <v>52</v>
      </c>
      <c r="G24" s="123" t="s">
        <v>53</v>
      </c>
      <c r="H24" s="123" t="s">
        <v>54</v>
      </c>
      <c r="I24" s="127" t="s">
        <v>55</v>
      </c>
      <c r="J24" s="123" t="s">
        <v>56</v>
      </c>
      <c r="K24" s="123" t="s">
        <v>57</v>
      </c>
      <c r="L24" s="123" t="s">
        <v>58</v>
      </c>
      <c r="M24" s="123" t="s">
        <v>59</v>
      </c>
      <c r="N24" s="123" t="s">
        <v>60</v>
      </c>
      <c r="O24" s="115" t="s">
        <v>61</v>
      </c>
      <c r="P24" s="31"/>
    </row>
    <row r="25" spans="1:16" ht="24" customHeight="1" x14ac:dyDescent="0.35">
      <c r="A25" s="24"/>
      <c r="B25" s="132" t="s">
        <v>14</v>
      </c>
      <c r="C25" s="110">
        <v>500</v>
      </c>
      <c r="D25" s="110">
        <v>500</v>
      </c>
      <c r="E25" s="110">
        <v>500</v>
      </c>
      <c r="F25" s="110">
        <v>500</v>
      </c>
      <c r="G25" s="110">
        <v>500</v>
      </c>
      <c r="H25" s="110">
        <v>500</v>
      </c>
      <c r="I25" s="105"/>
      <c r="J25" s="110"/>
      <c r="K25" s="110"/>
      <c r="L25" s="110"/>
      <c r="M25" s="110"/>
      <c r="N25" s="110"/>
      <c r="O25" s="2">
        <f>SUM(Actual_MarketingCosts[[#This Row],[JANUARY]:[DECEMBER]])</f>
        <v>3000</v>
      </c>
      <c r="P25" s="31"/>
    </row>
    <row r="26" spans="1:16" ht="24" customHeight="1" x14ac:dyDescent="0.35">
      <c r="A26" s="24"/>
      <c r="B26" s="132" t="s">
        <v>15</v>
      </c>
      <c r="C26" s="110">
        <v>200</v>
      </c>
      <c r="D26" s="110">
        <v>200</v>
      </c>
      <c r="E26" s="110">
        <v>200</v>
      </c>
      <c r="F26" s="110">
        <v>200</v>
      </c>
      <c r="G26" s="110">
        <v>200</v>
      </c>
      <c r="H26" s="110">
        <v>1500</v>
      </c>
      <c r="I26" s="105"/>
      <c r="J26" s="110"/>
      <c r="K26" s="110"/>
      <c r="L26" s="110"/>
      <c r="M26" s="110"/>
      <c r="N26" s="110"/>
      <c r="O26" s="2">
        <f>SUM(Actual_MarketingCosts[[#This Row],[JANUARY]:[DECEMBER]])</f>
        <v>2500</v>
      </c>
      <c r="P26" s="31"/>
    </row>
    <row r="27" spans="1:16" ht="24" customHeight="1" x14ac:dyDescent="0.35">
      <c r="A27" s="24"/>
      <c r="B27" s="132" t="s">
        <v>16</v>
      </c>
      <c r="C27" s="110">
        <v>4800</v>
      </c>
      <c r="D27" s="110">
        <v>0</v>
      </c>
      <c r="E27" s="110">
        <v>0</v>
      </c>
      <c r="F27" s="110">
        <v>5500</v>
      </c>
      <c r="G27" s="110">
        <v>0</v>
      </c>
      <c r="H27" s="110">
        <v>0</v>
      </c>
      <c r="I27" s="105"/>
      <c r="J27" s="110"/>
      <c r="K27" s="110"/>
      <c r="L27" s="110"/>
      <c r="M27" s="110"/>
      <c r="N27" s="110"/>
      <c r="O27" s="2">
        <f>SUM(Actual_MarketingCosts[[#This Row],[JANUARY]:[DECEMBER]])</f>
        <v>10300</v>
      </c>
      <c r="P27" s="31"/>
    </row>
    <row r="28" spans="1:16" ht="24" customHeight="1" x14ac:dyDescent="0.35">
      <c r="A28" s="24"/>
      <c r="B28" s="132" t="s">
        <v>17</v>
      </c>
      <c r="C28" s="110">
        <v>100</v>
      </c>
      <c r="D28" s="110">
        <v>500</v>
      </c>
      <c r="E28" s="110">
        <v>100</v>
      </c>
      <c r="F28" s="110">
        <v>100</v>
      </c>
      <c r="G28" s="110">
        <v>600</v>
      </c>
      <c r="H28" s="110">
        <v>180</v>
      </c>
      <c r="I28" s="105"/>
      <c r="J28" s="110"/>
      <c r="K28" s="110"/>
      <c r="L28" s="110"/>
      <c r="M28" s="110"/>
      <c r="N28" s="110"/>
      <c r="O28" s="2">
        <f>SUM(Actual_MarketingCosts[[#This Row],[JANUARY]:[DECEMBER]])</f>
        <v>1580</v>
      </c>
      <c r="P28" s="31"/>
    </row>
    <row r="29" spans="1:16" ht="24" customHeight="1" x14ac:dyDescent="0.35">
      <c r="A29" s="24"/>
      <c r="B29" s="132" t="s">
        <v>18</v>
      </c>
      <c r="C29" s="110">
        <v>1800</v>
      </c>
      <c r="D29" s="110">
        <v>2200</v>
      </c>
      <c r="E29" s="110">
        <v>2200</v>
      </c>
      <c r="F29" s="110">
        <v>4700</v>
      </c>
      <c r="G29" s="110">
        <v>1500</v>
      </c>
      <c r="H29" s="110">
        <v>2300</v>
      </c>
      <c r="I29" s="105"/>
      <c r="J29" s="110"/>
      <c r="K29" s="110"/>
      <c r="L29" s="110"/>
      <c r="M29" s="110"/>
      <c r="N29" s="110"/>
      <c r="O29" s="2">
        <f>SUM(Actual_MarketingCosts[[#This Row],[JANUARY]:[DECEMBER]])</f>
        <v>14700</v>
      </c>
      <c r="P29" s="31"/>
    </row>
    <row r="30" spans="1:16" ht="24" customHeight="1" x14ac:dyDescent="0.35">
      <c r="A30" s="24"/>
      <c r="B30" s="132" t="s">
        <v>19</v>
      </c>
      <c r="C30" s="110">
        <v>145</v>
      </c>
      <c r="D30" s="110">
        <v>156</v>
      </c>
      <c r="E30" s="110">
        <v>123</v>
      </c>
      <c r="F30" s="110">
        <v>223</v>
      </c>
      <c r="G30" s="110">
        <v>187</v>
      </c>
      <c r="H30" s="110">
        <v>245</v>
      </c>
      <c r="I30" s="105"/>
      <c r="J30" s="110"/>
      <c r="K30" s="110"/>
      <c r="L30" s="110"/>
      <c r="M30" s="110"/>
      <c r="N30" s="110"/>
      <c r="O30" s="2">
        <f>SUM(Actual_MarketingCosts[[#This Row],[JANUARY]:[DECEMBER]])</f>
        <v>1079</v>
      </c>
      <c r="P30" s="31"/>
    </row>
    <row r="31" spans="1:16" ht="24" customHeight="1" x14ac:dyDescent="0.35">
      <c r="A31" s="24"/>
      <c r="B31" s="119"/>
      <c r="C31" s="111"/>
      <c r="D31" s="111"/>
      <c r="E31" s="111"/>
      <c r="F31" s="111"/>
      <c r="G31" s="111"/>
      <c r="H31" s="111"/>
      <c r="I31" s="106"/>
      <c r="J31" s="111"/>
      <c r="K31" s="111"/>
      <c r="L31" s="111"/>
      <c r="M31" s="111"/>
      <c r="N31" s="111"/>
      <c r="O31" s="26"/>
      <c r="P31" s="31"/>
    </row>
    <row r="32" spans="1:16" s="5" customFormat="1" ht="24" customHeight="1" x14ac:dyDescent="0.35">
      <c r="A32" s="33"/>
      <c r="B32" s="117" t="s">
        <v>36</v>
      </c>
      <c r="C32" s="122">
        <f ca="1">SUM(INDIRECT("Actual_TrainingTravel["&amp;C$6&amp;"]"))</f>
        <v>2800</v>
      </c>
      <c r="D32" s="122">
        <f t="shared" ref="D32:O32" ca="1" si="3">SUM(INDIRECT("Actual_TrainingTravel["&amp;D$6&amp;"]"))</f>
        <v>4600</v>
      </c>
      <c r="E32" s="122">
        <f t="shared" ca="1" si="3"/>
        <v>2800</v>
      </c>
      <c r="F32" s="122">
        <f t="shared" ca="1" si="3"/>
        <v>2800</v>
      </c>
      <c r="G32" s="122">
        <f t="shared" ca="1" si="3"/>
        <v>2000</v>
      </c>
      <c r="H32" s="122">
        <f t="shared" ca="1" si="3"/>
        <v>6300</v>
      </c>
      <c r="I32" s="126">
        <f t="shared" ca="1" si="3"/>
        <v>0</v>
      </c>
      <c r="J32" s="122">
        <f t="shared" ca="1" si="3"/>
        <v>0</v>
      </c>
      <c r="K32" s="122">
        <f t="shared" ca="1" si="3"/>
        <v>0</v>
      </c>
      <c r="L32" s="122">
        <f t="shared" ca="1" si="3"/>
        <v>0</v>
      </c>
      <c r="M32" s="122">
        <f t="shared" ca="1" si="3"/>
        <v>0</v>
      </c>
      <c r="N32" s="122">
        <f t="shared" ca="1" si="3"/>
        <v>0</v>
      </c>
      <c r="O32" s="129">
        <f t="shared" ca="1" si="3"/>
        <v>21300</v>
      </c>
      <c r="P32" s="34"/>
    </row>
    <row r="33" spans="1:16" ht="24" hidden="1" customHeight="1" x14ac:dyDescent="0.35">
      <c r="A33" s="24"/>
      <c r="B33" s="118" t="s">
        <v>62</v>
      </c>
      <c r="C33" s="123" t="s">
        <v>49</v>
      </c>
      <c r="D33" s="123" t="s">
        <v>50</v>
      </c>
      <c r="E33" s="123" t="s">
        <v>51</v>
      </c>
      <c r="F33" s="123" t="s">
        <v>52</v>
      </c>
      <c r="G33" s="123" t="s">
        <v>53</v>
      </c>
      <c r="H33" s="123" t="s">
        <v>54</v>
      </c>
      <c r="I33" s="127" t="s">
        <v>55</v>
      </c>
      <c r="J33" s="123" t="s">
        <v>56</v>
      </c>
      <c r="K33" s="123" t="s">
        <v>57</v>
      </c>
      <c r="L33" s="123" t="s">
        <v>58</v>
      </c>
      <c r="M33" s="123" t="s">
        <v>59</v>
      </c>
      <c r="N33" s="123" t="s">
        <v>60</v>
      </c>
      <c r="O33" s="115" t="s">
        <v>61</v>
      </c>
      <c r="P33" s="31"/>
    </row>
    <row r="34" spans="1:16" ht="24" customHeight="1" x14ac:dyDescent="0.35">
      <c r="A34" s="24"/>
      <c r="B34" s="132" t="s">
        <v>20</v>
      </c>
      <c r="C34" s="110">
        <v>1600</v>
      </c>
      <c r="D34" s="110">
        <v>2400</v>
      </c>
      <c r="E34" s="110">
        <v>1400</v>
      </c>
      <c r="F34" s="110">
        <v>1600</v>
      </c>
      <c r="G34" s="110">
        <v>1200</v>
      </c>
      <c r="H34" s="110">
        <v>2800</v>
      </c>
      <c r="I34" s="105"/>
      <c r="J34" s="110"/>
      <c r="K34" s="110"/>
      <c r="L34" s="110"/>
      <c r="M34" s="110"/>
      <c r="N34" s="110"/>
      <c r="O34" s="2">
        <f>SUM(Actual_TrainingTravel[[#This Row],[JANUARY]:[DECEMBER]])</f>
        <v>11000</v>
      </c>
      <c r="P34" s="31"/>
    </row>
    <row r="35" spans="1:16" ht="24" customHeight="1" x14ac:dyDescent="0.35">
      <c r="A35" s="24"/>
      <c r="B35" s="132" t="s">
        <v>35</v>
      </c>
      <c r="C35" s="110">
        <v>1200</v>
      </c>
      <c r="D35" s="110">
        <v>2200</v>
      </c>
      <c r="E35" s="110">
        <v>1400</v>
      </c>
      <c r="F35" s="110">
        <v>1200</v>
      </c>
      <c r="G35" s="110">
        <v>800</v>
      </c>
      <c r="H35" s="110">
        <v>3500</v>
      </c>
      <c r="I35" s="105"/>
      <c r="J35" s="110"/>
      <c r="K35" s="110"/>
      <c r="L35" s="110"/>
      <c r="M35" s="110"/>
      <c r="N35" s="110"/>
      <c r="O35" s="2">
        <f>SUM(Actual_TrainingTravel[[#This Row],[JANUARY]:[DECEMBER]])</f>
        <v>10300</v>
      </c>
      <c r="P35" s="31"/>
    </row>
    <row r="36" spans="1:16" ht="24" customHeight="1" x14ac:dyDescent="0.35">
      <c r="A36" s="24"/>
      <c r="B36" s="119"/>
      <c r="C36" s="111"/>
      <c r="D36" s="111"/>
      <c r="E36" s="111"/>
      <c r="F36" s="111"/>
      <c r="G36" s="111"/>
      <c r="H36" s="111"/>
      <c r="I36" s="106"/>
      <c r="J36" s="111"/>
      <c r="K36" s="111"/>
      <c r="L36" s="111"/>
      <c r="M36" s="111"/>
      <c r="N36" s="111"/>
      <c r="O36" s="26"/>
      <c r="P36" s="31"/>
    </row>
    <row r="37" spans="1:16" ht="36" customHeight="1" x14ac:dyDescent="0.35">
      <c r="A37" s="24"/>
      <c r="B37" s="120" t="s">
        <v>39</v>
      </c>
      <c r="C37" s="124">
        <f t="shared" ref="C37:O37" ca="1" si="4">C7+C12+C23+C32</f>
        <v>129682</v>
      </c>
      <c r="D37" s="124">
        <f t="shared" ca="1" si="4"/>
        <v>127804</v>
      </c>
      <c r="E37" s="124">
        <f t="shared" ca="1" si="4"/>
        <v>125565</v>
      </c>
      <c r="F37" s="124">
        <f t="shared" ca="1" si="4"/>
        <v>137394</v>
      </c>
      <c r="G37" s="124">
        <f t="shared" ca="1" si="4"/>
        <v>128255</v>
      </c>
      <c r="H37" s="124">
        <f t="shared" ca="1" si="4"/>
        <v>134239</v>
      </c>
      <c r="I37" s="128">
        <f t="shared" ca="1" si="4"/>
        <v>0</v>
      </c>
      <c r="J37" s="124">
        <f t="shared" ca="1" si="4"/>
        <v>0</v>
      </c>
      <c r="K37" s="124">
        <f t="shared" ca="1" si="4"/>
        <v>0</v>
      </c>
      <c r="L37" s="124">
        <f t="shared" ca="1" si="4"/>
        <v>0</v>
      </c>
      <c r="M37" s="124">
        <f t="shared" ca="1" si="4"/>
        <v>0</v>
      </c>
      <c r="N37" s="124">
        <f t="shared" ca="1" si="4"/>
        <v>0</v>
      </c>
      <c r="O37" s="131">
        <f t="shared" ca="1" si="4"/>
        <v>782939</v>
      </c>
      <c r="P37" s="31"/>
    </row>
    <row r="38" spans="1:16" ht="24" customHeight="1" x14ac:dyDescent="0.35">
      <c r="A38" s="24"/>
      <c r="B38" s="119"/>
      <c r="C38" s="111"/>
      <c r="D38" s="26"/>
      <c r="E38" s="26"/>
      <c r="F38" s="26"/>
      <c r="G38" s="26"/>
      <c r="H38" s="26"/>
      <c r="I38" s="106"/>
      <c r="J38" s="26"/>
      <c r="K38" s="26"/>
      <c r="L38" s="26"/>
      <c r="M38" s="26"/>
      <c r="N38" s="26"/>
      <c r="O38" s="26"/>
      <c r="P38" s="31"/>
    </row>
  </sheetData>
  <dataValidations count="1">
    <dataValidation allowBlank="1" showInputMessage="1" showErrorMessage="1" prompt="Enter your actual expenses to the tables below._x000a__x000a_When adding or editing line items, make sure you apply the changes in all four data tabs." sqref="A1" xr:uid="{00000000-0002-0000-01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8"/>
  <sheetViews>
    <sheetView showGridLines="0" zoomScaleNormal="100" workbookViewId="0"/>
  </sheetViews>
  <sheetFormatPr defaultColWidth="16.6640625" defaultRowHeight="24" customHeight="1" x14ac:dyDescent="0.35"/>
  <cols>
    <col min="1" max="1" width="2.77734375" style="1" customWidth="1"/>
    <col min="2" max="2" width="28.6640625" style="12" customWidth="1"/>
    <col min="3" max="15" width="14.33203125" style="2" customWidth="1"/>
    <col min="16" max="16" width="2.77734375" style="3" customWidth="1"/>
    <col min="17" max="16384" width="16.6640625" style="3"/>
  </cols>
  <sheetData>
    <row r="1" spans="1:16" ht="60" customHeight="1" x14ac:dyDescent="0.35">
      <c r="A1" s="195"/>
      <c r="B1" s="196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26"/>
      <c r="P1" s="27" t="s">
        <v>32</v>
      </c>
    </row>
    <row r="2" spans="1:16" s="4" customFormat="1" ht="28.5" customHeight="1" x14ac:dyDescent="0.45">
      <c r="A2" s="197"/>
      <c r="B2" s="198" t="str">
        <f>'Planned expenses'!B2</f>
        <v>Market Financial Consulting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29"/>
      <c r="P2" s="28"/>
    </row>
    <row r="3" spans="1:16" s="4" customFormat="1" ht="55.05" customHeight="1" thickBot="1" x14ac:dyDescent="0.4">
      <c r="A3" s="199"/>
      <c r="B3" s="200" t="s">
        <v>38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30"/>
      <c r="P3" s="28"/>
    </row>
    <row r="4" spans="1:16" s="4" customFormat="1" ht="45" customHeight="1" thickTop="1" x14ac:dyDescent="0.35">
      <c r="A4" s="197"/>
      <c r="B4" s="201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29"/>
      <c r="P4" s="28"/>
    </row>
    <row r="5" spans="1:16" ht="30" customHeight="1" x14ac:dyDescent="0.35">
      <c r="A5" s="24"/>
      <c r="B5" s="7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31"/>
    </row>
    <row r="6" spans="1:16" s="10" customFormat="1" ht="36" customHeight="1" x14ac:dyDescent="0.35">
      <c r="A6" s="32"/>
      <c r="B6" s="216"/>
      <c r="C6" s="217" t="s">
        <v>21</v>
      </c>
      <c r="D6" s="218" t="s">
        <v>22</v>
      </c>
      <c r="E6" s="219" t="s">
        <v>23</v>
      </c>
      <c r="F6" s="219" t="s">
        <v>24</v>
      </c>
      <c r="G6" s="219" t="s">
        <v>1</v>
      </c>
      <c r="H6" s="219" t="s">
        <v>25</v>
      </c>
      <c r="I6" s="219" t="s">
        <v>26</v>
      </c>
      <c r="J6" s="219" t="s">
        <v>27</v>
      </c>
      <c r="K6" s="219" t="s">
        <v>28</v>
      </c>
      <c r="L6" s="219" t="s">
        <v>29</v>
      </c>
      <c r="M6" s="219" t="s">
        <v>30</v>
      </c>
      <c r="N6" s="220" t="s">
        <v>31</v>
      </c>
      <c r="O6" s="221" t="s">
        <v>33</v>
      </c>
      <c r="P6" s="32"/>
    </row>
    <row r="7" spans="1:16" s="5" customFormat="1" ht="24" customHeight="1" x14ac:dyDescent="0.35">
      <c r="A7" s="33"/>
      <c r="B7" s="223" t="s">
        <v>34</v>
      </c>
      <c r="C7" s="224">
        <f ca="1">SUM(INDIRECT("Var_EmployeeCosts["&amp;C$6&amp;"]"))</f>
        <v>0</v>
      </c>
      <c r="D7" s="224">
        <f t="shared" ref="D7:O7" ca="1" si="0">SUM(INDIRECT("Var_EmployeeCosts["&amp;D$6&amp;"]"))</f>
        <v>0</v>
      </c>
      <c r="E7" s="224">
        <f t="shared" ca="1" si="0"/>
        <v>0</v>
      </c>
      <c r="F7" s="224">
        <f t="shared" ca="1" si="0"/>
        <v>-635</v>
      </c>
      <c r="G7" s="224">
        <f t="shared" ca="1" si="0"/>
        <v>-635</v>
      </c>
      <c r="H7" s="224">
        <f t="shared" ca="1" si="0"/>
        <v>-635</v>
      </c>
      <c r="I7" s="224">
        <f t="shared" ca="1" si="0"/>
        <v>0</v>
      </c>
      <c r="J7" s="224">
        <f t="shared" ca="1" si="0"/>
        <v>0</v>
      </c>
      <c r="K7" s="224">
        <f t="shared" ca="1" si="0"/>
        <v>0</v>
      </c>
      <c r="L7" s="224">
        <f t="shared" ca="1" si="0"/>
        <v>0</v>
      </c>
      <c r="M7" s="224">
        <f t="shared" ca="1" si="0"/>
        <v>0</v>
      </c>
      <c r="N7" s="224">
        <f t="shared" ca="1" si="0"/>
        <v>0</v>
      </c>
      <c r="O7" s="224">
        <f t="shared" ca="1" si="0"/>
        <v>-1905</v>
      </c>
      <c r="P7" s="34"/>
    </row>
    <row r="8" spans="1:16" ht="24" hidden="1" customHeight="1" x14ac:dyDescent="0.35">
      <c r="A8" s="24"/>
      <c r="B8" s="222" t="s">
        <v>48</v>
      </c>
      <c r="C8" s="2" t="s">
        <v>49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31"/>
    </row>
    <row r="9" spans="1:16" ht="24" customHeight="1" x14ac:dyDescent="0.35">
      <c r="A9" s="24"/>
      <c r="B9" s="12" t="s">
        <v>2</v>
      </c>
      <c r="C9" s="2">
        <f t="shared" ref="C9:N10" ca="1" si="1">IF(INDIRECT("Actual_EmployeeCosts["&amp;C$6&amp;"]")="","",INDIRECT("Plan_EmployeeCosts["&amp;C$6&amp;"]")-INDIRECT("Actual_EmployeeCosts["&amp;C$6&amp;"]"))</f>
        <v>0</v>
      </c>
      <c r="D9" s="2">
        <f t="shared" ca="1" si="1"/>
        <v>0</v>
      </c>
      <c r="E9" s="2">
        <f t="shared" ca="1" si="1"/>
        <v>0</v>
      </c>
      <c r="F9" s="2">
        <f t="shared" ca="1" si="1"/>
        <v>-500</v>
      </c>
      <c r="G9" s="2">
        <f t="shared" ca="1" si="1"/>
        <v>-500</v>
      </c>
      <c r="H9" s="2">
        <f t="shared" ca="1" si="1"/>
        <v>-500</v>
      </c>
      <c r="I9" s="2" t="str">
        <f t="shared" ca="1" si="1"/>
        <v/>
      </c>
      <c r="J9" s="2" t="str">
        <f t="shared" ca="1" si="1"/>
        <v/>
      </c>
      <c r="K9" s="2" t="str">
        <f t="shared" ca="1" si="1"/>
        <v/>
      </c>
      <c r="L9" s="2" t="str">
        <f t="shared" ca="1" si="1"/>
        <v/>
      </c>
      <c r="M9" s="2" t="str">
        <f t="shared" ca="1" si="1"/>
        <v/>
      </c>
      <c r="N9" s="2" t="str">
        <f t="shared" ca="1" si="1"/>
        <v/>
      </c>
      <c r="O9" s="2">
        <f ca="1">SUM(Var_EmployeeCosts[[#This Row],[JANUARY]:[DECEMBER]])</f>
        <v>-1500</v>
      </c>
      <c r="P9" s="31"/>
    </row>
    <row r="10" spans="1:16" ht="24" customHeight="1" x14ac:dyDescent="0.35">
      <c r="A10" s="24"/>
      <c r="B10" s="12" t="s">
        <v>3</v>
      </c>
      <c r="C10" s="2">
        <f t="shared" ca="1" si="1"/>
        <v>0</v>
      </c>
      <c r="D10" s="2">
        <f t="shared" ca="1" si="1"/>
        <v>0</v>
      </c>
      <c r="E10" s="2">
        <f t="shared" ca="1" si="1"/>
        <v>0</v>
      </c>
      <c r="F10" s="2">
        <f t="shared" ca="1" si="1"/>
        <v>-135</v>
      </c>
      <c r="G10" s="2">
        <f t="shared" ca="1" si="1"/>
        <v>-135</v>
      </c>
      <c r="H10" s="2">
        <f t="shared" ca="1" si="1"/>
        <v>-135</v>
      </c>
      <c r="I10" s="2" t="str">
        <f t="shared" ca="1" si="1"/>
        <v/>
      </c>
      <c r="J10" s="2" t="str">
        <f t="shared" ca="1" si="1"/>
        <v/>
      </c>
      <c r="K10" s="2" t="str">
        <f t="shared" ca="1" si="1"/>
        <v/>
      </c>
      <c r="L10" s="2" t="str">
        <f t="shared" ca="1" si="1"/>
        <v/>
      </c>
      <c r="M10" s="2" t="str">
        <f t="shared" ca="1" si="1"/>
        <v/>
      </c>
      <c r="N10" s="2" t="str">
        <f t="shared" ca="1" si="1"/>
        <v/>
      </c>
      <c r="O10" s="2">
        <f ca="1">SUM(Var_EmployeeCosts[[#This Row],[JANUARY]:[DECEMBER]])</f>
        <v>-405</v>
      </c>
      <c r="P10" s="31"/>
    </row>
    <row r="11" spans="1:16" s="5" customFormat="1" ht="24" customHeight="1" x14ac:dyDescent="0.35">
      <c r="A11" s="33"/>
      <c r="B11" s="25"/>
      <c r="C11" s="100"/>
      <c r="D11" s="106"/>
      <c r="E11" s="111"/>
      <c r="F11" s="111"/>
      <c r="G11" s="111"/>
      <c r="H11" s="111"/>
      <c r="I11" s="111"/>
      <c r="J11" s="111"/>
      <c r="K11" s="111"/>
      <c r="L11" s="111"/>
      <c r="M11" s="111"/>
      <c r="N11" s="26"/>
      <c r="O11" s="111"/>
      <c r="P11" s="34"/>
    </row>
    <row r="12" spans="1:16" s="5" customFormat="1" ht="24" customHeight="1" x14ac:dyDescent="0.35">
      <c r="A12" s="33"/>
      <c r="B12" s="92" t="s">
        <v>4</v>
      </c>
      <c r="C12" s="75">
        <f ca="1">SUM(INDIRECT("Var_OfficeCosts["&amp;C$6&amp;"]"))</f>
        <v>-17</v>
      </c>
      <c r="D12" s="97">
        <f t="shared" ref="D12:O12" ca="1" si="2">SUM(INDIRECT("Var_OfficeCosts["&amp;D$6&amp;"]"))</f>
        <v>72</v>
      </c>
      <c r="E12" s="108">
        <f t="shared" ca="1" si="2"/>
        <v>78</v>
      </c>
      <c r="F12" s="108">
        <f t="shared" ca="1" si="2"/>
        <v>-141</v>
      </c>
      <c r="G12" s="108">
        <f t="shared" ca="1" si="2"/>
        <v>-38</v>
      </c>
      <c r="H12" s="108">
        <f t="shared" ca="1" si="2"/>
        <v>16</v>
      </c>
      <c r="I12" s="108">
        <f t="shared" ca="1" si="2"/>
        <v>0</v>
      </c>
      <c r="J12" s="108">
        <f t="shared" ca="1" si="2"/>
        <v>0</v>
      </c>
      <c r="K12" s="108">
        <f t="shared" ca="1" si="2"/>
        <v>0</v>
      </c>
      <c r="L12" s="108">
        <f t="shared" ca="1" si="2"/>
        <v>0</v>
      </c>
      <c r="M12" s="108">
        <f t="shared" ca="1" si="2"/>
        <v>0</v>
      </c>
      <c r="N12" s="113">
        <f t="shared" ca="1" si="2"/>
        <v>0</v>
      </c>
      <c r="O12" s="108">
        <f t="shared" ca="1" si="2"/>
        <v>-30</v>
      </c>
      <c r="P12" s="34"/>
    </row>
    <row r="13" spans="1:16" ht="24" hidden="1" customHeight="1" x14ac:dyDescent="0.35">
      <c r="A13" s="24"/>
      <c r="B13" s="21" t="s">
        <v>4</v>
      </c>
      <c r="C13" s="94" t="s">
        <v>49</v>
      </c>
      <c r="D13" s="107" t="s">
        <v>50</v>
      </c>
      <c r="E13" s="109" t="s">
        <v>51</v>
      </c>
      <c r="F13" s="109" t="s">
        <v>52</v>
      </c>
      <c r="G13" s="109" t="s">
        <v>53</v>
      </c>
      <c r="H13" s="109" t="s">
        <v>54</v>
      </c>
      <c r="I13" s="109" t="s">
        <v>55</v>
      </c>
      <c r="J13" s="109" t="s">
        <v>56</v>
      </c>
      <c r="K13" s="109" t="s">
        <v>57</v>
      </c>
      <c r="L13" s="109" t="s">
        <v>58</v>
      </c>
      <c r="M13" s="109" t="s">
        <v>59</v>
      </c>
      <c r="N13" s="37" t="s">
        <v>60</v>
      </c>
      <c r="O13" s="109" t="s">
        <v>61</v>
      </c>
      <c r="P13" s="31"/>
    </row>
    <row r="14" spans="1:16" ht="24" customHeight="1" x14ac:dyDescent="0.35">
      <c r="A14" s="24"/>
      <c r="B14" s="12" t="s">
        <v>5</v>
      </c>
      <c r="C14" s="99">
        <f ca="1">IF(INDIRECT("Actual_OfficeCosts["&amp;C$6&amp;"]")="","",INDIRECT("Plan_OfficeCosts["&amp;C$6&amp;"]")-INDIRECT("Actual_OfficeCosts["&amp;C$6&amp;"]"))</f>
        <v>0</v>
      </c>
      <c r="D14" s="105">
        <f t="shared" ref="D14:N21" ca="1" si="3">IF(INDIRECT("Actual_OfficeCosts["&amp;D$6&amp;"]")="","",INDIRECT("Plan_OfficeCosts["&amp;D$6&amp;"]")-INDIRECT("Actual_OfficeCosts["&amp;D$6&amp;"]"))</f>
        <v>0</v>
      </c>
      <c r="E14" s="110">
        <f t="shared" ca="1" si="3"/>
        <v>0</v>
      </c>
      <c r="F14" s="110">
        <f t="shared" ca="1" si="3"/>
        <v>0</v>
      </c>
      <c r="G14" s="110">
        <f t="shared" ca="1" si="3"/>
        <v>0</v>
      </c>
      <c r="H14" s="110">
        <f t="shared" ca="1" si="3"/>
        <v>0</v>
      </c>
      <c r="I14" s="110" t="str">
        <f t="shared" ca="1" si="3"/>
        <v/>
      </c>
      <c r="J14" s="110" t="str">
        <f t="shared" ca="1" si="3"/>
        <v/>
      </c>
      <c r="K14" s="110" t="str">
        <f t="shared" ca="1" si="3"/>
        <v/>
      </c>
      <c r="L14" s="110" t="str">
        <f t="shared" ca="1" si="3"/>
        <v/>
      </c>
      <c r="M14" s="110" t="str">
        <f t="shared" ca="1" si="3"/>
        <v/>
      </c>
      <c r="N14" s="2" t="str">
        <f t="shared" ca="1" si="3"/>
        <v/>
      </c>
      <c r="O14" s="110">
        <f ca="1">SUM(Var_OfficeCosts[[#This Row],[JANUARY]:[DECEMBER]])</f>
        <v>0</v>
      </c>
      <c r="P14" s="31"/>
    </row>
    <row r="15" spans="1:16" ht="24" customHeight="1" x14ac:dyDescent="0.35">
      <c r="A15" s="24"/>
      <c r="B15" s="12" t="s">
        <v>6</v>
      </c>
      <c r="C15" s="99">
        <f t="shared" ref="C15:C21" ca="1" si="4">IF(INDIRECT("Actual_OfficeCosts["&amp;C$6&amp;"]")="","",INDIRECT("Plan_OfficeCosts["&amp;C$6&amp;"]")-INDIRECT("Actual_OfficeCosts["&amp;C$6&amp;"]"))</f>
        <v>-4</v>
      </c>
      <c r="D15" s="105">
        <f t="shared" ca="1" si="3"/>
        <v>-30</v>
      </c>
      <c r="E15" s="110">
        <f t="shared" ca="1" si="3"/>
        <v>15</v>
      </c>
      <c r="F15" s="110">
        <f t="shared" ca="1" si="3"/>
        <v>-130</v>
      </c>
      <c r="G15" s="110">
        <f t="shared" ca="1" si="3"/>
        <v>13</v>
      </c>
      <c r="H15" s="110">
        <f t="shared" ca="1" si="3"/>
        <v>12</v>
      </c>
      <c r="I15" s="110" t="str">
        <f t="shared" ca="1" si="3"/>
        <v/>
      </c>
      <c r="J15" s="110" t="str">
        <f t="shared" ca="1" si="3"/>
        <v/>
      </c>
      <c r="K15" s="110" t="str">
        <f t="shared" ca="1" si="3"/>
        <v/>
      </c>
      <c r="L15" s="110" t="str">
        <f t="shared" ca="1" si="3"/>
        <v/>
      </c>
      <c r="M15" s="110" t="str">
        <f t="shared" ca="1" si="3"/>
        <v/>
      </c>
      <c r="N15" s="2" t="str">
        <f t="shared" ca="1" si="3"/>
        <v/>
      </c>
      <c r="O15" s="110">
        <f ca="1">SUM(Var_OfficeCosts[[#This Row],[JANUARY]:[DECEMBER]])</f>
        <v>-124</v>
      </c>
      <c r="P15" s="31"/>
    </row>
    <row r="16" spans="1:16" ht="24" customHeight="1" x14ac:dyDescent="0.35">
      <c r="A16" s="24"/>
      <c r="B16" s="12" t="s">
        <v>7</v>
      </c>
      <c r="C16" s="99">
        <f t="shared" ca="1" si="4"/>
        <v>12</v>
      </c>
      <c r="D16" s="105">
        <f t="shared" ca="1" si="3"/>
        <v>22</v>
      </c>
      <c r="E16" s="110">
        <f t="shared" ca="1" si="3"/>
        <v>32</v>
      </c>
      <c r="F16" s="110">
        <f t="shared" ca="1" si="3"/>
        <v>1</v>
      </c>
      <c r="G16" s="110">
        <f t="shared" ca="1" si="3"/>
        <v>-6</v>
      </c>
      <c r="H16" s="110">
        <f t="shared" ca="1" si="3"/>
        <v>10</v>
      </c>
      <c r="I16" s="110" t="str">
        <f t="shared" ca="1" si="3"/>
        <v/>
      </c>
      <c r="J16" s="110" t="str">
        <f t="shared" ca="1" si="3"/>
        <v/>
      </c>
      <c r="K16" s="110" t="str">
        <f t="shared" ca="1" si="3"/>
        <v/>
      </c>
      <c r="L16" s="110" t="str">
        <f t="shared" ca="1" si="3"/>
        <v/>
      </c>
      <c r="M16" s="110" t="str">
        <f t="shared" ca="1" si="3"/>
        <v/>
      </c>
      <c r="N16" s="2" t="str">
        <f t="shared" ca="1" si="3"/>
        <v/>
      </c>
      <c r="O16" s="110">
        <f ca="1">SUM(Var_OfficeCosts[[#This Row],[JANUARY]:[DECEMBER]])</f>
        <v>71</v>
      </c>
      <c r="P16" s="31"/>
    </row>
    <row r="17" spans="1:17" ht="24" customHeight="1" x14ac:dyDescent="0.35">
      <c r="A17" s="24"/>
      <c r="B17" s="12" t="s">
        <v>8</v>
      </c>
      <c r="C17" s="99">
        <f t="shared" ca="1" si="4"/>
        <v>5</v>
      </c>
      <c r="D17" s="105">
        <f t="shared" ca="1" si="3"/>
        <v>7</v>
      </c>
      <c r="E17" s="110">
        <f t="shared" ca="1" si="3"/>
        <v>6</v>
      </c>
      <c r="F17" s="110">
        <f t="shared" ca="1" si="3"/>
        <v>4</v>
      </c>
      <c r="G17" s="110">
        <f t="shared" ca="1" si="3"/>
        <v>6</v>
      </c>
      <c r="H17" s="110">
        <f t="shared" ca="1" si="3"/>
        <v>4</v>
      </c>
      <c r="I17" s="110" t="str">
        <f t="shared" ca="1" si="3"/>
        <v/>
      </c>
      <c r="J17" s="110" t="str">
        <f t="shared" ca="1" si="3"/>
        <v/>
      </c>
      <c r="K17" s="110" t="str">
        <f t="shared" ca="1" si="3"/>
        <v/>
      </c>
      <c r="L17" s="110" t="str">
        <f t="shared" ca="1" si="3"/>
        <v/>
      </c>
      <c r="M17" s="110" t="str">
        <f t="shared" ca="1" si="3"/>
        <v/>
      </c>
      <c r="N17" s="2" t="str">
        <f t="shared" ca="1" si="3"/>
        <v/>
      </c>
      <c r="O17" s="110">
        <f ca="1">SUM(Var_OfficeCosts[[#This Row],[JANUARY]:[DECEMBER]])</f>
        <v>32</v>
      </c>
      <c r="P17" s="31"/>
    </row>
    <row r="18" spans="1:17" ht="24" customHeight="1" x14ac:dyDescent="0.35">
      <c r="A18" s="24"/>
      <c r="B18" s="12" t="s">
        <v>9</v>
      </c>
      <c r="C18" s="99">
        <f t="shared" ca="1" si="4"/>
        <v>26</v>
      </c>
      <c r="D18" s="105">
        <f t="shared" ca="1" si="3"/>
        <v>15</v>
      </c>
      <c r="E18" s="110">
        <f t="shared" ca="1" si="3"/>
        <v>-15</v>
      </c>
      <c r="F18" s="110">
        <f t="shared" ca="1" si="3"/>
        <v>5</v>
      </c>
      <c r="G18" s="110">
        <f t="shared" ca="1" si="3"/>
        <v>5</v>
      </c>
      <c r="H18" s="110">
        <f t="shared" ca="1" si="3"/>
        <v>30</v>
      </c>
      <c r="I18" s="110" t="str">
        <f t="shared" ca="1" si="3"/>
        <v/>
      </c>
      <c r="J18" s="110" t="str">
        <f t="shared" ca="1" si="3"/>
        <v/>
      </c>
      <c r="K18" s="110" t="str">
        <f t="shared" ca="1" si="3"/>
        <v/>
      </c>
      <c r="L18" s="110" t="str">
        <f t="shared" ca="1" si="3"/>
        <v/>
      </c>
      <c r="M18" s="110" t="str">
        <f t="shared" ca="1" si="3"/>
        <v/>
      </c>
      <c r="N18" s="2" t="str">
        <f t="shared" ca="1" si="3"/>
        <v/>
      </c>
      <c r="O18" s="110">
        <f ca="1">SUM(Var_OfficeCosts[[#This Row],[JANUARY]:[DECEMBER]])</f>
        <v>66</v>
      </c>
      <c r="P18" s="31"/>
    </row>
    <row r="19" spans="1:17" ht="24" customHeight="1" x14ac:dyDescent="0.35">
      <c r="A19" s="24"/>
      <c r="B19" s="12" t="s">
        <v>10</v>
      </c>
      <c r="C19" s="99">
        <f t="shared" ca="1" si="4"/>
        <v>0</v>
      </c>
      <c r="D19" s="105">
        <f t="shared" ca="1" si="3"/>
        <v>0</v>
      </c>
      <c r="E19" s="110">
        <f t="shared" ca="1" si="3"/>
        <v>0</v>
      </c>
      <c r="F19" s="110">
        <f t="shared" ca="1" si="3"/>
        <v>0</v>
      </c>
      <c r="G19" s="110">
        <f t="shared" ca="1" si="3"/>
        <v>0</v>
      </c>
      <c r="H19" s="110">
        <f t="shared" ca="1" si="3"/>
        <v>0</v>
      </c>
      <c r="I19" s="110" t="str">
        <f t="shared" ca="1" si="3"/>
        <v/>
      </c>
      <c r="J19" s="110" t="str">
        <f t="shared" ca="1" si="3"/>
        <v/>
      </c>
      <c r="K19" s="110" t="str">
        <f t="shared" ca="1" si="3"/>
        <v/>
      </c>
      <c r="L19" s="110" t="str">
        <f t="shared" ca="1" si="3"/>
        <v/>
      </c>
      <c r="M19" s="110" t="str">
        <f t="shared" ca="1" si="3"/>
        <v/>
      </c>
      <c r="N19" s="2" t="str">
        <f t="shared" ca="1" si="3"/>
        <v/>
      </c>
      <c r="O19" s="110">
        <f ca="1">SUM(Var_OfficeCosts[[#This Row],[JANUARY]:[DECEMBER]])</f>
        <v>0</v>
      </c>
      <c r="P19" s="31"/>
    </row>
    <row r="20" spans="1:17" ht="24" customHeight="1" x14ac:dyDescent="0.35">
      <c r="A20" s="24"/>
      <c r="B20" s="12" t="s">
        <v>11</v>
      </c>
      <c r="C20" s="99">
        <f t="shared" ca="1" si="4"/>
        <v>-56</v>
      </c>
      <c r="D20" s="105">
        <f t="shared" ca="1" si="3"/>
        <v>58</v>
      </c>
      <c r="E20" s="110">
        <f t="shared" ca="1" si="3"/>
        <v>40</v>
      </c>
      <c r="F20" s="110">
        <f t="shared" ca="1" si="3"/>
        <v>-21</v>
      </c>
      <c r="G20" s="110">
        <f t="shared" ca="1" si="3"/>
        <v>-56</v>
      </c>
      <c r="H20" s="110">
        <f t="shared" ca="1" si="3"/>
        <v>-40</v>
      </c>
      <c r="I20" s="110" t="str">
        <f t="shared" ca="1" si="3"/>
        <v/>
      </c>
      <c r="J20" s="110" t="str">
        <f t="shared" ca="1" si="3"/>
        <v/>
      </c>
      <c r="K20" s="110" t="str">
        <f t="shared" ca="1" si="3"/>
        <v/>
      </c>
      <c r="L20" s="110" t="str">
        <f t="shared" ca="1" si="3"/>
        <v/>
      </c>
      <c r="M20" s="110" t="str">
        <f t="shared" ca="1" si="3"/>
        <v/>
      </c>
      <c r="N20" s="2" t="str">
        <f t="shared" ca="1" si="3"/>
        <v/>
      </c>
      <c r="O20" s="110">
        <f ca="1">SUM(Var_OfficeCosts[[#This Row],[JANUARY]:[DECEMBER]])</f>
        <v>-75</v>
      </c>
      <c r="P20" s="31"/>
    </row>
    <row r="21" spans="1:17" s="5" customFormat="1" ht="24" customHeight="1" x14ac:dyDescent="0.35">
      <c r="A21" s="33"/>
      <c r="B21" s="12" t="s">
        <v>12</v>
      </c>
      <c r="C21" s="99">
        <f t="shared" ca="1" si="4"/>
        <v>0</v>
      </c>
      <c r="D21" s="105">
        <f t="shared" ca="1" si="3"/>
        <v>0</v>
      </c>
      <c r="E21" s="110">
        <f t="shared" ca="1" si="3"/>
        <v>0</v>
      </c>
      <c r="F21" s="110">
        <f t="shared" ca="1" si="3"/>
        <v>0</v>
      </c>
      <c r="G21" s="110">
        <f t="shared" ca="1" si="3"/>
        <v>0</v>
      </c>
      <c r="H21" s="110">
        <f t="shared" ca="1" si="3"/>
        <v>0</v>
      </c>
      <c r="I21" s="110" t="str">
        <f t="shared" ca="1" si="3"/>
        <v/>
      </c>
      <c r="J21" s="110" t="str">
        <f t="shared" ca="1" si="3"/>
        <v/>
      </c>
      <c r="K21" s="110" t="str">
        <f t="shared" ca="1" si="3"/>
        <v/>
      </c>
      <c r="L21" s="110" t="str">
        <f t="shared" ca="1" si="3"/>
        <v/>
      </c>
      <c r="M21" s="110" t="str">
        <f t="shared" ca="1" si="3"/>
        <v/>
      </c>
      <c r="N21" s="2" t="str">
        <f t="shared" ca="1" si="3"/>
        <v/>
      </c>
      <c r="O21" s="110">
        <f ca="1">SUM(Var_OfficeCosts[[#This Row],[JANUARY]:[DECEMBER]])</f>
        <v>0</v>
      </c>
      <c r="P21" s="34"/>
    </row>
    <row r="22" spans="1:17" ht="24" customHeight="1" x14ac:dyDescent="0.35">
      <c r="A22" s="24"/>
      <c r="B22" s="25"/>
      <c r="C22" s="101"/>
      <c r="D22" s="106"/>
      <c r="E22" s="111"/>
      <c r="F22" s="111"/>
      <c r="G22" s="111"/>
      <c r="H22" s="111"/>
      <c r="I22" s="111"/>
      <c r="J22" s="111"/>
      <c r="K22" s="111"/>
      <c r="L22" s="111"/>
      <c r="M22" s="111"/>
      <c r="N22" s="26"/>
      <c r="O22" s="111"/>
      <c r="P22" s="31"/>
      <c r="Q22" s="96"/>
    </row>
    <row r="23" spans="1:17" s="5" customFormat="1" ht="24" customHeight="1" x14ac:dyDescent="0.35">
      <c r="A23" s="33"/>
      <c r="B23" s="92" t="s">
        <v>13</v>
      </c>
      <c r="C23" s="97">
        <f ca="1">SUM(INDIRECT("Var_MarketingCosts["&amp;C$6&amp;"]"))</f>
        <v>555</v>
      </c>
      <c r="D23" s="103">
        <f t="shared" ref="D23:O23" ca="1" si="5">SUM(INDIRECT("Var_MarketingCosts["&amp;D$6&amp;"]"))</f>
        <v>-456</v>
      </c>
      <c r="E23" s="108">
        <f t="shared" ca="1" si="5"/>
        <v>-23</v>
      </c>
      <c r="F23" s="108">
        <f t="shared" ca="1" si="5"/>
        <v>-123</v>
      </c>
      <c r="G23" s="108">
        <f t="shared" ca="1" si="5"/>
        <v>113</v>
      </c>
      <c r="H23" s="108">
        <f t="shared" ca="1" si="5"/>
        <v>-825</v>
      </c>
      <c r="I23" s="108">
        <f t="shared" ca="1" si="5"/>
        <v>0</v>
      </c>
      <c r="J23" s="108">
        <f t="shared" ca="1" si="5"/>
        <v>0</v>
      </c>
      <c r="K23" s="108">
        <f t="shared" ca="1" si="5"/>
        <v>0</v>
      </c>
      <c r="L23" s="108">
        <f t="shared" ca="1" si="5"/>
        <v>0</v>
      </c>
      <c r="M23" s="108">
        <f t="shared" ca="1" si="5"/>
        <v>0</v>
      </c>
      <c r="N23" s="113">
        <f t="shared" ca="1" si="5"/>
        <v>0</v>
      </c>
      <c r="O23" s="108">
        <f t="shared" ca="1" si="5"/>
        <v>-759</v>
      </c>
      <c r="P23" s="34"/>
    </row>
    <row r="24" spans="1:17" ht="24" hidden="1" customHeight="1" x14ac:dyDescent="0.35">
      <c r="A24" s="24"/>
      <c r="B24" s="21" t="s">
        <v>13</v>
      </c>
      <c r="C24" s="98" t="s">
        <v>49</v>
      </c>
      <c r="D24" s="104" t="s">
        <v>50</v>
      </c>
      <c r="E24" s="109" t="s">
        <v>51</v>
      </c>
      <c r="F24" s="109" t="s">
        <v>52</v>
      </c>
      <c r="G24" s="109" t="s">
        <v>53</v>
      </c>
      <c r="H24" s="109" t="s">
        <v>54</v>
      </c>
      <c r="I24" s="109" t="s">
        <v>55</v>
      </c>
      <c r="J24" s="109" t="s">
        <v>56</v>
      </c>
      <c r="K24" s="109" t="s">
        <v>57</v>
      </c>
      <c r="L24" s="109" t="s">
        <v>58</v>
      </c>
      <c r="M24" s="109" t="s">
        <v>59</v>
      </c>
      <c r="N24" s="37" t="s">
        <v>60</v>
      </c>
      <c r="O24" s="109" t="s">
        <v>61</v>
      </c>
      <c r="P24" s="31"/>
    </row>
    <row r="25" spans="1:17" ht="24" customHeight="1" x14ac:dyDescent="0.35">
      <c r="A25" s="24"/>
      <c r="B25" s="12" t="s">
        <v>14</v>
      </c>
      <c r="C25" s="99">
        <f ca="1">IF(INDIRECT("Actual_MarketingCosts["&amp;C$6&amp;"]")="","",INDIRECT("Plan_MarketingCosts["&amp;C$6&amp;"]")-INDIRECT("Actual_MarketingCosts["&amp;C$6&amp;"]"))</f>
        <v>0</v>
      </c>
      <c r="D25" s="105">
        <f t="shared" ref="D25:N30" ca="1" si="6">IF(INDIRECT("Actual_MarketingCosts["&amp;D$6&amp;"]")="","",INDIRECT("Plan_MarketingCosts["&amp;D$6&amp;"]")-INDIRECT("Actual_MarketingCosts["&amp;D$6&amp;"]"))</f>
        <v>0</v>
      </c>
      <c r="E25" s="110">
        <f t="shared" ca="1" si="6"/>
        <v>0</v>
      </c>
      <c r="F25" s="110">
        <f t="shared" ca="1" si="6"/>
        <v>0</v>
      </c>
      <c r="G25" s="110">
        <f t="shared" ca="1" si="6"/>
        <v>0</v>
      </c>
      <c r="H25" s="110">
        <f t="shared" ca="1" si="6"/>
        <v>0</v>
      </c>
      <c r="I25" s="110" t="str">
        <f t="shared" ca="1" si="6"/>
        <v/>
      </c>
      <c r="J25" s="110" t="str">
        <f t="shared" ca="1" si="6"/>
        <v/>
      </c>
      <c r="K25" s="110" t="str">
        <f t="shared" ca="1" si="6"/>
        <v/>
      </c>
      <c r="L25" s="110" t="str">
        <f t="shared" ca="1" si="6"/>
        <v/>
      </c>
      <c r="M25" s="110" t="str">
        <f t="shared" ca="1" si="6"/>
        <v/>
      </c>
      <c r="N25" s="2" t="str">
        <f t="shared" ca="1" si="6"/>
        <v/>
      </c>
      <c r="O25" s="110">
        <f ca="1">SUM(Var_MarketingCosts[[#This Row],[JANUARY]:[DECEMBER]])</f>
        <v>0</v>
      </c>
      <c r="P25" s="31"/>
    </row>
    <row r="26" spans="1:17" ht="24" customHeight="1" x14ac:dyDescent="0.35">
      <c r="A26" s="24"/>
      <c r="B26" s="12" t="s">
        <v>15</v>
      </c>
      <c r="C26" s="99">
        <f t="shared" ref="C26:C30" ca="1" si="7">IF(INDIRECT("Actual_MarketingCosts["&amp;C$6&amp;"]")="","",INDIRECT("Plan_MarketingCosts["&amp;C$6&amp;"]")-INDIRECT("Actual_MarketingCosts["&amp;C$6&amp;"]"))</f>
        <v>0</v>
      </c>
      <c r="D26" s="105">
        <f t="shared" ca="1" si="6"/>
        <v>0</v>
      </c>
      <c r="E26" s="110">
        <f t="shared" ca="1" si="6"/>
        <v>0</v>
      </c>
      <c r="F26" s="110">
        <f t="shared" ca="1" si="6"/>
        <v>0</v>
      </c>
      <c r="G26" s="110">
        <f t="shared" ca="1" si="6"/>
        <v>0</v>
      </c>
      <c r="H26" s="110">
        <f t="shared" ca="1" si="6"/>
        <v>-500</v>
      </c>
      <c r="I26" s="110" t="str">
        <f t="shared" ca="1" si="6"/>
        <v/>
      </c>
      <c r="J26" s="110" t="str">
        <f t="shared" ca="1" si="6"/>
        <v/>
      </c>
      <c r="K26" s="110" t="str">
        <f t="shared" ca="1" si="6"/>
        <v/>
      </c>
      <c r="L26" s="110" t="str">
        <f t="shared" ca="1" si="6"/>
        <v/>
      </c>
      <c r="M26" s="110" t="str">
        <f t="shared" ca="1" si="6"/>
        <v/>
      </c>
      <c r="N26" s="2" t="str">
        <f t="shared" ca="1" si="6"/>
        <v/>
      </c>
      <c r="O26" s="110">
        <f ca="1">SUM(Var_MarketingCosts[[#This Row],[JANUARY]:[DECEMBER]])</f>
        <v>-500</v>
      </c>
      <c r="P26" s="31"/>
    </row>
    <row r="27" spans="1:17" ht="24" customHeight="1" x14ac:dyDescent="0.35">
      <c r="A27" s="24"/>
      <c r="B27" s="12" t="s">
        <v>16</v>
      </c>
      <c r="C27" s="99">
        <f t="shared" ca="1" si="7"/>
        <v>200</v>
      </c>
      <c r="D27" s="105">
        <f t="shared" ca="1" si="6"/>
        <v>0</v>
      </c>
      <c r="E27" s="110">
        <f t="shared" ca="1" si="6"/>
        <v>0</v>
      </c>
      <c r="F27" s="110">
        <f t="shared" ca="1" si="6"/>
        <v>-500</v>
      </c>
      <c r="G27" s="110">
        <f t="shared" ca="1" si="6"/>
        <v>0</v>
      </c>
      <c r="H27" s="110">
        <f t="shared" ca="1" si="6"/>
        <v>0</v>
      </c>
      <c r="I27" s="110" t="str">
        <f t="shared" ca="1" si="6"/>
        <v/>
      </c>
      <c r="J27" s="110" t="str">
        <f t="shared" ca="1" si="6"/>
        <v/>
      </c>
      <c r="K27" s="110" t="str">
        <f t="shared" ca="1" si="6"/>
        <v/>
      </c>
      <c r="L27" s="110" t="str">
        <f t="shared" ca="1" si="6"/>
        <v/>
      </c>
      <c r="M27" s="110" t="str">
        <f t="shared" ca="1" si="6"/>
        <v/>
      </c>
      <c r="N27" s="2" t="str">
        <f t="shared" ca="1" si="6"/>
        <v/>
      </c>
      <c r="O27" s="110">
        <f ca="1">SUM(Var_MarketingCosts[[#This Row],[JANUARY]:[DECEMBER]])</f>
        <v>-300</v>
      </c>
      <c r="P27" s="31"/>
    </row>
    <row r="28" spans="1:17" ht="24" customHeight="1" x14ac:dyDescent="0.35">
      <c r="A28" s="24"/>
      <c r="B28" s="12" t="s">
        <v>17</v>
      </c>
      <c r="C28" s="99">
        <f t="shared" ca="1" si="7"/>
        <v>100</v>
      </c>
      <c r="D28" s="105">
        <f t="shared" ca="1" si="6"/>
        <v>-300</v>
      </c>
      <c r="E28" s="110">
        <f t="shared" ca="1" si="6"/>
        <v>100</v>
      </c>
      <c r="F28" s="110">
        <f t="shared" ca="1" si="6"/>
        <v>100</v>
      </c>
      <c r="G28" s="110">
        <f t="shared" ca="1" si="6"/>
        <v>-400</v>
      </c>
      <c r="H28" s="110">
        <f t="shared" ca="1" si="6"/>
        <v>20</v>
      </c>
      <c r="I28" s="110" t="str">
        <f t="shared" ca="1" si="6"/>
        <v/>
      </c>
      <c r="J28" s="110" t="str">
        <f t="shared" ca="1" si="6"/>
        <v/>
      </c>
      <c r="K28" s="110" t="str">
        <f t="shared" ca="1" si="6"/>
        <v/>
      </c>
      <c r="L28" s="110" t="str">
        <f t="shared" ca="1" si="6"/>
        <v/>
      </c>
      <c r="M28" s="110" t="str">
        <f t="shared" ca="1" si="6"/>
        <v/>
      </c>
      <c r="N28" s="2" t="str">
        <f t="shared" ca="1" si="6"/>
        <v/>
      </c>
      <c r="O28" s="110">
        <f ca="1">SUM(Var_MarketingCosts[[#This Row],[JANUARY]:[DECEMBER]])</f>
        <v>-380</v>
      </c>
      <c r="P28" s="31"/>
    </row>
    <row r="29" spans="1:17" ht="24" customHeight="1" x14ac:dyDescent="0.35">
      <c r="A29" s="24"/>
      <c r="B29" s="12" t="s">
        <v>18</v>
      </c>
      <c r="C29" s="99">
        <f t="shared" ca="1" si="7"/>
        <v>200</v>
      </c>
      <c r="D29" s="105">
        <f t="shared" ca="1" si="6"/>
        <v>-200</v>
      </c>
      <c r="E29" s="110">
        <f t="shared" ca="1" si="6"/>
        <v>-200</v>
      </c>
      <c r="F29" s="110">
        <f t="shared" ca="1" si="6"/>
        <v>300</v>
      </c>
      <c r="G29" s="110">
        <f t="shared" ca="1" si="6"/>
        <v>500</v>
      </c>
      <c r="H29" s="110">
        <f t="shared" ca="1" si="6"/>
        <v>-300</v>
      </c>
      <c r="I29" s="110" t="str">
        <f t="shared" ca="1" si="6"/>
        <v/>
      </c>
      <c r="J29" s="110" t="str">
        <f t="shared" ca="1" si="6"/>
        <v/>
      </c>
      <c r="K29" s="110" t="str">
        <f t="shared" ca="1" si="6"/>
        <v/>
      </c>
      <c r="L29" s="110" t="str">
        <f t="shared" ca="1" si="6"/>
        <v/>
      </c>
      <c r="M29" s="110" t="str">
        <f t="shared" ca="1" si="6"/>
        <v/>
      </c>
      <c r="N29" s="2" t="str">
        <f t="shared" ca="1" si="6"/>
        <v/>
      </c>
      <c r="O29" s="110">
        <f ca="1">SUM(Var_MarketingCosts[[#This Row],[JANUARY]:[DECEMBER]])</f>
        <v>300</v>
      </c>
      <c r="P29" s="31"/>
    </row>
    <row r="30" spans="1:17" ht="24" customHeight="1" x14ac:dyDescent="0.35">
      <c r="A30" s="24"/>
      <c r="B30" s="12" t="s">
        <v>19</v>
      </c>
      <c r="C30" s="99">
        <f t="shared" ca="1" si="7"/>
        <v>55</v>
      </c>
      <c r="D30" s="105">
        <f t="shared" ca="1" si="6"/>
        <v>44</v>
      </c>
      <c r="E30" s="110">
        <f t="shared" ca="1" si="6"/>
        <v>77</v>
      </c>
      <c r="F30" s="110">
        <f t="shared" ca="1" si="6"/>
        <v>-23</v>
      </c>
      <c r="G30" s="110">
        <f t="shared" ca="1" si="6"/>
        <v>13</v>
      </c>
      <c r="H30" s="110">
        <f t="shared" ca="1" si="6"/>
        <v>-45</v>
      </c>
      <c r="I30" s="110" t="str">
        <f t="shared" ca="1" si="6"/>
        <v/>
      </c>
      <c r="J30" s="110" t="str">
        <f t="shared" ca="1" si="6"/>
        <v/>
      </c>
      <c r="K30" s="110" t="str">
        <f t="shared" ca="1" si="6"/>
        <v/>
      </c>
      <c r="L30" s="110" t="str">
        <f t="shared" ca="1" si="6"/>
        <v/>
      </c>
      <c r="M30" s="110" t="str">
        <f t="shared" ca="1" si="6"/>
        <v/>
      </c>
      <c r="N30" s="2" t="str">
        <f t="shared" ca="1" si="6"/>
        <v/>
      </c>
      <c r="O30" s="110">
        <f ca="1">SUM(Var_MarketingCosts[[#This Row],[JANUARY]:[DECEMBER]])</f>
        <v>121</v>
      </c>
      <c r="P30" s="31"/>
    </row>
    <row r="31" spans="1:17" ht="24" customHeight="1" x14ac:dyDescent="0.35">
      <c r="A31" s="24"/>
      <c r="C31" s="99"/>
      <c r="D31" s="105"/>
      <c r="E31" s="110"/>
      <c r="F31" s="110"/>
      <c r="G31" s="110"/>
      <c r="H31" s="110"/>
      <c r="I31" s="110"/>
      <c r="J31" s="110"/>
      <c r="K31" s="110"/>
      <c r="L31" s="110"/>
      <c r="M31" s="110"/>
      <c r="O31" s="110"/>
      <c r="P31" s="31"/>
    </row>
    <row r="32" spans="1:17" s="5" customFormat="1" ht="24" customHeight="1" x14ac:dyDescent="0.35">
      <c r="A32" s="33"/>
      <c r="B32" s="92" t="s">
        <v>36</v>
      </c>
      <c r="C32" s="97">
        <f ca="1">SUM(INDIRECT("Var_TrainingTravel["&amp;C$6&amp;"]"))</f>
        <v>1200</v>
      </c>
      <c r="D32" s="103">
        <f t="shared" ref="D32:O32" ca="1" si="8">SUM(INDIRECT("Var_TrainingTravel["&amp;D$6&amp;"]"))</f>
        <v>-600</v>
      </c>
      <c r="E32" s="108">
        <f t="shared" ca="1" si="8"/>
        <v>1200</v>
      </c>
      <c r="F32" s="108">
        <f t="shared" ca="1" si="8"/>
        <v>1200</v>
      </c>
      <c r="G32" s="108">
        <f t="shared" ca="1" si="8"/>
        <v>2000</v>
      </c>
      <c r="H32" s="108">
        <f t="shared" ca="1" si="8"/>
        <v>-2300</v>
      </c>
      <c r="I32" s="108">
        <f t="shared" ca="1" si="8"/>
        <v>0</v>
      </c>
      <c r="J32" s="108">
        <f t="shared" ca="1" si="8"/>
        <v>0</v>
      </c>
      <c r="K32" s="108">
        <f t="shared" ca="1" si="8"/>
        <v>0</v>
      </c>
      <c r="L32" s="108">
        <f t="shared" ca="1" si="8"/>
        <v>0</v>
      </c>
      <c r="M32" s="108">
        <f t="shared" ca="1" si="8"/>
        <v>0</v>
      </c>
      <c r="N32" s="113">
        <f t="shared" ca="1" si="8"/>
        <v>0</v>
      </c>
      <c r="O32" s="108">
        <f t="shared" ca="1" si="8"/>
        <v>2700</v>
      </c>
      <c r="P32" s="34"/>
    </row>
    <row r="33" spans="1:16" ht="24" hidden="1" customHeight="1" x14ac:dyDescent="0.35">
      <c r="A33" s="24"/>
      <c r="B33" s="21" t="s">
        <v>62</v>
      </c>
      <c r="C33" s="98" t="s">
        <v>49</v>
      </c>
      <c r="D33" s="104" t="s">
        <v>50</v>
      </c>
      <c r="E33" s="109" t="s">
        <v>51</v>
      </c>
      <c r="F33" s="109" t="s">
        <v>52</v>
      </c>
      <c r="G33" s="109" t="s">
        <v>53</v>
      </c>
      <c r="H33" s="109" t="s">
        <v>54</v>
      </c>
      <c r="I33" s="109" t="s">
        <v>55</v>
      </c>
      <c r="J33" s="109" t="s">
        <v>56</v>
      </c>
      <c r="K33" s="109" t="s">
        <v>57</v>
      </c>
      <c r="L33" s="109" t="s">
        <v>58</v>
      </c>
      <c r="M33" s="109" t="s">
        <v>59</v>
      </c>
      <c r="N33" s="37" t="s">
        <v>60</v>
      </c>
      <c r="O33" s="109" t="s">
        <v>61</v>
      </c>
      <c r="P33" s="31"/>
    </row>
    <row r="34" spans="1:16" ht="24" customHeight="1" x14ac:dyDescent="0.35">
      <c r="A34" s="24"/>
      <c r="B34" s="12" t="s">
        <v>20</v>
      </c>
      <c r="C34" s="99">
        <f ca="1">IF(INDIRECT("Actual_TrainingTravel["&amp;C$6&amp;"]")="","",INDIRECT("Plan_TrainingTravel["&amp;C$6&amp;"]")-INDIRECT("Actual_TrainingTravel["&amp;C$6&amp;"]"))</f>
        <v>400</v>
      </c>
      <c r="D34" s="105">
        <f t="shared" ref="D34:N35" ca="1" si="9">IF(INDIRECT("Actual_TrainingTravel["&amp;D$6&amp;"]")="","",INDIRECT("Plan_TrainingTravel["&amp;D$6&amp;"]")-INDIRECT("Actual_TrainingTravel["&amp;D$6&amp;"]"))</f>
        <v>-400</v>
      </c>
      <c r="E34" s="110">
        <f t="shared" ca="1" si="9"/>
        <v>600</v>
      </c>
      <c r="F34" s="110">
        <f t="shared" ca="1" si="9"/>
        <v>400</v>
      </c>
      <c r="G34" s="110">
        <f t="shared" ca="1" si="9"/>
        <v>800</v>
      </c>
      <c r="H34" s="110">
        <f t="shared" ca="1" si="9"/>
        <v>-800</v>
      </c>
      <c r="I34" s="110" t="str">
        <f t="shared" ca="1" si="9"/>
        <v/>
      </c>
      <c r="J34" s="110" t="str">
        <f t="shared" ca="1" si="9"/>
        <v/>
      </c>
      <c r="K34" s="110" t="str">
        <f t="shared" ca="1" si="9"/>
        <v/>
      </c>
      <c r="L34" s="110" t="str">
        <f t="shared" ca="1" si="9"/>
        <v/>
      </c>
      <c r="M34" s="110" t="str">
        <f t="shared" ca="1" si="9"/>
        <v/>
      </c>
      <c r="N34" s="2" t="str">
        <f t="shared" ca="1" si="9"/>
        <v/>
      </c>
      <c r="O34" s="110">
        <f ca="1">SUM(Var_TrainingTravel[[#This Row],[JANUARY]:[DECEMBER]])</f>
        <v>1000</v>
      </c>
      <c r="P34" s="31"/>
    </row>
    <row r="35" spans="1:16" ht="24" customHeight="1" x14ac:dyDescent="0.35">
      <c r="A35" s="24"/>
      <c r="B35" s="12" t="s">
        <v>35</v>
      </c>
      <c r="C35" s="99">
        <f t="shared" ref="C35" ca="1" si="10">IF(INDIRECT("Actual_TrainingTravel["&amp;C$6&amp;"]")="","",INDIRECT("Plan_TrainingTravel["&amp;C$6&amp;"]")-INDIRECT("Actual_TrainingTravel["&amp;C$6&amp;"]"))</f>
        <v>800</v>
      </c>
      <c r="D35" s="105">
        <f t="shared" ca="1" si="9"/>
        <v>-200</v>
      </c>
      <c r="E35" s="110">
        <f t="shared" ca="1" si="9"/>
        <v>600</v>
      </c>
      <c r="F35" s="110">
        <f t="shared" ca="1" si="9"/>
        <v>800</v>
      </c>
      <c r="G35" s="110">
        <f t="shared" ca="1" si="9"/>
        <v>1200</v>
      </c>
      <c r="H35" s="110">
        <f t="shared" ca="1" si="9"/>
        <v>-1500</v>
      </c>
      <c r="I35" s="110" t="str">
        <f t="shared" ca="1" si="9"/>
        <v/>
      </c>
      <c r="J35" s="110" t="str">
        <f t="shared" ca="1" si="9"/>
        <v/>
      </c>
      <c r="K35" s="110" t="str">
        <f t="shared" ca="1" si="9"/>
        <v/>
      </c>
      <c r="L35" s="110" t="str">
        <f t="shared" ca="1" si="9"/>
        <v/>
      </c>
      <c r="M35" s="110" t="str">
        <f t="shared" ca="1" si="9"/>
        <v/>
      </c>
      <c r="N35" s="2" t="str">
        <f t="shared" ca="1" si="9"/>
        <v/>
      </c>
      <c r="O35" s="110">
        <f ca="1">SUM(Var_TrainingTravel[[#This Row],[JANUARY]:[DECEMBER]])</f>
        <v>1700</v>
      </c>
      <c r="P35" s="31"/>
    </row>
    <row r="36" spans="1:16" ht="24" customHeight="1" x14ac:dyDescent="0.35">
      <c r="A36" s="24"/>
      <c r="B36" s="25"/>
      <c r="C36" s="101"/>
      <c r="D36" s="106"/>
      <c r="E36" s="111"/>
      <c r="F36" s="111"/>
      <c r="G36" s="111"/>
      <c r="H36" s="111"/>
      <c r="I36" s="111"/>
      <c r="J36" s="111"/>
      <c r="K36" s="111"/>
      <c r="L36" s="111"/>
      <c r="M36" s="111"/>
      <c r="N36" s="26"/>
      <c r="O36" s="111"/>
      <c r="P36" s="31"/>
    </row>
    <row r="37" spans="1:16" ht="36" customHeight="1" x14ac:dyDescent="0.35">
      <c r="A37" s="24"/>
      <c r="B37" s="93" t="s">
        <v>40</v>
      </c>
      <c r="C37" s="102">
        <f t="shared" ref="C37:O37" ca="1" si="11">C7+C12+C23+C32</f>
        <v>1738</v>
      </c>
      <c r="D37" s="225">
        <f t="shared" ca="1" si="11"/>
        <v>-984</v>
      </c>
      <c r="E37" s="112">
        <f t="shared" ca="1" si="11"/>
        <v>1255</v>
      </c>
      <c r="F37" s="112">
        <f t="shared" ca="1" si="11"/>
        <v>301</v>
      </c>
      <c r="G37" s="112">
        <f t="shared" ca="1" si="11"/>
        <v>1440</v>
      </c>
      <c r="H37" s="226">
        <f t="shared" ca="1" si="11"/>
        <v>-3744</v>
      </c>
      <c r="I37" s="112">
        <f t="shared" ca="1" si="11"/>
        <v>0</v>
      </c>
      <c r="J37" s="112">
        <f t="shared" ca="1" si="11"/>
        <v>0</v>
      </c>
      <c r="K37" s="112">
        <f t="shared" ca="1" si="11"/>
        <v>0</v>
      </c>
      <c r="L37" s="112">
        <f t="shared" ca="1" si="11"/>
        <v>0</v>
      </c>
      <c r="M37" s="112">
        <f t="shared" ca="1" si="11"/>
        <v>0</v>
      </c>
      <c r="N37" s="95">
        <f t="shared" ca="1" si="11"/>
        <v>0</v>
      </c>
      <c r="O37" s="114">
        <f t="shared" ca="1" si="11"/>
        <v>6</v>
      </c>
      <c r="P37" s="31"/>
    </row>
    <row r="38" spans="1:16" ht="24" customHeight="1" x14ac:dyDescent="0.35">
      <c r="A38" s="24"/>
      <c r="B38" s="25"/>
      <c r="C38" s="26"/>
      <c r="D38" s="10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1"/>
    </row>
  </sheetData>
  <conditionalFormatting sqref="B7:O7 B9:O12 B14:O23 B25:O32 B34:O36">
    <cfRule type="cellIs" dxfId="4" priority="5" operator="lessThan">
      <formula>0</formula>
    </cfRule>
  </conditionalFormatting>
  <conditionalFormatting sqref="B37:O37">
    <cfRule type="cellIs" dxfId="3" priority="1" operator="lessThan">
      <formula>0</formula>
    </cfRule>
  </conditionalFormatting>
  <conditionalFormatting sqref="C12:O12">
    <cfRule type="cellIs" dxfId="2" priority="4" operator="lessThan">
      <formula>0</formula>
    </cfRule>
  </conditionalFormatting>
  <conditionalFormatting sqref="C23:O23">
    <cfRule type="cellIs" dxfId="1" priority="3" operator="lessThan">
      <formula>0</formula>
    </cfRule>
  </conditionalFormatting>
  <conditionalFormatting sqref="C32:O32">
    <cfRule type="cellIs" dxfId="0" priority="2" operator="lessThan">
      <formula>0</formula>
    </cfRule>
  </conditionalFormatting>
  <dataValidations count="1">
    <dataValidation allowBlank="1" showInputMessage="1" showErrorMessage="1" prompt="Data for this tab is auto calculated from the planned expenses tab and actual expenses tab._x000a__x000a_When adding or editing line items, make sure you apply the changes in all four data tabs." sqref="A1" xr:uid="{00000000-0002-0000-02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9"/>
  <sheetViews>
    <sheetView showGridLines="0" zoomScaleNormal="100" workbookViewId="0"/>
  </sheetViews>
  <sheetFormatPr defaultColWidth="11.6640625" defaultRowHeight="24" customHeight="1" x14ac:dyDescent="0.35"/>
  <cols>
    <col min="1" max="1" width="2.77734375" style="6" customWidth="1"/>
    <col min="2" max="2" width="20.44140625" style="17" customWidth="1"/>
    <col min="3" max="5" width="12.77734375" style="18" customWidth="1"/>
    <col min="6" max="6" width="12.77734375" style="19" customWidth="1"/>
    <col min="7" max="8" width="2.6640625" style="7" customWidth="1"/>
    <col min="9" max="9" width="19.109375" style="8" customWidth="1"/>
    <col min="10" max="11" width="11.6640625" style="8"/>
    <col min="12" max="12" width="11.6640625" style="7"/>
    <col min="13" max="13" width="2.77734375" style="8" customWidth="1"/>
    <col min="14" max="16384" width="11.6640625" style="8"/>
  </cols>
  <sheetData>
    <row r="1" spans="1:13" s="3" customFormat="1" ht="60" customHeight="1" x14ac:dyDescent="0.35">
      <c r="A1" s="174"/>
      <c r="B1" s="175"/>
      <c r="C1" s="176"/>
      <c r="D1" s="176"/>
      <c r="E1" s="177"/>
      <c r="F1" s="178"/>
      <c r="G1" s="81"/>
      <c r="H1" s="81"/>
      <c r="I1" s="82"/>
      <c r="J1" s="82"/>
      <c r="K1" s="82"/>
      <c r="L1" s="31"/>
      <c r="M1" s="45" t="s">
        <v>46</v>
      </c>
    </row>
    <row r="2" spans="1:13" s="4" customFormat="1" ht="28.5" customHeight="1" x14ac:dyDescent="0.45">
      <c r="A2" s="179"/>
      <c r="B2" s="180" t="str">
        <f>'Planned expenses'!B2</f>
        <v>Market Financial Consulting</v>
      </c>
      <c r="C2" s="181"/>
      <c r="D2" s="181"/>
      <c r="E2" s="182"/>
      <c r="F2" s="183"/>
      <c r="G2" s="83"/>
      <c r="H2" s="83"/>
      <c r="I2" s="84"/>
      <c r="J2" s="84"/>
      <c r="K2" s="84"/>
      <c r="L2" s="29"/>
      <c r="M2" s="46"/>
    </row>
    <row r="3" spans="1:13" s="4" customFormat="1" ht="55.05" customHeight="1" thickBot="1" x14ac:dyDescent="0.4">
      <c r="A3" s="184"/>
      <c r="B3" s="185" t="s">
        <v>41</v>
      </c>
      <c r="C3" s="186"/>
      <c r="D3" s="186"/>
      <c r="E3" s="187"/>
      <c r="F3" s="188"/>
      <c r="G3" s="85"/>
      <c r="H3" s="85"/>
      <c r="I3" s="86"/>
      <c r="J3" s="86"/>
      <c r="K3" s="86"/>
      <c r="L3" s="30"/>
      <c r="M3" s="28"/>
    </row>
    <row r="4" spans="1:13" s="74" customFormat="1" ht="30" customHeight="1" thickTop="1" x14ac:dyDescent="0.3">
      <c r="A4" s="189"/>
      <c r="B4" s="190"/>
      <c r="C4" s="191"/>
      <c r="D4" s="191"/>
      <c r="E4" s="192"/>
      <c r="F4" s="193"/>
      <c r="G4" s="87"/>
      <c r="H4" s="87"/>
      <c r="I4" s="88"/>
      <c r="J4" s="88"/>
      <c r="K4" s="88"/>
      <c r="L4" s="73"/>
      <c r="M4" s="71"/>
    </row>
    <row r="5" spans="1:13" s="74" customFormat="1" ht="30" customHeight="1" x14ac:dyDescent="0.3">
      <c r="A5" s="70"/>
      <c r="B5" s="194" t="str">
        <f ca="1">"  Analysis of data from January to " &amp; PROPER(INDEX('Actual expenses'!C6:N6,1,MonthsWithActual))</f>
        <v xml:space="preserve">  Analysis of data from January to June</v>
      </c>
      <c r="C5" s="72"/>
      <c r="D5" s="72"/>
      <c r="E5" s="77"/>
      <c r="F5" s="78"/>
      <c r="G5" s="79"/>
      <c r="H5" s="79"/>
      <c r="I5" s="80"/>
      <c r="J5" s="80"/>
      <c r="K5" s="80"/>
      <c r="L5" s="73"/>
      <c r="M5" s="71"/>
    </row>
    <row r="6" spans="1:13" s="3" customFormat="1" ht="25.05" customHeight="1" x14ac:dyDescent="0.35">
      <c r="A6" s="24"/>
      <c r="B6" s="25"/>
      <c r="C6" s="43"/>
      <c r="D6" s="43"/>
      <c r="E6" s="43"/>
      <c r="F6" s="44"/>
      <c r="G6" s="26"/>
      <c r="H6" s="47"/>
      <c r="I6" s="31"/>
      <c r="J6" s="31"/>
      <c r="K6" s="31"/>
      <c r="L6" s="26"/>
      <c r="M6" s="31"/>
    </row>
    <row r="7" spans="1:13" s="20" customFormat="1" ht="25.05" customHeight="1" x14ac:dyDescent="0.35">
      <c r="A7" s="48"/>
      <c r="B7" s="49" t="s">
        <v>45</v>
      </c>
      <c r="C7" s="50"/>
      <c r="D7" s="50"/>
      <c r="E7" s="50"/>
      <c r="F7" s="51"/>
      <c r="G7" s="52"/>
      <c r="H7" s="53"/>
      <c r="I7" s="49" t="s">
        <v>47</v>
      </c>
      <c r="J7" s="49"/>
      <c r="K7" s="49"/>
      <c r="L7" s="52"/>
      <c r="M7" s="49"/>
    </row>
    <row r="8" spans="1:13" s="13" customFormat="1" ht="40.049999999999997" customHeight="1" x14ac:dyDescent="0.35">
      <c r="A8" s="54"/>
      <c r="B8" s="55"/>
      <c r="C8" s="55"/>
      <c r="D8" s="55"/>
      <c r="E8" s="55"/>
      <c r="F8" s="55"/>
      <c r="G8" s="56"/>
      <c r="H8" s="57"/>
      <c r="I8" s="55"/>
      <c r="J8" s="55"/>
      <c r="K8" s="55"/>
      <c r="L8" s="55"/>
      <c r="M8" s="55"/>
    </row>
    <row r="9" spans="1:13" ht="40.049999999999997" customHeight="1" x14ac:dyDescent="0.35">
      <c r="A9" s="58"/>
      <c r="B9" s="59"/>
      <c r="C9" s="59"/>
      <c r="D9" s="59"/>
      <c r="E9" s="59"/>
      <c r="F9" s="59"/>
      <c r="G9" s="60"/>
      <c r="H9" s="61"/>
      <c r="I9" s="59"/>
      <c r="J9" s="59"/>
      <c r="K9" s="59"/>
      <c r="L9" s="60"/>
      <c r="M9" s="59"/>
    </row>
    <row r="10" spans="1:13" ht="40.049999999999997" customHeight="1" x14ac:dyDescent="0.35">
      <c r="A10" s="58"/>
      <c r="B10" s="59"/>
      <c r="C10" s="59"/>
      <c r="D10" s="59"/>
      <c r="E10" s="59"/>
      <c r="F10" s="59"/>
      <c r="G10" s="60"/>
      <c r="H10" s="61"/>
      <c r="I10" s="59"/>
      <c r="J10" s="59"/>
      <c r="K10" s="59"/>
      <c r="L10" s="60"/>
      <c r="M10" s="59"/>
    </row>
    <row r="11" spans="1:13" ht="40.049999999999997" customHeight="1" x14ac:dyDescent="0.35">
      <c r="A11" s="58"/>
      <c r="B11" s="59"/>
      <c r="C11" s="59"/>
      <c r="D11" s="59"/>
      <c r="E11" s="59"/>
      <c r="F11" s="59"/>
      <c r="G11" s="60"/>
      <c r="H11" s="61"/>
      <c r="I11" s="59"/>
      <c r="J11" s="59"/>
      <c r="K11" s="59"/>
      <c r="L11" s="60"/>
      <c r="M11" s="59"/>
    </row>
    <row r="12" spans="1:13" ht="40.049999999999997" customHeight="1" x14ac:dyDescent="0.35">
      <c r="A12" s="58"/>
      <c r="B12" s="59"/>
      <c r="C12" s="59"/>
      <c r="D12" s="59"/>
      <c r="E12" s="59"/>
      <c r="F12" s="59"/>
      <c r="G12" s="60"/>
      <c r="H12" s="61"/>
      <c r="I12" s="59"/>
      <c r="J12" s="59"/>
      <c r="K12" s="59"/>
      <c r="L12" s="60"/>
      <c r="M12" s="59"/>
    </row>
    <row r="13" spans="1:13" ht="9" customHeight="1" x14ac:dyDescent="0.35">
      <c r="A13" s="58"/>
      <c r="B13" s="62"/>
      <c r="C13" s="63"/>
      <c r="D13" s="63"/>
      <c r="E13" s="63"/>
      <c r="F13" s="64"/>
      <c r="G13" s="60"/>
      <c r="H13" s="61"/>
      <c r="I13" s="59"/>
      <c r="J13" s="59"/>
      <c r="K13" s="59"/>
      <c r="L13" s="60"/>
      <c r="M13" s="59"/>
    </row>
    <row r="14" spans="1:13" ht="36.75" customHeight="1" x14ac:dyDescent="0.35">
      <c r="A14" s="58"/>
      <c r="B14" s="65" t="s">
        <v>42</v>
      </c>
      <c r="C14" s="66" t="s">
        <v>0</v>
      </c>
      <c r="D14" s="66" t="s">
        <v>37</v>
      </c>
      <c r="E14" s="66" t="s">
        <v>43</v>
      </c>
      <c r="F14" s="66" t="s">
        <v>44</v>
      </c>
      <c r="G14" s="60"/>
      <c r="H14" s="61"/>
      <c r="I14" s="59"/>
      <c r="J14" s="59"/>
      <c r="K14" s="59"/>
      <c r="L14" s="60"/>
      <c r="M14" s="59"/>
    </row>
    <row r="15" spans="1:13" ht="31.5" customHeight="1" x14ac:dyDescent="0.35">
      <c r="A15" s="58"/>
      <c r="B15" s="14" t="s">
        <v>65</v>
      </c>
      <c r="C15" s="15">
        <f ca="1">SUM(OFFSET('Planned expenses'!C7,0,0,1,MonthsWithActual))</f>
        <v>657225</v>
      </c>
      <c r="D15" s="15">
        <f ca="1">SUM(OFFSET('Actual expenses'!C7,0,0,1,MonthsWithActual))</f>
        <v>659130</v>
      </c>
      <c r="E15" s="15">
        <f ca="1">C15-D15</f>
        <v>-1905</v>
      </c>
      <c r="F15" s="16">
        <f ca="1">E15/C15</f>
        <v>-2.8985507246376812E-3</v>
      </c>
      <c r="G15" s="60"/>
      <c r="H15" s="61"/>
      <c r="I15" s="59"/>
      <c r="J15" s="59"/>
      <c r="K15" s="59"/>
      <c r="L15" s="60"/>
      <c r="M15" s="59"/>
    </row>
    <row r="16" spans="1:13" ht="31.5" customHeight="1" x14ac:dyDescent="0.35">
      <c r="A16" s="58"/>
      <c r="B16" s="67" t="s">
        <v>66</v>
      </c>
      <c r="C16" s="68">
        <f ca="1">SUM(OFFSET('Planned expenses'!C12,0,0,1,MonthsWithActual))</f>
        <v>69320</v>
      </c>
      <c r="D16" s="68">
        <f ca="1">SUM(OFFSET('Actual expenses'!C12,0,0,1,MonthsWithActual))</f>
        <v>69350</v>
      </c>
      <c r="E16" s="68">
        <f t="shared" ref="E16:E18" ca="1" si="0">C16-D16</f>
        <v>-30</v>
      </c>
      <c r="F16" s="69">
        <f t="shared" ref="F16:F18" ca="1" si="1">E16/C16</f>
        <v>-4.3277553375649163E-4</v>
      </c>
      <c r="G16" s="60"/>
      <c r="H16" s="61"/>
      <c r="I16" s="59"/>
      <c r="J16" s="59"/>
      <c r="K16" s="59"/>
      <c r="L16" s="60"/>
      <c r="M16" s="59"/>
    </row>
    <row r="17" spans="1:13" ht="31.5" customHeight="1" x14ac:dyDescent="0.35">
      <c r="A17" s="58"/>
      <c r="B17" s="14" t="s">
        <v>67</v>
      </c>
      <c r="C17" s="15">
        <f ca="1">SUM(OFFSET('Planned expenses'!C23,0,0,1,MonthsWithActual))</f>
        <v>32400</v>
      </c>
      <c r="D17" s="15">
        <f ca="1">SUM(OFFSET('Actual expenses'!C23,0,0,1,MonthsWithActual))</f>
        <v>33159</v>
      </c>
      <c r="E17" s="15">
        <f t="shared" ca="1" si="0"/>
        <v>-759</v>
      </c>
      <c r="F17" s="16">
        <f t="shared" ca="1" si="1"/>
        <v>-2.3425925925925926E-2</v>
      </c>
      <c r="G17" s="60"/>
      <c r="H17" s="61"/>
      <c r="I17" s="59"/>
      <c r="J17" s="59"/>
      <c r="K17" s="59"/>
      <c r="L17" s="60"/>
      <c r="M17" s="59"/>
    </row>
    <row r="18" spans="1:13" ht="31.5" customHeight="1" x14ac:dyDescent="0.35">
      <c r="A18" s="58"/>
      <c r="B18" s="67" t="s">
        <v>68</v>
      </c>
      <c r="C18" s="68">
        <f ca="1">SUM(OFFSET('Planned expenses'!C32,0,0,1,MonthsWithActual))</f>
        <v>24000</v>
      </c>
      <c r="D18" s="68">
        <f ca="1">SUM(OFFSET('Actual expenses'!C32,0,0,1,MonthsWithActual))</f>
        <v>21300</v>
      </c>
      <c r="E18" s="68">
        <f t="shared" ca="1" si="0"/>
        <v>2700</v>
      </c>
      <c r="F18" s="69">
        <f t="shared" ca="1" si="1"/>
        <v>0.1125</v>
      </c>
      <c r="G18" s="60"/>
      <c r="H18" s="61"/>
      <c r="I18" s="59"/>
      <c r="J18" s="59"/>
      <c r="K18" s="59"/>
      <c r="L18" s="60"/>
      <c r="M18" s="59"/>
    </row>
    <row r="19" spans="1:13" ht="24" customHeight="1" x14ac:dyDescent="0.35">
      <c r="A19" s="58"/>
      <c r="B19" s="62"/>
      <c r="C19" s="63"/>
      <c r="D19" s="63"/>
      <c r="E19" s="63"/>
      <c r="F19" s="64"/>
      <c r="G19" s="60"/>
      <c r="H19" s="61"/>
      <c r="I19" s="59"/>
      <c r="J19" s="59"/>
      <c r="K19" s="59"/>
      <c r="L19" s="60"/>
      <c r="M19" s="59"/>
    </row>
  </sheetData>
  <dataValidations count="1">
    <dataValidation allowBlank="1" showInputMessage="1" showErrorMessage="1" prompt="Data and graphs on this tab are auto updated._x000a__x000a_Analysis covers January up to the last month with actual expenses data." sqref="A1" xr:uid="{00000000-0002-0000-0300-000000000000}"/>
  </dataValidations>
  <printOptions horizontalCentered="1"/>
  <pageMargins left="0.3" right="0.3" top="0.5" bottom="0.5" header="0.3" footer="0.3"/>
  <pageSetup scale="96" orientation="landscape" r:id="rId1"/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6A6A36F1-DF09-4552-BA63-6F841D3AD9A9}"/>
</file>

<file path=customXml/itemProps22.xml><?xml version="1.0" encoding="utf-8"?>
<ds:datastoreItem xmlns:ds="http://schemas.openxmlformats.org/officeDocument/2006/customXml" ds:itemID="{B64D5073-7DE2-4C2A-9DF2-2E47B73B0764}"/>
</file>

<file path=customXml/itemProps31.xml><?xml version="1.0" encoding="utf-8"?>
<ds:datastoreItem xmlns:ds="http://schemas.openxmlformats.org/officeDocument/2006/customXml" ds:itemID="{0BE45706-8F2B-4C82-8D75-42F820AD994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TM45068695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4</vt:i4>
      </vt:variant>
    </vt:vector>
  </ap:HeadingPairs>
  <ap:TitlesOfParts>
    <vt:vector baseType="lpstr" size="4">
      <vt:lpstr>Planned expenses</vt:lpstr>
      <vt:lpstr>Actual expenses</vt:lpstr>
      <vt:lpstr>Expense variances</vt:lpstr>
      <vt:lpstr>Expenses analysis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2023-01-16T01:28:58Z</dcterms:created>
  <dcterms:modified xsi:type="dcterms:W3CDTF">2023-01-19T07:06:00Z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