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worksheets/sheet81.xml" ContentType="application/vnd.openxmlformats-officedocument.spreadsheetml.worksheet+xml"/>
  <Override PartName="/xl/theme/theme11.xml" ContentType="application/vnd.openxmlformats-officedocument.theme+xml"/>
  <Override PartName="/customXml/item2.xml" ContentType="application/xml"/>
  <Override PartName="/customXml/itemProps21.xml" ContentType="application/vnd.openxmlformats-officedocument.customXmlProperties+xml"/>
  <Override PartName="/xl/worksheets/sheet32.xml" ContentType="application/vnd.openxmlformats-officedocument.spreadsheetml.worksheet+xml"/>
  <Override PartName="/xl/worksheets/sheet73.xml" ContentType="application/vnd.openxmlformats-officedocument.spreadsheetml.worksheet+xml"/>
  <Override PartName="/xl/worksheets/sheet124.xml" ContentType="application/vnd.openxmlformats-officedocument.spreadsheetml.worksheet+xml"/>
  <Override PartName="/customXml/item12.xml" ContentType="application/xml"/>
  <Override PartName="/customXml/itemProps12.xml" ContentType="application/vnd.openxmlformats-officedocument.customXmlProperties+xml"/>
  <Override PartName="/xl/worksheets/sheet25.xml" ContentType="application/vnd.openxmlformats-officedocument.spreadsheetml.worksheet+xml"/>
  <Override PartName="/xl/calcChain.xml" ContentType="application/vnd.openxmlformats-officedocument.spreadsheetml.calcChain+xml"/>
  <Override PartName="/xl/worksheets/sheet16.xml" ContentType="application/vnd.openxmlformats-officedocument.spreadsheetml.worksheet+xml"/>
  <Override PartName="/xl/worksheets/sheet6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59.xml" ContentType="application/vnd.openxmlformats-officedocument.spreadsheetml.worksheet+xml"/>
  <Override PartName="/xl/sharedStrings.xml" ContentType="application/vnd.openxmlformats-officedocument.spreadsheetml.sharedStrings+xml"/>
  <Override PartName="/xl/worksheets/sheet1010.xml" ContentType="application/vnd.openxmlformats-officedocument.spreadsheetml.worksheet+xml"/>
  <Override PartName="/customXml/item33.xml" ContentType="application/xml"/>
  <Override PartName="/customXml/itemProps33.xml" ContentType="application/vnd.openxmlformats-officedocument.customXmlProperties+xml"/>
  <Override PartName="/xl/worksheets/sheet411.xml" ContentType="application/vnd.openxmlformats-officedocument.spreadsheetml.worksheet+xml"/>
  <Override PartName="/xl/worksheets/sheet912.xml" ContentType="application/vnd.openxmlformats-officedocument.spreadsheetml.worksheet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codeName="ThisWorkbook" autoCompressPictures="0"/>
  <bookViews>
    <workbookView xWindow="-108" yWindow="-108" windowWidth="23256" windowHeight="12720" tabRatio="741" xr2:uid="{00000000-000D-0000-FFFF-FFFF00000000}"/>
  </bookViews>
  <sheets>
    <sheet name="Jan" sheetId="28" r:id="rId1"/>
    <sheet name="Feb" sheetId="1" r:id="rId2"/>
    <sheet name="Mar" sheetId="30" r:id="rId3"/>
    <sheet name="April" sheetId="29" r:id="rId4"/>
    <sheet name="May" sheetId="31" r:id="rId5"/>
    <sheet name="June" sheetId="32" r:id="rId6"/>
    <sheet name="July" sheetId="33" r:id="rId7"/>
    <sheet name="Aug" sheetId="34" r:id="rId8"/>
    <sheet name="Sep" sheetId="35" r:id="rId9"/>
    <sheet name="Oct" sheetId="36" r:id="rId10"/>
    <sheet name="Nov" sheetId="38" r:id="rId11"/>
    <sheet name="Dec" sheetId="37" r:id="rId12"/>
  </sheets>
  <definedNames>
    <definedName name="AprSun1">DATE(CalendarYear,4,1)-WEEKDAY(DATE(CalendarYear,4,1))+1</definedName>
    <definedName name="AugSun1">DATE(CalendarYear,8,1)-WEEKDAY(DATE(CalendarYear,8,1))+1</definedName>
    <definedName name="CalendarYear">Jan!$D$5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SepSun1">DATE(CalendarYear,9,1)-WEEKDAY(DATE(CalendarYear,9,1))+1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8" l="1"/>
  <c r="D5" i="34" l="1"/>
  <c r="E5" i="37" l="1"/>
  <c r="E5" i="38" l="1"/>
  <c r="E5" i="36"/>
  <c r="E5" i="35"/>
  <c r="E5" i="33"/>
  <c r="E5" i="34"/>
  <c r="I10" i="28"/>
  <c r="E5" i="29"/>
  <c r="G9" i="38"/>
  <c r="F8" i="38"/>
  <c r="G7" i="38"/>
  <c r="H8" i="38"/>
  <c r="E7" i="38"/>
  <c r="J10" i="38"/>
  <c r="F6" i="38"/>
  <c r="H10" i="38"/>
  <c r="K5" i="38"/>
  <c r="I9" i="38"/>
  <c r="G10" i="38"/>
  <c r="F9" i="38"/>
  <c r="E8" i="38"/>
  <c r="K6" i="38"/>
  <c r="J5" i="38"/>
  <c r="F10" i="38"/>
  <c r="E9" i="38"/>
  <c r="K7" i="38"/>
  <c r="J6" i="38"/>
  <c r="I5" i="38"/>
  <c r="E10" i="38"/>
  <c r="K8" i="38"/>
  <c r="J7" i="38"/>
  <c r="I6" i="38"/>
  <c r="H5" i="38"/>
  <c r="K9" i="38"/>
  <c r="J8" i="38"/>
  <c r="I7" i="38"/>
  <c r="H6" i="38"/>
  <c r="G5" i="38"/>
  <c r="K10" i="38"/>
  <c r="J9" i="38"/>
  <c r="I8" i="38"/>
  <c r="H7" i="38"/>
  <c r="G6" i="38"/>
  <c r="F5" i="38"/>
  <c r="I10" i="38"/>
  <c r="H9" i="38"/>
  <c r="G8" i="38"/>
  <c r="F7" i="38"/>
  <c r="E6" i="38"/>
  <c r="D5" i="38"/>
  <c r="H10" i="35"/>
  <c r="G9" i="35"/>
  <c r="E7" i="35"/>
  <c r="F8" i="35"/>
  <c r="K5" i="35"/>
  <c r="G10" i="35"/>
  <c r="F9" i="35"/>
  <c r="E8" i="35"/>
  <c r="K6" i="35"/>
  <c r="J5" i="35"/>
  <c r="F10" i="35"/>
  <c r="E9" i="35"/>
  <c r="K7" i="35"/>
  <c r="J6" i="35"/>
  <c r="I5" i="35"/>
  <c r="E10" i="35"/>
  <c r="K8" i="35"/>
  <c r="J7" i="35"/>
  <c r="I6" i="35"/>
  <c r="H5" i="35"/>
  <c r="K9" i="35"/>
  <c r="J8" i="35"/>
  <c r="I7" i="35"/>
  <c r="H6" i="35"/>
  <c r="G5" i="35"/>
  <c r="K10" i="35"/>
  <c r="J9" i="35"/>
  <c r="I8" i="35"/>
  <c r="H7" i="35"/>
  <c r="G6" i="35"/>
  <c r="F5" i="35"/>
  <c r="J10" i="35"/>
  <c r="I9" i="35"/>
  <c r="H8" i="35"/>
  <c r="G7" i="35"/>
  <c r="F6" i="35"/>
  <c r="I10" i="35"/>
  <c r="H9" i="35"/>
  <c r="G8" i="35"/>
  <c r="F7" i="35"/>
  <c r="E6" i="35"/>
  <c r="D5" i="35"/>
  <c r="H6" i="31"/>
  <c r="E6" i="32"/>
  <c r="H10" i="30"/>
  <c r="H6" i="32"/>
  <c r="F6" i="30"/>
  <c r="I7" i="32"/>
  <c r="G8" i="33"/>
  <c r="F6" i="31"/>
  <c r="H7" i="29"/>
  <c r="E8" i="33"/>
  <c r="K7" i="29"/>
  <c r="G7" i="31"/>
  <c r="I7" i="30"/>
  <c r="G8" i="29"/>
  <c r="J7" i="31"/>
  <c r="E8" i="32"/>
  <c r="I5" i="34"/>
  <c r="I6" i="33"/>
  <c r="H9" i="32"/>
  <c r="F7" i="29"/>
  <c r="F5" i="29"/>
  <c r="E9" i="29"/>
  <c r="K8" i="31"/>
  <c r="E6" i="34"/>
  <c r="I5" i="29"/>
  <c r="H9" i="29"/>
  <c r="G9" i="31"/>
  <c r="J9" i="32"/>
  <c r="F10" i="34"/>
  <c r="I10" i="32"/>
  <c r="E10" i="30"/>
  <c r="E6" i="29"/>
  <c r="F10" i="29"/>
  <c r="J10" i="31"/>
  <c r="G9" i="30"/>
  <c r="J6" i="29"/>
  <c r="I10" i="29"/>
  <c r="F5" i="32"/>
  <c r="E5" i="32"/>
  <c r="E5" i="31"/>
  <c r="G6" i="29"/>
  <c r="K10" i="29"/>
  <c r="G5" i="32"/>
  <c r="G8" i="32"/>
  <c r="H8" i="33"/>
  <c r="E7" i="34"/>
  <c r="K10" i="30"/>
  <c r="I8" i="29"/>
  <c r="H8" i="31"/>
  <c r="J5" i="33"/>
  <c r="K5" i="30"/>
  <c r="I6" i="29"/>
  <c r="K8" i="29"/>
  <c r="H5" i="31"/>
  <c r="J8" i="31"/>
  <c r="J5" i="32"/>
  <c r="J8" i="32"/>
  <c r="E6" i="33"/>
  <c r="K8" i="33"/>
  <c r="F7" i="34"/>
  <c r="F6" i="33"/>
  <c r="I9" i="33"/>
  <c r="K7" i="34"/>
  <c r="G5" i="36"/>
  <c r="G10" i="33"/>
  <c r="G8" i="34"/>
  <c r="J5" i="36"/>
  <c r="G5" i="37"/>
  <c r="I9" i="31"/>
  <c r="F6" i="37"/>
  <c r="J9" i="29"/>
  <c r="I6" i="31"/>
  <c r="F7" i="32"/>
  <c r="K9" i="32"/>
  <c r="K6" i="33"/>
  <c r="J10" i="33"/>
  <c r="E9" i="34"/>
  <c r="E8" i="36"/>
  <c r="H9" i="30"/>
  <c r="H5" i="29"/>
  <c r="J7" i="29"/>
  <c r="E10" i="29"/>
  <c r="E7" i="31"/>
  <c r="E10" i="31"/>
  <c r="H7" i="32"/>
  <c r="G10" i="32"/>
  <c r="G7" i="33"/>
  <c r="G5" i="34"/>
  <c r="G9" i="34"/>
  <c r="J8" i="36"/>
  <c r="J7" i="37"/>
  <c r="K9" i="34"/>
  <c r="G10" i="36"/>
  <c r="K8" i="37"/>
  <c r="I10" i="33"/>
  <c r="I7" i="34"/>
  <c r="I10" i="34"/>
  <c r="K7" i="36"/>
  <c r="F9" i="33"/>
  <c r="J6" i="34"/>
  <c r="H9" i="34"/>
  <c r="H8" i="37"/>
  <c r="G5" i="31"/>
  <c r="I7" i="31"/>
  <c r="K9" i="31"/>
  <c r="G6" i="32"/>
  <c r="I8" i="32"/>
  <c r="K10" i="32"/>
  <c r="F7" i="33"/>
  <c r="H9" i="33"/>
  <c r="K5" i="34"/>
  <c r="F8" i="34"/>
  <c r="H10" i="34"/>
  <c r="I5" i="36"/>
  <c r="H8" i="36"/>
  <c r="H5" i="37"/>
  <c r="J8" i="37"/>
  <c r="K5" i="31"/>
  <c r="F8" i="31"/>
  <c r="H10" i="31"/>
  <c r="K6" i="32"/>
  <c r="F9" i="32"/>
  <c r="H5" i="33"/>
  <c r="J7" i="33"/>
  <c r="E10" i="33"/>
  <c r="H6" i="34"/>
  <c r="J8" i="34"/>
  <c r="H6" i="36"/>
  <c r="E9" i="36"/>
  <c r="H6" i="37"/>
  <c r="I9" i="37"/>
  <c r="J6" i="36"/>
  <c r="F9" i="36"/>
  <c r="I6" i="37"/>
  <c r="K9" i="37"/>
  <c r="K6" i="36"/>
  <c r="K9" i="36"/>
  <c r="G7" i="37"/>
  <c r="E10" i="37"/>
  <c r="I7" i="36"/>
  <c r="F10" i="36"/>
  <c r="I7" i="37"/>
  <c r="J10" i="37"/>
  <c r="E9" i="30"/>
  <c r="G5" i="29"/>
  <c r="H6" i="29"/>
  <c r="I7" i="29"/>
  <c r="J8" i="29"/>
  <c r="K9" i="29"/>
  <c r="F5" i="31"/>
  <c r="G6" i="31"/>
  <c r="H7" i="31"/>
  <c r="I8" i="31"/>
  <c r="J9" i="31"/>
  <c r="K10" i="31"/>
  <c r="F6" i="32"/>
  <c r="G7" i="32"/>
  <c r="H8" i="32"/>
  <c r="I9" i="32"/>
  <c r="J10" i="32"/>
  <c r="K5" i="33"/>
  <c r="E7" i="33"/>
  <c r="F8" i="33"/>
  <c r="G9" i="33"/>
  <c r="H10" i="33"/>
  <c r="J5" i="34"/>
  <c r="K6" i="34"/>
  <c r="E8" i="34"/>
  <c r="F9" i="34"/>
  <c r="G10" i="34"/>
  <c r="H5" i="36"/>
  <c r="I6" i="36"/>
  <c r="J7" i="36"/>
  <c r="K8" i="36"/>
  <c r="E10" i="36"/>
  <c r="F5" i="37"/>
  <c r="G6" i="37"/>
  <c r="H7" i="37"/>
  <c r="I8" i="37"/>
  <c r="J9" i="37"/>
  <c r="K10" i="37"/>
  <c r="D5" i="30"/>
  <c r="J9" i="30"/>
  <c r="H6" i="30"/>
  <c r="J5" i="29"/>
  <c r="K6" i="29"/>
  <c r="E8" i="29"/>
  <c r="F9" i="29"/>
  <c r="G10" i="29"/>
  <c r="I5" i="31"/>
  <c r="J6" i="31"/>
  <c r="K7" i="31"/>
  <c r="E9" i="31"/>
  <c r="F10" i="31"/>
  <c r="H5" i="32"/>
  <c r="I6" i="32"/>
  <c r="J7" i="32"/>
  <c r="K8" i="32"/>
  <c r="E10" i="32"/>
  <c r="F5" i="33"/>
  <c r="G6" i="33"/>
  <c r="H7" i="33"/>
  <c r="I8" i="33"/>
  <c r="J9" i="33"/>
  <c r="K10" i="33"/>
  <c r="F6" i="34"/>
  <c r="G7" i="34"/>
  <c r="H8" i="34"/>
  <c r="I9" i="34"/>
  <c r="J10" i="34"/>
  <c r="K5" i="36"/>
  <c r="E7" i="36"/>
  <c r="F8" i="36"/>
  <c r="G9" i="36"/>
  <c r="H10" i="36"/>
  <c r="I5" i="37"/>
  <c r="J6" i="37"/>
  <c r="K7" i="37"/>
  <c r="E9" i="37"/>
  <c r="F10" i="37"/>
  <c r="E7" i="30"/>
  <c r="K5" i="29"/>
  <c r="E7" i="29"/>
  <c r="F8" i="29"/>
  <c r="G9" i="29"/>
  <c r="H10" i="29"/>
  <c r="J5" i="31"/>
  <c r="K6" i="31"/>
  <c r="E8" i="31"/>
  <c r="F9" i="31"/>
  <c r="G10" i="31"/>
  <c r="I5" i="32"/>
  <c r="J6" i="32"/>
  <c r="K7" i="32"/>
  <c r="E9" i="32"/>
  <c r="F10" i="32"/>
  <c r="G5" i="33"/>
  <c r="H6" i="33"/>
  <c r="I7" i="33"/>
  <c r="J8" i="33"/>
  <c r="K9" i="33"/>
  <c r="F5" i="34"/>
  <c r="G6" i="34"/>
  <c r="H7" i="34"/>
  <c r="I8" i="34"/>
  <c r="J9" i="34"/>
  <c r="K10" i="34"/>
  <c r="E6" i="36"/>
  <c r="F7" i="36"/>
  <c r="G8" i="36"/>
  <c r="H9" i="36"/>
  <c r="I10" i="36"/>
  <c r="J5" i="37"/>
  <c r="K6" i="37"/>
  <c r="E8" i="37"/>
  <c r="F9" i="37"/>
  <c r="G10" i="37"/>
  <c r="F6" i="36"/>
  <c r="G7" i="36"/>
  <c r="I9" i="36"/>
  <c r="J10" i="36"/>
  <c r="K5" i="37"/>
  <c r="E7" i="37"/>
  <c r="F8" i="37"/>
  <c r="G9" i="37"/>
  <c r="H10" i="37"/>
  <c r="D5" i="33"/>
  <c r="I10" i="30"/>
  <c r="J8" i="30"/>
  <c r="F6" i="29"/>
  <c r="G7" i="29"/>
  <c r="H8" i="29"/>
  <c r="I9" i="29"/>
  <c r="J10" i="29"/>
  <c r="E6" i="31"/>
  <c r="F7" i="31"/>
  <c r="G8" i="31"/>
  <c r="H9" i="31"/>
  <c r="I10" i="31"/>
  <c r="K5" i="32"/>
  <c r="E7" i="32"/>
  <c r="F8" i="32"/>
  <c r="G9" i="32"/>
  <c r="H10" i="32"/>
  <c r="I5" i="33"/>
  <c r="J6" i="33"/>
  <c r="K7" i="33"/>
  <c r="E9" i="33"/>
  <c r="F10" i="33"/>
  <c r="H5" i="34"/>
  <c r="I6" i="34"/>
  <c r="J7" i="34"/>
  <c r="K8" i="34"/>
  <c r="E10" i="34"/>
  <c r="F5" i="36"/>
  <c r="G6" i="36"/>
  <c r="H7" i="36"/>
  <c r="I8" i="36"/>
  <c r="J9" i="36"/>
  <c r="K10" i="36"/>
  <c r="E6" i="37"/>
  <c r="F7" i="37"/>
  <c r="G8" i="37"/>
  <c r="H9" i="37"/>
  <c r="I10" i="37"/>
  <c r="D5" i="31"/>
  <c r="D5" i="36"/>
  <c r="D5" i="32"/>
  <c r="D5" i="37"/>
  <c r="D5" i="29"/>
  <c r="G7" i="30"/>
  <c r="H8" i="30"/>
  <c r="K9" i="30"/>
  <c r="F9" i="30"/>
  <c r="G6" i="30"/>
  <c r="H7" i="30"/>
  <c r="I8" i="30"/>
  <c r="F10" i="30"/>
  <c r="H5" i="30"/>
  <c r="I6" i="30"/>
  <c r="J7" i="30"/>
  <c r="K8" i="30"/>
  <c r="F5" i="30"/>
  <c r="G5" i="30"/>
  <c r="G10" i="30"/>
  <c r="I5" i="30"/>
  <c r="J6" i="30"/>
  <c r="K7" i="30"/>
  <c r="J5" i="30"/>
  <c r="K6" i="30"/>
  <c r="E8" i="30"/>
  <c r="F8" i="30"/>
  <c r="I9" i="30"/>
  <c r="J10" i="30"/>
  <c r="E6" i="30"/>
  <c r="F7" i="30"/>
  <c r="G8" i="30"/>
  <c r="E5" i="30"/>
  <c r="H8" i="28"/>
  <c r="I9" i="28"/>
  <c r="J10" i="28"/>
  <c r="G7" i="28"/>
  <c r="F6" i="28"/>
  <c r="E5" i="28"/>
  <c r="F5" i="28"/>
  <c r="G6" i="28"/>
  <c r="H7" i="28"/>
  <c r="I8" i="28"/>
  <c r="J9" i="28"/>
  <c r="K10" i="28"/>
  <c r="K9" i="28"/>
  <c r="E10" i="28"/>
  <c r="F10" i="28"/>
  <c r="G10" i="28"/>
  <c r="H6" i="28"/>
  <c r="H5" i="28"/>
  <c r="J7" i="28"/>
  <c r="I5" i="28"/>
  <c r="K7" i="28"/>
  <c r="E9" i="28"/>
  <c r="K6" i="28"/>
  <c r="F9" i="28"/>
  <c r="K5" i="28"/>
  <c r="E7" i="28"/>
  <c r="F8" i="28"/>
  <c r="G9" i="28"/>
  <c r="H10" i="28"/>
  <c r="G5" i="28"/>
  <c r="I7" i="28"/>
  <c r="J8" i="28"/>
  <c r="I6" i="28"/>
  <c r="K8" i="28"/>
  <c r="J6" i="28"/>
  <c r="J5" i="28"/>
  <c r="E8" i="28"/>
  <c r="E6" i="28"/>
  <c r="F7" i="28"/>
  <c r="G8" i="28"/>
  <c r="H9" i="28"/>
  <c r="J6" i="1"/>
  <c r="E6" i="1"/>
  <c r="G8" i="1"/>
  <c r="J10" i="1"/>
  <c r="F7" i="1"/>
  <c r="I10" i="1"/>
  <c r="E5" i="1"/>
  <c r="F6" i="1"/>
  <c r="G7" i="1"/>
  <c r="H8" i="1"/>
  <c r="I9" i="1"/>
  <c r="F5" i="1"/>
  <c r="G6" i="1"/>
  <c r="H7" i="1"/>
  <c r="I8" i="1"/>
  <c r="J9" i="1"/>
  <c r="K10" i="1"/>
  <c r="G5" i="1"/>
  <c r="H6" i="1"/>
  <c r="I7" i="1"/>
  <c r="J8" i="1"/>
  <c r="K9" i="1"/>
  <c r="H5" i="1"/>
  <c r="I6" i="1"/>
  <c r="J7" i="1"/>
  <c r="K8" i="1"/>
  <c r="E10" i="1"/>
  <c r="I5" i="1"/>
  <c r="K7" i="1"/>
  <c r="E9" i="1"/>
  <c r="F10" i="1"/>
  <c r="J5" i="1"/>
  <c r="K6" i="1"/>
  <c r="E8" i="1"/>
  <c r="F9" i="1"/>
  <c r="G10" i="1"/>
  <c r="K5" i="1"/>
  <c r="E7" i="1"/>
  <c r="F8" i="1"/>
  <c r="G9" i="1"/>
  <c r="H10" i="1"/>
  <c r="D5" i="1"/>
  <c r="H9" i="1"/>
</calcChain>
</file>

<file path=xl/sharedStrings.xml><?xml version="1.0" encoding="utf-8"?>
<sst xmlns="http://schemas.openxmlformats.org/spreadsheetml/2006/main" count="519" uniqueCount="36">
  <si>
    <t>JAN</t>
  </si>
  <si>
    <t>ASSIGNMENTS</t>
  </si>
  <si>
    <t>MON</t>
  </si>
  <si>
    <t>French: First paper draft due</t>
  </si>
  <si>
    <t>TUES</t>
  </si>
  <si>
    <t>WEEKLY SCHEDULE</t>
  </si>
  <si>
    <t>WED</t>
  </si>
  <si>
    <t>THURS</t>
  </si>
  <si>
    <t>FRI</t>
  </si>
  <si>
    <t>8:00</t>
  </si>
  <si>
    <t>French</t>
  </si>
  <si>
    <t>9:00</t>
  </si>
  <si>
    <t>Art History</t>
  </si>
  <si>
    <t>10:00</t>
  </si>
  <si>
    <t>Math</t>
  </si>
  <si>
    <t>2:00</t>
  </si>
  <si>
    <t>English</t>
  </si>
  <si>
    <t>4:00</t>
  </si>
  <si>
    <t>Programming</t>
  </si>
  <si>
    <t>FEB</t>
  </si>
  <si>
    <t>MAR</t>
  </si>
  <si>
    <t>MAY</t>
  </si>
  <si>
    <t>AUG</t>
  </si>
  <si>
    <t>SEP</t>
  </si>
  <si>
    <t>OCT</t>
  </si>
  <si>
    <t>NOV</t>
  </si>
  <si>
    <t>DEC</t>
  </si>
  <si>
    <t>TUE</t>
  </si>
  <si>
    <t>THU</t>
  </si>
  <si>
    <t>Art History: Test</t>
  </si>
  <si>
    <t>SAT</t>
  </si>
  <si>
    <t>SUN</t>
  </si>
  <si>
    <t>APRIL</t>
  </si>
  <si>
    <t>JULY</t>
  </si>
  <si>
    <t>JUNE</t>
  </si>
  <si>
    <t>French: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</si>
</sst>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[$-409]mmmmm;@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4"/>
      <color theme="4" tint="-0.499984740745262"/>
      <name val="Arial"/>
      <family val="2"/>
      <scheme val="minor"/>
    </font>
    <font>
      <b/>
      <sz val="17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4" tint="-0.499984740745262"/>
      <name val="Arial"/>
      <family val="2"/>
      <scheme val="major"/>
    </font>
    <font>
      <sz val="11"/>
      <name val="Arial"/>
      <family val="2"/>
      <scheme val="minor"/>
    </font>
    <font>
      <sz val="36"/>
      <name val="Arial"/>
      <family val="2"/>
      <scheme val="major"/>
    </font>
    <font>
      <b/>
      <sz val="11"/>
      <name val="Arial"/>
      <family val="2"/>
      <scheme val="minor"/>
    </font>
    <font>
      <b/>
      <sz val="48"/>
      <color theme="0"/>
      <name val="Arial"/>
      <family val="2"/>
      <scheme val="minor"/>
    </font>
    <font>
      <b/>
      <sz val="14"/>
      <name val="Arial"/>
      <family val="2"/>
      <scheme val="minor"/>
    </font>
    <font>
      <sz val="36"/>
      <name val="Arial"/>
      <family val="2"/>
      <scheme val="minor"/>
    </font>
    <font>
      <sz val="12"/>
      <name val="Arial"/>
      <family val="2"/>
      <scheme val="minor"/>
    </font>
    <font>
      <sz val="14"/>
      <name val="Arial"/>
      <family val="2"/>
      <scheme val="minor"/>
    </font>
    <font>
      <b/>
      <sz val="12"/>
      <name val="Arial"/>
      <family val="2"/>
      <scheme val="minor"/>
    </font>
    <font>
      <b/>
      <sz val="18"/>
      <name val="Arial"/>
      <family val="2"/>
      <scheme val="minor"/>
    </font>
    <font>
      <b/>
      <sz val="32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0"/>
      <name val="Aria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8" tint="0.39997558519241921"/>
      </right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double">
        <color indexed="64"/>
      </left>
      <right/>
      <top style="thin">
        <color theme="0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double">
        <color indexed="64"/>
      </bottom>
      <diagonal/>
    </border>
    <border>
      <left style="double">
        <color theme="0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9" tint="0.59999389629810485"/>
      </top>
      <bottom/>
      <diagonal/>
    </border>
    <border>
      <left/>
      <right/>
      <top/>
      <bottom style="thin">
        <color theme="9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/>
      <top style="thin">
        <color theme="4" tint="0.59999389629810485"/>
      </top>
      <bottom/>
      <diagonal/>
    </border>
    <border>
      <left/>
      <right/>
      <top/>
      <bottom style="thin">
        <color theme="6" tint="0.59999389629810485"/>
      </bottom>
      <diagonal/>
    </border>
    <border>
      <left/>
      <right/>
      <top/>
      <bottom style="thin">
        <color theme="7" tint="0.59999389629810485"/>
      </bottom>
      <diagonal/>
    </border>
    <border>
      <left/>
      <right/>
      <top/>
      <bottom style="thin">
        <color theme="5" tint="-9.9978637043366805E-2"/>
      </bottom>
      <diagonal/>
    </border>
    <border>
      <left/>
      <right/>
      <top style="thin">
        <color theme="8" tint="0.59999389629810485"/>
      </top>
      <bottom/>
      <diagonal/>
    </border>
    <border>
      <left/>
      <right/>
      <top/>
      <bottom style="thin">
        <color theme="8" tint="0.59999389629810485"/>
      </bottom>
      <diagonal/>
    </border>
    <border>
      <left/>
      <right/>
      <top/>
      <bottom style="thin">
        <color theme="4" tint="0.59999389629810485"/>
      </bottom>
      <diagonal/>
    </border>
    <border>
      <left/>
      <right/>
      <top style="thin">
        <color theme="7" tint="0.59999389629810485"/>
      </top>
      <bottom/>
      <diagonal/>
    </border>
    <border>
      <left/>
      <right style="thin">
        <color theme="7" tint="0.59999389629810485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 style="double">
        <color theme="0"/>
      </top>
      <bottom/>
      <diagonal/>
    </border>
    <border>
      <left/>
      <right style="double">
        <color indexed="64"/>
      </right>
      <top style="double">
        <color theme="0"/>
      </top>
      <bottom/>
      <diagonal/>
    </border>
    <border>
      <left/>
      <right style="double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indexed="64"/>
      </right>
      <top style="thin">
        <color theme="1"/>
      </top>
      <bottom/>
      <diagonal/>
    </border>
    <border>
      <left style="double">
        <color indexed="64"/>
      </left>
      <right/>
      <top style="double">
        <color theme="0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 style="thin">
        <color theme="0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theme="0"/>
      </top>
      <bottom style="double">
        <color indexed="64"/>
      </bottom>
      <diagonal/>
    </border>
  </borders>
  <cellStyleXfs count="22">
    <xf numFmtId="0" fontId="0" fillId="0" borderId="0">
      <alignment wrapText="1"/>
    </xf>
    <xf numFmtId="0" fontId="11" fillId="0" borderId="0" applyFill="0" applyBorder="0" applyProtection="0">
      <alignment horizontal="center" vertical="center"/>
    </xf>
    <xf numFmtId="165" fontId="6" fillId="0" borderId="0" applyFill="0" applyBorder="0" applyProtection="0">
      <alignment horizontal="center" vertical="center"/>
    </xf>
    <xf numFmtId="0" fontId="7" fillId="0" borderId="0" applyFill="0" applyProtection="0">
      <alignment horizontal="left" vertical="center" indent="2"/>
    </xf>
    <xf numFmtId="0" fontId="8" fillId="0" borderId="0" applyNumberFormat="0" applyFill="0" applyBorder="0" applyProtection="0">
      <alignment horizontal="left" vertical="center"/>
    </xf>
    <xf numFmtId="0" fontId="8" fillId="0" borderId="0" applyFill="0" applyBorder="0" applyProtection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4" fillId="3" borderId="2" applyNumberFormat="0" applyAlignment="0" applyProtection="0"/>
    <xf numFmtId="0" fontId="5" fillId="4" borderId="1">
      <alignment horizontal="left" indent="1"/>
    </xf>
    <xf numFmtId="0" fontId="9" fillId="0" borderId="0">
      <alignment vertical="center"/>
    </xf>
    <xf numFmtId="0" fontId="9" fillId="0" borderId="3" applyNumberFormat="0" applyFont="0" applyFill="0" applyAlignment="0" applyProtection="0">
      <alignment horizontal="left" vertical="center" indent="2"/>
    </xf>
    <xf numFmtId="1" fontId="10" fillId="0" borderId="0" applyFill="0" applyBorder="0">
      <alignment horizontal="center"/>
    </xf>
    <xf numFmtId="0" fontId="12" fillId="0" borderId="4" applyNumberFormat="0" applyFont="0" applyFill="0" applyAlignment="0" applyProtection="0">
      <alignment horizontal="center"/>
    </xf>
    <xf numFmtId="0" fontId="12" fillId="0" borderId="5" applyNumberFormat="0" applyFont="0" applyFill="0" applyAlignment="0" applyProtection="0"/>
    <xf numFmtId="164" fontId="3" fillId="0" borderId="0" applyNumberFormat="0" applyFill="0" applyBorder="0">
      <alignment horizontal="left" vertical="center" indent="1"/>
    </xf>
    <xf numFmtId="0" fontId="12" fillId="2" borderId="0" applyFont="0" applyBorder="0">
      <alignment horizontal="left" vertical="top" indent="1"/>
    </xf>
    <xf numFmtId="0" fontId="5" fillId="0" borderId="0" applyNumberFormat="0" applyFill="0" applyBorder="0" applyAlignment="0">
      <alignment wrapText="1"/>
    </xf>
    <xf numFmtId="20" fontId="12" fillId="2" borderId="0" applyFill="0" applyBorder="0">
      <alignment horizontal="left" indent="1"/>
    </xf>
  </cellStyleXfs>
  <cellXfs count="167">
    <xf numFmtId="0" fontId="0" fillId="0" borderId="0" xfId="0">
      <alignment wrapText="1"/>
    </xf>
    <xf numFmtId="165" fontId="13" fillId="0" borderId="0" xfId="2" applyFont="1" applyBorder="1" applyAlignment="1" applyProtection="1">
      <alignment horizontal="left" vertical="center"/>
    </xf>
    <xf numFmtId="0" fontId="13" fillId="0" borderId="0" xfId="4" applyFont="1" applyBorder="1" applyAlignment="1" applyProtection="1">
      <alignment vertical="center"/>
    </xf>
    <xf numFmtId="164" fontId="3" fillId="0" borderId="0" xfId="18" applyNumberFormat="1" applyFill="1" applyBorder="1">
      <alignment horizontal="left" vertical="center" indent="1"/>
    </xf>
    <xf numFmtId="0" fontId="0" fillId="7" borderId="0" xfId="0" applyFill="1">
      <alignment wrapText="1"/>
    </xf>
    <xf numFmtId="0" fontId="15" fillId="7" borderId="0" xfId="3" applyFont="1" applyFill="1" applyAlignment="1" applyProtection="1">
      <alignment horizontal="left" vertical="center"/>
    </xf>
    <xf numFmtId="0" fontId="0" fillId="7" borderId="26" xfId="0" applyFill="1" applyBorder="1">
      <alignment wrapText="1"/>
    </xf>
    <xf numFmtId="0" fontId="0" fillId="7" borderId="0" xfId="0" applyFill="1" applyAlignment="1">
      <alignment horizontal="left" wrapText="1" indent="1"/>
    </xf>
    <xf numFmtId="0" fontId="0" fillId="7" borderId="0" xfId="0" applyFill="1" applyAlignment="1">
      <alignment vertical="center" wrapText="1"/>
    </xf>
    <xf numFmtId="0" fontId="0" fillId="7" borderId="15" xfId="0" applyFill="1" applyBorder="1">
      <alignment wrapText="1"/>
    </xf>
    <xf numFmtId="0" fontId="0" fillId="0" borderId="6" xfId="0" applyBorder="1">
      <alignment wrapText="1"/>
    </xf>
    <xf numFmtId="0" fontId="0" fillId="5" borderId="0" xfId="0" applyFill="1">
      <alignment wrapText="1"/>
    </xf>
    <xf numFmtId="0" fontId="0" fillId="0" borderId="0" xfId="0" applyAlignment="1">
      <alignment vertical="center" wrapText="1"/>
    </xf>
    <xf numFmtId="0" fontId="0" fillId="7" borderId="16" xfId="0" applyFill="1" applyBorder="1">
      <alignment wrapText="1"/>
    </xf>
    <xf numFmtId="0" fontId="0" fillId="0" borderId="10" xfId="0" applyBorder="1">
      <alignment wrapText="1"/>
    </xf>
    <xf numFmtId="0" fontId="0" fillId="0" borderId="13" xfId="0" applyBorder="1">
      <alignment wrapText="1"/>
    </xf>
    <xf numFmtId="0" fontId="0" fillId="0" borderId="7" xfId="0" applyBorder="1">
      <alignment wrapText="1"/>
    </xf>
    <xf numFmtId="0" fontId="12" fillId="0" borderId="7" xfId="0" applyFont="1" applyBorder="1" applyAlignment="1">
      <alignment vertical="center" wrapText="1"/>
    </xf>
    <xf numFmtId="0" fontId="0" fillId="0" borderId="11" xfId="0" applyBorder="1">
      <alignment wrapText="1"/>
    </xf>
    <xf numFmtId="0" fontId="16" fillId="0" borderId="0" xfId="14" applyNumberFormat="1" applyFont="1" applyBorder="1" applyAlignment="1" applyProtection="1">
      <alignment horizontal="left" vertical="center" indent="1"/>
    </xf>
    <xf numFmtId="0" fontId="16" fillId="0" borderId="8" xfId="14" applyNumberFormat="1" applyFont="1" applyBorder="1" applyAlignment="1" applyProtection="1">
      <alignment horizontal="left" vertical="center" indent="1"/>
    </xf>
    <xf numFmtId="0" fontId="0" fillId="7" borderId="15" xfId="17" applyFont="1" applyFill="1" applyBorder="1" applyAlignment="1" applyProtection="1">
      <alignment wrapText="1"/>
    </xf>
    <xf numFmtId="0" fontId="0" fillId="0" borderId="0" xfId="17" applyFont="1" applyFill="1" applyBorder="1" applyAlignment="1" applyProtection="1">
      <alignment wrapText="1"/>
    </xf>
    <xf numFmtId="0" fontId="0" fillId="0" borderId="11" xfId="17" applyFont="1" applyFill="1" applyBorder="1" applyAlignment="1" applyProtection="1">
      <alignment wrapText="1"/>
    </xf>
    <xf numFmtId="164" fontId="18" fillId="0" borderId="0" xfId="18" applyNumberFormat="1" applyFont="1" applyFill="1" applyBorder="1">
      <alignment horizontal="left" vertical="center" indent="1"/>
    </xf>
    <xf numFmtId="164" fontId="19" fillId="0" borderId="8" xfId="18" applyNumberFormat="1" applyFont="1" applyFill="1" applyBorder="1">
      <alignment horizontal="left" vertical="center" indent="1"/>
    </xf>
    <xf numFmtId="0" fontId="3" fillId="5" borderId="0" xfId="14" applyNumberFormat="1" applyFont="1" applyFill="1" applyBorder="1" applyAlignment="1" applyProtection="1">
      <alignment horizontal="left" vertical="center" indent="1"/>
    </xf>
    <xf numFmtId="164" fontId="3" fillId="5" borderId="0" xfId="18" applyNumberFormat="1" applyFill="1" applyBorder="1">
      <alignment horizontal="left" vertical="center" indent="1"/>
    </xf>
    <xf numFmtId="0" fontId="12" fillId="0" borderId="0" xfId="0" applyFont="1">
      <alignment wrapText="1"/>
    </xf>
    <xf numFmtId="164" fontId="18" fillId="5" borderId="0" xfId="18" applyNumberFormat="1" applyFont="1" applyFill="1" applyBorder="1">
      <alignment horizontal="left" vertical="center" indent="1"/>
    </xf>
    <xf numFmtId="164" fontId="3" fillId="5" borderId="8" xfId="18" applyNumberFormat="1" applyFill="1" applyBorder="1">
      <alignment horizontal="left" vertical="center" indent="1"/>
    </xf>
    <xf numFmtId="164" fontId="18" fillId="0" borderId="0" xfId="16" applyNumberFormat="1" applyFont="1" applyFill="1" applyBorder="1" applyAlignment="1" applyProtection="1">
      <alignment horizontal="left" vertical="center" indent="1"/>
    </xf>
    <xf numFmtId="164" fontId="19" fillId="0" borderId="8" xfId="16" applyNumberFormat="1" applyFont="1" applyFill="1" applyBorder="1" applyAlignment="1" applyProtection="1">
      <alignment horizontal="left" vertical="center" indent="1"/>
    </xf>
    <xf numFmtId="0" fontId="0" fillId="0" borderId="12" xfId="17" applyFont="1" applyFill="1" applyBorder="1" applyAlignment="1" applyProtection="1">
      <alignment wrapText="1"/>
    </xf>
    <xf numFmtId="0" fontId="0" fillId="0" borderId="9" xfId="0" applyBorder="1">
      <alignment wrapText="1"/>
    </xf>
    <xf numFmtId="164" fontId="3" fillId="5" borderId="0" xfId="16" applyNumberFormat="1" applyFont="1" applyFill="1" applyBorder="1" applyAlignment="1" applyProtection="1">
      <alignment horizontal="left" vertical="center" indent="1"/>
    </xf>
    <xf numFmtId="0" fontId="0" fillId="0" borderId="13" xfId="16" applyFont="1" applyBorder="1" applyAlignment="1" applyProtection="1">
      <alignment wrapText="1"/>
    </xf>
    <xf numFmtId="0" fontId="17" fillId="0" borderId="0" xfId="4" applyFont="1" applyBorder="1" applyAlignment="1" applyProtection="1">
      <alignment vertical="center"/>
    </xf>
    <xf numFmtId="0" fontId="22" fillId="0" borderId="0" xfId="4" applyFont="1" applyBorder="1" applyProtection="1">
      <alignment horizontal="left" vertical="center"/>
    </xf>
    <xf numFmtId="0" fontId="0" fillId="5" borderId="0" xfId="14" applyFont="1" applyFill="1" applyBorder="1" applyAlignment="1" applyProtection="1">
      <alignment wrapText="1"/>
    </xf>
    <xf numFmtId="0" fontId="22" fillId="0" borderId="0" xfId="4" applyFont="1" applyBorder="1" applyAlignment="1" applyProtection="1">
      <alignment horizontal="left" vertical="center" indent="2"/>
    </xf>
    <xf numFmtId="0" fontId="5" fillId="7" borderId="15" xfId="20" applyFill="1" applyBorder="1" applyAlignment="1">
      <alignment wrapText="1"/>
    </xf>
    <xf numFmtId="0" fontId="5" fillId="0" borderId="0" xfId="20" applyFill="1" applyBorder="1" applyAlignment="1">
      <alignment wrapText="1"/>
    </xf>
    <xf numFmtId="0" fontId="5" fillId="0" borderId="10" xfId="20" applyFill="1" applyBorder="1" applyAlignment="1">
      <alignment wrapText="1"/>
    </xf>
    <xf numFmtId="0" fontId="16" fillId="5" borderId="7" xfId="17" applyFont="1" applyFill="1" applyBorder="1" applyAlignment="1" applyProtection="1">
      <alignment horizontal="left" vertical="center" indent="1"/>
    </xf>
    <xf numFmtId="0" fontId="5" fillId="5" borderId="0" xfId="17" applyFont="1" applyFill="1" applyBorder="1" applyAlignment="1" applyProtection="1">
      <alignment horizontal="left" indent="1"/>
    </xf>
    <xf numFmtId="0" fontId="5" fillId="0" borderId="16" xfId="20" applyFill="1" applyBorder="1" applyAlignment="1">
      <alignment wrapText="1"/>
    </xf>
    <xf numFmtId="0" fontId="5" fillId="0" borderId="20" xfId="20" applyFill="1" applyBorder="1" applyAlignment="1">
      <alignment wrapText="1"/>
    </xf>
    <xf numFmtId="0" fontId="16" fillId="5" borderId="19" xfId="17" applyFont="1" applyFill="1" applyBorder="1" applyAlignment="1" applyProtection="1">
      <alignment horizontal="left" vertical="center" indent="1"/>
    </xf>
    <xf numFmtId="0" fontId="5" fillId="0" borderId="11" xfId="20" applyFill="1" applyBorder="1" applyAlignment="1">
      <alignment wrapText="1"/>
    </xf>
    <xf numFmtId="0" fontId="16" fillId="5" borderId="8" xfId="17" applyFont="1" applyFill="1" applyBorder="1" applyAlignment="1" applyProtection="1">
      <alignment horizontal="left" vertical="center" indent="1"/>
    </xf>
    <xf numFmtId="0" fontId="0" fillId="5" borderId="24" xfId="0" applyFill="1" applyBorder="1">
      <alignment wrapText="1"/>
    </xf>
    <xf numFmtId="0" fontId="19" fillId="0" borderId="22" xfId="0" applyFont="1" applyBorder="1" applyAlignment="1">
      <alignment horizontal="left" vertical="center" wrapText="1"/>
    </xf>
    <xf numFmtId="20" fontId="16" fillId="0" borderId="0" xfId="21" applyFont="1" applyFill="1" applyBorder="1">
      <alignment horizontal="left" indent="1"/>
    </xf>
    <xf numFmtId="0" fontId="23" fillId="5" borderId="8" xfId="19" applyFont="1" applyFill="1" applyBorder="1">
      <alignment horizontal="left" vertical="top" indent="1"/>
    </xf>
    <xf numFmtId="20" fontId="23" fillId="0" borderId="0" xfId="19" applyNumberFormat="1" applyFont="1" applyFill="1" applyBorder="1">
      <alignment horizontal="left" vertical="top" indent="1"/>
    </xf>
    <xf numFmtId="20" fontId="19" fillId="5" borderId="8" xfId="21" applyFont="1" applyFill="1" applyBorder="1">
      <alignment horizontal="left" indent="1"/>
    </xf>
    <xf numFmtId="0" fontId="24" fillId="5" borderId="8" xfId="19" applyFont="1" applyFill="1" applyBorder="1">
      <alignment horizontal="left" vertical="top" indent="1"/>
    </xf>
    <xf numFmtId="0" fontId="5" fillId="0" borderId="12" xfId="20" applyFill="1" applyBorder="1" applyAlignment="1">
      <alignment wrapText="1"/>
    </xf>
    <xf numFmtId="0" fontId="23" fillId="5" borderId="6" xfId="19" applyFont="1" applyFill="1" applyBorder="1">
      <alignment horizontal="left" vertical="top" indent="1"/>
    </xf>
    <xf numFmtId="0" fontId="23" fillId="5" borderId="9" xfId="19" applyFont="1" applyFill="1" applyBorder="1">
      <alignment horizontal="left" vertical="top" indent="1"/>
    </xf>
    <xf numFmtId="0" fontId="0" fillId="0" borderId="0" xfId="0" applyAlignment="1">
      <alignment horizontal="left" wrapText="1" indent="1"/>
    </xf>
    <xf numFmtId="0" fontId="0" fillId="7" borderId="17" xfId="0" applyFill="1" applyBorder="1">
      <alignment wrapText="1"/>
    </xf>
    <xf numFmtId="0" fontId="0" fillId="7" borderId="17" xfId="0" applyFill="1" applyBorder="1" applyAlignment="1">
      <alignment horizontal="left" wrapText="1" indent="1"/>
    </xf>
    <xf numFmtId="0" fontId="0" fillId="7" borderId="17" xfId="0" applyFill="1" applyBorder="1" applyAlignment="1">
      <alignment vertical="center" wrapText="1"/>
    </xf>
    <xf numFmtId="0" fontId="0" fillId="5" borderId="34" xfId="0" applyFill="1" applyBorder="1">
      <alignment wrapText="1"/>
    </xf>
    <xf numFmtId="0" fontId="0" fillId="10" borderId="0" xfId="0" applyFill="1">
      <alignment wrapText="1"/>
    </xf>
    <xf numFmtId="0" fontId="15" fillId="10" borderId="0" xfId="3" applyFont="1" applyFill="1" applyAlignment="1" applyProtection="1">
      <alignment horizontal="left" vertical="center"/>
    </xf>
    <xf numFmtId="0" fontId="0" fillId="10" borderId="29" xfId="0" applyFill="1" applyBorder="1">
      <alignment wrapText="1"/>
    </xf>
    <xf numFmtId="0" fontId="0" fillId="10" borderId="0" xfId="0" applyFill="1" applyAlignment="1">
      <alignment horizontal="left" wrapText="1" indent="1"/>
    </xf>
    <xf numFmtId="0" fontId="0" fillId="10" borderId="0" xfId="0" applyFill="1" applyAlignment="1">
      <alignment vertical="center" wrapText="1"/>
    </xf>
    <xf numFmtId="0" fontId="0" fillId="10" borderId="0" xfId="17" applyFont="1" applyFill="1" applyBorder="1" applyAlignment="1" applyProtection="1">
      <alignment wrapText="1"/>
    </xf>
    <xf numFmtId="0" fontId="5" fillId="10" borderId="0" xfId="20" applyFill="1" applyBorder="1" applyAlignment="1">
      <alignment wrapText="1"/>
    </xf>
    <xf numFmtId="0" fontId="0" fillId="9" borderId="0" xfId="0" applyFill="1">
      <alignment wrapText="1"/>
    </xf>
    <xf numFmtId="0" fontId="15" fillId="9" borderId="0" xfId="3" applyFont="1" applyFill="1" applyAlignment="1" applyProtection="1">
      <alignment horizontal="left" vertical="center"/>
    </xf>
    <xf numFmtId="0" fontId="0" fillId="9" borderId="36" xfId="0" applyFill="1" applyBorder="1">
      <alignment wrapText="1"/>
    </xf>
    <xf numFmtId="0" fontId="0" fillId="9" borderId="0" xfId="0" applyFill="1" applyAlignment="1">
      <alignment horizontal="left" wrapText="1" indent="1"/>
    </xf>
    <xf numFmtId="0" fontId="0" fillId="9" borderId="0" xfId="0" applyFill="1" applyAlignment="1">
      <alignment vertical="center" wrapText="1"/>
    </xf>
    <xf numFmtId="0" fontId="0" fillId="9" borderId="0" xfId="17" applyFont="1" applyFill="1" applyBorder="1" applyAlignment="1" applyProtection="1">
      <alignment wrapText="1"/>
    </xf>
    <xf numFmtId="0" fontId="5" fillId="9" borderId="0" xfId="20" applyFill="1" applyBorder="1" applyAlignment="1">
      <alignment wrapText="1"/>
    </xf>
    <xf numFmtId="0" fontId="0" fillId="5" borderId="30" xfId="0" applyFill="1" applyBorder="1">
      <alignment wrapText="1"/>
    </xf>
    <xf numFmtId="0" fontId="0" fillId="8" borderId="0" xfId="0" applyFill="1">
      <alignment wrapText="1"/>
    </xf>
    <xf numFmtId="0" fontId="15" fillId="8" borderId="0" xfId="3" applyFont="1" applyFill="1" applyAlignment="1" applyProtection="1">
      <alignment horizontal="left" vertical="center"/>
    </xf>
    <xf numFmtId="0" fontId="0" fillId="8" borderId="0" xfId="0" applyFill="1" applyAlignment="1">
      <alignment horizontal="left" wrapText="1" indent="1"/>
    </xf>
    <xf numFmtId="0" fontId="0" fillId="8" borderId="0" xfId="0" applyFill="1" applyAlignment="1">
      <alignment vertical="center" wrapText="1"/>
    </xf>
    <xf numFmtId="0" fontId="0" fillId="8" borderId="0" xfId="17" applyFont="1" applyFill="1" applyBorder="1" applyAlignment="1" applyProtection="1">
      <alignment wrapText="1"/>
    </xf>
    <xf numFmtId="0" fontId="5" fillId="8" borderId="0" xfId="20" applyFill="1" applyBorder="1" applyAlignment="1">
      <alignment wrapText="1"/>
    </xf>
    <xf numFmtId="0" fontId="0" fillId="6" borderId="0" xfId="0" applyFill="1">
      <alignment wrapText="1"/>
    </xf>
    <xf numFmtId="0" fontId="15" fillId="6" borderId="0" xfId="3" applyFont="1" applyFill="1" applyAlignment="1" applyProtection="1">
      <alignment horizontal="left" vertical="center"/>
    </xf>
    <xf numFmtId="0" fontId="0" fillId="6" borderId="0" xfId="0" applyFill="1" applyAlignment="1">
      <alignment horizontal="left" wrapText="1" indent="1"/>
    </xf>
    <xf numFmtId="0" fontId="0" fillId="6" borderId="0" xfId="0" applyFill="1" applyAlignment="1">
      <alignment vertical="center" wrapText="1"/>
    </xf>
    <xf numFmtId="0" fontId="0" fillId="5" borderId="37" xfId="0" applyFill="1" applyBorder="1">
      <alignment wrapText="1"/>
    </xf>
    <xf numFmtId="0" fontId="0" fillId="6" borderId="0" xfId="17" applyFont="1" applyFill="1" applyBorder="1" applyAlignment="1" applyProtection="1">
      <alignment wrapText="1"/>
    </xf>
    <xf numFmtId="0" fontId="5" fillId="6" borderId="0" xfId="20" applyFill="1" applyBorder="1" applyAlignment="1">
      <alignment wrapText="1"/>
    </xf>
    <xf numFmtId="0" fontId="0" fillId="6" borderId="38" xfId="0" applyFill="1" applyBorder="1">
      <alignment wrapText="1"/>
    </xf>
    <xf numFmtId="0" fontId="0" fillId="7" borderId="35" xfId="0" applyFill="1" applyBorder="1">
      <alignment wrapText="1"/>
    </xf>
    <xf numFmtId="0" fontId="0" fillId="7" borderId="0" xfId="17" applyFont="1" applyFill="1" applyBorder="1" applyAlignment="1" applyProtection="1">
      <alignment wrapText="1"/>
    </xf>
    <xf numFmtId="0" fontId="5" fillId="7" borderId="0" xfId="20" applyFill="1" applyBorder="1" applyAlignment="1">
      <alignment wrapText="1"/>
    </xf>
    <xf numFmtId="0" fontId="0" fillId="12" borderId="0" xfId="0" applyFill="1">
      <alignment wrapText="1"/>
    </xf>
    <xf numFmtId="0" fontId="15" fillId="12" borderId="0" xfId="3" applyFont="1" applyFill="1" applyAlignment="1" applyProtection="1">
      <alignment horizontal="left" vertical="center"/>
    </xf>
    <xf numFmtId="0" fontId="0" fillId="12" borderId="33" xfId="0" applyFill="1" applyBorder="1">
      <alignment wrapText="1"/>
    </xf>
    <xf numFmtId="0" fontId="0" fillId="12" borderId="0" xfId="0" applyFill="1" applyAlignment="1">
      <alignment horizontal="left" wrapText="1" indent="1"/>
    </xf>
    <xf numFmtId="0" fontId="0" fillId="12" borderId="0" xfId="0" applyFill="1" applyAlignment="1">
      <alignment vertical="center" wrapText="1"/>
    </xf>
    <xf numFmtId="0" fontId="0" fillId="12" borderId="0" xfId="17" applyFont="1" applyFill="1" applyBorder="1" applyAlignment="1" applyProtection="1">
      <alignment wrapText="1"/>
    </xf>
    <xf numFmtId="0" fontId="5" fillId="12" borderId="0" xfId="20" applyFill="1" applyBorder="1" applyAlignment="1">
      <alignment wrapText="1"/>
    </xf>
    <xf numFmtId="0" fontId="0" fillId="11" borderId="0" xfId="0" applyFill="1">
      <alignment wrapText="1"/>
    </xf>
    <xf numFmtId="0" fontId="15" fillId="11" borderId="0" xfId="3" applyFont="1" applyFill="1" applyAlignment="1" applyProtection="1">
      <alignment horizontal="left" vertical="center"/>
    </xf>
    <xf numFmtId="0" fontId="0" fillId="11" borderId="28" xfId="0" applyFill="1" applyBorder="1">
      <alignment wrapText="1"/>
    </xf>
    <xf numFmtId="0" fontId="0" fillId="11" borderId="0" xfId="0" applyFill="1" applyAlignment="1">
      <alignment horizontal="left" wrapText="1" indent="1"/>
    </xf>
    <xf numFmtId="0" fontId="0" fillId="11" borderId="0" xfId="0" applyFill="1" applyAlignment="1">
      <alignment vertical="center" wrapText="1"/>
    </xf>
    <xf numFmtId="0" fontId="0" fillId="5" borderId="27" xfId="0" applyFill="1" applyBorder="1">
      <alignment wrapText="1"/>
    </xf>
    <xf numFmtId="0" fontId="0" fillId="11" borderId="0" xfId="17" applyFont="1" applyFill="1" applyBorder="1" applyAlignment="1" applyProtection="1">
      <alignment wrapText="1"/>
    </xf>
    <xf numFmtId="0" fontId="5" fillId="11" borderId="0" xfId="20" applyFill="1" applyBorder="1" applyAlignment="1">
      <alignment wrapText="1"/>
    </xf>
    <xf numFmtId="0" fontId="0" fillId="8" borderId="31" xfId="0" applyFill="1" applyBorder="1">
      <alignment wrapText="1"/>
    </xf>
    <xf numFmtId="0" fontId="0" fillId="6" borderId="32" xfId="0" applyFill="1" applyBorder="1">
      <alignment wrapText="1"/>
    </xf>
    <xf numFmtId="0" fontId="25" fillId="0" borderId="0" xfId="0" applyFont="1" applyAlignment="1">
      <alignment horizontal="left" wrapText="1" indent="1"/>
    </xf>
    <xf numFmtId="0" fontId="25" fillId="0" borderId="0" xfId="0" applyFont="1">
      <alignment wrapText="1"/>
    </xf>
    <xf numFmtId="0" fontId="8" fillId="0" borderId="10" xfId="5" applyBorder="1" applyAlignment="1">
      <alignment horizontal="left" indent="1"/>
    </xf>
    <xf numFmtId="0" fontId="16" fillId="0" borderId="13" xfId="5" applyFont="1" applyBorder="1" applyAlignment="1">
      <alignment horizontal="left" indent="1"/>
    </xf>
    <xf numFmtId="1" fontId="10" fillId="0" borderId="13" xfId="15" applyBorder="1">
      <alignment horizontal="center"/>
    </xf>
    <xf numFmtId="0" fontId="13" fillId="0" borderId="18" xfId="3" applyFont="1" applyBorder="1">
      <alignment horizontal="left" vertical="center" indent="2"/>
    </xf>
    <xf numFmtId="1" fontId="10" fillId="0" borderId="40" xfId="15" applyBorder="1">
      <alignment horizontal="center"/>
    </xf>
    <xf numFmtId="0" fontId="0" fillId="0" borderId="41" xfId="0" applyBorder="1" applyAlignment="1">
      <alignment vertical="center"/>
    </xf>
    <xf numFmtId="0" fontId="8" fillId="0" borderId="11" xfId="5" applyBorder="1" applyAlignment="1">
      <alignment horizontal="left" indent="1"/>
    </xf>
    <xf numFmtId="0" fontId="12" fillId="0" borderId="42" xfId="0" applyFont="1" applyBorder="1" applyAlignment="1">
      <alignment vertical="center" wrapText="1"/>
    </xf>
    <xf numFmtId="0" fontId="20" fillId="0" borderId="25" xfId="5" applyFont="1" applyBorder="1" applyAlignment="1">
      <alignment horizontal="left" indent="1"/>
    </xf>
    <xf numFmtId="1" fontId="14" fillId="0" borderId="14" xfId="15" applyFont="1" applyBorder="1">
      <alignment horizontal="center"/>
    </xf>
    <xf numFmtId="0" fontId="12" fillId="0" borderId="22" xfId="0" applyFont="1" applyBorder="1" applyAlignment="1">
      <alignment vertical="center" wrapText="1"/>
    </xf>
    <xf numFmtId="0" fontId="21" fillId="0" borderId="11" xfId="5" applyFont="1" applyBorder="1" applyAlignment="1">
      <alignment horizontal="left" vertical="center" indent="2"/>
    </xf>
    <xf numFmtId="1" fontId="21" fillId="0" borderId="43" xfId="15" applyFont="1" applyBorder="1" applyAlignment="1">
      <alignment horizontal="center" vertical="center"/>
    </xf>
    <xf numFmtId="0" fontId="19" fillId="0" borderId="42" xfId="0" applyFont="1" applyBorder="1" applyAlignment="1">
      <alignment horizontal="left" vertical="center" wrapText="1"/>
    </xf>
    <xf numFmtId="0" fontId="16" fillId="0" borderId="11" xfId="5" applyFont="1" applyBorder="1" applyAlignment="1">
      <alignment horizontal="left" indent="4"/>
    </xf>
    <xf numFmtId="1" fontId="16" fillId="0" borderId="43" xfId="15" applyFont="1" applyBorder="1">
      <alignment horizontal="center"/>
    </xf>
    <xf numFmtId="1" fontId="16" fillId="0" borderId="40" xfId="15" applyFont="1" applyBorder="1">
      <alignment horizontal="center"/>
    </xf>
    <xf numFmtId="0" fontId="16" fillId="0" borderId="39" xfId="5" applyFont="1" applyBorder="1" applyAlignment="1">
      <alignment horizontal="left" indent="4"/>
    </xf>
    <xf numFmtId="0" fontId="19" fillId="0" borderId="22" xfId="16" applyFont="1" applyBorder="1" applyAlignment="1">
      <alignment vertical="center" wrapText="1"/>
    </xf>
    <xf numFmtId="0" fontId="19" fillId="0" borderId="44" xfId="16" applyFont="1" applyBorder="1" applyAlignment="1">
      <alignment vertical="center" wrapText="1"/>
    </xf>
    <xf numFmtId="0" fontId="21" fillId="0" borderId="25" xfId="5" applyFont="1" applyBorder="1" applyAlignment="1">
      <alignment horizontal="left" vertical="center" indent="2"/>
    </xf>
    <xf numFmtId="1" fontId="21" fillId="0" borderId="14" xfId="15" applyFont="1" applyBorder="1" applyAlignment="1">
      <alignment horizontal="center" vertical="center"/>
    </xf>
    <xf numFmtId="1" fontId="21" fillId="0" borderId="40" xfId="15" applyFont="1" applyBorder="1" applyAlignment="1">
      <alignment horizontal="center" vertical="center"/>
    </xf>
    <xf numFmtId="0" fontId="19" fillId="0" borderId="41" xfId="0" applyFont="1" applyBorder="1" applyAlignment="1">
      <alignment horizontal="left" vertical="center" wrapText="1"/>
    </xf>
    <xf numFmtId="1" fontId="16" fillId="0" borderId="40" xfId="15" applyFont="1" applyBorder="1" applyAlignment="1">
      <alignment horizontal="center" vertical="center"/>
    </xf>
    <xf numFmtId="0" fontId="16" fillId="0" borderId="11" xfId="5" applyFont="1" applyBorder="1" applyAlignment="1">
      <alignment horizontal="left" indent="1"/>
    </xf>
    <xf numFmtId="0" fontId="16" fillId="0" borderId="45" xfId="5" applyFont="1" applyBorder="1" applyAlignment="1">
      <alignment horizontal="left" indent="1"/>
    </xf>
    <xf numFmtId="1" fontId="16" fillId="0" borderId="46" xfId="15" applyFont="1" applyBorder="1">
      <alignment horizontal="center"/>
    </xf>
    <xf numFmtId="0" fontId="16" fillId="0" borderId="40" xfId="5" applyFont="1" applyBorder="1" applyAlignment="1">
      <alignment horizontal="left" indent="1"/>
    </xf>
    <xf numFmtId="0" fontId="8" fillId="0" borderId="25" xfId="5" applyBorder="1" applyAlignment="1">
      <alignment horizontal="left" indent="1"/>
    </xf>
    <xf numFmtId="0" fontId="16" fillId="0" borderId="14" xfId="5" applyFont="1" applyBorder="1" applyAlignment="1">
      <alignment horizontal="left" indent="1"/>
    </xf>
    <xf numFmtId="1" fontId="10" fillId="0" borderId="14" xfId="15" applyBorder="1">
      <alignment horizontal="center"/>
    </xf>
    <xf numFmtId="0" fontId="19" fillId="0" borderId="47" xfId="0" applyFont="1" applyBorder="1" applyAlignment="1">
      <alignment horizontal="left" vertical="center" wrapText="1"/>
    </xf>
    <xf numFmtId="0" fontId="16" fillId="0" borderId="12" xfId="5" applyFont="1" applyBorder="1" applyAlignment="1">
      <alignment horizontal="left" indent="1"/>
    </xf>
    <xf numFmtId="0" fontId="16" fillId="0" borderId="23" xfId="5" applyFont="1" applyBorder="1" applyAlignment="1">
      <alignment horizontal="left" indent="1"/>
    </xf>
    <xf numFmtId="1" fontId="16" fillId="0" borderId="23" xfId="15" applyFont="1" applyBorder="1">
      <alignment horizontal="center"/>
    </xf>
    <xf numFmtId="0" fontId="19" fillId="0" borderId="48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wrapText="1" indent="1"/>
    </xf>
    <xf numFmtId="0" fontId="21" fillId="5" borderId="13" xfId="17" applyFont="1" applyFill="1" applyBorder="1" applyAlignment="1" applyProtection="1">
      <alignment horizontal="left" vertical="center"/>
    </xf>
    <xf numFmtId="0" fontId="21" fillId="5" borderId="21" xfId="17" applyFont="1" applyFill="1" applyBorder="1" applyAlignment="1" applyProtection="1">
      <alignment horizontal="left" vertical="center"/>
    </xf>
    <xf numFmtId="0" fontId="13" fillId="0" borderId="0" xfId="1" applyFont="1" applyBorder="1" applyAlignment="1" applyProtection="1">
      <alignment horizontal="left" vertical="top"/>
    </xf>
    <xf numFmtId="0" fontId="21" fillId="5" borderId="13" xfId="12" applyFont="1" applyFill="1" applyBorder="1" applyAlignment="1">
      <alignment horizontal="left" vertical="center" indent="1"/>
    </xf>
    <xf numFmtId="0" fontId="21" fillId="5" borderId="21" xfId="12" applyFont="1" applyFill="1" applyBorder="1" applyAlignment="1">
      <alignment horizontal="left" vertical="center" indent="1"/>
    </xf>
    <xf numFmtId="0" fontId="21" fillId="5" borderId="13" xfId="12" applyFont="1" applyFill="1" applyBorder="1" applyAlignment="1">
      <alignment horizontal="left" vertical="center"/>
    </xf>
    <xf numFmtId="0" fontId="21" fillId="5" borderId="21" xfId="12" applyFont="1" applyFill="1" applyBorder="1" applyAlignment="1">
      <alignment horizontal="left" vertical="center"/>
    </xf>
    <xf numFmtId="0" fontId="23" fillId="0" borderId="0" xfId="19" applyFont="1" applyFill="1" applyBorder="1">
      <alignment horizontal="left" vertical="top" indent="1"/>
    </xf>
    <xf numFmtId="20" fontId="16" fillId="0" borderId="0" xfId="21" applyFont="1" applyFill="1" applyBorder="1">
      <alignment horizontal="left" indent="1"/>
    </xf>
    <xf numFmtId="0" fontId="23" fillId="5" borderId="6" xfId="19" applyFont="1" applyFill="1" applyBorder="1">
      <alignment horizontal="left" vertical="top" indent="1"/>
    </xf>
    <xf numFmtId="0" fontId="13" fillId="0" borderId="0" xfId="4" applyFont="1" applyBorder="1" applyProtection="1">
      <alignment horizontal="left" vertical="center"/>
    </xf>
    <xf numFmtId="0" fontId="17" fillId="0" borderId="0" xfId="4" applyFont="1" applyBorder="1" applyProtection="1">
      <alignment horizontal="left" vertical="center"/>
    </xf>
  </cellXfs>
  <cellStyles count="22">
    <cellStyle name="Bottom Border" xfId="16" xr:uid="{00000000-0005-0000-0000-000000000000}"/>
    <cellStyle name="Calendar alignment" xfId="18" xr:uid="{00000000-0005-0000-0000-000001000000}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6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Label" xfId="13" xr:uid="{00000000-0005-0000-0000-00000B000000}"/>
    <cellStyle name="Normal" xfId="0" builtinId="0" customBuiltin="1"/>
    <cellStyle name="Note" xfId="11" builtinId="10" customBuiltin="1"/>
    <cellStyle name="Percent" xfId="10" builtinId="5" customBuiltin="1"/>
    <cellStyle name="Right Border" xfId="17" xr:uid="{00000000-0005-0000-0000-00000F000000}"/>
    <cellStyle name="Table heading blank" xfId="20" xr:uid="{00000000-0005-0000-0000-000010000000}"/>
    <cellStyle name="Time" xfId="21" xr:uid="{00000000-0005-0000-0000-000011000000}"/>
    <cellStyle name="Title" xfId="1" builtinId="15" customBuiltin="1"/>
    <cellStyle name="Top Border" xfId="14" xr:uid="{00000000-0005-0000-0000-000013000000}"/>
    <cellStyle name="Weekdays" xfId="12" xr:uid="{00000000-0005-0000-0000-000014000000}"/>
    <cellStyle name="Weekly Schedule Fill" xfId="19" xr:uid="{00000000-0005-0000-0000-000015000000}"/>
  </cellStyles>
  <dxfs count="103"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3" tint="0.59996337778862885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</font>
      <fill>
        <patternFill>
          <bgColor theme="3" tint="0.79998168889431442"/>
        </patternFill>
      </fill>
    </dxf>
    <dxf>
      <border>
        <left/>
        <vertical/>
        <horizontal/>
      </border>
    </dxf>
    <dxf>
      <font>
        <b val="0"/>
        <i val="0"/>
      </font>
      <fill>
        <patternFill>
          <bgColor theme="3" tint="0.79998168889431442"/>
        </patternFill>
      </fill>
      <border>
        <vertical/>
        <horizontal/>
      </border>
    </dxf>
    <dxf>
      <fill>
        <patternFill>
          <bgColor theme="3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59996337778862885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</font>
      <fill>
        <patternFill>
          <bgColor theme="4" tint="0.79998168889431442"/>
        </patternFill>
      </fill>
    </dxf>
    <dxf>
      <border>
        <left/>
        <vertical/>
        <horizontal/>
      </border>
    </dxf>
    <dxf>
      <font>
        <b val="0"/>
        <i val="0"/>
      </font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6" tint="0.3999450666829432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</font>
      <fill>
        <patternFill>
          <bgColor theme="6" tint="0.79998168889431442"/>
        </patternFill>
      </fill>
    </dxf>
    <dxf>
      <border>
        <left/>
        <vertical/>
        <horizontal/>
      </border>
    </dxf>
    <dxf>
      <font>
        <b val="0"/>
        <i val="0"/>
      </font>
      <fill>
        <patternFill>
          <bgColor theme="6" tint="0.79998168889431442"/>
        </patternFill>
      </fill>
      <border>
        <vertical/>
        <horizontal/>
      </border>
    </dxf>
    <dxf>
      <fill>
        <patternFill>
          <bgColor theme="6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7" tint="0.3999450666829432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</font>
      <fill>
        <patternFill>
          <bgColor theme="7" tint="0.79998168889431442"/>
        </patternFill>
      </fill>
    </dxf>
    <dxf>
      <border>
        <left/>
        <vertical/>
        <horizontal/>
      </border>
    </dxf>
    <dxf>
      <font>
        <b val="0"/>
        <i val="0"/>
      </font>
      <fill>
        <patternFill>
          <bgColor theme="7" tint="0.79998168889431442"/>
        </patternFill>
      </fill>
      <border>
        <vertical/>
        <horizontal/>
      </border>
    </dxf>
    <dxf>
      <fill>
        <patternFill>
          <bgColor theme="7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8" tint="0.3999450666829432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</font>
      <fill>
        <patternFill>
          <bgColor theme="8" tint="0.79998168889431442"/>
        </patternFill>
      </fill>
    </dxf>
    <dxf>
      <border>
        <left/>
        <vertical/>
        <horizontal/>
      </border>
    </dxf>
    <dxf>
      <font>
        <b val="0"/>
        <i val="0"/>
      </font>
      <fill>
        <patternFill>
          <bgColor theme="8" tint="0.79998168889431442"/>
        </patternFill>
      </fill>
      <border>
        <vertical/>
        <horizontal/>
      </border>
    </dxf>
    <dxf>
      <fill>
        <patternFill>
          <bgColor theme="8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5" tint="-9.9948118533890809E-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</font>
      <fill>
        <patternFill>
          <bgColor theme="5"/>
        </patternFill>
      </fill>
    </dxf>
    <dxf>
      <border>
        <left/>
        <vertical/>
        <horizontal/>
      </border>
    </dxf>
    <dxf>
      <font>
        <b val="0"/>
        <i val="0"/>
      </font>
      <fill>
        <patternFill>
          <bgColor theme="5"/>
        </patternFill>
      </fill>
      <border>
        <vertical/>
        <horizontal/>
      </border>
    </dxf>
    <dxf>
      <fill>
        <patternFill>
          <bgColor theme="5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9" tint="0.59996337778862885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</font>
      <fill>
        <patternFill>
          <bgColor theme="9" tint="0.79998168889431442"/>
        </patternFill>
      </fill>
    </dxf>
    <dxf>
      <border>
        <left/>
        <vertical/>
        <horizontal/>
      </border>
    </dxf>
    <dxf>
      <font>
        <b val="0"/>
        <i val="0"/>
      </font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9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3" tint="0.59996337778862885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</font>
      <fill>
        <patternFill>
          <bgColor theme="3" tint="0.79998168889431442"/>
        </patternFill>
      </fill>
    </dxf>
    <dxf>
      <border>
        <left/>
        <vertical/>
        <horizontal/>
      </border>
    </dxf>
    <dxf>
      <font>
        <b val="0"/>
        <i val="0"/>
      </font>
      <fill>
        <patternFill>
          <bgColor theme="3" tint="0.79998168889431442"/>
        </patternFill>
      </fill>
      <border>
        <vertical/>
        <horizontal/>
      </border>
    </dxf>
    <dxf>
      <fill>
        <patternFill>
          <bgColor theme="3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3999450666829432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</font>
      <fill>
        <patternFill>
          <bgColor theme="4" tint="0.79998168889431442"/>
        </patternFill>
      </fill>
    </dxf>
    <dxf>
      <border>
        <left/>
        <vertical/>
        <horizontal/>
      </border>
    </dxf>
    <dxf>
      <font>
        <b val="0"/>
        <i val="0"/>
      </font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6" tint="0.3999450666829432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border>
        <left/>
        <vertical/>
        <horizontal/>
      </border>
    </dxf>
    <dxf>
      <fill>
        <patternFill>
          <bgColor theme="6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7" tint="0.3999450666829432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border>
        <left/>
        <vertical/>
        <horizontal/>
      </border>
    </dxf>
    <dxf>
      <fill>
        <patternFill>
          <bgColor theme="7" tint="0.79998168889431442"/>
        </patternFill>
      </fill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8" tint="0.3999450666829432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border>
        <left/>
        <vertical/>
        <horizontal/>
      </border>
    </dxf>
    <dxf>
      <fill>
        <patternFill>
          <bgColor theme="8" tint="0.79998168889431442"/>
        </patternFill>
      </fill>
    </dxf>
    <dxf>
      <font>
        <b/>
        <i val="0"/>
        <color theme="4" tint="-0.499984740745262"/>
      </font>
      <border diagonalUp="0" diagonalDown="0">
        <left style="thin">
          <color theme="4" tint="-0.499984740745262"/>
        </left>
        <right/>
        <top/>
        <bottom style="thin">
          <color theme="4" tint="-0.499984740745262"/>
        </bottom>
        <vertical/>
        <horizontal/>
      </border>
    </dxf>
    <dxf>
      <font>
        <b/>
        <i val="0"/>
        <color theme="4" tint="-0.499984740745262"/>
      </font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horizontal style="thin">
          <color theme="5" tint="-0.499984740745262"/>
        </horizontal>
      </border>
    </dxf>
  </dxfs>
  <tableStyles count="1" defaultTableStyle="Assignments" defaultPivotStyle="PivotStyleLight16">
    <tableStyle name="Assignments" pivot="0" count="3" xr9:uid="{00000000-0011-0000-FFFF-FFFF00000000}">
      <tableStyleElement type="wholeTable" dxfId="102"/>
      <tableStyleElement type="headerRow" dxfId="101"/>
      <tableStyleElement type="firstColumn" dxfId="1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81.xml" Id="rId8" /><Relationship Type="http://schemas.openxmlformats.org/officeDocument/2006/relationships/theme" Target="/xl/theme/theme11.xml" Id="rId13" /><Relationship Type="http://schemas.openxmlformats.org/officeDocument/2006/relationships/customXml" Target="/customXml/item2.xml" Id="rId18" /><Relationship Type="http://schemas.openxmlformats.org/officeDocument/2006/relationships/worksheet" Target="/xl/worksheets/sheet32.xml" Id="rId3" /><Relationship Type="http://schemas.openxmlformats.org/officeDocument/2006/relationships/worksheet" Target="/xl/worksheets/sheet73.xml" Id="rId7" /><Relationship Type="http://schemas.openxmlformats.org/officeDocument/2006/relationships/worksheet" Target="/xl/worksheets/sheet124.xml" Id="rId12" /><Relationship Type="http://schemas.openxmlformats.org/officeDocument/2006/relationships/customXml" Target="/customXml/item12.xml" Id="rId17" /><Relationship Type="http://schemas.openxmlformats.org/officeDocument/2006/relationships/worksheet" Target="/xl/worksheets/sheet25.xml" Id="rId2" /><Relationship Type="http://schemas.openxmlformats.org/officeDocument/2006/relationships/calcChain" Target="/xl/calcChain.xml" Id="rId16" /><Relationship Type="http://schemas.openxmlformats.org/officeDocument/2006/relationships/worksheet" Target="/xl/worksheets/sheet16.xml" Id="rId1" /><Relationship Type="http://schemas.openxmlformats.org/officeDocument/2006/relationships/worksheet" Target="/xl/worksheets/sheet67.xml" Id="rId6" /><Relationship Type="http://schemas.openxmlformats.org/officeDocument/2006/relationships/worksheet" Target="/xl/worksheets/sheet118.xml" Id="rId11" /><Relationship Type="http://schemas.openxmlformats.org/officeDocument/2006/relationships/worksheet" Target="/xl/worksheets/sheet59.xml" Id="rId5" /><Relationship Type="http://schemas.openxmlformats.org/officeDocument/2006/relationships/sharedStrings" Target="/xl/sharedStrings.xml" Id="rId15" /><Relationship Type="http://schemas.openxmlformats.org/officeDocument/2006/relationships/worksheet" Target="/xl/worksheets/sheet1010.xml" Id="rId10" /><Relationship Type="http://schemas.openxmlformats.org/officeDocument/2006/relationships/customXml" Target="/customXml/item33.xml" Id="rId19" /><Relationship Type="http://schemas.openxmlformats.org/officeDocument/2006/relationships/worksheet" Target="/xl/worksheets/sheet411.xml" Id="rId4" /><Relationship Type="http://schemas.openxmlformats.org/officeDocument/2006/relationships/worksheet" Target="/xl/worksheets/sheet912.xml" Id="rId9" /><Relationship Type="http://schemas.openxmlformats.org/officeDocument/2006/relationships/styles" Target="/xl/styles.xml" Id="rId14" /></Relationships>
</file>

<file path=xl/theme/theme11.xml><?xml version="1.0" encoding="utf-8"?>
<a:theme xmlns:a="http://schemas.openxmlformats.org/drawingml/2006/main" name="10_college_cal">
  <a:themeElements>
    <a:clrScheme name="Custom 25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BD55D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0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010.bin" Id="rId1" /></Relationships>
</file>

<file path=xl/worksheets/_rels/sheet11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8.bin" Id="rId1" /></Relationships>
</file>

<file path=xl/worksheets/_rels/sheet12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4.bin" Id="rId1" /></Relationships>
</file>

<file path=xl/worksheets/_rels/sheet16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6.bin" Id="rId1" /></Relationships>
</file>

<file path=xl/worksheets/_rels/sheet25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5.bin" Id="rId1" /></Relationships>
</file>

<file path=xl/worksheets/_rels/sheet3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32.bin" Id="rId1" /></Relationships>
</file>

<file path=xl/worksheets/_rels/sheet4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11.bin" Id="rId1" /></Relationships>
</file>

<file path=xl/worksheets/_rels/sheet5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9.bin" Id="rId1" /></Relationships>
</file>

<file path=xl/worksheets/_rels/sheet67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7.bin" Id="rId1" /></Relationships>
</file>

<file path=xl/worksheets/_rels/sheet7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3.bin" Id="rId1" /></Relationships>
</file>

<file path=xl/worksheets/_rels/sheet8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1.bin" Id="rId1" /></Relationships>
</file>

<file path=xl/worksheets/_rels/sheet9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912.bin" Id="rId1" /></Relationships>
</file>

<file path=xl/worksheets/sheet10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A767-C5D7-4758-B84B-9C3B2970BAAF}">
  <sheetPr>
    <tabColor theme="6" tint="0.39997558519241921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81"/>
      <c r="B1" s="81"/>
      <c r="C1" s="81"/>
      <c r="D1" s="82"/>
      <c r="E1" s="81"/>
      <c r="F1" s="81"/>
      <c r="G1" s="81"/>
      <c r="H1" s="81"/>
      <c r="I1" s="81"/>
      <c r="J1" s="81"/>
      <c r="K1" s="81"/>
      <c r="L1" s="81"/>
      <c r="M1" s="81"/>
      <c r="N1" s="83"/>
      <c r="O1" s="83"/>
      <c r="P1" s="81"/>
      <c r="Q1" s="84"/>
      <c r="R1" s="81"/>
      <c r="S1" s="81"/>
    </row>
    <row r="2" spans="1:19" ht="30" customHeight="1" thickBot="1" x14ac:dyDescent="0.3">
      <c r="A2" s="81"/>
      <c r="D2" s="10"/>
      <c r="E2" s="10"/>
      <c r="F2" s="10"/>
      <c r="G2" s="10"/>
      <c r="H2" s="10"/>
      <c r="I2" s="10"/>
      <c r="J2" s="10"/>
      <c r="K2" s="10"/>
      <c r="N2"/>
      <c r="O2"/>
      <c r="S2" s="81"/>
    </row>
    <row r="3" spans="1:19" ht="30" customHeight="1" thickTop="1" thickBot="1" x14ac:dyDescent="0.35">
      <c r="A3" s="81"/>
      <c r="C3" s="14"/>
      <c r="D3" s="15"/>
      <c r="K3" s="15"/>
      <c r="L3" s="16"/>
      <c r="N3" s="117"/>
      <c r="O3" s="118"/>
      <c r="P3" s="119"/>
      <c r="Q3" s="17"/>
      <c r="S3" s="81"/>
    </row>
    <row r="4" spans="1:19" ht="35.1" customHeight="1" thickTop="1" thickBot="1" x14ac:dyDescent="0.3">
      <c r="A4" s="81"/>
      <c r="C4" s="18"/>
      <c r="D4" s="1" t="s">
        <v>24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81"/>
    </row>
    <row r="5" spans="1:19" ht="30" customHeight="1" thickTop="1" x14ac:dyDescent="0.3">
      <c r="A5" s="85"/>
      <c r="B5" s="22"/>
      <c r="C5" s="23"/>
      <c r="D5" s="157">
        <f ca="1">CalendarYear</f>
        <v>2024</v>
      </c>
      <c r="E5" s="3">
        <f ca="1">IF(DAY(OctSun1)=1,OctSun1-6,OctSun1+1)</f>
        <v>45565</v>
      </c>
      <c r="F5" s="3">
        <f ca="1">IF(DAY(OctSun1)=1,OctSun1-5,OctSun1+2)</f>
        <v>45566</v>
      </c>
      <c r="G5" s="3">
        <f ca="1">IF(DAY(OctSun1)=1,OctSun1-4,OctSun1+3)</f>
        <v>45567</v>
      </c>
      <c r="H5" s="3">
        <f ca="1">IF(DAY(OctSun1)=1,OctSun1-3,OctSun1+4)</f>
        <v>45568</v>
      </c>
      <c r="I5" s="3">
        <f ca="1">IF(DAY(OctSun1)=1,OctSun1-2,OctSun1+5)</f>
        <v>45569</v>
      </c>
      <c r="J5" s="3">
        <f ca="1">IF(DAY(OctSun1)=1,OctSun1-1,OctSun1+6)</f>
        <v>45570</v>
      </c>
      <c r="K5" s="3">
        <f ca="1">IF(DAY(OctSun1)=1,OctSun1,OctSun1+7)</f>
        <v>45571</v>
      </c>
      <c r="L5" s="25"/>
      <c r="M5" s="26"/>
      <c r="N5" s="123"/>
      <c r="O5" s="121"/>
      <c r="P5" s="121"/>
      <c r="Q5" s="124"/>
      <c r="S5" s="81"/>
    </row>
    <row r="6" spans="1:19" ht="30" customHeight="1" x14ac:dyDescent="0.3">
      <c r="A6" s="85"/>
      <c r="B6" s="22"/>
      <c r="C6" s="23"/>
      <c r="D6" s="157"/>
      <c r="E6" s="3">
        <f ca="1">IF(DAY(OctSun1)=1,OctSun1+1,OctSun1+8)</f>
        <v>45572</v>
      </c>
      <c r="F6" s="3">
        <f ca="1">IF(DAY(OctSun1)=1,OctSun1+2,OctSun1+9)</f>
        <v>45573</v>
      </c>
      <c r="G6" s="3">
        <f ca="1">IF(DAY(OctSun1)=1,OctSun1+3,OctSun1+10)</f>
        <v>45574</v>
      </c>
      <c r="H6" s="3">
        <f ca="1">IF(DAY(OctSun1)=1,OctSun1+4,OctSun1+11)</f>
        <v>45575</v>
      </c>
      <c r="I6" s="3">
        <f ca="1">IF(DAY(OctSun1)=1,OctSun1+5,OctSun1+12)</f>
        <v>45576</v>
      </c>
      <c r="J6" s="3">
        <f ca="1">IF(DAY(OctSun1)=1,OctSun1+6,OctSun1+13)</f>
        <v>45577</v>
      </c>
      <c r="K6" s="3">
        <f ca="1">IF(DAY(OctSun1)=1,OctSun1+7,OctSun1+14)</f>
        <v>45578</v>
      </c>
      <c r="L6" s="25"/>
      <c r="M6" s="27"/>
      <c r="N6" s="125"/>
      <c r="O6" s="126"/>
      <c r="P6" s="126"/>
      <c r="Q6" s="127"/>
      <c r="S6" s="81"/>
    </row>
    <row r="7" spans="1:19" ht="30" customHeight="1" thickBot="1" x14ac:dyDescent="0.3">
      <c r="A7" s="85"/>
      <c r="B7" s="22"/>
      <c r="C7" s="23"/>
      <c r="D7" s="28"/>
      <c r="E7" s="3">
        <f ca="1">IF(DAY(OctSun1)=1,OctSun1+8,OctSun1+15)</f>
        <v>45579</v>
      </c>
      <c r="F7" s="3">
        <f ca="1">IF(DAY(OctSun1)=1,OctSun1+9,OctSun1+16)</f>
        <v>45580</v>
      </c>
      <c r="G7" s="3">
        <f ca="1">IF(DAY(OctSun1)=1,OctSun1+10,OctSun1+17)</f>
        <v>45581</v>
      </c>
      <c r="H7" s="3">
        <f ca="1">IF(DAY(OctSun1)=1,OctSun1+11,OctSun1+18)</f>
        <v>45582</v>
      </c>
      <c r="I7" s="3">
        <f ca="1">IF(DAY(OctSun1)=1,OctSun1+12,OctSun1+19)</f>
        <v>45583</v>
      </c>
      <c r="J7" s="3">
        <f ca="1">IF(DAY(OctSun1)=1,OctSun1+13,OctSun1+20)</f>
        <v>45584</v>
      </c>
      <c r="K7" s="3">
        <f ca="1">IF(DAY(OctSun1)=1,OctSun1+14,OctSun1+21)</f>
        <v>45585</v>
      </c>
      <c r="L7" s="25"/>
      <c r="M7" s="27"/>
      <c r="N7" s="128" t="s">
        <v>2</v>
      </c>
      <c r="O7" s="129">
        <v>7</v>
      </c>
      <c r="P7" s="129"/>
      <c r="Q7" s="130"/>
      <c r="S7" s="81"/>
    </row>
    <row r="8" spans="1:19" ht="30" customHeight="1" thickTop="1" x14ac:dyDescent="0.3">
      <c r="A8" s="85"/>
      <c r="B8" s="22"/>
      <c r="C8" s="23"/>
      <c r="D8" s="28"/>
      <c r="E8" s="3">
        <f ca="1">IF(DAY(OctSun1)=1,OctSun1+15,OctSun1+22)</f>
        <v>45586</v>
      </c>
      <c r="F8" s="3">
        <f ca="1">IF(DAY(OctSun1)=1,OctSun1+16,OctSun1+23)</f>
        <v>45587</v>
      </c>
      <c r="G8" s="3">
        <f ca="1">IF(DAY(OctSun1)=1,OctSun1+17,OctSun1+24)</f>
        <v>45588</v>
      </c>
      <c r="H8" s="3">
        <f ca="1">IF(DAY(OctSun1)=1,OctSun1+18,OctSun1+25)</f>
        <v>45589</v>
      </c>
      <c r="I8" s="3">
        <f ca="1">IF(DAY(OctSun1)=1,OctSun1+19,OctSun1+26)</f>
        <v>45590</v>
      </c>
      <c r="J8" s="3">
        <f ca="1">IF(DAY(OctSun1)=1,OctSun1+20,OctSun1+27)</f>
        <v>45591</v>
      </c>
      <c r="K8" s="3">
        <f ca="1">IF(DAY(OctSun1)=1,OctSun1+21,OctSun1+28)</f>
        <v>45592</v>
      </c>
      <c r="L8" s="25"/>
      <c r="M8" s="27"/>
      <c r="N8" s="131"/>
      <c r="O8" s="132"/>
      <c r="P8" s="133"/>
      <c r="Q8" s="52"/>
      <c r="S8" s="81"/>
    </row>
    <row r="9" spans="1:19" ht="30" customHeight="1" x14ac:dyDescent="0.3">
      <c r="A9" s="85"/>
      <c r="B9" s="22"/>
      <c r="C9" s="23"/>
      <c r="D9" s="28"/>
      <c r="E9" s="3">
        <f ca="1">IF(DAY(OctSun1)=1,OctSun1+22,OctSun1+29)</f>
        <v>45593</v>
      </c>
      <c r="F9" s="3">
        <f ca="1">IF(DAY(OctSun1)=1,OctSun1+23,OctSun1+30)</f>
        <v>45594</v>
      </c>
      <c r="G9" s="3">
        <f ca="1">IF(DAY(OctSun1)=1,OctSun1+24,OctSun1+31)</f>
        <v>45595</v>
      </c>
      <c r="H9" s="3">
        <f ca="1">IF(DAY(OctSun1)=1,OctSun1+25,OctSun1+32)</f>
        <v>45596</v>
      </c>
      <c r="I9" s="3">
        <f ca="1">IF(DAY(OctSun1)=1,OctSun1+26,OctSun1+33)</f>
        <v>45597</v>
      </c>
      <c r="J9" s="3">
        <f ca="1">IF(DAY(OctSun1)=1,OctSun1+27,OctSun1+34)</f>
        <v>45598</v>
      </c>
      <c r="K9" s="3">
        <f ca="1">IF(DAY(OctSun1)=1,OctSun1+28,OctSun1+35)</f>
        <v>45599</v>
      </c>
      <c r="L9" s="25"/>
      <c r="M9" s="30"/>
      <c r="N9" s="134"/>
      <c r="O9" s="132"/>
      <c r="P9" s="132"/>
      <c r="Q9" s="52"/>
      <c r="S9" s="81"/>
    </row>
    <row r="10" spans="1:19" ht="30" customHeight="1" x14ac:dyDescent="0.3">
      <c r="A10" s="85"/>
      <c r="B10" s="22"/>
      <c r="C10" s="23"/>
      <c r="D10" s="28"/>
      <c r="E10" s="3">
        <f ca="1">IF(DAY(OctSun1)=1,OctSun1+29,OctSun1+36)</f>
        <v>45600</v>
      </c>
      <c r="F10" s="3">
        <f ca="1">IF(DAY(OctSun1)=1,OctSun1+30,OctSun1+37)</f>
        <v>45601</v>
      </c>
      <c r="G10" s="3">
        <f ca="1">IF(DAY(OctSun1)=1,OctSun1+31,OctSun1+38)</f>
        <v>45602</v>
      </c>
      <c r="H10" s="3">
        <f ca="1">IF(DAY(OctSun1)=1,OctSun1+32,OctSun1+39)</f>
        <v>45603</v>
      </c>
      <c r="I10" s="3">
        <f ca="1">IF(DAY(OctSun1)=1,OctSun1+33,OctSun1+40)</f>
        <v>45604</v>
      </c>
      <c r="J10" s="3">
        <f ca="1">IF(DAY(OctSun1)=1,OctSun1+34,OctSun1+41)</f>
        <v>45605</v>
      </c>
      <c r="K10" s="3">
        <f ca="1">IF(DAY(OctSun1)=1,OctSun1+35,OctSun1+42)</f>
        <v>45606</v>
      </c>
      <c r="L10" s="32"/>
      <c r="M10" s="27"/>
      <c r="N10" s="131"/>
      <c r="O10" s="132"/>
      <c r="P10" s="132"/>
      <c r="Q10" s="135"/>
      <c r="S10" s="81"/>
    </row>
    <row r="11" spans="1:19" ht="30" customHeight="1" thickBot="1" x14ac:dyDescent="0.35">
      <c r="A11" s="85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81"/>
    </row>
    <row r="12" spans="1:19" ht="30" customHeight="1" thickTop="1" thickBot="1" x14ac:dyDescent="0.3">
      <c r="A12" s="85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81"/>
    </row>
    <row r="13" spans="1:19" ht="30" customHeight="1" thickTop="1" thickBot="1" x14ac:dyDescent="0.3">
      <c r="A13" s="85"/>
      <c r="B13" s="22"/>
      <c r="C13" s="22"/>
      <c r="N13" s="128" t="s">
        <v>27</v>
      </c>
      <c r="O13" s="139">
        <v>8</v>
      </c>
      <c r="P13" s="139"/>
      <c r="Q13" s="140"/>
      <c r="S13" s="81"/>
    </row>
    <row r="14" spans="1:19" ht="30" customHeight="1" thickTop="1" thickBot="1" x14ac:dyDescent="0.35">
      <c r="A14" s="85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81"/>
    </row>
    <row r="15" spans="1:19" ht="30" customHeight="1" thickTop="1" thickBot="1" x14ac:dyDescent="0.35">
      <c r="A15" s="85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81"/>
    </row>
    <row r="16" spans="1:19" ht="30" customHeight="1" thickTop="1" thickBot="1" x14ac:dyDescent="0.35">
      <c r="A16" s="86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81"/>
    </row>
    <row r="17" spans="1:19" ht="30" customHeight="1" thickTop="1" x14ac:dyDescent="0.3">
      <c r="A17" s="86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81"/>
    </row>
    <row r="18" spans="1:19" ht="30" customHeight="1" thickBot="1" x14ac:dyDescent="0.3">
      <c r="A18" s="86"/>
      <c r="B18" s="42"/>
      <c r="C18" s="49"/>
      <c r="L18" s="50"/>
      <c r="M18" s="51"/>
      <c r="N18" s="137"/>
      <c r="O18" s="138"/>
      <c r="P18" s="138"/>
      <c r="Q18" s="52"/>
      <c r="S18" s="81"/>
    </row>
    <row r="19" spans="1:19" ht="30" customHeight="1" thickTop="1" thickBot="1" x14ac:dyDescent="0.35">
      <c r="A19" s="86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9</v>
      </c>
      <c r="P19" s="139"/>
      <c r="Q19" s="130"/>
      <c r="S19" s="81"/>
    </row>
    <row r="20" spans="1:19" ht="30" customHeight="1" thickTop="1" thickBot="1" x14ac:dyDescent="0.35">
      <c r="A20" s="86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81"/>
    </row>
    <row r="21" spans="1:19" ht="30" customHeight="1" thickTop="1" thickBot="1" x14ac:dyDescent="0.35">
      <c r="A21" s="86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81"/>
    </row>
    <row r="22" spans="1:19" ht="30" customHeight="1" thickTop="1" thickBot="1" x14ac:dyDescent="0.35">
      <c r="A22" s="86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81"/>
    </row>
    <row r="23" spans="1:19" ht="30" customHeight="1" thickTop="1" x14ac:dyDescent="0.3">
      <c r="A23" s="86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81"/>
    </row>
    <row r="24" spans="1:19" ht="30" customHeight="1" thickBot="1" x14ac:dyDescent="0.35">
      <c r="A24" s="86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81"/>
    </row>
    <row r="25" spans="1:19" ht="30" customHeight="1" thickTop="1" thickBot="1" x14ac:dyDescent="0.35">
      <c r="A25" s="86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10</v>
      </c>
      <c r="P25" s="139"/>
      <c r="Q25" s="130"/>
      <c r="S25" s="81"/>
    </row>
    <row r="26" spans="1:19" ht="30" customHeight="1" thickTop="1" thickBot="1" x14ac:dyDescent="0.35">
      <c r="A26" s="86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81"/>
    </row>
    <row r="27" spans="1:19" ht="30" customHeight="1" thickTop="1" thickBot="1" x14ac:dyDescent="0.35">
      <c r="A27" s="86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81"/>
    </row>
    <row r="28" spans="1:19" ht="30" customHeight="1" thickTop="1" thickBot="1" x14ac:dyDescent="0.35">
      <c r="A28" s="86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81"/>
    </row>
    <row r="29" spans="1:19" ht="30" customHeight="1" thickTop="1" x14ac:dyDescent="0.3">
      <c r="A29" s="86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81"/>
    </row>
    <row r="30" spans="1:19" ht="30" customHeight="1" thickBot="1" x14ac:dyDescent="0.35">
      <c r="A30" s="86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81"/>
    </row>
    <row r="31" spans="1:19" ht="30" customHeight="1" thickTop="1" thickBot="1" x14ac:dyDescent="0.35">
      <c r="A31" s="86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11</v>
      </c>
      <c r="P31" s="139"/>
      <c r="Q31" s="130"/>
      <c r="S31" s="81"/>
    </row>
    <row r="32" spans="1:19" ht="30" customHeight="1" thickTop="1" thickBot="1" x14ac:dyDescent="0.35">
      <c r="A32" s="86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81"/>
    </row>
    <row r="33" spans="1:19" ht="30" customHeight="1" thickTop="1" thickBot="1" x14ac:dyDescent="0.35">
      <c r="A33" s="86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81"/>
    </row>
    <row r="34" spans="1:19" ht="30" customHeight="1" thickTop="1" thickBot="1" x14ac:dyDescent="0.35">
      <c r="A34" s="86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81"/>
    </row>
    <row r="35" spans="1:19" ht="30" customHeight="1" thickTop="1" x14ac:dyDescent="0.3">
      <c r="A35" s="86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81"/>
    </row>
    <row r="36" spans="1:19" ht="30" customHeight="1" x14ac:dyDescent="0.3">
      <c r="A36" s="86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81"/>
    </row>
    <row r="37" spans="1:19" ht="30" customHeight="1" thickBot="1" x14ac:dyDescent="0.35">
      <c r="A37" s="86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81"/>
    </row>
    <row r="38" spans="1:19" ht="30" customHeight="1" thickTop="1" x14ac:dyDescent="0.25">
      <c r="A38" s="81"/>
      <c r="S38" s="81"/>
    </row>
    <row r="39" spans="1:19" ht="30" customHeight="1" x14ac:dyDescent="0.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3"/>
      <c r="O39" s="83"/>
      <c r="P39" s="81"/>
      <c r="Q39" s="84"/>
      <c r="R39" s="81"/>
      <c r="S39" s="81"/>
    </row>
  </sheetData>
  <dataConsolidate/>
  <mergeCells count="64">
    <mergeCell ref="G36:H36"/>
    <mergeCell ref="E36:F36"/>
    <mergeCell ref="I36:J36"/>
    <mergeCell ref="G31:H31"/>
    <mergeCell ref="E34:F34"/>
    <mergeCell ref="G34:H34"/>
    <mergeCell ref="I34:J34"/>
    <mergeCell ref="G35:H35"/>
    <mergeCell ref="E32:F32"/>
    <mergeCell ref="I32:J32"/>
    <mergeCell ref="E33:F33"/>
    <mergeCell ref="G33:H33"/>
    <mergeCell ref="I33:J33"/>
    <mergeCell ref="G32:H32"/>
    <mergeCell ref="D5:D6"/>
    <mergeCell ref="D14:K14"/>
    <mergeCell ref="D16:D17"/>
    <mergeCell ref="E16:F17"/>
    <mergeCell ref="G16:H17"/>
    <mergeCell ref="I16:J17"/>
    <mergeCell ref="K16:K17"/>
    <mergeCell ref="E19:F19"/>
    <mergeCell ref="G19:H19"/>
    <mergeCell ref="I19:J19"/>
    <mergeCell ref="G20:H20"/>
    <mergeCell ref="E21:F21"/>
    <mergeCell ref="I21:J21"/>
    <mergeCell ref="E20:F20"/>
    <mergeCell ref="I20:J20"/>
    <mergeCell ref="G21:H21"/>
    <mergeCell ref="E25:F25"/>
    <mergeCell ref="E22:F22"/>
    <mergeCell ref="I22:J22"/>
    <mergeCell ref="G23:H23"/>
    <mergeCell ref="G24:H24"/>
    <mergeCell ref="G25:H25"/>
    <mergeCell ref="I25:J25"/>
    <mergeCell ref="G22:H22"/>
    <mergeCell ref="E23:F23"/>
    <mergeCell ref="I23:J23"/>
    <mergeCell ref="E24:F24"/>
    <mergeCell ref="I24:J24"/>
    <mergeCell ref="E26:F26"/>
    <mergeCell ref="G26:H26"/>
    <mergeCell ref="I26:J26"/>
    <mergeCell ref="E27:F27"/>
    <mergeCell ref="G27:H27"/>
    <mergeCell ref="I27:J27"/>
    <mergeCell ref="E37:F37"/>
    <mergeCell ref="G37:H37"/>
    <mergeCell ref="I37:J37"/>
    <mergeCell ref="E28:F28"/>
    <mergeCell ref="G28:H28"/>
    <mergeCell ref="I28:J28"/>
    <mergeCell ref="E35:F35"/>
    <mergeCell ref="I35:J35"/>
    <mergeCell ref="E29:F29"/>
    <mergeCell ref="G29:H29"/>
    <mergeCell ref="I29:J29"/>
    <mergeCell ref="E30:F30"/>
    <mergeCell ref="G30:H30"/>
    <mergeCell ref="I30:J30"/>
    <mergeCell ref="E31:F31"/>
    <mergeCell ref="I31:J31"/>
  </mergeCells>
  <conditionalFormatting sqref="D19:K36">
    <cfRule type="expression" dxfId="26" priority="1">
      <formula>D19&lt;&gt;""</formula>
    </cfRule>
  </conditionalFormatting>
  <conditionalFormatting sqref="D37:K37">
    <cfRule type="expression" dxfId="25" priority="7">
      <formula>D37&lt;&gt;""</formula>
    </cfRule>
    <cfRule type="expression" dxfId="24" priority="11">
      <formula>COLUMN(#REF!)&gt;2</formula>
    </cfRule>
  </conditionalFormatting>
  <conditionalFormatting sqref="D37:K39">
    <cfRule type="expression" dxfId="23" priority="8">
      <formula>D37&lt;&gt;""</formula>
    </cfRule>
  </conditionalFormatting>
  <conditionalFormatting sqref="E5:J5">
    <cfRule type="expression" dxfId="22" priority="3" stopIfTrue="1">
      <formula>DAY(E5)&gt;8</formula>
    </cfRule>
  </conditionalFormatting>
  <conditionalFormatting sqref="E5:K10">
    <cfRule type="expression" dxfId="21" priority="4">
      <formula>VLOOKUP(DAY(E5),$O:$O,1,FALSE)=DAY(E5)</formula>
    </cfRule>
  </conditionalFormatting>
  <conditionalFormatting sqref="E9:K10">
    <cfRule type="expression" dxfId="20" priority="2" stopIfTrue="1">
      <formula>AND(DAY(E9)&gt;=1,DAY(E9)&lt;=15)</formula>
    </cfRule>
  </conditionalFormatting>
  <conditionalFormatting sqref="M6:M11">
    <cfRule type="expression" dxfId="19" priority="10">
      <formula>VLOOKUP(DAY(M6),AssignmentDays,1,FALSE)=DAY(M6)</formula>
    </cfRule>
  </conditionalFormatting>
  <conditionalFormatting sqref="M10:M11">
    <cfRule type="expression" dxfId="18" priority="9" stopIfTrue="1">
      <formula>AND(DAY(M10)&gt;=1,DAY(M10)&lt;=15)</formula>
    </cfRule>
  </conditionalFormatting>
  <dataValidations count="10">
    <dataValidation allowBlank="1" showInputMessage="1" showErrorMessage="1" prompt="Day of the week goes in this row, starting in cell D16" sqref="A16" xr:uid="{4503A28C-C027-44A0-A122-601EE2CF6DF1}"/>
    <dataValidation allowBlank="1" showInputMessage="1" showErrorMessage="1" prompt="Weekdays are in this row, from Monday to Friday" sqref="D16" xr:uid="{8AFEBB42-A802-4D00-B66A-41D6683E7CDD}"/>
    <dataValidation allowBlank="1" showInputMessage="1" showErrorMessage="1" prompt="If this row contains a number less than the previous number or row of numbers, then this row contains dates for the next calendar month" sqref="E10" xr:uid="{490A30EF-F8B1-4748-A049-284B78906A07}"/>
    <dataValidation allowBlank="1" showInputMessage="1" showErrorMessage="1" prompt="Calendar year is automatically updated in this cell. To change the calendar year, to go cell D5 in Jan worksheet." sqref="D5:D6" xr:uid="{3F4022C6-200D-4583-972F-3E2B3C83D312}"/>
    <dataValidation allowBlank="1" showInputMessage="1" showErrorMessage="1" prompt="October calendar. Calendar year is automatically updated based on cell D5 in Jan sheet." sqref="A1" xr:uid="{0FF728FD-54BE-4288-894C-DED4371B3BE3}"/>
    <dataValidation allowBlank="1" showInputMessage="1" showErrorMessage="1" prompt="Cells E4:K4 contain weekdays" sqref="E4" xr:uid="{8E033502-501E-4DD2-9B1B-8849008DB628}"/>
    <dataValidation allowBlank="1" showInputMessage="1" showErrorMessage="1" prompt="If this cell doesn’t contain the number 1, then it is a day from a previous month. Cells E5:K10 contain dates for the current month" sqref="E5" xr:uid="{4B9C5E04-71B2-4945-86C1-A9C7368B2682}"/>
    <dataValidation allowBlank="1" showInputMessage="1" showErrorMessage="1" prompt="Enter the time of your class and under it, in a new row, the class name for each weekday in columns D to K. Repeat this pattern for all classes in subsequent rows" sqref="D14" xr:uid="{035C29AE-823A-453F-BE72-AF93A8EB4D99}"/>
    <dataValidation allowBlank="1" showInputMessage="1" showErrorMessage="1" prompt="Enter the assignment details in this column that correspond to the weekday in column N and day in column O for the calendar month at left" sqref="N4" xr:uid="{00452CE5-8486-4FAB-AD52-B33928CA728D}"/>
    <dataValidation allowBlank="1" showInputMessage="1" showErrorMessage="1" prompt="Calendar automatically highlights assignment list entries for the month. Darker fonts are assignments. Lighter fonts are days that belong to the previous or next month" sqref="D4" xr:uid="{E234C96C-CB57-4D19-9F67-DA8724BD76C8}"/>
  </dataValidations>
  <printOptions horizontalCentered="1" verticalCentered="1"/>
  <pageMargins left="0.25" right="0.25" top="0.5" bottom="0.5" header="0.3" footer="0.3"/>
  <pageSetup scale="47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595-B454-49FD-9737-2AFAB1CC10DF}">
  <sheetPr>
    <tabColor theme="4" tint="0.39997558519241921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73"/>
      <c r="B1" s="73"/>
      <c r="C1" s="73"/>
      <c r="D1" s="74"/>
      <c r="E1" s="73"/>
      <c r="F1" s="73"/>
      <c r="G1" s="73"/>
      <c r="H1" s="73"/>
      <c r="I1" s="73"/>
      <c r="J1" s="73"/>
      <c r="K1" s="73"/>
      <c r="L1" s="73"/>
      <c r="M1" s="75"/>
      <c r="N1" s="76"/>
      <c r="O1" s="76"/>
      <c r="P1" s="73"/>
      <c r="Q1" s="77"/>
      <c r="R1" s="73"/>
      <c r="S1" s="73"/>
    </row>
    <row r="2" spans="1:19" ht="30" customHeight="1" thickBot="1" x14ac:dyDescent="0.3">
      <c r="A2" s="73"/>
      <c r="D2" s="10"/>
      <c r="E2" s="10"/>
      <c r="F2" s="10"/>
      <c r="G2" s="10"/>
      <c r="H2" s="10"/>
      <c r="I2" s="10"/>
      <c r="J2" s="10"/>
      <c r="K2" s="10"/>
      <c r="N2"/>
      <c r="O2"/>
      <c r="S2" s="73"/>
    </row>
    <row r="3" spans="1:19" ht="30" customHeight="1" thickTop="1" thickBot="1" x14ac:dyDescent="0.35">
      <c r="A3" s="73"/>
      <c r="C3" s="14"/>
      <c r="D3" s="15"/>
      <c r="K3" s="15"/>
      <c r="L3" s="16"/>
      <c r="N3" s="117"/>
      <c r="O3" s="118"/>
      <c r="P3" s="119"/>
      <c r="Q3" s="17"/>
      <c r="S3" s="73"/>
    </row>
    <row r="4" spans="1:19" ht="35.1" customHeight="1" thickTop="1" thickBot="1" x14ac:dyDescent="0.3">
      <c r="A4" s="73"/>
      <c r="C4" s="18"/>
      <c r="D4" s="1" t="s">
        <v>25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73"/>
    </row>
    <row r="5" spans="1:19" ht="30" customHeight="1" thickTop="1" x14ac:dyDescent="0.3">
      <c r="A5" s="78"/>
      <c r="B5" s="22"/>
      <c r="C5" s="23"/>
      <c r="D5" s="157">
        <f ca="1">CalendarYear</f>
        <v>2024</v>
      </c>
      <c r="E5" s="3">
        <f ca="1">IF(DAY(NovSun1)=1,NovSun1-6,NovSun1+1)</f>
        <v>45593</v>
      </c>
      <c r="F5" s="3">
        <f ca="1">IF(DAY(NovSun1)=1,NovSun1-5,NovSun1+2)</f>
        <v>45594</v>
      </c>
      <c r="G5" s="3">
        <f ca="1">IF(DAY(NovSun1)=1,NovSun1-4,NovSun1+3)</f>
        <v>45595</v>
      </c>
      <c r="H5" s="3">
        <f ca="1">IF(DAY(NovSun1)=1,NovSun1-3,NovSun1+4)</f>
        <v>45596</v>
      </c>
      <c r="I5" s="3">
        <f ca="1">IF(DAY(NovSun1)=1,NovSun1-2,NovSun1+5)</f>
        <v>45597</v>
      </c>
      <c r="J5" s="3">
        <f ca="1">IF(DAY(NovSun1)=1,NovSun1-1,NovSun1+6)</f>
        <v>45598</v>
      </c>
      <c r="K5" s="3">
        <f ca="1">IF(DAY(NovSun1)=1,NovSun1,NovSun1+7)</f>
        <v>45599</v>
      </c>
      <c r="L5" s="25"/>
      <c r="M5" s="26"/>
      <c r="N5" s="123"/>
      <c r="O5" s="121"/>
      <c r="P5" s="121"/>
      <c r="Q5" s="124"/>
      <c r="S5" s="73"/>
    </row>
    <row r="6" spans="1:19" ht="30" customHeight="1" x14ac:dyDescent="0.3">
      <c r="A6" s="78"/>
      <c r="B6" s="22"/>
      <c r="C6" s="23"/>
      <c r="D6" s="157"/>
      <c r="E6" s="3">
        <f ca="1">IF(DAY(NovSun1)=1,NovSun1+1,NovSun1+8)</f>
        <v>45600</v>
      </c>
      <c r="F6" s="3">
        <f ca="1">IF(DAY(NovSun1)=1,NovSun1+2,NovSun1+9)</f>
        <v>45601</v>
      </c>
      <c r="G6" s="3">
        <f ca="1">IF(DAY(NovSun1)=1,NovSun1+3,NovSun1+10)</f>
        <v>45602</v>
      </c>
      <c r="H6" s="3">
        <f ca="1">IF(DAY(NovSun1)=1,NovSun1+4,NovSun1+11)</f>
        <v>45603</v>
      </c>
      <c r="I6" s="3">
        <f ca="1">IF(DAY(NovSun1)=1,NovSun1+5,NovSun1+12)</f>
        <v>45604</v>
      </c>
      <c r="J6" s="3">
        <f ca="1">IF(DAY(NovSun1)=1,NovSun1+6,NovSun1+13)</f>
        <v>45605</v>
      </c>
      <c r="K6" s="3">
        <f ca="1">IF(DAY(NovSun1)=1,NovSun1+7,NovSun1+14)</f>
        <v>45606</v>
      </c>
      <c r="L6" s="25"/>
      <c r="M6" s="27"/>
      <c r="N6" s="125"/>
      <c r="O6" s="126"/>
      <c r="P6" s="126"/>
      <c r="Q6" s="127"/>
      <c r="S6" s="73"/>
    </row>
    <row r="7" spans="1:19" ht="30" customHeight="1" thickBot="1" x14ac:dyDescent="0.3">
      <c r="A7" s="78"/>
      <c r="B7" s="22"/>
      <c r="C7" s="23"/>
      <c r="D7" s="28"/>
      <c r="E7" s="3">
        <f ca="1">IF(DAY(NovSun1)=1,NovSun1+8,NovSun1+15)</f>
        <v>45607</v>
      </c>
      <c r="F7" s="3">
        <f ca="1">IF(DAY(NovSun1)=1,NovSun1+9,NovSun1+16)</f>
        <v>45608</v>
      </c>
      <c r="G7" s="3">
        <f ca="1">IF(DAY(NovSun1)=1,NovSun1+10,NovSun1+17)</f>
        <v>45609</v>
      </c>
      <c r="H7" s="3">
        <f ca="1">IF(DAY(NovSun1)=1,NovSun1+11,NovSun1+18)</f>
        <v>45610</v>
      </c>
      <c r="I7" s="3">
        <f ca="1">IF(DAY(NovSun1)=1,NovSun1+12,NovSun1+19)</f>
        <v>45611</v>
      </c>
      <c r="J7" s="3">
        <f ca="1">IF(DAY(NovSun1)=1,NovSun1+13,NovSun1+20)</f>
        <v>45612</v>
      </c>
      <c r="K7" s="3">
        <f ca="1">IF(DAY(NovSun1)=1,NovSun1+14,NovSun1+21)</f>
        <v>45613</v>
      </c>
      <c r="L7" s="25"/>
      <c r="M7" s="27"/>
      <c r="N7" s="128" t="s">
        <v>2</v>
      </c>
      <c r="O7" s="129">
        <v>11</v>
      </c>
      <c r="P7" s="129"/>
      <c r="Q7" s="130"/>
      <c r="S7" s="73"/>
    </row>
    <row r="8" spans="1:19" ht="30" customHeight="1" thickTop="1" x14ac:dyDescent="0.3">
      <c r="A8" s="78"/>
      <c r="B8" s="22"/>
      <c r="C8" s="23"/>
      <c r="D8" s="28"/>
      <c r="E8" s="3">
        <f ca="1">IF(DAY(NovSun1)=1,NovSun1+15,NovSun1+22)</f>
        <v>45614</v>
      </c>
      <c r="F8" s="3">
        <f ca="1">IF(DAY(NovSun1)=1,NovSun1+16,NovSun1+23)</f>
        <v>45615</v>
      </c>
      <c r="G8" s="3">
        <f ca="1">IF(DAY(NovSun1)=1,NovSun1+17,NovSun1+24)</f>
        <v>45616</v>
      </c>
      <c r="H8" s="3">
        <f ca="1">IF(DAY(NovSun1)=1,NovSun1+18,NovSun1+25)</f>
        <v>45617</v>
      </c>
      <c r="I8" s="3">
        <f ca="1">IF(DAY(NovSun1)=1,NovSun1+19,NovSun1+26)</f>
        <v>45618</v>
      </c>
      <c r="J8" s="3">
        <f ca="1">IF(DAY(NovSun1)=1,NovSun1+20,NovSun1+27)</f>
        <v>45619</v>
      </c>
      <c r="K8" s="3">
        <f ca="1">IF(DAY(NovSun1)=1,NovSun1+21,NovSun1+28)</f>
        <v>45620</v>
      </c>
      <c r="L8" s="25"/>
      <c r="M8" s="27"/>
      <c r="N8" s="131"/>
      <c r="O8" s="132"/>
      <c r="P8" s="133"/>
      <c r="Q8" s="52"/>
      <c r="S8" s="73"/>
    </row>
    <row r="9" spans="1:19" ht="30" customHeight="1" x14ac:dyDescent="0.3">
      <c r="A9" s="78"/>
      <c r="B9" s="22"/>
      <c r="C9" s="23"/>
      <c r="D9" s="28"/>
      <c r="E9" s="3">
        <f ca="1">IF(DAY(NovSun1)=1,NovSun1+22,NovSun1+29)</f>
        <v>45621</v>
      </c>
      <c r="F9" s="3">
        <f ca="1">IF(DAY(NovSun1)=1,NovSun1+23,NovSun1+30)</f>
        <v>45622</v>
      </c>
      <c r="G9" s="3">
        <f ca="1">IF(DAY(NovSun1)=1,NovSun1+24,NovSun1+31)</f>
        <v>45623</v>
      </c>
      <c r="H9" s="3">
        <f ca="1">IF(DAY(NovSun1)=1,NovSun1+25,NovSun1+32)</f>
        <v>45624</v>
      </c>
      <c r="I9" s="3">
        <f ca="1">IF(DAY(NovSun1)=1,NovSun1+26,NovSun1+33)</f>
        <v>45625</v>
      </c>
      <c r="J9" s="3">
        <f ca="1">IF(DAY(NovSun1)=1,NovSun1+27,NovSun1+34)</f>
        <v>45626</v>
      </c>
      <c r="K9" s="3">
        <f ca="1">IF(DAY(NovSun1)=1,NovSun1+28,NovSun1+35)</f>
        <v>45627</v>
      </c>
      <c r="L9" s="25"/>
      <c r="M9" s="30"/>
      <c r="N9" s="134"/>
      <c r="O9" s="132"/>
      <c r="P9" s="132"/>
      <c r="Q9" s="52"/>
      <c r="S9" s="73"/>
    </row>
    <row r="10" spans="1:19" ht="30" customHeight="1" x14ac:dyDescent="0.3">
      <c r="A10" s="78"/>
      <c r="B10" s="22"/>
      <c r="C10" s="23"/>
      <c r="D10" s="28"/>
      <c r="E10" s="3">
        <f ca="1">IF(DAY(NovSun1)=1,NovSun1+29,NovSun1+36)</f>
        <v>45628</v>
      </c>
      <c r="F10" s="3">
        <f ca="1">IF(DAY(NovSun1)=1,NovSun1+30,NovSun1+37)</f>
        <v>45629</v>
      </c>
      <c r="G10" s="3">
        <f ca="1">IF(DAY(NovSun1)=1,NovSun1+31,NovSun1+38)</f>
        <v>45630</v>
      </c>
      <c r="H10" s="3">
        <f ca="1">IF(DAY(NovSun1)=1,NovSun1+32,NovSun1+39)</f>
        <v>45631</v>
      </c>
      <c r="I10" s="3">
        <f ca="1">IF(DAY(NovSun1)=1,NovSun1+33,NovSun1+40)</f>
        <v>45632</v>
      </c>
      <c r="J10" s="3">
        <f ca="1">IF(DAY(NovSun1)=1,NovSun1+34,NovSun1+41)</f>
        <v>45633</v>
      </c>
      <c r="K10" s="3">
        <f ca="1">IF(DAY(NovSun1)=1,NovSun1+35,NovSun1+42)</f>
        <v>45634</v>
      </c>
      <c r="L10" s="32"/>
      <c r="M10" s="27"/>
      <c r="N10" s="131"/>
      <c r="O10" s="132"/>
      <c r="P10" s="132"/>
      <c r="Q10" s="135"/>
      <c r="S10" s="73"/>
    </row>
    <row r="11" spans="1:19" ht="30" customHeight="1" thickBot="1" x14ac:dyDescent="0.35">
      <c r="A11" s="78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73"/>
    </row>
    <row r="12" spans="1:19" ht="30" customHeight="1" thickTop="1" thickBot="1" x14ac:dyDescent="0.3">
      <c r="A12" s="78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73"/>
    </row>
    <row r="13" spans="1:19" ht="30" customHeight="1" thickTop="1" thickBot="1" x14ac:dyDescent="0.3">
      <c r="A13" s="78"/>
      <c r="B13" s="22"/>
      <c r="C13" s="22"/>
      <c r="N13" s="128" t="s">
        <v>27</v>
      </c>
      <c r="O13" s="139">
        <v>12</v>
      </c>
      <c r="P13" s="139"/>
      <c r="Q13" s="140"/>
      <c r="S13" s="73"/>
    </row>
    <row r="14" spans="1:19" ht="30" customHeight="1" thickTop="1" thickBot="1" x14ac:dyDescent="0.35">
      <c r="A14" s="78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73"/>
    </row>
    <row r="15" spans="1:19" ht="30" customHeight="1" thickTop="1" thickBot="1" x14ac:dyDescent="0.35">
      <c r="A15" s="78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73"/>
    </row>
    <row r="16" spans="1:19" ht="30" customHeight="1" thickTop="1" thickBot="1" x14ac:dyDescent="0.35">
      <c r="A16" s="78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73"/>
    </row>
    <row r="17" spans="1:19" ht="30" customHeight="1" thickTop="1" x14ac:dyDescent="0.3">
      <c r="A17" s="79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73"/>
    </row>
    <row r="18" spans="1:19" ht="30" customHeight="1" thickBot="1" x14ac:dyDescent="0.3">
      <c r="A18" s="79"/>
      <c r="B18" s="42"/>
      <c r="C18" s="49"/>
      <c r="L18" s="50"/>
      <c r="M18" s="51"/>
      <c r="N18" s="137"/>
      <c r="O18" s="138"/>
      <c r="P18" s="138"/>
      <c r="Q18" s="52"/>
      <c r="S18" s="73"/>
    </row>
    <row r="19" spans="1:19" ht="30" customHeight="1" thickTop="1" thickBot="1" x14ac:dyDescent="0.35">
      <c r="A19" s="79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13</v>
      </c>
      <c r="P19" s="139"/>
      <c r="Q19" s="130"/>
      <c r="S19" s="73"/>
    </row>
    <row r="20" spans="1:19" ht="30" customHeight="1" thickTop="1" thickBot="1" x14ac:dyDescent="0.35">
      <c r="A20" s="79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73"/>
    </row>
    <row r="21" spans="1:19" ht="30" customHeight="1" thickTop="1" thickBot="1" x14ac:dyDescent="0.35">
      <c r="A21" s="79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73"/>
    </row>
    <row r="22" spans="1:19" ht="30" customHeight="1" thickTop="1" thickBot="1" x14ac:dyDescent="0.35">
      <c r="A22" s="79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73"/>
    </row>
    <row r="23" spans="1:19" ht="30" customHeight="1" thickTop="1" x14ac:dyDescent="0.3">
      <c r="A23" s="79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73"/>
    </row>
    <row r="24" spans="1:19" ht="30" customHeight="1" thickBot="1" x14ac:dyDescent="0.35">
      <c r="A24" s="79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73"/>
    </row>
    <row r="25" spans="1:19" ht="30" customHeight="1" thickTop="1" thickBot="1" x14ac:dyDescent="0.35">
      <c r="A25" s="79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14</v>
      </c>
      <c r="P25" s="139"/>
      <c r="Q25" s="130"/>
      <c r="S25" s="73"/>
    </row>
    <row r="26" spans="1:19" ht="30" customHeight="1" thickTop="1" thickBot="1" x14ac:dyDescent="0.35">
      <c r="A26" s="79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73"/>
    </row>
    <row r="27" spans="1:19" ht="30" customHeight="1" thickTop="1" thickBot="1" x14ac:dyDescent="0.35">
      <c r="A27" s="79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73"/>
    </row>
    <row r="28" spans="1:19" ht="30" customHeight="1" thickTop="1" thickBot="1" x14ac:dyDescent="0.35">
      <c r="A28" s="79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73"/>
    </row>
    <row r="29" spans="1:19" ht="30" customHeight="1" thickTop="1" x14ac:dyDescent="0.3">
      <c r="A29" s="79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73"/>
    </row>
    <row r="30" spans="1:19" ht="30" customHeight="1" thickBot="1" x14ac:dyDescent="0.35">
      <c r="A30" s="79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73"/>
    </row>
    <row r="31" spans="1:19" ht="30" customHeight="1" thickTop="1" thickBot="1" x14ac:dyDescent="0.35">
      <c r="A31" s="79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15</v>
      </c>
      <c r="P31" s="139"/>
      <c r="Q31" s="130"/>
      <c r="S31" s="73"/>
    </row>
    <row r="32" spans="1:19" ht="30" customHeight="1" thickTop="1" thickBot="1" x14ac:dyDescent="0.35">
      <c r="A32" s="79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73"/>
    </row>
    <row r="33" spans="1:19" ht="30" customHeight="1" thickTop="1" thickBot="1" x14ac:dyDescent="0.35">
      <c r="A33" s="79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73"/>
    </row>
    <row r="34" spans="1:19" ht="30" customHeight="1" thickTop="1" thickBot="1" x14ac:dyDescent="0.35">
      <c r="A34" s="79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73"/>
    </row>
    <row r="35" spans="1:19" ht="30" customHeight="1" thickTop="1" x14ac:dyDescent="0.3">
      <c r="A35" s="79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73"/>
    </row>
    <row r="36" spans="1:19" ht="30" customHeight="1" x14ac:dyDescent="0.3">
      <c r="A36" s="79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73"/>
    </row>
    <row r="37" spans="1:19" ht="30" customHeight="1" thickBot="1" x14ac:dyDescent="0.35">
      <c r="A37" s="79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73"/>
    </row>
    <row r="38" spans="1:19" ht="30" customHeight="1" thickTop="1" x14ac:dyDescent="0.25">
      <c r="A38" s="73"/>
      <c r="S38" s="73"/>
    </row>
    <row r="39" spans="1:19" ht="30" customHeight="1" x14ac:dyDescent="0.2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6"/>
      <c r="O39" s="76"/>
      <c r="P39" s="73"/>
      <c r="Q39" s="77"/>
      <c r="R39" s="73"/>
      <c r="S39" s="73"/>
    </row>
  </sheetData>
  <dataConsolidate/>
  <mergeCells count="64">
    <mergeCell ref="G36:H36"/>
    <mergeCell ref="E36:F36"/>
    <mergeCell ref="I36:J36"/>
    <mergeCell ref="G31:H31"/>
    <mergeCell ref="E34:F34"/>
    <mergeCell ref="G34:H34"/>
    <mergeCell ref="I34:J34"/>
    <mergeCell ref="G35:H35"/>
    <mergeCell ref="E32:F32"/>
    <mergeCell ref="I32:J32"/>
    <mergeCell ref="E33:F33"/>
    <mergeCell ref="G33:H33"/>
    <mergeCell ref="I33:J33"/>
    <mergeCell ref="G32:H32"/>
    <mergeCell ref="D5:D6"/>
    <mergeCell ref="D14:K14"/>
    <mergeCell ref="D16:D17"/>
    <mergeCell ref="E16:F17"/>
    <mergeCell ref="G16:H17"/>
    <mergeCell ref="I16:J17"/>
    <mergeCell ref="K16:K17"/>
    <mergeCell ref="E19:F19"/>
    <mergeCell ref="G19:H19"/>
    <mergeCell ref="I19:J19"/>
    <mergeCell ref="G20:H20"/>
    <mergeCell ref="E21:F21"/>
    <mergeCell ref="I21:J21"/>
    <mergeCell ref="E20:F20"/>
    <mergeCell ref="I20:J20"/>
    <mergeCell ref="G21:H21"/>
    <mergeCell ref="E25:F25"/>
    <mergeCell ref="E22:F22"/>
    <mergeCell ref="I22:J22"/>
    <mergeCell ref="G23:H23"/>
    <mergeCell ref="G24:H24"/>
    <mergeCell ref="G25:H25"/>
    <mergeCell ref="I25:J25"/>
    <mergeCell ref="G22:H22"/>
    <mergeCell ref="E23:F23"/>
    <mergeCell ref="I23:J23"/>
    <mergeCell ref="E24:F24"/>
    <mergeCell ref="I24:J24"/>
    <mergeCell ref="E26:F26"/>
    <mergeCell ref="G26:H26"/>
    <mergeCell ref="I26:J26"/>
    <mergeCell ref="E27:F27"/>
    <mergeCell ref="G27:H27"/>
    <mergeCell ref="I27:J27"/>
    <mergeCell ref="E37:F37"/>
    <mergeCell ref="G37:H37"/>
    <mergeCell ref="I37:J37"/>
    <mergeCell ref="E28:F28"/>
    <mergeCell ref="G28:H28"/>
    <mergeCell ref="I28:J28"/>
    <mergeCell ref="E35:F35"/>
    <mergeCell ref="I35:J35"/>
    <mergeCell ref="E29:F29"/>
    <mergeCell ref="G29:H29"/>
    <mergeCell ref="I29:J29"/>
    <mergeCell ref="E30:F30"/>
    <mergeCell ref="G30:H30"/>
    <mergeCell ref="I30:J30"/>
    <mergeCell ref="E31:F31"/>
    <mergeCell ref="I31:J31"/>
  </mergeCells>
  <conditionalFormatting sqref="D19:K36">
    <cfRule type="expression" dxfId="17" priority="1">
      <formula>D19&lt;&gt;""</formula>
    </cfRule>
  </conditionalFormatting>
  <conditionalFormatting sqref="D37:K37">
    <cfRule type="expression" dxfId="16" priority="7">
      <formula>D37&lt;&gt;""</formula>
    </cfRule>
    <cfRule type="expression" dxfId="15" priority="11">
      <formula>COLUMN(#REF!)&gt;2</formula>
    </cfRule>
  </conditionalFormatting>
  <conditionalFormatting sqref="D37:K39">
    <cfRule type="expression" dxfId="14" priority="8">
      <formula>D37&lt;&gt;""</formula>
    </cfRule>
  </conditionalFormatting>
  <conditionalFormatting sqref="E5:J5">
    <cfRule type="expression" dxfId="13" priority="3" stopIfTrue="1">
      <formula>DAY(E5)&gt;8</formula>
    </cfRule>
  </conditionalFormatting>
  <conditionalFormatting sqref="E5:K10">
    <cfRule type="expression" dxfId="12" priority="4">
      <formula>VLOOKUP(DAY(E5),$O:$O,1,FALSE)=DAY(E5)</formula>
    </cfRule>
  </conditionalFormatting>
  <conditionalFormatting sqref="E9:K10">
    <cfRule type="expression" dxfId="11" priority="2" stopIfTrue="1">
      <formula>AND(DAY(E9)&gt;=1,DAY(E9)&lt;=15)</formula>
    </cfRule>
  </conditionalFormatting>
  <conditionalFormatting sqref="M6:M11">
    <cfRule type="expression" dxfId="10" priority="10">
      <formula>VLOOKUP(DAY(M6),AssignmentDays,1,FALSE)=DAY(M6)</formula>
    </cfRule>
  </conditionalFormatting>
  <conditionalFormatting sqref="M10:M11">
    <cfRule type="expression" dxfId="9" priority="9" stopIfTrue="1">
      <formula>AND(DAY(M10)&gt;=1,DAY(M10)&lt;=15)</formula>
    </cfRule>
  </conditionalFormatting>
  <dataValidations count="10">
    <dataValidation allowBlank="1" showInputMessage="1" showErrorMessage="1" prompt="Day of the week goes in this row, starting in cell D16" sqref="A16" xr:uid="{7EF81705-217C-45AF-B18A-CB3109155052}"/>
    <dataValidation allowBlank="1" showInputMessage="1" showErrorMessage="1" prompt="Weekdays are in this row, from Monday to Friday" sqref="D16" xr:uid="{E6B89E54-C78A-4669-B843-B51E6EE54E08}"/>
    <dataValidation allowBlank="1" showInputMessage="1" showErrorMessage="1" prompt="If this row contains a number less than the previous number or row of numbers, then this row contains dates for the next calendar month" sqref="E10" xr:uid="{42C67760-CA64-4980-9D21-0626EC9501BE}"/>
    <dataValidation allowBlank="1" showInputMessage="1" showErrorMessage="1" prompt="Calendar year is automatically updated in this cell. To change the calendar year, to go cell D5 in Jan worksheet." sqref="D5:D6" xr:uid="{088CFA83-1C2C-4E51-A77B-FE14EB75B129}"/>
    <dataValidation allowBlank="1" showInputMessage="1" showErrorMessage="1" prompt="Calendar automatically highlights assignment list entries for the month. Darker fonts are assignments. Lighter fonts are days that belong to the previous or next month" sqref="D4" xr:uid="{523BC03D-DC11-4AC7-BDAB-551F035A2FFB}"/>
    <dataValidation allowBlank="1" showInputMessage="1" showErrorMessage="1" prompt="Enter the assignment details in this column that correspond to the weekday in column N and day in column O for the calendar month at left" sqref="N4" xr:uid="{F283AB84-47AB-4B79-9380-617825D72A9E}"/>
    <dataValidation allowBlank="1" showInputMessage="1" showErrorMessage="1" prompt="Enter the time of your class and under it, in a new row, the class name for each weekday in columns D to K. Repeat this pattern for all classes in subsequent rows" sqref="D14" xr:uid="{93E9BB96-1F9D-45C9-BD09-F63BDB04415D}"/>
    <dataValidation allowBlank="1" showInputMessage="1" showErrorMessage="1" prompt="If this cell doesn’t contain the number 1, then it is a day from a previous month. Cells E5:K10 contain dates for the current month" sqref="E5" xr:uid="{E7F2DF70-2125-49AA-8384-62E429303122}"/>
    <dataValidation allowBlank="1" showInputMessage="1" showErrorMessage="1" prompt="Cells E4:K4 contain weekdays" sqref="E4" xr:uid="{72BD8388-828E-4649-BDEE-F4CA4880C60C}"/>
    <dataValidation allowBlank="1" showInputMessage="1" showErrorMessage="1" prompt="November calendar. Calendar year is automatically updated based on cell D5 in Jan sheet." sqref="A1" xr:uid="{23D97D20-F078-4917-948A-B4456291B809}"/>
  </dataValidations>
  <printOptions horizontalCentered="1" verticalCentered="1"/>
  <pageMargins left="0.25" right="0.25" top="0.5" bottom="0.5" header="0.3" footer="0.3"/>
  <pageSetup scale="47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9822-A0C2-4FAD-AF45-10ABA1EDB977}">
  <sheetPr>
    <tabColor theme="3" tint="0.59999389629810485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66"/>
      <c r="B1" s="66"/>
      <c r="C1" s="66"/>
      <c r="D1" s="67"/>
      <c r="E1" s="66"/>
      <c r="F1" s="66"/>
      <c r="G1" s="66"/>
      <c r="H1" s="66"/>
      <c r="I1" s="66"/>
      <c r="J1" s="66"/>
      <c r="K1" s="66"/>
      <c r="L1" s="66"/>
      <c r="M1" s="68"/>
      <c r="N1" s="69"/>
      <c r="O1" s="69"/>
      <c r="P1" s="66"/>
      <c r="Q1" s="70"/>
      <c r="R1" s="66"/>
      <c r="S1" s="66"/>
    </row>
    <row r="2" spans="1:19" ht="30" customHeight="1" thickBot="1" x14ac:dyDescent="0.3">
      <c r="A2" s="66"/>
      <c r="D2" s="10"/>
      <c r="E2" s="10"/>
      <c r="F2" s="10"/>
      <c r="G2" s="10"/>
      <c r="H2" s="10"/>
      <c r="I2" s="10"/>
      <c r="J2" s="10"/>
      <c r="K2" s="10"/>
      <c r="N2"/>
      <c r="O2"/>
      <c r="S2" s="66"/>
    </row>
    <row r="3" spans="1:19" ht="30" customHeight="1" thickTop="1" thickBot="1" x14ac:dyDescent="0.35">
      <c r="A3" s="66"/>
      <c r="C3" s="14"/>
      <c r="D3" s="15"/>
      <c r="K3" s="15"/>
      <c r="L3" s="16"/>
      <c r="N3" s="117"/>
      <c r="O3" s="118"/>
      <c r="P3" s="119"/>
      <c r="Q3" s="17"/>
      <c r="S3" s="66"/>
    </row>
    <row r="4" spans="1:19" ht="35.1" customHeight="1" thickTop="1" thickBot="1" x14ac:dyDescent="0.3">
      <c r="A4" s="66"/>
      <c r="C4" s="18"/>
      <c r="D4" s="1" t="s">
        <v>26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66"/>
    </row>
    <row r="5" spans="1:19" ht="30" customHeight="1" thickTop="1" x14ac:dyDescent="0.3">
      <c r="A5" s="71"/>
      <c r="B5" s="22"/>
      <c r="C5" s="23"/>
      <c r="D5" s="157">
        <f ca="1">CalendarYear</f>
        <v>2024</v>
      </c>
      <c r="E5" s="3">
        <f ca="1">IF(DAY(DecSun1)=1,DecSun1-6,DecSun1+1)</f>
        <v>45621</v>
      </c>
      <c r="F5" s="3">
        <f ca="1">IF(DAY(DecSun1)=1,DecSun1-5,DecSun1+2)</f>
        <v>45622</v>
      </c>
      <c r="G5" s="3">
        <f ca="1">IF(DAY(DecSun1)=1,DecSun1-4,DecSun1+3)</f>
        <v>45623</v>
      </c>
      <c r="H5" s="3">
        <f ca="1">IF(DAY(DecSun1)=1,DecSun1-3,DecSun1+4)</f>
        <v>45624</v>
      </c>
      <c r="I5" s="3">
        <f ca="1">IF(DAY(DecSun1)=1,DecSun1-2,DecSun1+5)</f>
        <v>45625</v>
      </c>
      <c r="J5" s="3">
        <f ca="1">IF(DAY(DecSun1)=1,DecSun1-1,DecSun1+6)</f>
        <v>45626</v>
      </c>
      <c r="K5" s="3">
        <f ca="1">IF(DAY(DecSun1)=1,DecSun1,DecSun1+7)</f>
        <v>45627</v>
      </c>
      <c r="L5" s="25"/>
      <c r="M5" s="26"/>
      <c r="N5" s="123"/>
      <c r="O5" s="121"/>
      <c r="P5" s="121"/>
      <c r="Q5" s="124"/>
      <c r="S5" s="66"/>
    </row>
    <row r="6" spans="1:19" ht="30" customHeight="1" x14ac:dyDescent="0.3">
      <c r="A6" s="71"/>
      <c r="B6" s="22"/>
      <c r="C6" s="23"/>
      <c r="D6" s="157"/>
      <c r="E6" s="3">
        <f ca="1">IF(DAY(DecSun1)=1,DecSun1+1,DecSun1+8)</f>
        <v>45628</v>
      </c>
      <c r="F6" s="3">
        <f ca="1">IF(DAY(DecSun1)=1,DecSun1+2,DecSun1+9)</f>
        <v>45629</v>
      </c>
      <c r="G6" s="3">
        <f ca="1">IF(DAY(DecSun1)=1,DecSun1+3,DecSun1+10)</f>
        <v>45630</v>
      </c>
      <c r="H6" s="3">
        <f ca="1">IF(DAY(DecSun1)=1,DecSun1+4,DecSun1+11)</f>
        <v>45631</v>
      </c>
      <c r="I6" s="3">
        <f ca="1">IF(DAY(DecSun1)=1,DecSun1+5,DecSun1+12)</f>
        <v>45632</v>
      </c>
      <c r="J6" s="3">
        <f ca="1">IF(DAY(DecSun1)=1,DecSun1+6,DecSun1+13)</f>
        <v>45633</v>
      </c>
      <c r="K6" s="3">
        <f ca="1">IF(DAY(DecSun1)=1,DecSun1+7,DecSun1+14)</f>
        <v>45634</v>
      </c>
      <c r="L6" s="25"/>
      <c r="M6" s="27"/>
      <c r="N6" s="125"/>
      <c r="O6" s="126"/>
      <c r="P6" s="126"/>
      <c r="Q6" s="127"/>
      <c r="S6" s="66"/>
    </row>
    <row r="7" spans="1:19" ht="30" customHeight="1" thickBot="1" x14ac:dyDescent="0.3">
      <c r="A7" s="71"/>
      <c r="B7" s="22"/>
      <c r="C7" s="23"/>
      <c r="D7" s="28"/>
      <c r="E7" s="3">
        <f ca="1">IF(DAY(DecSun1)=1,DecSun1+8,DecSun1+15)</f>
        <v>45635</v>
      </c>
      <c r="F7" s="3">
        <f ca="1">IF(DAY(DecSun1)=1,DecSun1+9,DecSun1+16)</f>
        <v>45636</v>
      </c>
      <c r="G7" s="3">
        <f ca="1">IF(DAY(DecSun1)=1,DecSun1+10,DecSun1+17)</f>
        <v>45637</v>
      </c>
      <c r="H7" s="3">
        <f ca="1">IF(DAY(DecSun1)=1,DecSun1+11,DecSun1+18)</f>
        <v>45638</v>
      </c>
      <c r="I7" s="3">
        <f ca="1">IF(DAY(DecSun1)=1,DecSun1+12,DecSun1+19)</f>
        <v>45639</v>
      </c>
      <c r="J7" s="3">
        <f ca="1">IF(DAY(DecSun1)=1,DecSun1+13,DecSun1+20)</f>
        <v>45640</v>
      </c>
      <c r="K7" s="3">
        <f ca="1">IF(DAY(DecSun1)=1,DecSun1+14,DecSun1+21)</f>
        <v>45641</v>
      </c>
      <c r="L7" s="25"/>
      <c r="M7" s="27"/>
      <c r="N7" s="128" t="s">
        <v>2</v>
      </c>
      <c r="O7" s="129">
        <v>9</v>
      </c>
      <c r="P7" s="129"/>
      <c r="Q7" s="130"/>
      <c r="S7" s="66"/>
    </row>
    <row r="8" spans="1:19" ht="30" customHeight="1" thickTop="1" x14ac:dyDescent="0.3">
      <c r="A8" s="71"/>
      <c r="B8" s="22"/>
      <c r="C8" s="23"/>
      <c r="D8" s="28"/>
      <c r="E8" s="3">
        <f ca="1">IF(DAY(DecSun1)=1,DecSun1+15,DecSun1+22)</f>
        <v>45642</v>
      </c>
      <c r="F8" s="3">
        <f ca="1">IF(DAY(DecSun1)=1,DecSun1+16,DecSun1+23)</f>
        <v>45643</v>
      </c>
      <c r="G8" s="3">
        <f ca="1">IF(DAY(DecSun1)=1,DecSun1+17,DecSun1+24)</f>
        <v>45644</v>
      </c>
      <c r="H8" s="3">
        <f ca="1">IF(DAY(DecSun1)=1,DecSun1+18,DecSun1+25)</f>
        <v>45645</v>
      </c>
      <c r="I8" s="3">
        <f ca="1">IF(DAY(DecSun1)=1,DecSun1+19,DecSun1+26)</f>
        <v>45646</v>
      </c>
      <c r="J8" s="3">
        <f ca="1">IF(DAY(DecSun1)=1,DecSun1+20,DecSun1+27)</f>
        <v>45647</v>
      </c>
      <c r="K8" s="3">
        <f ca="1">IF(DAY(DecSun1)=1,DecSun1+21,DecSun1+28)</f>
        <v>45648</v>
      </c>
      <c r="L8" s="25"/>
      <c r="M8" s="27"/>
      <c r="N8" s="131"/>
      <c r="O8" s="132"/>
      <c r="P8" s="133"/>
      <c r="Q8" s="52"/>
      <c r="S8" s="66"/>
    </row>
    <row r="9" spans="1:19" ht="30" customHeight="1" x14ac:dyDescent="0.3">
      <c r="A9" s="71"/>
      <c r="B9" s="22"/>
      <c r="C9" s="23"/>
      <c r="D9" s="28"/>
      <c r="E9" s="3">
        <f ca="1">IF(DAY(DecSun1)=1,DecSun1+22,DecSun1+29)</f>
        <v>45649</v>
      </c>
      <c r="F9" s="3">
        <f ca="1">IF(DAY(DecSun1)=1,DecSun1+23,DecSun1+30)</f>
        <v>45650</v>
      </c>
      <c r="G9" s="3">
        <f ca="1">IF(DAY(DecSun1)=1,DecSun1+24,DecSun1+31)</f>
        <v>45651</v>
      </c>
      <c r="H9" s="3">
        <f ca="1">IF(DAY(DecSun1)=1,DecSun1+25,DecSun1+32)</f>
        <v>45652</v>
      </c>
      <c r="I9" s="3">
        <f ca="1">IF(DAY(DecSun1)=1,DecSun1+26,DecSun1+33)</f>
        <v>45653</v>
      </c>
      <c r="J9" s="3">
        <f ca="1">IF(DAY(DecSun1)=1,DecSun1+27,DecSun1+34)</f>
        <v>45654</v>
      </c>
      <c r="K9" s="3">
        <f ca="1">IF(DAY(DecSun1)=1,DecSun1+28,DecSun1+35)</f>
        <v>45655</v>
      </c>
      <c r="L9" s="25"/>
      <c r="M9" s="30"/>
      <c r="N9" s="134"/>
      <c r="O9" s="132"/>
      <c r="P9" s="132"/>
      <c r="Q9" s="52"/>
      <c r="S9" s="66"/>
    </row>
    <row r="10" spans="1:19" ht="30" customHeight="1" x14ac:dyDescent="0.3">
      <c r="A10" s="71"/>
      <c r="B10" s="22"/>
      <c r="C10" s="23"/>
      <c r="D10" s="28"/>
      <c r="E10" s="3">
        <f ca="1">IF(DAY(DecSun1)=1,DecSun1+29,DecSun1+36)</f>
        <v>45656</v>
      </c>
      <c r="F10" s="3">
        <f ca="1">IF(DAY(DecSun1)=1,DecSun1+30,DecSun1+37)</f>
        <v>45657</v>
      </c>
      <c r="G10" s="3">
        <f ca="1">IF(DAY(DecSun1)=1,DecSun1+31,DecSun1+38)</f>
        <v>45658</v>
      </c>
      <c r="H10" s="3">
        <f ca="1">IF(DAY(DecSun1)=1,DecSun1+32,DecSun1+39)</f>
        <v>45659</v>
      </c>
      <c r="I10" s="3">
        <f ca="1">IF(DAY(DecSun1)=1,DecSun1+33,DecSun1+40)</f>
        <v>45660</v>
      </c>
      <c r="J10" s="3">
        <f ca="1">IF(DAY(DecSun1)=1,DecSun1+34,DecSun1+41)</f>
        <v>45661</v>
      </c>
      <c r="K10" s="3">
        <f ca="1">IF(DAY(DecSun1)=1,DecSun1+35,DecSun1+42)</f>
        <v>45662</v>
      </c>
      <c r="L10" s="32"/>
      <c r="M10" s="27"/>
      <c r="N10" s="131"/>
      <c r="O10" s="132"/>
      <c r="P10" s="132"/>
      <c r="Q10" s="135"/>
      <c r="S10" s="66"/>
    </row>
    <row r="11" spans="1:19" ht="30" customHeight="1" thickBot="1" x14ac:dyDescent="0.35">
      <c r="A11" s="71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66"/>
    </row>
    <row r="12" spans="1:19" ht="30" customHeight="1" thickTop="1" thickBot="1" x14ac:dyDescent="0.3">
      <c r="A12" s="71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66"/>
    </row>
    <row r="13" spans="1:19" ht="30" customHeight="1" thickTop="1" thickBot="1" x14ac:dyDescent="0.3">
      <c r="A13" s="71"/>
      <c r="B13" s="22"/>
      <c r="C13" s="22"/>
      <c r="N13" s="128" t="s">
        <v>27</v>
      </c>
      <c r="O13" s="139">
        <v>10</v>
      </c>
      <c r="P13" s="139"/>
      <c r="Q13" s="140"/>
      <c r="S13" s="66"/>
    </row>
    <row r="14" spans="1:19" ht="30" customHeight="1" thickTop="1" thickBot="1" x14ac:dyDescent="0.35">
      <c r="A14" s="71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66"/>
    </row>
    <row r="15" spans="1:19" ht="30" customHeight="1" thickTop="1" thickBot="1" x14ac:dyDescent="0.35">
      <c r="A15" s="71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66"/>
    </row>
    <row r="16" spans="1:19" ht="30" customHeight="1" thickTop="1" thickBot="1" x14ac:dyDescent="0.35">
      <c r="A16" s="71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66"/>
    </row>
    <row r="17" spans="1:19" ht="30" customHeight="1" thickTop="1" x14ac:dyDescent="0.3">
      <c r="A17" s="72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66"/>
    </row>
    <row r="18" spans="1:19" ht="30" customHeight="1" thickBot="1" x14ac:dyDescent="0.3">
      <c r="A18" s="72"/>
      <c r="B18" s="42"/>
      <c r="C18" s="49"/>
      <c r="L18" s="50"/>
      <c r="M18" s="51"/>
      <c r="N18" s="137"/>
      <c r="O18" s="138"/>
      <c r="P18" s="138"/>
      <c r="Q18" s="52"/>
      <c r="S18" s="66"/>
    </row>
    <row r="19" spans="1:19" ht="30" customHeight="1" thickTop="1" thickBot="1" x14ac:dyDescent="0.35">
      <c r="A19" s="72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11</v>
      </c>
      <c r="P19" s="139"/>
      <c r="Q19" s="130"/>
      <c r="S19" s="66"/>
    </row>
    <row r="20" spans="1:19" ht="30" customHeight="1" thickTop="1" thickBot="1" x14ac:dyDescent="0.35">
      <c r="A20" s="72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66"/>
    </row>
    <row r="21" spans="1:19" ht="30" customHeight="1" thickTop="1" thickBot="1" x14ac:dyDescent="0.35">
      <c r="A21" s="72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66"/>
    </row>
    <row r="22" spans="1:19" ht="30" customHeight="1" thickTop="1" thickBot="1" x14ac:dyDescent="0.35">
      <c r="A22" s="72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66"/>
    </row>
    <row r="23" spans="1:19" ht="30" customHeight="1" thickTop="1" x14ac:dyDescent="0.3">
      <c r="A23" s="72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66"/>
    </row>
    <row r="24" spans="1:19" ht="30" customHeight="1" thickBot="1" x14ac:dyDescent="0.35">
      <c r="A24" s="72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66"/>
    </row>
    <row r="25" spans="1:19" ht="30" customHeight="1" thickTop="1" thickBot="1" x14ac:dyDescent="0.35">
      <c r="A25" s="72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12</v>
      </c>
      <c r="P25" s="139"/>
      <c r="Q25" s="130"/>
      <c r="S25" s="66"/>
    </row>
    <row r="26" spans="1:19" ht="30" customHeight="1" thickTop="1" thickBot="1" x14ac:dyDescent="0.35">
      <c r="A26" s="72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66"/>
    </row>
    <row r="27" spans="1:19" ht="30" customHeight="1" thickTop="1" thickBot="1" x14ac:dyDescent="0.35">
      <c r="A27" s="72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66"/>
    </row>
    <row r="28" spans="1:19" ht="30" customHeight="1" thickTop="1" thickBot="1" x14ac:dyDescent="0.35">
      <c r="A28" s="72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66"/>
    </row>
    <row r="29" spans="1:19" ht="30" customHeight="1" thickTop="1" x14ac:dyDescent="0.3">
      <c r="A29" s="72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66"/>
    </row>
    <row r="30" spans="1:19" ht="30" customHeight="1" thickBot="1" x14ac:dyDescent="0.35">
      <c r="A30" s="72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66"/>
    </row>
    <row r="31" spans="1:19" ht="30" customHeight="1" thickTop="1" thickBot="1" x14ac:dyDescent="0.35">
      <c r="A31" s="72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13</v>
      </c>
      <c r="P31" s="139"/>
      <c r="Q31" s="130"/>
      <c r="S31" s="66"/>
    </row>
    <row r="32" spans="1:19" ht="30" customHeight="1" thickTop="1" thickBot="1" x14ac:dyDescent="0.35">
      <c r="A32" s="72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66"/>
    </row>
    <row r="33" spans="1:19" ht="30" customHeight="1" thickTop="1" thickBot="1" x14ac:dyDescent="0.35">
      <c r="A33" s="72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66"/>
    </row>
    <row r="34" spans="1:19" ht="30" customHeight="1" thickTop="1" thickBot="1" x14ac:dyDescent="0.35">
      <c r="A34" s="72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66"/>
    </row>
    <row r="35" spans="1:19" ht="30" customHeight="1" thickTop="1" x14ac:dyDescent="0.3">
      <c r="A35" s="72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66"/>
    </row>
    <row r="36" spans="1:19" ht="30" customHeight="1" x14ac:dyDescent="0.3">
      <c r="A36" s="72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66"/>
    </row>
    <row r="37" spans="1:19" ht="30" customHeight="1" thickBot="1" x14ac:dyDescent="0.35">
      <c r="A37" s="72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66"/>
    </row>
    <row r="38" spans="1:19" ht="30" customHeight="1" thickTop="1" x14ac:dyDescent="0.25">
      <c r="A38" s="66"/>
      <c r="S38" s="66"/>
    </row>
    <row r="39" spans="1:19" ht="30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8"/>
      <c r="N39" s="69"/>
      <c r="O39" s="69"/>
      <c r="P39" s="66"/>
      <c r="Q39" s="70"/>
      <c r="R39" s="66"/>
      <c r="S39" s="66"/>
    </row>
  </sheetData>
  <dataConsolidate/>
  <mergeCells count="64">
    <mergeCell ref="G36:H36"/>
    <mergeCell ref="E36:F36"/>
    <mergeCell ref="I36:J36"/>
    <mergeCell ref="G31:H31"/>
    <mergeCell ref="E34:F34"/>
    <mergeCell ref="G34:H34"/>
    <mergeCell ref="I34:J34"/>
    <mergeCell ref="G35:H35"/>
    <mergeCell ref="E32:F32"/>
    <mergeCell ref="I32:J32"/>
    <mergeCell ref="E33:F33"/>
    <mergeCell ref="G33:H33"/>
    <mergeCell ref="I33:J33"/>
    <mergeCell ref="G32:H32"/>
    <mergeCell ref="D5:D6"/>
    <mergeCell ref="D14:K14"/>
    <mergeCell ref="D16:D17"/>
    <mergeCell ref="E16:F17"/>
    <mergeCell ref="G16:H17"/>
    <mergeCell ref="I16:J17"/>
    <mergeCell ref="K16:K17"/>
    <mergeCell ref="E19:F19"/>
    <mergeCell ref="G19:H19"/>
    <mergeCell ref="I19:J19"/>
    <mergeCell ref="G20:H20"/>
    <mergeCell ref="E21:F21"/>
    <mergeCell ref="I21:J21"/>
    <mergeCell ref="E20:F20"/>
    <mergeCell ref="I20:J20"/>
    <mergeCell ref="G21:H21"/>
    <mergeCell ref="E25:F25"/>
    <mergeCell ref="E22:F22"/>
    <mergeCell ref="I22:J22"/>
    <mergeCell ref="G23:H23"/>
    <mergeCell ref="G24:H24"/>
    <mergeCell ref="G25:H25"/>
    <mergeCell ref="I25:J25"/>
    <mergeCell ref="G22:H22"/>
    <mergeCell ref="E23:F23"/>
    <mergeCell ref="I23:J23"/>
    <mergeCell ref="E24:F24"/>
    <mergeCell ref="I24:J24"/>
    <mergeCell ref="E26:F26"/>
    <mergeCell ref="G26:H26"/>
    <mergeCell ref="I26:J26"/>
    <mergeCell ref="E27:F27"/>
    <mergeCell ref="G27:H27"/>
    <mergeCell ref="I27:J27"/>
    <mergeCell ref="E37:F37"/>
    <mergeCell ref="G37:H37"/>
    <mergeCell ref="I37:J37"/>
    <mergeCell ref="E28:F28"/>
    <mergeCell ref="G28:H28"/>
    <mergeCell ref="I28:J28"/>
    <mergeCell ref="E35:F35"/>
    <mergeCell ref="I35:J35"/>
    <mergeCell ref="E29:F29"/>
    <mergeCell ref="G29:H29"/>
    <mergeCell ref="I29:J29"/>
    <mergeCell ref="E30:F30"/>
    <mergeCell ref="G30:H30"/>
    <mergeCell ref="I30:J30"/>
    <mergeCell ref="E31:F31"/>
    <mergeCell ref="I31:J31"/>
  </mergeCells>
  <conditionalFormatting sqref="D19:K36">
    <cfRule type="expression" dxfId="8" priority="1">
      <formula>D19&lt;&gt;""</formula>
    </cfRule>
  </conditionalFormatting>
  <conditionalFormatting sqref="D37:K37">
    <cfRule type="expression" dxfId="7" priority="7">
      <formula>D37&lt;&gt;""</formula>
    </cfRule>
    <cfRule type="expression" dxfId="6" priority="11">
      <formula>COLUMN(#REF!)&gt;2</formula>
    </cfRule>
  </conditionalFormatting>
  <conditionalFormatting sqref="D37:K39">
    <cfRule type="expression" dxfId="5" priority="8">
      <formula>D37&lt;&gt;""</formula>
    </cfRule>
  </conditionalFormatting>
  <conditionalFormatting sqref="E5:J5">
    <cfRule type="expression" dxfId="4" priority="3" stopIfTrue="1">
      <formula>DAY(E5)&gt;8</formula>
    </cfRule>
  </conditionalFormatting>
  <conditionalFormatting sqref="E5:K10">
    <cfRule type="expression" dxfId="3" priority="4">
      <formula>VLOOKUP(DAY(E5),$O:$O,1,FALSE)=DAY(E5)</formula>
    </cfRule>
  </conditionalFormatting>
  <conditionalFormatting sqref="E9:K10">
    <cfRule type="expression" dxfId="2" priority="2" stopIfTrue="1">
      <formula>AND(DAY(E9)&gt;=1,DAY(E9)&lt;=15)</formula>
    </cfRule>
  </conditionalFormatting>
  <conditionalFormatting sqref="M6:M11">
    <cfRule type="expression" dxfId="1" priority="10">
      <formula>VLOOKUP(DAY(M6),AssignmentDays,1,FALSE)=DAY(M6)</formula>
    </cfRule>
  </conditionalFormatting>
  <conditionalFormatting sqref="M10:M11">
    <cfRule type="expression" dxfId="0" priority="9" stopIfTrue="1">
      <formula>AND(DAY(M10)&gt;=1,DAY(M10)&lt;=15)</formula>
    </cfRule>
  </conditionalFormatting>
  <dataValidations count="10">
    <dataValidation allowBlank="1" showInputMessage="1" showErrorMessage="1" prompt="If this row contains a number less than the previous number or row of numbers, then this row contains dates for the next calendar month" sqref="E10" xr:uid="{878A9287-196B-4217-9EC3-14DB06FA973F}"/>
    <dataValidation allowBlank="1" showInputMessage="1" showErrorMessage="1" prompt="Weekdays are in this row, from Monday to Friday" sqref="D16" xr:uid="{80C76E6A-D07D-4802-9814-2E09E8B8BE0E}"/>
    <dataValidation allowBlank="1" showInputMessage="1" showErrorMessage="1" prompt="Day of the week goes in this row, starting in cell D16" sqref="A16" xr:uid="{467494D7-ABA7-416A-A5B9-8932351CC34A}"/>
    <dataValidation allowBlank="1" showInputMessage="1" showErrorMessage="1" prompt="Calendar year is automatically updated in this cell. To change the calendar year, to go cell D5 in Jan worksheet." sqref="D5:D6" xr:uid="{6137758D-3192-4680-9DB9-BC7A0F3348B6}"/>
    <dataValidation allowBlank="1" showInputMessage="1" showErrorMessage="1" prompt="December calendar. Calendar year is automatically updated based on cell D5 in Jan sheet." sqref="A1" xr:uid="{C6956909-A6B9-4488-BA5E-EDEA5AD8FDE8}"/>
    <dataValidation allowBlank="1" showInputMessage="1" showErrorMessage="1" prompt="Cells E4:K4 contain weekdays" sqref="E4" xr:uid="{780A4718-0FA7-45C8-8B14-646439E1EE34}"/>
    <dataValidation allowBlank="1" showInputMessage="1" showErrorMessage="1" prompt="If this cell doesn’t contain the number 1, then it is a day from a previous month. Cells E5:K10 contain dates for the current month" sqref="E5" xr:uid="{31E559FA-F9F7-4CDA-A2F3-5ED44BEA7699}"/>
    <dataValidation allowBlank="1" showInputMessage="1" showErrorMessage="1" prompt="Enter the time of your class and under it, in a new row, the class name for each weekday in columns D to K. Repeat this pattern for all classes in subsequent rows" sqref="D14" xr:uid="{D29AB428-90FD-47E6-B1B2-2E6A160F18EB}"/>
    <dataValidation allowBlank="1" showInputMessage="1" showErrorMessage="1" prompt="Enter the assignment details in this column that correspond to the weekday in column N and day in column O for the calendar month at left" sqref="N4" xr:uid="{37657AC0-AB7D-49E8-9AFF-2BB169DE1618}"/>
    <dataValidation allowBlank="1" showInputMessage="1" showErrorMessage="1" prompt="Calendar automatically highlights assignment list entries for the month. Darker fonts are assignments. Lighter fonts are days that belong to the previous or next month" sqref="D4" xr:uid="{2767BB9C-A91B-49A0-8E6C-A7E79F92101D}"/>
  </dataValidations>
  <printOptions horizontalCentered="1" verticalCentered="1"/>
  <pageMargins left="0.25" right="0.25" top="0.5" bottom="0.5" header="0.3" footer="0.3"/>
  <pageSetup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1277-D1B5-4DD7-8D38-A795155A7DD4}">
  <sheetPr>
    <tabColor theme="8" tint="0.39997558519241921"/>
    <pageSetUpPr fitToPage="1"/>
  </sheetPr>
  <dimension ref="A1:S39"/>
  <sheetViews>
    <sheetView showGridLines="0" tabSelected="1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4"/>
      <c r="B1" s="4"/>
      <c r="C1" s="4"/>
      <c r="D1" s="5"/>
      <c r="E1" s="4"/>
      <c r="F1" s="4"/>
      <c r="G1" s="4"/>
      <c r="H1" s="4"/>
      <c r="I1" s="4"/>
      <c r="J1" s="4"/>
      <c r="K1" s="4"/>
      <c r="L1" s="4"/>
      <c r="M1" s="6"/>
      <c r="N1" s="7"/>
      <c r="O1" s="7"/>
      <c r="P1" s="4"/>
      <c r="Q1" s="8"/>
      <c r="R1" s="4"/>
      <c r="S1" s="4"/>
    </row>
    <row r="2" spans="1:19" ht="30" customHeight="1" thickBot="1" x14ac:dyDescent="0.3">
      <c r="A2" s="9"/>
      <c r="D2" s="10"/>
      <c r="E2" s="10"/>
      <c r="F2" s="10"/>
      <c r="G2" s="10"/>
      <c r="H2" s="10"/>
      <c r="I2" s="10"/>
      <c r="J2" s="10"/>
      <c r="K2" s="10"/>
      <c r="N2" s="154"/>
      <c r="O2" s="115"/>
      <c r="P2" s="116"/>
      <c r="Q2" s="116"/>
      <c r="S2" s="13"/>
    </row>
    <row r="3" spans="1:19" ht="30" customHeight="1" thickTop="1" thickBot="1" x14ac:dyDescent="0.35">
      <c r="A3" s="9"/>
      <c r="C3" s="14"/>
      <c r="D3" s="15"/>
      <c r="K3" s="15"/>
      <c r="L3" s="16"/>
      <c r="N3" s="117"/>
      <c r="O3" s="118"/>
      <c r="P3" s="119"/>
      <c r="Q3" s="17"/>
      <c r="S3" s="13"/>
    </row>
    <row r="4" spans="1:19" ht="35.1" customHeight="1" thickTop="1" thickBot="1" x14ac:dyDescent="0.3">
      <c r="A4" s="9"/>
      <c r="C4" s="18"/>
      <c r="D4" s="1" t="s">
        <v>0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13"/>
    </row>
    <row r="5" spans="1:19" ht="30" customHeight="1" thickTop="1" x14ac:dyDescent="0.3">
      <c r="A5" s="21"/>
      <c r="B5" s="22"/>
      <c r="C5" s="23"/>
      <c r="D5" s="157">
        <f ca="1">IF(MONTH(TODAY())=12,YEAR(TODAY())+1,YEAR(TODAY()))</f>
        <v>2024</v>
      </c>
      <c r="E5" s="24">
        <f ca="1">IF(DAY(JanSun1)=1,JanSun1-6,JanSun1+1)</f>
        <v>45292</v>
      </c>
      <c r="F5" s="24">
        <f ca="1">IF(DAY(JanSun1)=1,JanSun1-5,JanSun1+2)</f>
        <v>45293</v>
      </c>
      <c r="G5" s="24">
        <f ca="1">IF(DAY(JanSun1)=1,JanSun1-4,JanSun1+3)</f>
        <v>45294</v>
      </c>
      <c r="H5" s="24">
        <f ca="1">IF(DAY(JanSun1)=1,JanSun1-3,JanSun1+4)</f>
        <v>45295</v>
      </c>
      <c r="I5" s="24">
        <f ca="1">IF(DAY(JanSun1)=1,JanSun1-2,JanSun1+5)</f>
        <v>45296</v>
      </c>
      <c r="J5" s="24">
        <f ca="1">IF(DAY(JanSun1)=1,JanSun1-1,JanSun1+6)</f>
        <v>45297</v>
      </c>
      <c r="K5" s="24">
        <f ca="1">IF(DAY(JanSun1)=1,JanSun1,JanSun1+7)</f>
        <v>45298</v>
      </c>
      <c r="L5" s="25"/>
      <c r="M5" s="26"/>
      <c r="N5" s="123"/>
      <c r="O5" s="121"/>
      <c r="P5" s="121"/>
      <c r="Q5" s="124"/>
      <c r="S5" s="13"/>
    </row>
    <row r="6" spans="1:19" ht="30" customHeight="1" x14ac:dyDescent="0.3">
      <c r="A6" s="21"/>
      <c r="B6" s="22"/>
      <c r="C6" s="23"/>
      <c r="D6" s="157"/>
      <c r="E6" s="24">
        <f ca="1">IF(DAY(JanSun1)=1,JanSun1+1,JanSun1+8)</f>
        <v>45299</v>
      </c>
      <c r="F6" s="24">
        <f ca="1">IF(DAY(JanSun1)=1,JanSun1+2,JanSun1+9)</f>
        <v>45300</v>
      </c>
      <c r="G6" s="24">
        <f ca="1">IF(DAY(JanSun1)=1,JanSun1+3,JanSun1+10)</f>
        <v>45301</v>
      </c>
      <c r="H6" s="24">
        <f ca="1">IF(DAY(JanSun1)=1,JanSun1+4,JanSun1+11)</f>
        <v>45302</v>
      </c>
      <c r="I6" s="24">
        <f ca="1">IF(DAY(JanSun1)=1,JanSun1+5,JanSun1+12)</f>
        <v>45303</v>
      </c>
      <c r="J6" s="24">
        <f ca="1">IF(DAY(JanSun1)=1,JanSun1+6,JanSun1+13)</f>
        <v>45304</v>
      </c>
      <c r="K6" s="24">
        <f ca="1">IF(DAY(JanSun1)=1,JanSun1+7,JanSun1+14)</f>
        <v>45305</v>
      </c>
      <c r="L6" s="25"/>
      <c r="M6" s="27"/>
      <c r="N6" s="125"/>
      <c r="O6" s="126"/>
      <c r="P6" s="126"/>
      <c r="Q6" s="127"/>
      <c r="S6" s="13"/>
    </row>
    <row r="7" spans="1:19" ht="30" customHeight="1" thickBot="1" x14ac:dyDescent="0.3">
      <c r="A7" s="21"/>
      <c r="B7" s="22"/>
      <c r="C7" s="23"/>
      <c r="D7" s="28"/>
      <c r="E7" s="24">
        <f ca="1">IF(DAY(JanSun1)=1,JanSun1+8,JanSun1+15)</f>
        <v>45306</v>
      </c>
      <c r="F7" s="24">
        <f ca="1">IF(DAY(JanSun1)=1,JanSun1+9,JanSun1+16)</f>
        <v>45307</v>
      </c>
      <c r="G7" s="24">
        <f ca="1">IF(DAY(JanSun1)=1,JanSun1+10,JanSun1+17)</f>
        <v>45308</v>
      </c>
      <c r="H7" s="24">
        <f ca="1">IF(DAY(JanSun1)=1,JanSun1+11,JanSun1+18)</f>
        <v>45309</v>
      </c>
      <c r="I7" s="24">
        <f ca="1">IF(DAY(JanSun1)=1,JanSun1+12,JanSun1+19)</f>
        <v>45310</v>
      </c>
      <c r="J7" s="24">
        <f ca="1">IF(DAY(JanSun1)=1,JanSun1+13,JanSun1+20)</f>
        <v>45311</v>
      </c>
      <c r="K7" s="24">
        <f ca="1">IF(DAY(JanSun1)=1,JanSun1+14,JanSun1+21)</f>
        <v>45312</v>
      </c>
      <c r="L7" s="25"/>
      <c r="M7" s="27"/>
      <c r="N7" s="128" t="s">
        <v>2</v>
      </c>
      <c r="O7" s="129">
        <v>8</v>
      </c>
      <c r="P7" s="129"/>
      <c r="Q7" s="130" t="s">
        <v>3</v>
      </c>
      <c r="S7" s="13"/>
    </row>
    <row r="8" spans="1:19" ht="30" customHeight="1" thickTop="1" x14ac:dyDescent="0.3">
      <c r="A8" s="21"/>
      <c r="B8" s="22"/>
      <c r="C8" s="23"/>
      <c r="D8" s="28"/>
      <c r="E8" s="29">
        <f ca="1">IF(DAY(JanSun1)=1,JanSun1+15,JanSun1+22)</f>
        <v>45313</v>
      </c>
      <c r="F8" s="29">
        <f ca="1">IF(DAY(JanSun1)=1,JanSun1+16,JanSun1+23)</f>
        <v>45314</v>
      </c>
      <c r="G8" s="29">
        <f ca="1">IF(DAY(JanSun1)=1,JanSun1+17,JanSun1+24)</f>
        <v>45315</v>
      </c>
      <c r="H8" s="29">
        <f ca="1">IF(DAY(JanSun1)=1,JanSun1+18,JanSun1+25)</f>
        <v>45316</v>
      </c>
      <c r="I8" s="29">
        <f ca="1">IF(DAY(JanSun1)=1,JanSun1+19,JanSun1+26)</f>
        <v>45317</v>
      </c>
      <c r="J8" s="29">
        <f ca="1">IF(DAY(JanSun1)=1,JanSun1+20,JanSun1+27)</f>
        <v>45318</v>
      </c>
      <c r="K8" s="29">
        <f ca="1">IF(DAY(JanSun1)=1,JanSun1+21,JanSun1+28)</f>
        <v>45319</v>
      </c>
      <c r="L8" s="25"/>
      <c r="M8" s="27"/>
      <c r="N8" s="131"/>
      <c r="O8" s="132"/>
      <c r="P8" s="133"/>
      <c r="Q8" s="52"/>
      <c r="S8" s="13"/>
    </row>
    <row r="9" spans="1:19" ht="30" customHeight="1" x14ac:dyDescent="0.3">
      <c r="A9" s="21"/>
      <c r="B9" s="22"/>
      <c r="C9" s="23"/>
      <c r="D9" s="28"/>
      <c r="E9" s="24">
        <f ca="1">IF(DAY(JanSun1)=1,JanSun1+22,JanSun1+29)</f>
        <v>45320</v>
      </c>
      <c r="F9" s="24">
        <f ca="1">IF(DAY(JanSun1)=1,JanSun1+23,JanSun1+30)</f>
        <v>45321</v>
      </c>
      <c r="G9" s="24">
        <f ca="1">IF(DAY(JanSun1)=1,JanSun1+24,JanSun1+31)</f>
        <v>45322</v>
      </c>
      <c r="H9" s="24">
        <f ca="1">IF(DAY(JanSun1)=1,JanSun1+25,JanSun1+32)</f>
        <v>45323</v>
      </c>
      <c r="I9" s="24">
        <f ca="1">IF(DAY(JanSun1)=1,JanSun1+26,JanSun1+33)</f>
        <v>45324</v>
      </c>
      <c r="J9" s="24">
        <f ca="1">IF(DAY(JanSun1)=1,JanSun1+27,JanSun1+34)</f>
        <v>45325</v>
      </c>
      <c r="K9" s="24">
        <f ca="1">IF(DAY(JanSun1)=1,JanSun1+28,JanSun1+35)</f>
        <v>45326</v>
      </c>
      <c r="L9" s="25"/>
      <c r="M9" s="30"/>
      <c r="N9" s="134"/>
      <c r="O9" s="132"/>
      <c r="P9" s="132"/>
      <c r="Q9" s="52"/>
      <c r="S9" s="13"/>
    </row>
    <row r="10" spans="1:19" ht="30" customHeight="1" x14ac:dyDescent="0.3">
      <c r="A10" s="21"/>
      <c r="B10" s="22"/>
      <c r="C10" s="23"/>
      <c r="D10" s="28"/>
      <c r="E10" s="31">
        <f ca="1">IF(DAY(JanSun1)=1,JanSun1+29,JanSun1+36)</f>
        <v>45327</v>
      </c>
      <c r="F10" s="31">
        <f ca="1">IF(DAY(JanSun1)=1,JanSun1+30,JanSun1+37)</f>
        <v>45328</v>
      </c>
      <c r="G10" s="31">
        <f ca="1">IF(DAY(JanSun1)=1,JanSun1+31,JanSun1+38)</f>
        <v>45329</v>
      </c>
      <c r="H10" s="31">
        <f ca="1">IF(DAY(JanSun1)=1,JanSun1+32,JanSun1+39)</f>
        <v>45330</v>
      </c>
      <c r="I10" s="31">
        <f ca="1">IF(DAY(JanSun1)=1,JanSun1+33,JanSun1+40)</f>
        <v>45331</v>
      </c>
      <c r="J10" s="31">
        <f ca="1">IF(DAY(JanSun1)=1,JanSun1+34,JanSun1+41)</f>
        <v>45332</v>
      </c>
      <c r="K10" s="31">
        <f ca="1">IF(DAY(JanSun1)=1,JanSun1+35,JanSun1+42)</f>
        <v>45333</v>
      </c>
      <c r="L10" s="32"/>
      <c r="M10" s="27"/>
      <c r="N10" s="131"/>
      <c r="O10" s="132"/>
      <c r="P10" s="132"/>
      <c r="Q10" s="135"/>
      <c r="S10" s="13"/>
    </row>
    <row r="11" spans="1:19" ht="30" customHeight="1" thickBot="1" x14ac:dyDescent="0.35">
      <c r="A11" s="21"/>
      <c r="B11" s="22"/>
      <c r="C11" s="33"/>
      <c r="D11" s="10"/>
      <c r="K11" s="10"/>
      <c r="L11" s="34"/>
      <c r="M11" s="35"/>
      <c r="N11" s="131"/>
      <c r="O11" s="132"/>
      <c r="P11" s="132"/>
      <c r="Q11" s="135"/>
      <c r="S11" s="13"/>
    </row>
    <row r="12" spans="1:19" ht="30" customHeight="1" thickTop="1" thickBot="1" x14ac:dyDescent="0.3">
      <c r="A12" s="21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13"/>
    </row>
    <row r="13" spans="1:19" ht="30" customHeight="1" thickTop="1" thickBot="1" x14ac:dyDescent="0.3">
      <c r="A13" s="21"/>
      <c r="B13" s="22"/>
      <c r="C13" s="22"/>
      <c r="N13" s="128" t="s">
        <v>27</v>
      </c>
      <c r="O13" s="139">
        <v>16</v>
      </c>
      <c r="P13" s="139"/>
      <c r="Q13" s="140" t="s">
        <v>29</v>
      </c>
      <c r="S13" s="13"/>
    </row>
    <row r="14" spans="1:19" ht="30" customHeight="1" thickTop="1" thickBot="1" x14ac:dyDescent="0.35">
      <c r="A14" s="21"/>
      <c r="B14" s="22"/>
      <c r="C14" s="22"/>
      <c r="D14" s="2" t="s">
        <v>5</v>
      </c>
      <c r="E14" s="37"/>
      <c r="F14" s="37"/>
      <c r="G14" s="37"/>
      <c r="H14" s="37"/>
      <c r="I14" s="37"/>
      <c r="J14" s="37"/>
      <c r="K14" s="37"/>
      <c r="L14" s="38"/>
      <c r="M14" s="39"/>
      <c r="N14" s="131"/>
      <c r="O14" s="132"/>
      <c r="P14" s="133"/>
      <c r="Q14" s="52"/>
      <c r="S14" s="13"/>
    </row>
    <row r="15" spans="1:19" ht="30" customHeight="1" thickTop="1" thickBot="1" x14ac:dyDescent="0.35">
      <c r="A15" s="21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13"/>
    </row>
    <row r="16" spans="1:19" ht="30" customHeight="1" thickTop="1" thickBot="1" x14ac:dyDescent="0.35">
      <c r="A16" s="41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13"/>
    </row>
    <row r="17" spans="1:19" ht="30" customHeight="1" thickTop="1" x14ac:dyDescent="0.3">
      <c r="A17" s="41"/>
      <c r="B17" s="46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13"/>
    </row>
    <row r="18" spans="1:19" ht="30" customHeight="1" thickBot="1" x14ac:dyDescent="0.3">
      <c r="A18" s="41"/>
      <c r="B18" s="46"/>
      <c r="C18" s="49"/>
      <c r="L18" s="50"/>
      <c r="M18" s="51"/>
      <c r="N18" s="137"/>
      <c r="O18" s="138"/>
      <c r="P18" s="138"/>
      <c r="Q18" s="52"/>
      <c r="S18" s="13"/>
    </row>
    <row r="19" spans="1:19" ht="30" customHeight="1" thickTop="1" thickBot="1" x14ac:dyDescent="0.35">
      <c r="A19" s="41"/>
      <c r="B19" s="46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24</v>
      </c>
      <c r="P19" s="139"/>
      <c r="Q19" s="130" t="s">
        <v>35</v>
      </c>
      <c r="S19" s="13"/>
    </row>
    <row r="20" spans="1:19" ht="30" customHeight="1" thickTop="1" thickBot="1" x14ac:dyDescent="0.35">
      <c r="A20" s="41"/>
      <c r="B20" s="46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13"/>
    </row>
    <row r="21" spans="1:19" ht="30" customHeight="1" thickTop="1" thickBot="1" x14ac:dyDescent="0.35">
      <c r="A21" s="41"/>
      <c r="B21" s="46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13"/>
    </row>
    <row r="22" spans="1:19" ht="30" customHeight="1" thickTop="1" thickBot="1" x14ac:dyDescent="0.35">
      <c r="A22" s="41"/>
      <c r="B22" s="46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13"/>
    </row>
    <row r="23" spans="1:19" ht="30" customHeight="1" thickTop="1" x14ac:dyDescent="0.3">
      <c r="A23" s="41"/>
      <c r="B23" s="46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13"/>
    </row>
    <row r="24" spans="1:19" ht="30" customHeight="1" thickBot="1" x14ac:dyDescent="0.35">
      <c r="A24" s="41"/>
      <c r="B24" s="46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13"/>
    </row>
    <row r="25" spans="1:19" ht="30" customHeight="1" thickTop="1" thickBot="1" x14ac:dyDescent="0.35">
      <c r="A25" s="41"/>
      <c r="B25" s="46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11</v>
      </c>
      <c r="P25" s="139"/>
      <c r="Q25" s="130"/>
      <c r="S25" s="13"/>
    </row>
    <row r="26" spans="1:19" ht="30" customHeight="1" thickTop="1" thickBot="1" x14ac:dyDescent="0.35">
      <c r="A26" s="41"/>
      <c r="B26" s="46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13"/>
    </row>
    <row r="27" spans="1:19" ht="30" customHeight="1" thickTop="1" thickBot="1" x14ac:dyDescent="0.35">
      <c r="A27" s="41"/>
      <c r="B27" s="46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13"/>
    </row>
    <row r="28" spans="1:19" ht="30" customHeight="1" thickTop="1" thickBot="1" x14ac:dyDescent="0.35">
      <c r="A28" s="41"/>
      <c r="B28" s="46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13"/>
    </row>
    <row r="29" spans="1:19" ht="30" customHeight="1" thickTop="1" x14ac:dyDescent="0.3">
      <c r="A29" s="41"/>
      <c r="B29" s="46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13"/>
    </row>
    <row r="30" spans="1:19" ht="30" customHeight="1" thickBot="1" x14ac:dyDescent="0.35">
      <c r="A30" s="41"/>
      <c r="B30" s="46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13"/>
    </row>
    <row r="31" spans="1:19" ht="30" customHeight="1" thickTop="1" thickBot="1" x14ac:dyDescent="0.35">
      <c r="A31" s="41"/>
      <c r="B31" s="46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12</v>
      </c>
      <c r="P31" s="139"/>
      <c r="Q31" s="130"/>
      <c r="S31" s="13"/>
    </row>
    <row r="32" spans="1:19" ht="30" customHeight="1" thickTop="1" thickBot="1" x14ac:dyDescent="0.35">
      <c r="A32" s="41"/>
      <c r="B32" s="46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13"/>
    </row>
    <row r="33" spans="1:19" ht="30" customHeight="1" thickTop="1" thickBot="1" x14ac:dyDescent="0.35">
      <c r="A33" s="41"/>
      <c r="B33" s="46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13"/>
    </row>
    <row r="34" spans="1:19" ht="30" customHeight="1" thickTop="1" thickBot="1" x14ac:dyDescent="0.35">
      <c r="A34" s="41"/>
      <c r="B34" s="46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13"/>
    </row>
    <row r="35" spans="1:19" ht="30" customHeight="1" thickTop="1" x14ac:dyDescent="0.3">
      <c r="A35" s="41"/>
      <c r="B35" s="46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13"/>
    </row>
    <row r="36" spans="1:19" ht="30" customHeight="1" x14ac:dyDescent="0.3">
      <c r="A36" s="41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13"/>
    </row>
    <row r="37" spans="1:19" ht="30" customHeight="1" thickBot="1" x14ac:dyDescent="0.35">
      <c r="A37" s="41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13"/>
    </row>
    <row r="38" spans="1:19" ht="30" customHeight="1" thickTop="1" x14ac:dyDescent="0.25">
      <c r="A38" s="9"/>
      <c r="S38" s="13"/>
    </row>
    <row r="39" spans="1:19" ht="30" customHeight="1" x14ac:dyDescent="0.25">
      <c r="A39" s="4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3"/>
      <c r="O39" s="63"/>
      <c r="P39" s="62"/>
      <c r="Q39" s="64"/>
      <c r="R39" s="62"/>
      <c r="S39" s="4"/>
    </row>
  </sheetData>
  <dataConsolidate/>
  <mergeCells count="63">
    <mergeCell ref="G34:H34"/>
    <mergeCell ref="I34:J34"/>
    <mergeCell ref="G32:H32"/>
    <mergeCell ref="G30:H30"/>
    <mergeCell ref="I30:J30"/>
    <mergeCell ref="I31:J31"/>
    <mergeCell ref="I32:J32"/>
    <mergeCell ref="G33:H33"/>
    <mergeCell ref="I33:J33"/>
    <mergeCell ref="E32:F32"/>
    <mergeCell ref="E33:F33"/>
    <mergeCell ref="E34:F34"/>
    <mergeCell ref="I20:J20"/>
    <mergeCell ref="G21:H21"/>
    <mergeCell ref="G22:H22"/>
    <mergeCell ref="I23:J23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E35:F35"/>
    <mergeCell ref="I35:J35"/>
    <mergeCell ref="E36:F36"/>
    <mergeCell ref="I36:J36"/>
    <mergeCell ref="E37:F37"/>
    <mergeCell ref="G37:H37"/>
    <mergeCell ref="I37:J37"/>
    <mergeCell ref="G35:H35"/>
    <mergeCell ref="G36:H36"/>
    <mergeCell ref="E19:F19"/>
    <mergeCell ref="G19:H19"/>
    <mergeCell ref="I19:J19"/>
    <mergeCell ref="G20:H20"/>
    <mergeCell ref="E21:F21"/>
    <mergeCell ref="I21:J21"/>
    <mergeCell ref="E20:F20"/>
    <mergeCell ref="E22:F22"/>
    <mergeCell ref="I22:J22"/>
    <mergeCell ref="G23:H23"/>
    <mergeCell ref="G24:H24"/>
    <mergeCell ref="G31:H31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G29:H29"/>
    <mergeCell ref="I29:J29"/>
    <mergeCell ref="K16:K17"/>
    <mergeCell ref="D5:D6"/>
    <mergeCell ref="D16:D17"/>
    <mergeCell ref="E16:F17"/>
    <mergeCell ref="G16:H17"/>
    <mergeCell ref="I16:J17"/>
  </mergeCells>
  <conditionalFormatting sqref="D19:K36">
    <cfRule type="expression" dxfId="99" priority="1">
      <formula>D19&lt;&gt;""</formula>
    </cfRule>
  </conditionalFormatting>
  <conditionalFormatting sqref="D37:K37">
    <cfRule type="expression" dxfId="98" priority="15">
      <formula>COLUMN(#REF!)&gt;2</formula>
    </cfRule>
  </conditionalFormatting>
  <conditionalFormatting sqref="E5:J5">
    <cfRule type="expression" dxfId="97" priority="13" stopIfTrue="1">
      <formula>DAY(E5)&gt;8</formula>
    </cfRule>
  </conditionalFormatting>
  <conditionalFormatting sqref="E5:K10">
    <cfRule type="expression" dxfId="96" priority="14">
      <formula>VLOOKUP(DAY(E5),$O:$O,1,FALSE)=DAY(E5)</formula>
    </cfRule>
  </conditionalFormatting>
  <conditionalFormatting sqref="E9:K10 M10:M11">
    <cfRule type="expression" dxfId="95" priority="12" stopIfTrue="1">
      <formula>AND(DAY(E9)&gt;=1,DAY(E9)&lt;=15)</formula>
    </cfRule>
  </conditionalFormatting>
  <dataValidations count="10">
    <dataValidation allowBlank="1" showInputMessage="1" showErrorMessage="1" prompt="Enter the assignment details in this column that correspond to the weekday in column N and day in column O for the calendar month at left" sqref="N4" xr:uid="{C2E67371-9469-4A37-B76B-F79FA5DA94E8}"/>
    <dataValidation allowBlank="1" showInputMessage="1" showErrorMessage="1" prompt="Enter year in this cell" sqref="D5" xr:uid="{E09EF42F-697B-49B1-8E7E-9BF4570A0D6B}"/>
    <dataValidation allowBlank="1" showInputMessage="1" showErrorMessage="1" prompt="Day of the week goes in this row, starting in cell D16" sqref="A16" xr:uid="{93F7C47B-F9AD-4107-A89F-520B45ABBF78}"/>
    <dataValidation allowBlank="1" showInputMessage="1" showErrorMessage="1" prompt="Weekdays are in this row, from Monday to Friday" sqref="D16" xr:uid="{3555E69E-D8EC-4371-9F54-E0F207ECA5AF}"/>
    <dataValidation allowBlank="1" showInputMessage="1" showErrorMessage="1" prompt="If this row contains a number less than the previous number or row of numbers, then this row contains dates for the next calendar month" sqref="E10" xr:uid="{09B2DEDB-C126-496F-8F2F-6814E17DF00E}"/>
    <dataValidation allowBlank="1" showInputMessage="1" showErrorMessage="1" prompt="Enter the time of your class and under it, in a new row, the class name for each weekday in columns D to K. Repeat this pattern for all classes in subsequent rows" sqref="D14" xr:uid="{660D01AB-F42D-4361-A728-7ABB5DE2A6CC}"/>
    <dataValidation allowBlank="1" showInputMessage="1" showErrorMessage="1" prompt="If this cell doesn’t contain the number 1, then it is a day from a previous month. Cells E5:K10 contain dates for the current month" sqref="E5" xr:uid="{9CC93D0D-0D33-4584-B58F-54E82510BC34}"/>
    <dataValidation allowBlank="1" showInputMessage="1" showErrorMessage="1" prompt="Cells E4:K4 contain weekdays" sqref="E4" xr:uid="{37AB14C0-2A4A-4955-940C-B51E76935716}"/>
    <dataValidation allowBlank="1" showInputMessage="1" showErrorMessage="1" prompt="Calendar automatically highlights assignment list entries for the month. Darker fonts are assignments. Lighter fonts are days that belong to the previous or next month" sqref="D4" xr:uid="{528C1183-7B6E-4E0C-AA10-BF45053B04EA}"/>
    <dataValidation allowBlank="1" showInputMessage="1" showErrorMessage="1" prompt="Prepare a weekly schedule &amp; create an assignment list in this worksheet. Assignment list entries are automatically highlighted in monthly calendar. Enter calendar year in cell D5" sqref="A1" xr:uid="{B94D1833-3249-4ED1-B29F-45A8E304DD99}"/>
  </dataValidations>
  <printOptions horizontalCentered="1" verticalCentered="1"/>
  <pageMargins left="0.25" right="0.25" top="0.5" bottom="0.5" header="0.3" footer="0.3"/>
  <pageSetup scale="47" orientation="landscape" r:id="rId1"/>
  <ignoredErrors>
    <ignoredError sqref="J10:K10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39997558519241921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87"/>
      <c r="B1" s="87"/>
      <c r="C1" s="87"/>
      <c r="D1" s="88"/>
      <c r="E1" s="87"/>
      <c r="F1" s="87"/>
      <c r="G1" s="87"/>
      <c r="H1" s="87"/>
      <c r="I1" s="87"/>
      <c r="J1" s="87"/>
      <c r="K1" s="87"/>
      <c r="L1" s="87"/>
      <c r="M1" s="114"/>
      <c r="N1" s="89"/>
      <c r="O1" s="89"/>
      <c r="P1" s="87"/>
      <c r="Q1" s="90"/>
      <c r="R1" s="87"/>
      <c r="S1" s="87"/>
    </row>
    <row r="2" spans="1:19" ht="30" customHeight="1" thickBot="1" x14ac:dyDescent="0.3">
      <c r="A2" s="87"/>
      <c r="D2" s="10"/>
      <c r="E2" s="10"/>
      <c r="F2" s="10"/>
      <c r="G2" s="10"/>
      <c r="H2" s="10"/>
      <c r="I2" s="10"/>
      <c r="J2" s="10"/>
      <c r="K2" s="10"/>
      <c r="N2" s="115"/>
      <c r="O2" s="115"/>
      <c r="P2" s="116"/>
      <c r="Q2" s="116"/>
      <c r="S2" s="87"/>
    </row>
    <row r="3" spans="1:19" ht="30" customHeight="1" thickTop="1" thickBot="1" x14ac:dyDescent="0.35">
      <c r="A3" s="87"/>
      <c r="C3" s="14"/>
      <c r="D3" s="15"/>
      <c r="K3" s="15"/>
      <c r="L3" s="16"/>
      <c r="N3" s="117"/>
      <c r="O3" s="118"/>
      <c r="P3" s="119"/>
      <c r="Q3" s="17"/>
      <c r="S3" s="87"/>
    </row>
    <row r="4" spans="1:19" ht="35.1" customHeight="1" thickTop="1" thickBot="1" x14ac:dyDescent="0.3">
      <c r="A4" s="87"/>
      <c r="C4" s="18"/>
      <c r="D4" s="1" t="s">
        <v>19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87"/>
    </row>
    <row r="5" spans="1:19" ht="30" customHeight="1" thickTop="1" x14ac:dyDescent="0.3">
      <c r="A5" s="92"/>
      <c r="B5" s="22"/>
      <c r="C5" s="23"/>
      <c r="D5" s="157">
        <f ca="1">CalendarYear</f>
        <v>2024</v>
      </c>
      <c r="E5" s="3">
        <f ca="1">IF(DAY(FebSun1)=1,FebSun1-6,FebSun1+1)</f>
        <v>45320</v>
      </c>
      <c r="F5" s="3">
        <f ca="1">IF(DAY(FebSun1)=1,FebSun1-5,FebSun1+2)</f>
        <v>45321</v>
      </c>
      <c r="G5" s="3">
        <f ca="1">IF(DAY(FebSun1)=1,FebSun1-4,FebSun1+3)</f>
        <v>45322</v>
      </c>
      <c r="H5" s="3">
        <f ca="1">IF(DAY(FebSun1)=1,FebSun1-3,FebSun1+4)</f>
        <v>45323</v>
      </c>
      <c r="I5" s="3">
        <f ca="1">IF(DAY(FebSun1)=1,FebSun1-2,FebSun1+5)</f>
        <v>45324</v>
      </c>
      <c r="J5" s="3">
        <f ca="1">IF(DAY(FebSun1)=1,FebSun1-1,FebSun1+6)</f>
        <v>45325</v>
      </c>
      <c r="K5" s="3">
        <f ca="1">IF(DAY(FebSun1)=1,FebSun1,FebSun1+7)</f>
        <v>45326</v>
      </c>
      <c r="L5" s="25"/>
      <c r="M5" s="26"/>
      <c r="N5" s="123"/>
      <c r="O5" s="121"/>
      <c r="P5" s="121"/>
      <c r="Q5" s="124"/>
      <c r="S5" s="87"/>
    </row>
    <row r="6" spans="1:19" ht="30" customHeight="1" x14ac:dyDescent="0.3">
      <c r="A6" s="92"/>
      <c r="B6" s="22"/>
      <c r="C6" s="23"/>
      <c r="D6" s="157"/>
      <c r="E6" s="3">
        <f ca="1">IF(DAY(FebSun1)=1,FebSun1+1,FebSun1+8)</f>
        <v>45327</v>
      </c>
      <c r="F6" s="3">
        <f ca="1">IF(DAY(FebSun1)=1,FebSun1+2,FebSun1+9)</f>
        <v>45328</v>
      </c>
      <c r="G6" s="3">
        <f ca="1">IF(DAY(FebSun1)=1,FebSun1+3,FebSun1+10)</f>
        <v>45329</v>
      </c>
      <c r="H6" s="3">
        <f ca="1">IF(DAY(FebSun1)=1,FebSun1+4,FebSun1+11)</f>
        <v>45330</v>
      </c>
      <c r="I6" s="3">
        <f ca="1">IF(DAY(FebSun1)=1,FebSun1+5,FebSun1+12)</f>
        <v>45331</v>
      </c>
      <c r="J6" s="3">
        <f ca="1">IF(DAY(FebSun1)=1,FebSun1+6,FebSun1+13)</f>
        <v>45332</v>
      </c>
      <c r="K6" s="3">
        <f ca="1">IF(DAY(FebSun1)=1,FebSun1+7,FebSun1+14)</f>
        <v>45333</v>
      </c>
      <c r="L6" s="25"/>
      <c r="M6" s="27"/>
      <c r="N6" s="125"/>
      <c r="O6" s="126"/>
      <c r="P6" s="126"/>
      <c r="Q6" s="127"/>
      <c r="S6" s="87"/>
    </row>
    <row r="7" spans="1:19" ht="30" customHeight="1" thickBot="1" x14ac:dyDescent="0.3">
      <c r="A7" s="92"/>
      <c r="B7" s="22"/>
      <c r="C7" s="23"/>
      <c r="D7" s="28"/>
      <c r="E7" s="3">
        <f ca="1">IF(DAY(FebSun1)=1,FebSun1+8,FebSun1+15)</f>
        <v>45334</v>
      </c>
      <c r="F7" s="3">
        <f ca="1">IF(DAY(FebSun1)=1,FebSun1+9,FebSun1+16)</f>
        <v>45335</v>
      </c>
      <c r="G7" s="3">
        <f ca="1">IF(DAY(FebSun1)=1,FebSun1+10,FebSun1+17)</f>
        <v>45336</v>
      </c>
      <c r="H7" s="3">
        <f ca="1">IF(DAY(FebSun1)=1,FebSun1+11,FebSun1+18)</f>
        <v>45337</v>
      </c>
      <c r="I7" s="3">
        <f ca="1">IF(DAY(FebSun1)=1,FebSun1+12,FebSun1+19)</f>
        <v>45338</v>
      </c>
      <c r="J7" s="3">
        <f ca="1">IF(DAY(FebSun1)=1,FebSun1+13,FebSun1+20)</f>
        <v>45339</v>
      </c>
      <c r="K7" s="3">
        <f ca="1">IF(DAY(FebSun1)=1,FebSun1+14,FebSun1+21)</f>
        <v>45340</v>
      </c>
      <c r="L7" s="25"/>
      <c r="M7" s="27"/>
      <c r="N7" s="128" t="s">
        <v>2</v>
      </c>
      <c r="O7" s="129">
        <v>12</v>
      </c>
      <c r="P7" s="129"/>
      <c r="Q7" s="130"/>
      <c r="S7" s="87"/>
    </row>
    <row r="8" spans="1:19" ht="30" customHeight="1" thickTop="1" x14ac:dyDescent="0.3">
      <c r="A8" s="92"/>
      <c r="B8" s="22"/>
      <c r="C8" s="23"/>
      <c r="D8" s="28"/>
      <c r="E8" s="3">
        <f ca="1">IF(DAY(FebSun1)=1,FebSun1+15,FebSun1+22)</f>
        <v>45341</v>
      </c>
      <c r="F8" s="3">
        <f ca="1">IF(DAY(FebSun1)=1,FebSun1+16,FebSun1+23)</f>
        <v>45342</v>
      </c>
      <c r="G8" s="3">
        <f ca="1">IF(DAY(FebSun1)=1,FebSun1+17,FebSun1+24)</f>
        <v>45343</v>
      </c>
      <c r="H8" s="3">
        <f ca="1">IF(DAY(FebSun1)=1,FebSun1+18,FebSun1+25)</f>
        <v>45344</v>
      </c>
      <c r="I8" s="3">
        <f ca="1">IF(DAY(FebSun1)=1,FebSun1+19,FebSun1+26)</f>
        <v>45345</v>
      </c>
      <c r="J8" s="3">
        <f ca="1">IF(DAY(FebSun1)=1,FebSun1+20,FebSun1+27)</f>
        <v>45346</v>
      </c>
      <c r="K8" s="3">
        <f ca="1">IF(DAY(FebSun1)=1,FebSun1+21,FebSun1+28)</f>
        <v>45347</v>
      </c>
      <c r="L8" s="25"/>
      <c r="M8" s="27"/>
      <c r="N8" s="131"/>
      <c r="O8" s="132"/>
      <c r="P8" s="133"/>
      <c r="Q8" s="52"/>
      <c r="S8" s="87"/>
    </row>
    <row r="9" spans="1:19" ht="30" customHeight="1" x14ac:dyDescent="0.3">
      <c r="A9" s="92"/>
      <c r="B9" s="22"/>
      <c r="C9" s="23"/>
      <c r="D9" s="28"/>
      <c r="E9" s="3">
        <f ca="1">IF(DAY(FebSun1)=1,FebSun1+22,FebSun1+29)</f>
        <v>45348</v>
      </c>
      <c r="F9" s="3">
        <f ca="1">IF(DAY(FebSun1)=1,FebSun1+23,FebSun1+30)</f>
        <v>45349</v>
      </c>
      <c r="G9" s="3">
        <f ca="1">IF(DAY(FebSun1)=1,FebSun1+24,FebSun1+31)</f>
        <v>45350</v>
      </c>
      <c r="H9" s="3">
        <f ca="1">IF(DAY(FebSun1)=1,FebSun1+25,FebSun1+32)</f>
        <v>45351</v>
      </c>
      <c r="I9" s="3">
        <f ca="1">IF(DAY(FebSun1)=1,FebSun1+26,FebSun1+33)</f>
        <v>45352</v>
      </c>
      <c r="J9" s="3">
        <f ca="1">IF(DAY(FebSun1)=1,FebSun1+27,FebSun1+34)</f>
        <v>45353</v>
      </c>
      <c r="K9" s="3">
        <f ca="1">IF(DAY(FebSun1)=1,FebSun1+28,FebSun1+35)</f>
        <v>45354</v>
      </c>
      <c r="L9" s="25"/>
      <c r="M9" s="30"/>
      <c r="N9" s="134"/>
      <c r="O9" s="132"/>
      <c r="P9" s="132"/>
      <c r="Q9" s="52"/>
      <c r="S9" s="87"/>
    </row>
    <row r="10" spans="1:19" ht="30" customHeight="1" x14ac:dyDescent="0.3">
      <c r="A10" s="92"/>
      <c r="B10" s="22"/>
      <c r="C10" s="23"/>
      <c r="D10" s="28"/>
      <c r="E10" s="3">
        <f ca="1">IF(DAY(FebSun1)=1,FebSun1+29,FebSun1+36)</f>
        <v>45355</v>
      </c>
      <c r="F10" s="3">
        <f ca="1">IF(DAY(FebSun1)=1,FebSun1+30,FebSun1+37)</f>
        <v>45356</v>
      </c>
      <c r="G10" s="3">
        <f ca="1">IF(DAY(FebSun1)=1,FebSun1+31,FebSun1+38)</f>
        <v>45357</v>
      </c>
      <c r="H10" s="3">
        <f ca="1">IF(DAY(FebSun1)=1,FebSun1+32,FebSun1+39)</f>
        <v>45358</v>
      </c>
      <c r="I10" s="3">
        <f ca="1">IF(DAY(FebSun1)=1,FebSun1+33,FebSun1+40)</f>
        <v>45359</v>
      </c>
      <c r="J10" s="3">
        <f ca="1">IF(DAY(FebSun1)=1,FebSun1+34,FebSun1+41)</f>
        <v>45360</v>
      </c>
      <c r="K10" s="3">
        <f ca="1">IF(DAY(FebSun1)=1,FebSun1+35,FebSun1+42)</f>
        <v>45361</v>
      </c>
      <c r="L10" s="32"/>
      <c r="M10" s="27"/>
      <c r="N10" s="131"/>
      <c r="O10" s="132"/>
      <c r="P10" s="132"/>
      <c r="Q10" s="135"/>
      <c r="S10" s="87"/>
    </row>
    <row r="11" spans="1:19" ht="30" customHeight="1" thickBot="1" x14ac:dyDescent="0.35">
      <c r="A11" s="92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87"/>
    </row>
    <row r="12" spans="1:19" ht="30" customHeight="1" thickTop="1" thickBot="1" x14ac:dyDescent="0.3">
      <c r="A12" s="92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87"/>
    </row>
    <row r="13" spans="1:19" ht="30" customHeight="1" thickTop="1" thickBot="1" x14ac:dyDescent="0.3">
      <c r="A13" s="92"/>
      <c r="B13" s="22"/>
      <c r="C13" s="22"/>
      <c r="N13" s="128" t="s">
        <v>27</v>
      </c>
      <c r="O13" s="139">
        <v>13</v>
      </c>
      <c r="P13" s="139"/>
      <c r="Q13" s="140"/>
      <c r="S13" s="87"/>
    </row>
    <row r="14" spans="1:19" ht="30" customHeight="1" thickTop="1" thickBot="1" x14ac:dyDescent="0.35">
      <c r="A14" s="92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87"/>
    </row>
    <row r="15" spans="1:19" ht="30" customHeight="1" thickTop="1" thickBot="1" x14ac:dyDescent="0.35">
      <c r="A15" s="92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87"/>
    </row>
    <row r="16" spans="1:19" ht="30" customHeight="1" thickTop="1" thickBot="1" x14ac:dyDescent="0.35">
      <c r="A16" s="93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87"/>
    </row>
    <row r="17" spans="1:19" ht="30" customHeight="1" thickTop="1" x14ac:dyDescent="0.3">
      <c r="A17" s="93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87"/>
    </row>
    <row r="18" spans="1:19" ht="30" customHeight="1" thickBot="1" x14ac:dyDescent="0.3">
      <c r="A18" s="93"/>
      <c r="B18" s="42"/>
      <c r="C18" s="49"/>
      <c r="L18" s="50"/>
      <c r="M18" s="51"/>
      <c r="N18" s="137"/>
      <c r="O18" s="138"/>
      <c r="P18" s="138"/>
      <c r="Q18" s="52"/>
      <c r="S18" s="87"/>
    </row>
    <row r="19" spans="1:19" ht="30" customHeight="1" thickTop="1" thickBot="1" x14ac:dyDescent="0.35">
      <c r="A19" s="93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14</v>
      </c>
      <c r="P19" s="139"/>
      <c r="Q19" s="130"/>
      <c r="S19" s="87"/>
    </row>
    <row r="20" spans="1:19" ht="30" customHeight="1" thickTop="1" thickBot="1" x14ac:dyDescent="0.35">
      <c r="A20" s="93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87"/>
    </row>
    <row r="21" spans="1:19" ht="30" customHeight="1" thickTop="1" thickBot="1" x14ac:dyDescent="0.35">
      <c r="A21" s="93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87"/>
    </row>
    <row r="22" spans="1:19" ht="30" customHeight="1" thickTop="1" thickBot="1" x14ac:dyDescent="0.35">
      <c r="A22" s="93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87"/>
    </row>
    <row r="23" spans="1:19" ht="30" customHeight="1" thickTop="1" x14ac:dyDescent="0.3">
      <c r="A23" s="93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87"/>
    </row>
    <row r="24" spans="1:19" ht="30" customHeight="1" thickBot="1" x14ac:dyDescent="0.35">
      <c r="A24" s="93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87"/>
    </row>
    <row r="25" spans="1:19" ht="30" customHeight="1" thickTop="1" thickBot="1" x14ac:dyDescent="0.35">
      <c r="A25" s="93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15</v>
      </c>
      <c r="P25" s="139"/>
      <c r="Q25" s="130"/>
      <c r="S25" s="87"/>
    </row>
    <row r="26" spans="1:19" ht="30" customHeight="1" thickTop="1" thickBot="1" x14ac:dyDescent="0.35">
      <c r="A26" s="93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87"/>
    </row>
    <row r="27" spans="1:19" ht="30" customHeight="1" thickTop="1" thickBot="1" x14ac:dyDescent="0.35">
      <c r="A27" s="93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87"/>
    </row>
    <row r="28" spans="1:19" ht="30" customHeight="1" thickTop="1" thickBot="1" x14ac:dyDescent="0.35">
      <c r="A28" s="93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87"/>
    </row>
    <row r="29" spans="1:19" ht="30" customHeight="1" thickTop="1" x14ac:dyDescent="0.3">
      <c r="A29" s="93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87"/>
    </row>
    <row r="30" spans="1:19" ht="30" customHeight="1" thickBot="1" x14ac:dyDescent="0.35">
      <c r="A30" s="93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87"/>
    </row>
    <row r="31" spans="1:19" ht="30" customHeight="1" thickTop="1" thickBot="1" x14ac:dyDescent="0.35">
      <c r="A31" s="93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16</v>
      </c>
      <c r="P31" s="139"/>
      <c r="Q31" s="130"/>
      <c r="S31" s="87"/>
    </row>
    <row r="32" spans="1:19" ht="30" customHeight="1" thickTop="1" thickBot="1" x14ac:dyDescent="0.35">
      <c r="A32" s="93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87"/>
    </row>
    <row r="33" spans="1:19" ht="30" customHeight="1" thickTop="1" thickBot="1" x14ac:dyDescent="0.35">
      <c r="A33" s="93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87"/>
    </row>
    <row r="34" spans="1:19" ht="30" customHeight="1" thickTop="1" thickBot="1" x14ac:dyDescent="0.35">
      <c r="A34" s="93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87"/>
    </row>
    <row r="35" spans="1:19" ht="30" customHeight="1" thickTop="1" x14ac:dyDescent="0.3">
      <c r="A35" s="93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87"/>
    </row>
    <row r="36" spans="1:19" ht="30" customHeight="1" x14ac:dyDescent="0.3">
      <c r="A36" s="93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87"/>
    </row>
    <row r="37" spans="1:19" ht="30" customHeight="1" thickBot="1" x14ac:dyDescent="0.35">
      <c r="A37" s="93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87"/>
    </row>
    <row r="38" spans="1:19" ht="30" customHeight="1" thickTop="1" x14ac:dyDescent="0.25">
      <c r="A38" s="87"/>
      <c r="S38" s="87"/>
    </row>
    <row r="39" spans="1:19" ht="30" customHeight="1" x14ac:dyDescent="0.2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114"/>
      <c r="N39" s="89"/>
      <c r="O39" s="89"/>
      <c r="P39" s="87"/>
      <c r="Q39" s="90"/>
      <c r="R39" s="87"/>
      <c r="S39" s="87"/>
    </row>
  </sheetData>
  <dataConsolidate/>
  <mergeCells count="64">
    <mergeCell ref="E34:F34"/>
    <mergeCell ref="G34:H34"/>
    <mergeCell ref="I34:J34"/>
    <mergeCell ref="G35:H35"/>
    <mergeCell ref="G36:H36"/>
    <mergeCell ref="E32:F32"/>
    <mergeCell ref="I32:J32"/>
    <mergeCell ref="E33:F33"/>
    <mergeCell ref="G33:H33"/>
    <mergeCell ref="I33:J33"/>
    <mergeCell ref="E30:F30"/>
    <mergeCell ref="G30:H30"/>
    <mergeCell ref="I30:J30"/>
    <mergeCell ref="E31:F31"/>
    <mergeCell ref="I31:J31"/>
    <mergeCell ref="E28:F28"/>
    <mergeCell ref="G28:H28"/>
    <mergeCell ref="I28:J28"/>
    <mergeCell ref="E29:F29"/>
    <mergeCell ref="G29:H29"/>
    <mergeCell ref="I29:J29"/>
    <mergeCell ref="E26:F26"/>
    <mergeCell ref="G26:H26"/>
    <mergeCell ref="I26:J26"/>
    <mergeCell ref="E27:F27"/>
    <mergeCell ref="G27:H27"/>
    <mergeCell ref="I27:J27"/>
    <mergeCell ref="E24:F24"/>
    <mergeCell ref="I24:J24"/>
    <mergeCell ref="E25:F25"/>
    <mergeCell ref="G25:H25"/>
    <mergeCell ref="I25:J25"/>
    <mergeCell ref="D14:K14"/>
    <mergeCell ref="D5:D6"/>
    <mergeCell ref="G20:H20"/>
    <mergeCell ref="I22:J22"/>
    <mergeCell ref="G24:H24"/>
    <mergeCell ref="E22:F22"/>
    <mergeCell ref="D16:D17"/>
    <mergeCell ref="E16:F17"/>
    <mergeCell ref="G16:H17"/>
    <mergeCell ref="I16:J17"/>
    <mergeCell ref="K16:K17"/>
    <mergeCell ref="E20:F20"/>
    <mergeCell ref="I20:J20"/>
    <mergeCell ref="G21:H21"/>
    <mergeCell ref="G22:H22"/>
    <mergeCell ref="E23:F23"/>
    <mergeCell ref="E37:F37"/>
    <mergeCell ref="E19:F19"/>
    <mergeCell ref="E21:F21"/>
    <mergeCell ref="G19:H19"/>
    <mergeCell ref="I19:J19"/>
    <mergeCell ref="I21:J21"/>
    <mergeCell ref="I37:J37"/>
    <mergeCell ref="G23:H23"/>
    <mergeCell ref="G37:H37"/>
    <mergeCell ref="G31:H31"/>
    <mergeCell ref="G32:H32"/>
    <mergeCell ref="I36:J36"/>
    <mergeCell ref="E36:F36"/>
    <mergeCell ref="E35:F35"/>
    <mergeCell ref="I35:J35"/>
    <mergeCell ref="I23:J23"/>
  </mergeCells>
  <phoneticPr fontId="2" type="noConversion"/>
  <conditionalFormatting sqref="D19:K36">
    <cfRule type="expression" dxfId="94" priority="1">
      <formula>D19&lt;&gt;""</formula>
    </cfRule>
  </conditionalFormatting>
  <conditionalFormatting sqref="D37:K37">
    <cfRule type="expression" dxfId="93" priority="46">
      <formula>COLUMN(#REF!)&gt;2</formula>
    </cfRule>
  </conditionalFormatting>
  <conditionalFormatting sqref="E5:J5">
    <cfRule type="expression" dxfId="92" priority="3" stopIfTrue="1">
      <formula>DAY(E5)&gt;8</formula>
    </cfRule>
  </conditionalFormatting>
  <conditionalFormatting sqref="E5:K10">
    <cfRule type="expression" dxfId="91" priority="4">
      <formula>VLOOKUP(DAY(E5),$O:$O,1,FALSE)=DAY(E5)</formula>
    </cfRule>
  </conditionalFormatting>
  <conditionalFormatting sqref="E9:K10">
    <cfRule type="expression" dxfId="90" priority="2" stopIfTrue="1">
      <formula>AND(DAY(E9)&gt;=1,DAY(E9)&lt;=15)</formula>
    </cfRule>
  </conditionalFormatting>
  <conditionalFormatting sqref="M6:M11">
    <cfRule type="expression" dxfId="89" priority="24">
      <formula>VLOOKUP(DAY(M6),AssignmentDays,1,FALSE)=DAY(M6)</formula>
    </cfRule>
  </conditionalFormatting>
  <conditionalFormatting sqref="M10:M11">
    <cfRule type="expression" dxfId="88" priority="12" stopIfTrue="1">
      <formula>AND(DAY(M10)&gt;=1,DAY(M10)&lt;=15)</formula>
    </cfRule>
  </conditionalFormatting>
  <dataValidations xWindow="250" yWindow="581" count="10">
    <dataValidation allowBlank="1" showInputMessage="1" showErrorMessage="1" prompt="If this row contains a number less than the previous number or row of numbers, then this row contains dates for the next calendar month" sqref="E10" xr:uid="{2A3E135C-A16A-4A89-9E9F-3759C03B627B}"/>
    <dataValidation allowBlank="1" showInputMessage="1" showErrorMessage="1" prompt="Weekdays are in this row, from Monday to Friday" sqref="D16" xr:uid="{69374014-8AF1-4A41-B7F6-692FC244AD01}"/>
    <dataValidation allowBlank="1" showInputMessage="1" showErrorMessage="1" prompt="Day of the week goes in this row, starting in cell D16" sqref="A16" xr:uid="{272816D1-2062-4B96-BD92-149BD66728A1}"/>
    <dataValidation allowBlank="1" showInputMessage="1" showErrorMessage="1" prompt="February calendar. Calendar year is automatically updated based on cell D5 in Jan sheet." sqref="A1" xr:uid="{855420E5-993C-4B73-8F0F-7212F890F5E2}"/>
    <dataValidation allowBlank="1" showInputMessage="1" showErrorMessage="1" prompt="Cells E4:K4 contain weekdays" sqref="E4" xr:uid="{B81F0622-C83F-40B1-8860-7E559E832814}"/>
    <dataValidation allowBlank="1" showInputMessage="1" showErrorMessage="1" prompt="If this cell doesn’t contain the number 1, then it is a day from a previous month. Cells E5:K10 contain dates for the current month" sqref="E5" xr:uid="{5DC68617-0DD6-4054-92A0-2169E18C8D0A}"/>
    <dataValidation allowBlank="1" showInputMessage="1" showErrorMessage="1" prompt="Enter the time of your class and under it, in a new row, the class name for each weekday in columns D to K. Repeat this pattern for all classes in subsequent rows" sqref="D14" xr:uid="{CA55465B-648F-4BF1-BA4F-83F4D415F4CA}"/>
    <dataValidation allowBlank="1" showInputMessage="1" showErrorMessage="1" prompt="Enter the assignment details in this column that correspond to the weekday in column N and day in column O for the calendar month at left" sqref="N4" xr:uid="{F0056C57-08CD-4FEA-9C44-1BA21D0A3160}"/>
    <dataValidation allowBlank="1" showInputMessage="1" showErrorMessage="1" prompt="Calendar automatically highlights assignment list entries for the month. Darker fonts are assignments. Lighter fonts are days that belong to the previous or next month" sqref="D4" xr:uid="{004C3FF7-5853-4456-90C1-CE6490AD3726}"/>
    <dataValidation allowBlank="1" showInputMessage="1" showErrorMessage="1" prompt="Calendar year is automatically updated in this cell. To change the calendar year, to go cell D5 in Jan worksheet." sqref="D5:D6" xr:uid="{5B4B3B6F-9B52-4D11-ACB2-2BA5D54C1AB1}"/>
  </dataValidations>
  <printOptions horizontalCentered="1" verticalCentered="1"/>
  <pageMargins left="0.25" right="0.25" top="0.5" bottom="0.5" header="0.3" footer="0.3"/>
  <pageSetup scale="47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8D4A-BFC0-494F-BABB-4FFABE6C1A19}">
  <sheetPr>
    <tabColor theme="6" tint="0.39997558519241921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81"/>
      <c r="B1" s="81"/>
      <c r="C1" s="81"/>
      <c r="D1" s="82"/>
      <c r="E1" s="81"/>
      <c r="F1" s="81"/>
      <c r="G1" s="81"/>
      <c r="H1" s="81"/>
      <c r="I1" s="81"/>
      <c r="J1" s="81"/>
      <c r="K1" s="81"/>
      <c r="L1" s="81"/>
      <c r="M1" s="113"/>
      <c r="N1" s="83"/>
      <c r="O1" s="83"/>
      <c r="P1" s="81"/>
      <c r="Q1" s="84"/>
      <c r="R1" s="81"/>
      <c r="S1" s="81"/>
    </row>
    <row r="2" spans="1:19" ht="30" customHeight="1" thickBot="1" x14ac:dyDescent="0.3">
      <c r="A2" s="81"/>
      <c r="D2" s="10"/>
      <c r="E2" s="10"/>
      <c r="F2" s="10"/>
      <c r="G2" s="10"/>
      <c r="H2" s="10"/>
      <c r="I2" s="10"/>
      <c r="J2" s="10"/>
      <c r="K2" s="10"/>
      <c r="N2"/>
      <c r="O2"/>
      <c r="S2" s="81"/>
    </row>
    <row r="3" spans="1:19" ht="30" customHeight="1" thickTop="1" thickBot="1" x14ac:dyDescent="0.35">
      <c r="A3" s="81"/>
      <c r="C3" s="14"/>
      <c r="D3" s="15"/>
      <c r="K3" s="15"/>
      <c r="L3" s="16"/>
      <c r="N3" s="117"/>
      <c r="O3" s="118"/>
      <c r="P3" s="119"/>
      <c r="Q3" s="17"/>
      <c r="S3" s="81"/>
    </row>
    <row r="4" spans="1:19" ht="35.1" customHeight="1" thickTop="1" thickBot="1" x14ac:dyDescent="0.3">
      <c r="A4" s="81"/>
      <c r="C4" s="18"/>
      <c r="D4" s="1" t="s">
        <v>20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81"/>
    </row>
    <row r="5" spans="1:19" ht="30" customHeight="1" thickTop="1" x14ac:dyDescent="0.3">
      <c r="A5" s="85"/>
      <c r="B5" s="22"/>
      <c r="C5" s="23"/>
      <c r="D5" s="157">
        <f ca="1">CalendarYear</f>
        <v>2024</v>
      </c>
      <c r="E5" s="3">
        <f ca="1">IF(DAY(MarSun1)=1,MarSun1-6,MarSun1+1)</f>
        <v>45348</v>
      </c>
      <c r="F5" s="3">
        <f ca="1">IF(DAY(MarSun1)=1,MarSun1-5,MarSun1+2)</f>
        <v>45349</v>
      </c>
      <c r="G5" s="3">
        <f ca="1">IF(DAY(MarSun1)=1,MarSun1-4,MarSun1+3)</f>
        <v>45350</v>
      </c>
      <c r="H5" s="3">
        <f ca="1">IF(DAY(MarSun1)=1,MarSun1-3,MarSun1+4)</f>
        <v>45351</v>
      </c>
      <c r="I5" s="3">
        <f ca="1">IF(DAY(MarSun1)=1,MarSun1-2,MarSun1+5)</f>
        <v>45352</v>
      </c>
      <c r="J5" s="3">
        <f ca="1">IF(DAY(MarSun1)=1,MarSun1-1,MarSun1+6)</f>
        <v>45353</v>
      </c>
      <c r="K5" s="3">
        <f ca="1">IF(DAY(MarSun1)=1,MarSun1,MarSun1+7)</f>
        <v>45354</v>
      </c>
      <c r="L5" s="25"/>
      <c r="M5" s="26"/>
      <c r="N5" s="123"/>
      <c r="O5" s="121"/>
      <c r="P5" s="121"/>
      <c r="Q5" s="124"/>
      <c r="S5" s="81"/>
    </row>
    <row r="6" spans="1:19" ht="30" customHeight="1" x14ac:dyDescent="0.3">
      <c r="A6" s="85"/>
      <c r="B6" s="22"/>
      <c r="C6" s="23"/>
      <c r="D6" s="157"/>
      <c r="E6" s="3">
        <f ca="1">IF(DAY(MarSun1)=1,MarSun1+1,MarSun1+8)</f>
        <v>45355</v>
      </c>
      <c r="F6" s="3">
        <f ca="1">IF(DAY(MarSun1)=1,MarSun1+2,MarSun1+9)</f>
        <v>45356</v>
      </c>
      <c r="G6" s="3">
        <f ca="1">IF(DAY(MarSun1)=1,MarSun1+3,MarSun1+10)</f>
        <v>45357</v>
      </c>
      <c r="H6" s="3">
        <f ca="1">IF(DAY(MarSun1)=1,MarSun1+4,MarSun1+11)</f>
        <v>45358</v>
      </c>
      <c r="I6" s="3">
        <f ca="1">IF(DAY(MarSun1)=1,MarSun1+5,MarSun1+12)</f>
        <v>45359</v>
      </c>
      <c r="J6" s="3">
        <f ca="1">IF(DAY(MarSun1)=1,MarSun1+6,MarSun1+13)</f>
        <v>45360</v>
      </c>
      <c r="K6" s="3">
        <f ca="1">IF(DAY(MarSun1)=1,MarSun1+7,MarSun1+14)</f>
        <v>45361</v>
      </c>
      <c r="L6" s="25"/>
      <c r="M6" s="27"/>
      <c r="N6" s="125"/>
      <c r="O6" s="126"/>
      <c r="P6" s="126"/>
      <c r="Q6" s="127"/>
      <c r="S6" s="81"/>
    </row>
    <row r="7" spans="1:19" ht="30" customHeight="1" thickBot="1" x14ac:dyDescent="0.3">
      <c r="A7" s="85"/>
      <c r="B7" s="22"/>
      <c r="C7" s="23"/>
      <c r="D7" s="28"/>
      <c r="E7" s="3">
        <f ca="1">IF(DAY(MarSun1)=1,MarSun1+8,MarSun1+15)</f>
        <v>45362</v>
      </c>
      <c r="F7" s="3">
        <f ca="1">IF(DAY(MarSun1)=1,MarSun1+9,MarSun1+16)</f>
        <v>45363</v>
      </c>
      <c r="G7" s="3">
        <f ca="1">IF(DAY(MarSun1)=1,MarSun1+10,MarSun1+17)</f>
        <v>45364</v>
      </c>
      <c r="H7" s="3">
        <f ca="1">IF(DAY(MarSun1)=1,MarSun1+11,MarSun1+18)</f>
        <v>45365</v>
      </c>
      <c r="I7" s="3">
        <f ca="1">IF(DAY(MarSun1)=1,MarSun1+12,MarSun1+19)</f>
        <v>45366</v>
      </c>
      <c r="J7" s="3">
        <f ca="1">IF(DAY(MarSun1)=1,MarSun1+13,MarSun1+20)</f>
        <v>45367</v>
      </c>
      <c r="K7" s="3">
        <f ca="1">IF(DAY(MarSun1)=1,MarSun1+14,MarSun1+21)</f>
        <v>45368</v>
      </c>
      <c r="L7" s="25"/>
      <c r="M7" s="27"/>
      <c r="N7" s="128" t="s">
        <v>2</v>
      </c>
      <c r="O7" s="129">
        <v>11</v>
      </c>
      <c r="P7" s="129"/>
      <c r="Q7" s="130"/>
      <c r="S7" s="81"/>
    </row>
    <row r="8" spans="1:19" ht="30" customHeight="1" thickTop="1" x14ac:dyDescent="0.3">
      <c r="A8" s="85"/>
      <c r="B8" s="22"/>
      <c r="C8" s="23"/>
      <c r="D8" s="28"/>
      <c r="E8" s="3">
        <f ca="1">IF(DAY(MarSun1)=1,MarSun1+15,MarSun1+22)</f>
        <v>45369</v>
      </c>
      <c r="F8" s="3">
        <f ca="1">IF(DAY(MarSun1)=1,MarSun1+16,MarSun1+23)</f>
        <v>45370</v>
      </c>
      <c r="G8" s="3">
        <f ca="1">IF(DAY(MarSun1)=1,MarSun1+17,MarSun1+24)</f>
        <v>45371</v>
      </c>
      <c r="H8" s="3">
        <f ca="1">IF(DAY(MarSun1)=1,MarSun1+18,MarSun1+25)</f>
        <v>45372</v>
      </c>
      <c r="I8" s="3">
        <f ca="1">IF(DAY(MarSun1)=1,MarSun1+19,MarSun1+26)</f>
        <v>45373</v>
      </c>
      <c r="J8" s="3">
        <f ca="1">IF(DAY(MarSun1)=1,MarSun1+20,MarSun1+27)</f>
        <v>45374</v>
      </c>
      <c r="K8" s="3">
        <f ca="1">IF(DAY(MarSun1)=1,MarSun1+21,MarSun1+28)</f>
        <v>45375</v>
      </c>
      <c r="L8" s="25"/>
      <c r="M8" s="27"/>
      <c r="N8" s="131"/>
      <c r="O8" s="132"/>
      <c r="P8" s="133"/>
      <c r="Q8" s="52"/>
      <c r="S8" s="81"/>
    </row>
    <row r="9" spans="1:19" ht="30" customHeight="1" x14ac:dyDescent="0.3">
      <c r="A9" s="85"/>
      <c r="B9" s="22"/>
      <c r="C9" s="23"/>
      <c r="D9" s="28"/>
      <c r="E9" s="3">
        <f ca="1">IF(DAY(MarSun1)=1,MarSun1+22,MarSun1+29)</f>
        <v>45376</v>
      </c>
      <c r="F9" s="3">
        <f ca="1">IF(DAY(MarSun1)=1,MarSun1+23,MarSun1+30)</f>
        <v>45377</v>
      </c>
      <c r="G9" s="3">
        <f ca="1">IF(DAY(MarSun1)=1,MarSun1+24,MarSun1+31)</f>
        <v>45378</v>
      </c>
      <c r="H9" s="3">
        <f ca="1">IF(DAY(MarSun1)=1,MarSun1+25,MarSun1+32)</f>
        <v>45379</v>
      </c>
      <c r="I9" s="3">
        <f ca="1">IF(DAY(MarSun1)=1,MarSun1+26,MarSun1+33)</f>
        <v>45380</v>
      </c>
      <c r="J9" s="3">
        <f ca="1">IF(DAY(MarSun1)=1,MarSun1+27,MarSun1+34)</f>
        <v>45381</v>
      </c>
      <c r="K9" s="3">
        <f ca="1">IF(DAY(MarSun1)=1,MarSun1+28,MarSun1+35)</f>
        <v>45382</v>
      </c>
      <c r="L9" s="25"/>
      <c r="M9" s="30"/>
      <c r="N9" s="134"/>
      <c r="O9" s="132"/>
      <c r="P9" s="132"/>
      <c r="Q9" s="52"/>
      <c r="S9" s="81"/>
    </row>
    <row r="10" spans="1:19" ht="30" customHeight="1" x14ac:dyDescent="0.3">
      <c r="A10" s="85"/>
      <c r="B10" s="22"/>
      <c r="C10" s="23"/>
      <c r="D10" s="28"/>
      <c r="E10" s="3">
        <f ca="1">IF(DAY(MarSun1)=1,MarSun1+29,MarSun1+36)</f>
        <v>45383</v>
      </c>
      <c r="F10" s="3">
        <f ca="1">IF(DAY(MarSun1)=1,MarSun1+30,MarSun1+37)</f>
        <v>45384</v>
      </c>
      <c r="G10" s="3">
        <f ca="1">IF(DAY(MarSun1)=1,MarSun1+31,MarSun1+38)</f>
        <v>45385</v>
      </c>
      <c r="H10" s="3">
        <f ca="1">IF(DAY(MarSun1)=1,MarSun1+32,MarSun1+39)</f>
        <v>45386</v>
      </c>
      <c r="I10" s="3">
        <f ca="1">IF(DAY(MarSun1)=1,MarSun1+33,MarSun1+40)</f>
        <v>45387</v>
      </c>
      <c r="J10" s="3">
        <f ca="1">IF(DAY(MarSun1)=1,MarSun1+34,MarSun1+41)</f>
        <v>45388</v>
      </c>
      <c r="K10" s="3">
        <f ca="1">IF(DAY(MarSun1)=1,MarSun1+35,MarSun1+42)</f>
        <v>45389</v>
      </c>
      <c r="L10" s="32"/>
      <c r="M10" s="27"/>
      <c r="N10" s="131"/>
      <c r="O10" s="132"/>
      <c r="P10" s="132"/>
      <c r="Q10" s="135"/>
      <c r="S10" s="81"/>
    </row>
    <row r="11" spans="1:19" ht="30" customHeight="1" thickBot="1" x14ac:dyDescent="0.35">
      <c r="A11" s="85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81"/>
    </row>
    <row r="12" spans="1:19" ht="30" customHeight="1" thickTop="1" thickBot="1" x14ac:dyDescent="0.3">
      <c r="A12" s="85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81"/>
    </row>
    <row r="13" spans="1:19" ht="30" customHeight="1" thickTop="1" thickBot="1" x14ac:dyDescent="0.3">
      <c r="A13" s="85"/>
      <c r="B13" s="22"/>
      <c r="C13" s="22"/>
      <c r="N13" s="128" t="s">
        <v>27</v>
      </c>
      <c r="O13" s="139">
        <v>12</v>
      </c>
      <c r="P13" s="139"/>
      <c r="Q13" s="140"/>
      <c r="S13" s="81"/>
    </row>
    <row r="14" spans="1:19" ht="30" customHeight="1" thickTop="1" thickBot="1" x14ac:dyDescent="0.35">
      <c r="A14" s="85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81"/>
    </row>
    <row r="15" spans="1:19" ht="30" customHeight="1" thickTop="1" thickBot="1" x14ac:dyDescent="0.35">
      <c r="A15" s="85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81"/>
    </row>
    <row r="16" spans="1:19" ht="30" customHeight="1" thickTop="1" thickBot="1" x14ac:dyDescent="0.35">
      <c r="A16" s="86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81"/>
    </row>
    <row r="17" spans="1:19" ht="30" customHeight="1" thickTop="1" x14ac:dyDescent="0.3">
      <c r="A17" s="86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81"/>
    </row>
    <row r="18" spans="1:19" ht="30" customHeight="1" thickBot="1" x14ac:dyDescent="0.3">
      <c r="A18" s="86"/>
      <c r="B18" s="42"/>
      <c r="C18" s="49"/>
      <c r="L18" s="50"/>
      <c r="M18" s="51"/>
      <c r="N18" s="137"/>
      <c r="O18" s="138"/>
      <c r="P18" s="138"/>
      <c r="Q18" s="52"/>
      <c r="S18" s="81"/>
    </row>
    <row r="19" spans="1:19" ht="30" customHeight="1" thickTop="1" thickBot="1" x14ac:dyDescent="0.35">
      <c r="A19" s="86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13</v>
      </c>
      <c r="P19" s="139"/>
      <c r="Q19" s="130"/>
      <c r="S19" s="81"/>
    </row>
    <row r="20" spans="1:19" ht="30" customHeight="1" thickTop="1" thickBot="1" x14ac:dyDescent="0.35">
      <c r="A20" s="86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81"/>
    </row>
    <row r="21" spans="1:19" ht="30" customHeight="1" thickTop="1" thickBot="1" x14ac:dyDescent="0.35">
      <c r="A21" s="86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81"/>
    </row>
    <row r="22" spans="1:19" ht="30" customHeight="1" thickTop="1" thickBot="1" x14ac:dyDescent="0.35">
      <c r="A22" s="86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81"/>
    </row>
    <row r="23" spans="1:19" ht="30" customHeight="1" thickTop="1" x14ac:dyDescent="0.3">
      <c r="A23" s="86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81"/>
    </row>
    <row r="24" spans="1:19" ht="30" customHeight="1" thickBot="1" x14ac:dyDescent="0.35">
      <c r="A24" s="86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81"/>
    </row>
    <row r="25" spans="1:19" ht="30" customHeight="1" thickTop="1" thickBot="1" x14ac:dyDescent="0.35">
      <c r="A25" s="86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14</v>
      </c>
      <c r="P25" s="139"/>
      <c r="Q25" s="130"/>
      <c r="S25" s="81"/>
    </row>
    <row r="26" spans="1:19" ht="30" customHeight="1" thickTop="1" thickBot="1" x14ac:dyDescent="0.35">
      <c r="A26" s="86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81"/>
    </row>
    <row r="27" spans="1:19" ht="30" customHeight="1" thickTop="1" thickBot="1" x14ac:dyDescent="0.35">
      <c r="A27" s="86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81"/>
    </row>
    <row r="28" spans="1:19" ht="30" customHeight="1" thickTop="1" thickBot="1" x14ac:dyDescent="0.35">
      <c r="A28" s="86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81"/>
    </row>
    <row r="29" spans="1:19" ht="30" customHeight="1" thickTop="1" x14ac:dyDescent="0.3">
      <c r="A29" s="86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81"/>
    </row>
    <row r="30" spans="1:19" ht="30" customHeight="1" thickBot="1" x14ac:dyDescent="0.35">
      <c r="A30" s="86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81"/>
    </row>
    <row r="31" spans="1:19" ht="30" customHeight="1" thickTop="1" thickBot="1" x14ac:dyDescent="0.35">
      <c r="A31" s="86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15</v>
      </c>
      <c r="P31" s="139"/>
      <c r="Q31" s="130"/>
      <c r="S31" s="81"/>
    </row>
    <row r="32" spans="1:19" ht="30" customHeight="1" thickTop="1" thickBot="1" x14ac:dyDescent="0.35">
      <c r="A32" s="86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81"/>
    </row>
    <row r="33" spans="1:19" ht="30" customHeight="1" thickTop="1" thickBot="1" x14ac:dyDescent="0.35">
      <c r="A33" s="86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81"/>
    </row>
    <row r="34" spans="1:19" ht="30" customHeight="1" thickTop="1" thickBot="1" x14ac:dyDescent="0.35">
      <c r="A34" s="86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81"/>
    </row>
    <row r="35" spans="1:19" ht="30" customHeight="1" thickTop="1" x14ac:dyDescent="0.3">
      <c r="A35" s="86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81"/>
    </row>
    <row r="36" spans="1:19" ht="30" customHeight="1" x14ac:dyDescent="0.3">
      <c r="A36" s="86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81"/>
    </row>
    <row r="37" spans="1:19" ht="30" customHeight="1" thickBot="1" x14ac:dyDescent="0.35">
      <c r="A37" s="86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81"/>
    </row>
    <row r="38" spans="1:19" ht="30" customHeight="1" thickTop="1" x14ac:dyDescent="0.25">
      <c r="A38" s="81"/>
      <c r="S38" s="81"/>
    </row>
    <row r="39" spans="1:19" ht="30" customHeight="1" x14ac:dyDescent="0.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3"/>
      <c r="O39" s="83"/>
      <c r="P39" s="81"/>
      <c r="Q39" s="84"/>
      <c r="R39" s="81"/>
      <c r="S39" s="81"/>
    </row>
  </sheetData>
  <dataConsolidate/>
  <mergeCells count="64">
    <mergeCell ref="G36:H36"/>
    <mergeCell ref="E36:F36"/>
    <mergeCell ref="I36:J36"/>
    <mergeCell ref="G31:H31"/>
    <mergeCell ref="E34:F34"/>
    <mergeCell ref="G34:H34"/>
    <mergeCell ref="I34:J34"/>
    <mergeCell ref="G35:H35"/>
    <mergeCell ref="E32:F32"/>
    <mergeCell ref="I32:J32"/>
    <mergeCell ref="E33:F33"/>
    <mergeCell ref="G33:H33"/>
    <mergeCell ref="I33:J33"/>
    <mergeCell ref="G32:H32"/>
    <mergeCell ref="D5:D6"/>
    <mergeCell ref="D14:K14"/>
    <mergeCell ref="D16:D17"/>
    <mergeCell ref="E16:F17"/>
    <mergeCell ref="G16:H17"/>
    <mergeCell ref="I16:J17"/>
    <mergeCell ref="K16:K17"/>
    <mergeCell ref="E19:F19"/>
    <mergeCell ref="G19:H19"/>
    <mergeCell ref="I19:J19"/>
    <mergeCell ref="G20:H20"/>
    <mergeCell ref="E21:F21"/>
    <mergeCell ref="I21:J21"/>
    <mergeCell ref="E20:F20"/>
    <mergeCell ref="I20:J20"/>
    <mergeCell ref="G21:H21"/>
    <mergeCell ref="E25:F25"/>
    <mergeCell ref="E22:F22"/>
    <mergeCell ref="I22:J22"/>
    <mergeCell ref="G23:H23"/>
    <mergeCell ref="G24:H24"/>
    <mergeCell ref="G25:H25"/>
    <mergeCell ref="I25:J25"/>
    <mergeCell ref="G22:H22"/>
    <mergeCell ref="E23:F23"/>
    <mergeCell ref="I23:J23"/>
    <mergeCell ref="E24:F24"/>
    <mergeCell ref="I24:J24"/>
    <mergeCell ref="E26:F26"/>
    <mergeCell ref="G26:H26"/>
    <mergeCell ref="I26:J26"/>
    <mergeCell ref="E27:F27"/>
    <mergeCell ref="G27:H27"/>
    <mergeCell ref="I27:J27"/>
    <mergeCell ref="E37:F37"/>
    <mergeCell ref="G37:H37"/>
    <mergeCell ref="I37:J37"/>
    <mergeCell ref="E28:F28"/>
    <mergeCell ref="G28:H28"/>
    <mergeCell ref="I28:J28"/>
    <mergeCell ref="E35:F35"/>
    <mergeCell ref="I35:J35"/>
    <mergeCell ref="E29:F29"/>
    <mergeCell ref="G29:H29"/>
    <mergeCell ref="I29:J29"/>
    <mergeCell ref="E30:F30"/>
    <mergeCell ref="G30:H30"/>
    <mergeCell ref="I30:J30"/>
    <mergeCell ref="E31:F31"/>
    <mergeCell ref="I31:J31"/>
  </mergeCells>
  <conditionalFormatting sqref="D19:K36">
    <cfRule type="expression" dxfId="87" priority="1">
      <formula>D19&lt;&gt;""</formula>
    </cfRule>
  </conditionalFormatting>
  <conditionalFormatting sqref="D37:K37">
    <cfRule type="expression" dxfId="86" priority="11">
      <formula>COLUMN(#REF!)&gt;2</formula>
    </cfRule>
  </conditionalFormatting>
  <conditionalFormatting sqref="E5:J5">
    <cfRule type="expression" dxfId="85" priority="3" stopIfTrue="1">
      <formula>DAY(E5)&gt;8</formula>
    </cfRule>
  </conditionalFormatting>
  <conditionalFormatting sqref="E5:K10">
    <cfRule type="expression" dxfId="84" priority="4">
      <formula>VLOOKUP(DAY(E5),$O:$O,1,FALSE)=DAY(E5)</formula>
    </cfRule>
  </conditionalFormatting>
  <conditionalFormatting sqref="E9:K10">
    <cfRule type="expression" dxfId="83" priority="2" stopIfTrue="1">
      <formula>AND(DAY(E9)&gt;=1,DAY(E9)&lt;=15)</formula>
    </cfRule>
  </conditionalFormatting>
  <conditionalFormatting sqref="M6:M11">
    <cfRule type="expression" dxfId="82" priority="10">
      <formula>VLOOKUP(DAY(M6),AssignmentDays,1,FALSE)=DAY(M6)</formula>
    </cfRule>
  </conditionalFormatting>
  <conditionalFormatting sqref="M10:M11">
    <cfRule type="expression" dxfId="81" priority="9" stopIfTrue="1">
      <formula>AND(DAY(M10)&gt;=1,DAY(M10)&lt;=15)</formula>
    </cfRule>
  </conditionalFormatting>
  <dataValidations count="10">
    <dataValidation allowBlank="1" showInputMessage="1" showErrorMessage="1" prompt="If this row contains a number less than the previous number or row of numbers, then this row contains dates for the next calendar month" sqref="E10" xr:uid="{07B93FCF-31FE-4804-BEF4-2CDD34713685}"/>
    <dataValidation allowBlank="1" showInputMessage="1" showErrorMessage="1" prompt="Weekdays are in this row, from Monday to Friday" sqref="D16" xr:uid="{8AEB2A66-453B-4859-BD2E-73F34A5F7C97}"/>
    <dataValidation allowBlank="1" showInputMessage="1" showErrorMessage="1" prompt="Day of the week goes in this row, starting in cell D16" sqref="A16" xr:uid="{943F4881-59CB-4425-9DCA-F8068A167A15}"/>
    <dataValidation allowBlank="1" showInputMessage="1" showErrorMessage="1" prompt="Calendar year is automatically updated in this cell. To change the calendar year, to go cell D5 in Jan worksheet." sqref="D5:D6" xr:uid="{90C7428A-705B-453A-97EF-932F28605C76}"/>
    <dataValidation allowBlank="1" showInputMessage="1" showErrorMessage="1" prompt="Calendar automatically highlights assignment list entries for the month. Darker fonts are assignments. Lighter fonts are days that belong to the previous or next month" sqref="D4" xr:uid="{A9FA5370-7F44-4AB7-9AEB-BABC61140475}"/>
    <dataValidation allowBlank="1" showInputMessage="1" showErrorMessage="1" prompt="Enter the assignment details in this column that correspond to the weekday in column N and day in column O for the calendar month at left" sqref="N4" xr:uid="{6AC09B50-7C4F-4CFD-BC84-134B2DD9839A}"/>
    <dataValidation allowBlank="1" showInputMessage="1" showErrorMessage="1" prompt="Enter the time of your class and under it, in a new row, the class name for each weekday in columns D to K. Repeat this pattern for all classes in subsequent rows" sqref="D14" xr:uid="{17CE7995-557E-446F-8C6B-26852AEA916B}"/>
    <dataValidation allowBlank="1" showInputMessage="1" showErrorMessage="1" prompt="If this cell doesn’t contain the number 1, then it is a day from a previous month. Cells E5:K10 contain dates for the current month" sqref="E5" xr:uid="{3D2AD573-FDAA-4BAF-B11F-E0E4AB742B77}"/>
    <dataValidation allowBlank="1" showInputMessage="1" showErrorMessage="1" prompt="Cells E4:K4 contain weekdays" sqref="E4" xr:uid="{997F06F2-C657-4E9A-A86E-B9F5288B9837}"/>
    <dataValidation allowBlank="1" showInputMessage="1" showErrorMessage="1" prompt="March calendar. Calendar year is automatically updated based on cell D5 in Jan sheet." sqref="A1" xr:uid="{AFBBF2F0-CDA6-444A-B249-4A5F0A8CD7FF}"/>
  </dataValidations>
  <printOptions horizontalCentered="1" verticalCentered="1"/>
  <pageMargins left="0.25" right="0.25" top="0.5" bottom="0.5" header="0.3" footer="0.3"/>
  <pageSetup scale="47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F457-6202-48AE-A7AD-A6C797666B7D}">
  <sheetPr>
    <tabColor theme="4" tint="0.39997558519241921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73"/>
      <c r="B1" s="73"/>
      <c r="C1" s="73"/>
      <c r="D1" s="74"/>
      <c r="E1" s="73"/>
      <c r="F1" s="73"/>
      <c r="G1" s="73"/>
      <c r="H1" s="73"/>
      <c r="I1" s="73"/>
      <c r="J1" s="73"/>
      <c r="K1" s="73"/>
      <c r="L1" s="73"/>
      <c r="M1" s="73"/>
      <c r="N1" s="76"/>
      <c r="O1" s="76"/>
      <c r="P1" s="73"/>
      <c r="Q1" s="77"/>
      <c r="R1" s="73"/>
      <c r="S1" s="73"/>
    </row>
    <row r="2" spans="1:19" ht="30" customHeight="1" thickBot="1" x14ac:dyDescent="0.3">
      <c r="A2" s="73"/>
      <c r="D2" s="10"/>
      <c r="E2" s="10"/>
      <c r="F2" s="10"/>
      <c r="G2" s="10"/>
      <c r="H2" s="10"/>
      <c r="I2" s="10"/>
      <c r="J2" s="10"/>
      <c r="K2" s="10"/>
      <c r="M2" s="80"/>
      <c r="N2"/>
      <c r="O2"/>
      <c r="S2" s="73"/>
    </row>
    <row r="3" spans="1:19" ht="30" customHeight="1" thickTop="1" thickBot="1" x14ac:dyDescent="0.35">
      <c r="A3" s="73"/>
      <c r="C3" s="14"/>
      <c r="D3" s="15"/>
      <c r="K3" s="15"/>
      <c r="L3" s="16"/>
      <c r="N3" s="117"/>
      <c r="O3" s="118"/>
      <c r="P3" s="119"/>
      <c r="Q3" s="17"/>
      <c r="S3" s="73"/>
    </row>
    <row r="4" spans="1:19" ht="35.1" customHeight="1" thickTop="1" thickBot="1" x14ac:dyDescent="0.3">
      <c r="A4" s="73"/>
      <c r="C4" s="18"/>
      <c r="D4" s="1" t="s">
        <v>32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73"/>
    </row>
    <row r="5" spans="1:19" ht="30" customHeight="1" thickTop="1" x14ac:dyDescent="0.3">
      <c r="A5" s="78"/>
      <c r="B5" s="22"/>
      <c r="C5" s="23"/>
      <c r="D5" s="157">
        <f ca="1">CalendarYear</f>
        <v>2024</v>
      </c>
      <c r="E5" s="3">
        <f ca="1">IF(DAY(AprSun1)=1,AprSun1-6,AprSun1+1)</f>
        <v>45383</v>
      </c>
      <c r="F5" s="3">
        <f ca="1">IF(DAY(AprSun1)=1,AprSun1-5,AprSun1+2)</f>
        <v>45384</v>
      </c>
      <c r="G5" s="3">
        <f ca="1">IF(DAY(AprSun1)=1,AprSun1-4,AprSun1+3)</f>
        <v>45385</v>
      </c>
      <c r="H5" s="3">
        <f ca="1">IF(DAY(AprSun1)=1,AprSun1-3,AprSun1+4)</f>
        <v>45386</v>
      </c>
      <c r="I5" s="3">
        <f ca="1">IF(DAY(AprSun1)=1,AprSun1-2,AprSun1+5)</f>
        <v>45387</v>
      </c>
      <c r="J5" s="3">
        <f ca="1">IF(DAY(AprSun1)=1,AprSun1-1,AprSun1+6)</f>
        <v>45388</v>
      </c>
      <c r="K5" s="3">
        <f ca="1">IF(DAY(AprSun1)=1,AprSun1,AprSun1+7)</f>
        <v>45389</v>
      </c>
      <c r="L5" s="25"/>
      <c r="M5" s="26"/>
      <c r="N5" s="123"/>
      <c r="O5" s="121"/>
      <c r="P5" s="121"/>
      <c r="Q5" s="124"/>
      <c r="S5" s="73"/>
    </row>
    <row r="6" spans="1:19" ht="30" customHeight="1" x14ac:dyDescent="0.3">
      <c r="A6" s="78"/>
      <c r="B6" s="22"/>
      <c r="C6" s="23"/>
      <c r="D6" s="157"/>
      <c r="E6" s="3">
        <f ca="1">IF(DAY(AprSun1)=1,AprSun1+1,AprSun1+8)</f>
        <v>45390</v>
      </c>
      <c r="F6" s="3">
        <f ca="1">IF(DAY(AprSun1)=1,AprSun1+2,AprSun1+9)</f>
        <v>45391</v>
      </c>
      <c r="G6" s="3">
        <f ca="1">IF(DAY(AprSun1)=1,AprSun1+3,AprSun1+10)</f>
        <v>45392</v>
      </c>
      <c r="H6" s="3">
        <f ca="1">IF(DAY(AprSun1)=1,AprSun1+4,AprSun1+11)</f>
        <v>45393</v>
      </c>
      <c r="I6" s="3">
        <f ca="1">IF(DAY(AprSun1)=1,AprSun1+5,AprSun1+12)</f>
        <v>45394</v>
      </c>
      <c r="J6" s="3">
        <f ca="1">IF(DAY(AprSun1)=1,AprSun1+6,AprSun1+13)</f>
        <v>45395</v>
      </c>
      <c r="K6" s="3">
        <f ca="1">IF(DAY(AprSun1)=1,AprSun1+7,AprSun1+14)</f>
        <v>45396</v>
      </c>
      <c r="L6" s="25"/>
      <c r="M6" s="27"/>
      <c r="N6" s="125"/>
      <c r="O6" s="126"/>
      <c r="P6" s="126"/>
      <c r="Q6" s="127"/>
      <c r="S6" s="73"/>
    </row>
    <row r="7" spans="1:19" ht="30" customHeight="1" thickBot="1" x14ac:dyDescent="0.3">
      <c r="A7" s="78"/>
      <c r="B7" s="22"/>
      <c r="C7" s="23"/>
      <c r="D7" s="28"/>
      <c r="E7" s="3">
        <f ca="1">IF(DAY(AprSun1)=1,AprSun1+8,AprSun1+15)</f>
        <v>45397</v>
      </c>
      <c r="F7" s="3">
        <f ca="1">IF(DAY(AprSun1)=1,AprSun1+9,AprSun1+16)</f>
        <v>45398</v>
      </c>
      <c r="G7" s="3">
        <f ca="1">IF(DAY(AprSun1)=1,AprSun1+10,AprSun1+17)</f>
        <v>45399</v>
      </c>
      <c r="H7" s="3">
        <f ca="1">IF(DAY(AprSun1)=1,AprSun1+11,AprSun1+18)</f>
        <v>45400</v>
      </c>
      <c r="I7" s="3">
        <f ca="1">IF(DAY(AprSun1)=1,AprSun1+12,AprSun1+19)</f>
        <v>45401</v>
      </c>
      <c r="J7" s="3">
        <f ca="1">IF(DAY(AprSun1)=1,AprSun1+13,AprSun1+20)</f>
        <v>45402</v>
      </c>
      <c r="K7" s="3">
        <f ca="1">IF(DAY(AprSun1)=1,AprSun1+14,AprSun1+21)</f>
        <v>45403</v>
      </c>
      <c r="L7" s="25"/>
      <c r="M7" s="27"/>
      <c r="N7" s="128" t="s">
        <v>2</v>
      </c>
      <c r="O7" s="129">
        <v>8</v>
      </c>
      <c r="P7" s="129"/>
      <c r="Q7" s="130"/>
      <c r="S7" s="73"/>
    </row>
    <row r="8" spans="1:19" ht="30" customHeight="1" thickTop="1" x14ac:dyDescent="0.3">
      <c r="A8" s="78"/>
      <c r="B8" s="22"/>
      <c r="C8" s="23"/>
      <c r="D8" s="28"/>
      <c r="E8" s="3">
        <f ca="1">IF(DAY(AprSun1)=1,AprSun1+15,AprSun1+22)</f>
        <v>45404</v>
      </c>
      <c r="F8" s="3">
        <f ca="1">IF(DAY(AprSun1)=1,AprSun1+16,AprSun1+23)</f>
        <v>45405</v>
      </c>
      <c r="G8" s="3">
        <f ca="1">IF(DAY(AprSun1)=1,AprSun1+17,AprSun1+24)</f>
        <v>45406</v>
      </c>
      <c r="H8" s="3">
        <f ca="1">IF(DAY(AprSun1)=1,AprSun1+18,AprSun1+25)</f>
        <v>45407</v>
      </c>
      <c r="I8" s="3">
        <f ca="1">IF(DAY(AprSun1)=1,AprSun1+19,AprSun1+26)</f>
        <v>45408</v>
      </c>
      <c r="J8" s="3">
        <f ca="1">IF(DAY(AprSun1)=1,AprSun1+20,AprSun1+27)</f>
        <v>45409</v>
      </c>
      <c r="K8" s="3">
        <f ca="1">IF(DAY(AprSun1)=1,AprSun1+21,AprSun1+28)</f>
        <v>45410</v>
      </c>
      <c r="L8" s="25"/>
      <c r="M8" s="27"/>
      <c r="N8" s="131"/>
      <c r="O8" s="132"/>
      <c r="P8" s="133"/>
      <c r="Q8" s="52"/>
      <c r="S8" s="73"/>
    </row>
    <row r="9" spans="1:19" ht="30" customHeight="1" x14ac:dyDescent="0.3">
      <c r="A9" s="78"/>
      <c r="B9" s="22"/>
      <c r="C9" s="23"/>
      <c r="D9" s="28"/>
      <c r="E9" s="3">
        <f ca="1">IF(DAY(AprSun1)=1,AprSun1+22,AprSun1+29)</f>
        <v>45411</v>
      </c>
      <c r="F9" s="3">
        <f ca="1">IF(DAY(AprSun1)=1,AprSun1+23,AprSun1+30)</f>
        <v>45412</v>
      </c>
      <c r="G9" s="3">
        <f ca="1">IF(DAY(AprSun1)=1,AprSun1+24,AprSun1+31)</f>
        <v>45413</v>
      </c>
      <c r="H9" s="3">
        <f ca="1">IF(DAY(AprSun1)=1,AprSun1+25,AprSun1+32)</f>
        <v>45414</v>
      </c>
      <c r="I9" s="3">
        <f ca="1">IF(DAY(AprSun1)=1,AprSun1+26,AprSun1+33)</f>
        <v>45415</v>
      </c>
      <c r="J9" s="3">
        <f ca="1">IF(DAY(AprSun1)=1,AprSun1+27,AprSun1+34)</f>
        <v>45416</v>
      </c>
      <c r="K9" s="3">
        <f ca="1">IF(DAY(AprSun1)=1,AprSun1+28,AprSun1+35)</f>
        <v>45417</v>
      </c>
      <c r="L9" s="25"/>
      <c r="M9" s="30"/>
      <c r="N9" s="134"/>
      <c r="O9" s="132"/>
      <c r="P9" s="132"/>
      <c r="Q9" s="52"/>
      <c r="S9" s="73"/>
    </row>
    <row r="10" spans="1:19" ht="30" customHeight="1" x14ac:dyDescent="0.3">
      <c r="A10" s="78"/>
      <c r="B10" s="22"/>
      <c r="C10" s="23"/>
      <c r="D10" s="28"/>
      <c r="E10" s="3">
        <f ca="1">IF(DAY(AprSun1)=1,AprSun1+29,AprSun1+36)</f>
        <v>45418</v>
      </c>
      <c r="F10" s="3">
        <f ca="1">IF(DAY(AprSun1)=1,AprSun1+30,AprSun1+37)</f>
        <v>45419</v>
      </c>
      <c r="G10" s="3">
        <f ca="1">IF(DAY(AprSun1)=1,AprSun1+31,AprSun1+38)</f>
        <v>45420</v>
      </c>
      <c r="H10" s="3">
        <f ca="1">IF(DAY(AprSun1)=1,AprSun1+32,AprSun1+39)</f>
        <v>45421</v>
      </c>
      <c r="I10" s="3">
        <f ca="1">IF(DAY(AprSun1)=1,AprSun1+33,AprSun1+40)</f>
        <v>45422</v>
      </c>
      <c r="J10" s="3">
        <f ca="1">IF(DAY(AprSun1)=1,AprSun1+34,AprSun1+41)</f>
        <v>45423</v>
      </c>
      <c r="K10" s="3">
        <f ca="1">IF(DAY(AprSun1)=1,AprSun1+35,AprSun1+42)</f>
        <v>45424</v>
      </c>
      <c r="L10" s="32"/>
      <c r="M10" s="27"/>
      <c r="N10" s="131"/>
      <c r="O10" s="132"/>
      <c r="P10" s="132"/>
      <c r="Q10" s="135"/>
      <c r="S10" s="73"/>
    </row>
    <row r="11" spans="1:19" ht="30" customHeight="1" thickBot="1" x14ac:dyDescent="0.35">
      <c r="A11" s="78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73"/>
    </row>
    <row r="12" spans="1:19" ht="30" customHeight="1" thickTop="1" thickBot="1" x14ac:dyDescent="0.3">
      <c r="A12" s="78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73"/>
    </row>
    <row r="13" spans="1:19" ht="30" customHeight="1" thickTop="1" thickBot="1" x14ac:dyDescent="0.3">
      <c r="A13" s="78"/>
      <c r="B13" s="22"/>
      <c r="C13" s="22"/>
      <c r="N13" s="128" t="s">
        <v>27</v>
      </c>
      <c r="O13" s="139">
        <v>9</v>
      </c>
      <c r="P13" s="139"/>
      <c r="Q13" s="140"/>
      <c r="S13" s="73"/>
    </row>
    <row r="14" spans="1:19" ht="30" customHeight="1" thickTop="1" thickBot="1" x14ac:dyDescent="0.35">
      <c r="A14" s="78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73"/>
    </row>
    <row r="15" spans="1:19" ht="30" customHeight="1" thickTop="1" thickBot="1" x14ac:dyDescent="0.35">
      <c r="A15" s="78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73"/>
    </row>
    <row r="16" spans="1:19" ht="30" customHeight="1" thickTop="1" thickBot="1" x14ac:dyDescent="0.35">
      <c r="A16" s="79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73"/>
    </row>
    <row r="17" spans="1:19" ht="30" customHeight="1" thickTop="1" x14ac:dyDescent="0.3">
      <c r="A17" s="79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73"/>
    </row>
    <row r="18" spans="1:19" ht="30" customHeight="1" thickBot="1" x14ac:dyDescent="0.3">
      <c r="A18" s="79"/>
      <c r="B18" s="42"/>
      <c r="C18" s="49"/>
      <c r="L18" s="50"/>
      <c r="M18" s="51"/>
      <c r="N18" s="137"/>
      <c r="O18" s="138"/>
      <c r="P18" s="138"/>
      <c r="Q18" s="52"/>
      <c r="S18" s="73"/>
    </row>
    <row r="19" spans="1:19" ht="30" customHeight="1" thickTop="1" thickBot="1" x14ac:dyDescent="0.35">
      <c r="A19" s="79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10</v>
      </c>
      <c r="P19" s="139"/>
      <c r="Q19" s="130"/>
      <c r="S19" s="73"/>
    </row>
    <row r="20" spans="1:19" ht="30" customHeight="1" thickTop="1" thickBot="1" x14ac:dyDescent="0.35">
      <c r="A20" s="79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73"/>
    </row>
    <row r="21" spans="1:19" ht="30" customHeight="1" thickTop="1" thickBot="1" x14ac:dyDescent="0.35">
      <c r="A21" s="79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73"/>
    </row>
    <row r="22" spans="1:19" ht="30" customHeight="1" thickTop="1" thickBot="1" x14ac:dyDescent="0.35">
      <c r="A22" s="79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73"/>
    </row>
    <row r="23" spans="1:19" ht="30" customHeight="1" thickTop="1" x14ac:dyDescent="0.3">
      <c r="A23" s="79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73"/>
    </row>
    <row r="24" spans="1:19" ht="30" customHeight="1" thickBot="1" x14ac:dyDescent="0.35">
      <c r="A24" s="79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73"/>
    </row>
    <row r="25" spans="1:19" ht="30" customHeight="1" thickTop="1" thickBot="1" x14ac:dyDescent="0.35">
      <c r="A25" s="79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11</v>
      </c>
      <c r="P25" s="139"/>
      <c r="Q25" s="130"/>
      <c r="S25" s="73"/>
    </row>
    <row r="26" spans="1:19" ht="30" customHeight="1" thickTop="1" thickBot="1" x14ac:dyDescent="0.35">
      <c r="A26" s="79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73"/>
    </row>
    <row r="27" spans="1:19" ht="30" customHeight="1" thickTop="1" thickBot="1" x14ac:dyDescent="0.35">
      <c r="A27" s="79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73"/>
    </row>
    <row r="28" spans="1:19" ht="30" customHeight="1" thickTop="1" thickBot="1" x14ac:dyDescent="0.35">
      <c r="A28" s="79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73"/>
    </row>
    <row r="29" spans="1:19" ht="30" customHeight="1" thickTop="1" x14ac:dyDescent="0.3">
      <c r="A29" s="79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73"/>
    </row>
    <row r="30" spans="1:19" ht="30" customHeight="1" thickBot="1" x14ac:dyDescent="0.35">
      <c r="A30" s="79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73"/>
    </row>
    <row r="31" spans="1:19" ht="30" customHeight="1" thickTop="1" thickBot="1" x14ac:dyDescent="0.35">
      <c r="A31" s="79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12</v>
      </c>
      <c r="P31" s="139"/>
      <c r="Q31" s="130"/>
      <c r="S31" s="73"/>
    </row>
    <row r="32" spans="1:19" ht="30" customHeight="1" thickTop="1" thickBot="1" x14ac:dyDescent="0.35">
      <c r="A32" s="79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73"/>
    </row>
    <row r="33" spans="1:19" ht="30" customHeight="1" thickTop="1" thickBot="1" x14ac:dyDescent="0.35">
      <c r="A33" s="79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73"/>
    </row>
    <row r="34" spans="1:19" ht="30" customHeight="1" thickTop="1" thickBot="1" x14ac:dyDescent="0.35">
      <c r="A34" s="79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73"/>
    </row>
    <row r="35" spans="1:19" ht="30" customHeight="1" thickTop="1" x14ac:dyDescent="0.3">
      <c r="A35" s="79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73"/>
    </row>
    <row r="36" spans="1:19" ht="30" customHeight="1" x14ac:dyDescent="0.3">
      <c r="A36" s="79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73"/>
    </row>
    <row r="37" spans="1:19" ht="30" customHeight="1" thickBot="1" x14ac:dyDescent="0.35">
      <c r="A37" s="79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73"/>
    </row>
    <row r="38" spans="1:19" ht="30" customHeight="1" thickTop="1" x14ac:dyDescent="0.25">
      <c r="A38" s="73"/>
      <c r="S38" s="73"/>
    </row>
    <row r="39" spans="1:19" ht="30" customHeight="1" x14ac:dyDescent="0.2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5"/>
      <c r="N39" s="76"/>
      <c r="O39" s="76"/>
      <c r="P39" s="73"/>
      <c r="Q39" s="77"/>
      <c r="R39" s="73"/>
      <c r="S39" s="73"/>
    </row>
  </sheetData>
  <dataConsolidate/>
  <mergeCells count="64">
    <mergeCell ref="E34:F34"/>
    <mergeCell ref="G34:H34"/>
    <mergeCell ref="I34:J34"/>
    <mergeCell ref="G35:H35"/>
    <mergeCell ref="G36:H36"/>
    <mergeCell ref="E35:F35"/>
    <mergeCell ref="I35:J35"/>
    <mergeCell ref="E36:F36"/>
    <mergeCell ref="I36:J36"/>
    <mergeCell ref="E32:F32"/>
    <mergeCell ref="I32:J32"/>
    <mergeCell ref="E33:F33"/>
    <mergeCell ref="G33:H33"/>
    <mergeCell ref="I33:J33"/>
    <mergeCell ref="E30:F30"/>
    <mergeCell ref="G30:H30"/>
    <mergeCell ref="I30:J30"/>
    <mergeCell ref="E31:F31"/>
    <mergeCell ref="I31:J31"/>
    <mergeCell ref="E28:F28"/>
    <mergeCell ref="G28:H28"/>
    <mergeCell ref="I28:J28"/>
    <mergeCell ref="E29:F29"/>
    <mergeCell ref="G29:H29"/>
    <mergeCell ref="I29:J29"/>
    <mergeCell ref="E26:F26"/>
    <mergeCell ref="G26:H26"/>
    <mergeCell ref="I26:J26"/>
    <mergeCell ref="E27:F27"/>
    <mergeCell ref="G27:H27"/>
    <mergeCell ref="I27:J27"/>
    <mergeCell ref="E23:F23"/>
    <mergeCell ref="I23:J23"/>
    <mergeCell ref="E24:F24"/>
    <mergeCell ref="I24:J24"/>
    <mergeCell ref="E25:F25"/>
    <mergeCell ref="G25:H25"/>
    <mergeCell ref="I25:J25"/>
    <mergeCell ref="E37:F37"/>
    <mergeCell ref="G37:H37"/>
    <mergeCell ref="I37:J37"/>
    <mergeCell ref="G32:H32"/>
    <mergeCell ref="E19:F19"/>
    <mergeCell ref="G19:H19"/>
    <mergeCell ref="I19:J19"/>
    <mergeCell ref="G20:H20"/>
    <mergeCell ref="E21:F21"/>
    <mergeCell ref="I21:J21"/>
    <mergeCell ref="E22:F22"/>
    <mergeCell ref="I22:J22"/>
    <mergeCell ref="G23:H23"/>
    <mergeCell ref="G24:H24"/>
    <mergeCell ref="G31:H31"/>
    <mergeCell ref="E20:F20"/>
    <mergeCell ref="I20:J20"/>
    <mergeCell ref="G21:H21"/>
    <mergeCell ref="G22:H22"/>
    <mergeCell ref="D5:D6"/>
    <mergeCell ref="D14:K14"/>
    <mergeCell ref="D16:D17"/>
    <mergeCell ref="E16:F17"/>
    <mergeCell ref="G16:H17"/>
    <mergeCell ref="I16:J17"/>
    <mergeCell ref="K16:K17"/>
  </mergeCells>
  <conditionalFormatting sqref="D19:K36">
    <cfRule type="expression" dxfId="80" priority="1">
      <formula>D19&lt;&gt;""</formula>
    </cfRule>
  </conditionalFormatting>
  <conditionalFormatting sqref="D37:K37">
    <cfRule type="expression" dxfId="79" priority="7">
      <formula>D37&lt;&gt;""</formula>
    </cfRule>
    <cfRule type="expression" dxfId="78" priority="11">
      <formula>COLUMN(#REF!)&gt;2</formula>
    </cfRule>
  </conditionalFormatting>
  <conditionalFormatting sqref="D37:K39">
    <cfRule type="expression" dxfId="77" priority="8">
      <formula>D37&lt;&gt;""</formula>
    </cfRule>
  </conditionalFormatting>
  <conditionalFormatting sqref="E5:J5">
    <cfRule type="expression" dxfId="76" priority="3" stopIfTrue="1">
      <formula>DAY(E5)&gt;8</formula>
    </cfRule>
  </conditionalFormatting>
  <conditionalFormatting sqref="E5:K10">
    <cfRule type="expression" dxfId="75" priority="4">
      <formula>VLOOKUP(DAY(E5),$O:$O,1,FALSE)=DAY(E5)</formula>
    </cfRule>
  </conditionalFormatting>
  <conditionalFormatting sqref="E9:K10">
    <cfRule type="expression" dxfId="74" priority="2" stopIfTrue="1">
      <formula>AND(DAY(E9)&gt;=1,DAY(E9)&lt;=15)</formula>
    </cfRule>
  </conditionalFormatting>
  <conditionalFormatting sqref="M6:M11">
    <cfRule type="expression" dxfId="73" priority="10">
      <formula>VLOOKUP(DAY(M6),AssignmentDays,1,FALSE)=DAY(M6)</formula>
    </cfRule>
  </conditionalFormatting>
  <conditionalFormatting sqref="M10:M11">
    <cfRule type="expression" dxfId="72" priority="9" stopIfTrue="1">
      <formula>AND(DAY(M10)&gt;=1,DAY(M10)&lt;=15)</formula>
    </cfRule>
  </conditionalFormatting>
  <dataValidations count="10">
    <dataValidation allowBlank="1" showInputMessage="1" showErrorMessage="1" prompt="Day of the week goes in this row, starting in cell D16" sqref="A16" xr:uid="{94263B9C-CD95-4021-A053-03CD4FC570F6}"/>
    <dataValidation allowBlank="1" showInputMessage="1" showErrorMessage="1" prompt="Weekdays are in this row, from Monday to Friday" sqref="D16" xr:uid="{759AB012-4898-43E9-A0B2-7D0933D649DE}"/>
    <dataValidation allowBlank="1" showInputMessage="1" showErrorMessage="1" prompt="If this row contains a number less than the previous number or row of numbers, then this row contains dates for the next calendar month" sqref="E10" xr:uid="{000EEE20-9E6A-4906-BE13-3CA10282EB56}"/>
    <dataValidation allowBlank="1" showInputMessage="1" showErrorMessage="1" prompt="Calendar year is automatically updated in this cell. To change the calendar year, to go cell D5 in Jan worksheet." sqref="D5:D6" xr:uid="{9D61B8FE-C568-475C-AA46-AC1F6F421E4C}"/>
    <dataValidation allowBlank="1" showInputMessage="1" showErrorMessage="1" prompt="April calendar. Calendar year is automatically updated based on cell D5 in Jan sheet." sqref="A1" xr:uid="{2C1E66F4-286D-4E3E-B899-B0BBAFECC206}"/>
    <dataValidation allowBlank="1" showInputMessage="1" showErrorMessage="1" prompt="Cells E4:K4 contain weekdays" sqref="E4" xr:uid="{17C2A84E-DB41-47EC-9078-0C0274961CE4}"/>
    <dataValidation allowBlank="1" showInputMessage="1" showErrorMessage="1" prompt="If this cell doesn’t contain the number 1, then it is a day from a previous month. Cells E5:K10 contain dates for the current month" sqref="E5" xr:uid="{13D1FC98-2907-42CA-ACFD-B90B6B0CB965}"/>
    <dataValidation allowBlank="1" showInputMessage="1" showErrorMessage="1" prompt="Enter the time of your class and under it, in a new row, the class name for each weekday in columns D to K. Repeat this pattern for all classes in subsequent rows" sqref="D14" xr:uid="{1700884F-416B-48FB-93DA-5D5DA85A7ED8}"/>
    <dataValidation allowBlank="1" showInputMessage="1" showErrorMessage="1" prompt="Enter the assignment details in this column that correspond to the weekday in column N and day in column O for the calendar month at left" sqref="N4" xr:uid="{04AEE417-E12F-48B1-B7D7-A591F5BAB02F}"/>
    <dataValidation allowBlank="1" showInputMessage="1" showErrorMessage="1" prompt="Calendar automatically highlights assignment list entries for the month. Darker fonts are assignments. Lighter fonts are days that belong to the previous or next month" sqref="D4" xr:uid="{E214110B-FF08-47E6-8DB3-9A2730B0870C}"/>
  </dataValidations>
  <printOptions horizontalCentered="1" verticalCentered="1"/>
  <pageMargins left="0.25" right="0.25" top="0.5" bottom="0.5" header="0.3" footer="0.3"/>
  <pageSetup scale="47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F35E-8E25-404F-926E-935C41E34EF9}">
  <sheetPr>
    <tabColor theme="3" tint="0.59999389629810485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66"/>
      <c r="B1" s="66"/>
      <c r="C1" s="66"/>
      <c r="D1" s="67"/>
      <c r="E1" s="66"/>
      <c r="F1" s="66"/>
      <c r="G1" s="66"/>
      <c r="H1" s="66"/>
      <c r="I1" s="66"/>
      <c r="J1" s="66"/>
      <c r="K1" s="66"/>
      <c r="L1" s="66"/>
      <c r="M1" s="68"/>
      <c r="N1" s="69"/>
      <c r="O1" s="69"/>
      <c r="P1" s="66"/>
      <c r="Q1" s="70"/>
      <c r="R1" s="66"/>
      <c r="S1" s="66"/>
    </row>
    <row r="2" spans="1:19" ht="30" customHeight="1" thickBot="1" x14ac:dyDescent="0.3">
      <c r="A2" s="66"/>
      <c r="D2" s="10"/>
      <c r="E2" s="10"/>
      <c r="F2" s="10"/>
      <c r="G2" s="10"/>
      <c r="H2" s="10"/>
      <c r="I2" s="10"/>
      <c r="J2" s="10"/>
      <c r="K2" s="10"/>
      <c r="N2"/>
      <c r="O2"/>
      <c r="S2" s="66"/>
    </row>
    <row r="3" spans="1:19" ht="30" customHeight="1" thickTop="1" thickBot="1" x14ac:dyDescent="0.35">
      <c r="A3" s="66"/>
      <c r="C3" s="14"/>
      <c r="D3" s="15"/>
      <c r="K3" s="15"/>
      <c r="L3" s="16"/>
      <c r="N3" s="117"/>
      <c r="O3" s="118"/>
      <c r="P3" s="119"/>
      <c r="Q3" s="17"/>
      <c r="S3" s="66"/>
    </row>
    <row r="4" spans="1:19" ht="35.1" customHeight="1" thickTop="1" thickBot="1" x14ac:dyDescent="0.3">
      <c r="A4" s="66"/>
      <c r="C4" s="18"/>
      <c r="D4" s="1" t="s">
        <v>21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66"/>
    </row>
    <row r="5" spans="1:19" ht="30" customHeight="1" thickTop="1" x14ac:dyDescent="0.3">
      <c r="A5" s="71"/>
      <c r="B5" s="22"/>
      <c r="C5" s="23"/>
      <c r="D5" s="157">
        <f ca="1">CalendarYear</f>
        <v>2024</v>
      </c>
      <c r="E5" s="3">
        <f ca="1">IF(DAY(MaySun1)=1,MaySun1-6,MaySun1+1)</f>
        <v>45411</v>
      </c>
      <c r="F5" s="3">
        <f ca="1">IF(DAY(MaySun1)=1,MaySun1-5,MaySun1+2)</f>
        <v>45412</v>
      </c>
      <c r="G5" s="3">
        <f ca="1">IF(DAY(MaySun1)=1,MaySun1-4,MaySun1+3)</f>
        <v>45413</v>
      </c>
      <c r="H5" s="3">
        <f ca="1">IF(DAY(MaySun1)=1,MaySun1-3,MaySun1+4)</f>
        <v>45414</v>
      </c>
      <c r="I5" s="3">
        <f ca="1">IF(DAY(MaySun1)=1,MaySun1-2,MaySun1+5)</f>
        <v>45415</v>
      </c>
      <c r="J5" s="3">
        <f ca="1">IF(DAY(MaySun1)=1,MaySun1-1,MaySun1+6)</f>
        <v>45416</v>
      </c>
      <c r="K5" s="3">
        <f ca="1">IF(DAY(MaySun1)=1,MaySun1,MaySun1+7)</f>
        <v>45417</v>
      </c>
      <c r="L5" s="25"/>
      <c r="M5" s="26"/>
      <c r="N5" s="123"/>
      <c r="O5" s="121"/>
      <c r="P5" s="121"/>
      <c r="Q5" s="124"/>
      <c r="S5" s="66"/>
    </row>
    <row r="6" spans="1:19" ht="30" customHeight="1" x14ac:dyDescent="0.3">
      <c r="A6" s="71"/>
      <c r="B6" s="22"/>
      <c r="C6" s="23"/>
      <c r="D6" s="157"/>
      <c r="E6" s="3">
        <f ca="1">IF(DAY(MaySun1)=1,MaySun1+1,MaySun1+8)</f>
        <v>45418</v>
      </c>
      <c r="F6" s="3">
        <f ca="1">IF(DAY(MaySun1)=1,MaySun1+2,MaySun1+9)</f>
        <v>45419</v>
      </c>
      <c r="G6" s="3">
        <f ca="1">IF(DAY(MaySun1)=1,MaySun1+3,MaySun1+10)</f>
        <v>45420</v>
      </c>
      <c r="H6" s="3">
        <f ca="1">IF(DAY(MaySun1)=1,MaySun1+4,MaySun1+11)</f>
        <v>45421</v>
      </c>
      <c r="I6" s="3">
        <f ca="1">IF(DAY(MaySun1)=1,MaySun1+5,MaySun1+12)</f>
        <v>45422</v>
      </c>
      <c r="J6" s="3">
        <f ca="1">IF(DAY(MaySun1)=1,MaySun1+6,MaySun1+13)</f>
        <v>45423</v>
      </c>
      <c r="K6" s="3">
        <f ca="1">IF(DAY(MaySun1)=1,MaySun1+7,MaySun1+14)</f>
        <v>45424</v>
      </c>
      <c r="L6" s="25"/>
      <c r="M6" s="27"/>
      <c r="N6" s="125"/>
      <c r="O6" s="126"/>
      <c r="P6" s="126"/>
      <c r="Q6" s="127"/>
      <c r="S6" s="66"/>
    </row>
    <row r="7" spans="1:19" ht="30" customHeight="1" thickBot="1" x14ac:dyDescent="0.3">
      <c r="A7" s="71"/>
      <c r="B7" s="22"/>
      <c r="C7" s="23"/>
      <c r="D7" s="28"/>
      <c r="E7" s="3">
        <f ca="1">IF(DAY(MaySun1)=1,MaySun1+8,MaySun1+15)</f>
        <v>45425</v>
      </c>
      <c r="F7" s="3">
        <f ca="1">IF(DAY(MaySun1)=1,MaySun1+9,MaySun1+16)</f>
        <v>45426</v>
      </c>
      <c r="G7" s="3">
        <f ca="1">IF(DAY(MaySun1)=1,MaySun1+10,MaySun1+17)</f>
        <v>45427</v>
      </c>
      <c r="H7" s="3">
        <f ca="1">IF(DAY(MaySun1)=1,MaySun1+11,MaySun1+18)</f>
        <v>45428</v>
      </c>
      <c r="I7" s="3">
        <f ca="1">IF(DAY(MaySun1)=1,MaySun1+12,MaySun1+19)</f>
        <v>45429</v>
      </c>
      <c r="J7" s="3">
        <f ca="1">IF(DAY(MaySun1)=1,MaySun1+13,MaySun1+20)</f>
        <v>45430</v>
      </c>
      <c r="K7" s="3">
        <f ca="1">IF(DAY(MaySun1)=1,MaySun1+14,MaySun1+21)</f>
        <v>45431</v>
      </c>
      <c r="L7" s="25"/>
      <c r="M7" s="27"/>
      <c r="N7" s="128" t="s">
        <v>2</v>
      </c>
      <c r="O7" s="129">
        <v>13</v>
      </c>
      <c r="P7" s="129"/>
      <c r="Q7" s="130"/>
      <c r="S7" s="66"/>
    </row>
    <row r="8" spans="1:19" ht="30" customHeight="1" thickTop="1" x14ac:dyDescent="0.3">
      <c r="A8" s="71"/>
      <c r="B8" s="22"/>
      <c r="C8" s="23"/>
      <c r="D8" s="28"/>
      <c r="E8" s="3">
        <f ca="1">IF(DAY(MaySun1)=1,MaySun1+15,MaySun1+22)</f>
        <v>45432</v>
      </c>
      <c r="F8" s="3">
        <f ca="1">IF(DAY(MaySun1)=1,MaySun1+16,MaySun1+23)</f>
        <v>45433</v>
      </c>
      <c r="G8" s="3">
        <f ca="1">IF(DAY(MaySun1)=1,MaySun1+17,MaySun1+24)</f>
        <v>45434</v>
      </c>
      <c r="H8" s="3">
        <f ca="1">IF(DAY(MaySun1)=1,MaySun1+18,MaySun1+25)</f>
        <v>45435</v>
      </c>
      <c r="I8" s="3">
        <f ca="1">IF(DAY(MaySun1)=1,MaySun1+19,MaySun1+26)</f>
        <v>45436</v>
      </c>
      <c r="J8" s="3">
        <f ca="1">IF(DAY(MaySun1)=1,MaySun1+20,MaySun1+27)</f>
        <v>45437</v>
      </c>
      <c r="K8" s="3">
        <f ca="1">IF(DAY(MaySun1)=1,MaySun1+21,MaySun1+28)</f>
        <v>45438</v>
      </c>
      <c r="L8" s="25"/>
      <c r="M8" s="27"/>
      <c r="N8" s="131"/>
      <c r="O8" s="132"/>
      <c r="P8" s="133"/>
      <c r="Q8" s="52"/>
      <c r="S8" s="66"/>
    </row>
    <row r="9" spans="1:19" ht="30" customHeight="1" x14ac:dyDescent="0.3">
      <c r="A9" s="71"/>
      <c r="B9" s="22"/>
      <c r="C9" s="23"/>
      <c r="D9" s="28"/>
      <c r="E9" s="3">
        <f ca="1">IF(DAY(MaySun1)=1,MaySun1+22,MaySun1+29)</f>
        <v>45439</v>
      </c>
      <c r="F9" s="3">
        <f ca="1">IF(DAY(MaySun1)=1,MaySun1+23,MaySun1+30)</f>
        <v>45440</v>
      </c>
      <c r="G9" s="3">
        <f ca="1">IF(DAY(MaySun1)=1,MaySun1+24,MaySun1+31)</f>
        <v>45441</v>
      </c>
      <c r="H9" s="3">
        <f ca="1">IF(DAY(MaySun1)=1,MaySun1+25,MaySun1+32)</f>
        <v>45442</v>
      </c>
      <c r="I9" s="3">
        <f ca="1">IF(DAY(MaySun1)=1,MaySun1+26,MaySun1+33)</f>
        <v>45443</v>
      </c>
      <c r="J9" s="3">
        <f ca="1">IF(DAY(MaySun1)=1,MaySun1+27,MaySun1+34)</f>
        <v>45444</v>
      </c>
      <c r="K9" s="3">
        <f ca="1">IF(DAY(MaySun1)=1,MaySun1+28,MaySun1+35)</f>
        <v>45445</v>
      </c>
      <c r="L9" s="25"/>
      <c r="M9" s="30"/>
      <c r="N9" s="134"/>
      <c r="O9" s="132"/>
      <c r="P9" s="132"/>
      <c r="Q9" s="52"/>
      <c r="S9" s="66"/>
    </row>
    <row r="10" spans="1:19" ht="30" customHeight="1" x14ac:dyDescent="0.3">
      <c r="A10" s="71"/>
      <c r="B10" s="22"/>
      <c r="C10" s="23"/>
      <c r="D10" s="28"/>
      <c r="E10" s="3">
        <f ca="1">IF(DAY(MaySun1)=1,MaySun1+29,MaySun1+36)</f>
        <v>45446</v>
      </c>
      <c r="F10" s="3">
        <f ca="1">IF(DAY(MaySun1)=1,MaySun1+30,MaySun1+37)</f>
        <v>45447</v>
      </c>
      <c r="G10" s="3">
        <f ca="1">IF(DAY(MaySun1)=1,MaySun1+31,MaySun1+38)</f>
        <v>45448</v>
      </c>
      <c r="H10" s="3">
        <f ca="1">IF(DAY(MaySun1)=1,MaySun1+32,MaySun1+39)</f>
        <v>45449</v>
      </c>
      <c r="I10" s="3">
        <f ca="1">IF(DAY(MaySun1)=1,MaySun1+33,MaySun1+40)</f>
        <v>45450</v>
      </c>
      <c r="J10" s="3">
        <f ca="1">IF(DAY(MaySun1)=1,MaySun1+34,MaySun1+41)</f>
        <v>45451</v>
      </c>
      <c r="K10" s="3">
        <f ca="1">IF(DAY(MaySun1)=1,MaySun1+35,MaySun1+42)</f>
        <v>45452</v>
      </c>
      <c r="L10" s="32"/>
      <c r="M10" s="27"/>
      <c r="N10" s="131"/>
      <c r="O10" s="132"/>
      <c r="P10" s="132"/>
      <c r="Q10" s="135"/>
      <c r="S10" s="66"/>
    </row>
    <row r="11" spans="1:19" ht="30" customHeight="1" thickBot="1" x14ac:dyDescent="0.35">
      <c r="A11" s="71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66"/>
    </row>
    <row r="12" spans="1:19" ht="30" customHeight="1" thickTop="1" thickBot="1" x14ac:dyDescent="0.3">
      <c r="A12" s="71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66"/>
    </row>
    <row r="13" spans="1:19" ht="30" customHeight="1" thickTop="1" thickBot="1" x14ac:dyDescent="0.3">
      <c r="A13" s="71"/>
      <c r="B13" s="22"/>
      <c r="C13" s="22"/>
      <c r="N13" s="128" t="s">
        <v>27</v>
      </c>
      <c r="O13" s="139">
        <v>14</v>
      </c>
      <c r="P13" s="139"/>
      <c r="Q13" s="140"/>
      <c r="S13" s="66"/>
    </row>
    <row r="14" spans="1:19" ht="30" customHeight="1" thickTop="1" thickBot="1" x14ac:dyDescent="0.35">
      <c r="A14" s="71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66"/>
    </row>
    <row r="15" spans="1:19" ht="30" customHeight="1" thickTop="1" thickBot="1" x14ac:dyDescent="0.35">
      <c r="A15" s="71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66"/>
    </row>
    <row r="16" spans="1:19" ht="30" customHeight="1" thickTop="1" thickBot="1" x14ac:dyDescent="0.35">
      <c r="A16" s="72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66"/>
    </row>
    <row r="17" spans="1:19" ht="30" customHeight="1" thickTop="1" x14ac:dyDescent="0.3">
      <c r="A17" s="72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66"/>
    </row>
    <row r="18" spans="1:19" ht="30" customHeight="1" thickBot="1" x14ac:dyDescent="0.3">
      <c r="A18" s="72"/>
      <c r="B18" s="42"/>
      <c r="C18" s="49"/>
      <c r="L18" s="50"/>
      <c r="M18" s="51"/>
      <c r="N18" s="137"/>
      <c r="O18" s="138"/>
      <c r="P18" s="138"/>
      <c r="Q18" s="52"/>
      <c r="S18" s="66"/>
    </row>
    <row r="19" spans="1:19" ht="30" customHeight="1" thickTop="1" thickBot="1" x14ac:dyDescent="0.35">
      <c r="A19" s="72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15</v>
      </c>
      <c r="P19" s="139"/>
      <c r="Q19" s="130"/>
      <c r="S19" s="66"/>
    </row>
    <row r="20" spans="1:19" ht="30" customHeight="1" thickTop="1" thickBot="1" x14ac:dyDescent="0.35">
      <c r="A20" s="72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66"/>
    </row>
    <row r="21" spans="1:19" ht="30" customHeight="1" thickTop="1" thickBot="1" x14ac:dyDescent="0.35">
      <c r="A21" s="72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66"/>
    </row>
    <row r="22" spans="1:19" ht="30" customHeight="1" thickTop="1" thickBot="1" x14ac:dyDescent="0.35">
      <c r="A22" s="72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66"/>
    </row>
    <row r="23" spans="1:19" ht="30" customHeight="1" thickTop="1" x14ac:dyDescent="0.3">
      <c r="A23" s="72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66"/>
    </row>
    <row r="24" spans="1:19" ht="30" customHeight="1" thickBot="1" x14ac:dyDescent="0.35">
      <c r="A24" s="72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66"/>
    </row>
    <row r="25" spans="1:19" ht="30" customHeight="1" thickTop="1" thickBot="1" x14ac:dyDescent="0.35">
      <c r="A25" s="72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16</v>
      </c>
      <c r="P25" s="139"/>
      <c r="Q25" s="130"/>
      <c r="S25" s="66"/>
    </row>
    <row r="26" spans="1:19" ht="30" customHeight="1" thickTop="1" thickBot="1" x14ac:dyDescent="0.35">
      <c r="A26" s="72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66"/>
    </row>
    <row r="27" spans="1:19" ht="30" customHeight="1" thickTop="1" thickBot="1" x14ac:dyDescent="0.35">
      <c r="A27" s="72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66"/>
    </row>
    <row r="28" spans="1:19" ht="30" customHeight="1" thickTop="1" thickBot="1" x14ac:dyDescent="0.35">
      <c r="A28" s="72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66"/>
    </row>
    <row r="29" spans="1:19" ht="30" customHeight="1" thickTop="1" x14ac:dyDescent="0.3">
      <c r="A29" s="72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66"/>
    </row>
    <row r="30" spans="1:19" ht="30" customHeight="1" thickBot="1" x14ac:dyDescent="0.35">
      <c r="A30" s="72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66"/>
    </row>
    <row r="31" spans="1:19" ht="30" customHeight="1" thickTop="1" thickBot="1" x14ac:dyDescent="0.35">
      <c r="A31" s="72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17</v>
      </c>
      <c r="P31" s="139"/>
      <c r="Q31" s="130"/>
      <c r="S31" s="66"/>
    </row>
    <row r="32" spans="1:19" ht="30" customHeight="1" thickTop="1" thickBot="1" x14ac:dyDescent="0.35">
      <c r="A32" s="72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66"/>
    </row>
    <row r="33" spans="1:19" ht="30" customHeight="1" thickTop="1" thickBot="1" x14ac:dyDescent="0.35">
      <c r="A33" s="72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66"/>
    </row>
    <row r="34" spans="1:19" ht="30" customHeight="1" thickTop="1" thickBot="1" x14ac:dyDescent="0.35">
      <c r="A34" s="72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66"/>
    </row>
    <row r="35" spans="1:19" ht="30" customHeight="1" thickTop="1" x14ac:dyDescent="0.3">
      <c r="A35" s="72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66"/>
    </row>
    <row r="36" spans="1:19" ht="30" customHeight="1" x14ac:dyDescent="0.3">
      <c r="A36" s="72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66"/>
    </row>
    <row r="37" spans="1:19" ht="30" customHeight="1" thickBot="1" x14ac:dyDescent="0.35">
      <c r="A37" s="72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66"/>
    </row>
    <row r="38" spans="1:19" ht="30" customHeight="1" thickTop="1" x14ac:dyDescent="0.25">
      <c r="A38" s="66"/>
      <c r="S38" s="66"/>
    </row>
    <row r="39" spans="1:19" ht="30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8"/>
      <c r="N39" s="69"/>
      <c r="O39" s="69"/>
      <c r="P39" s="66"/>
      <c r="Q39" s="70"/>
      <c r="R39" s="66"/>
      <c r="S39" s="66"/>
    </row>
  </sheetData>
  <dataConsolidate/>
  <mergeCells count="64">
    <mergeCell ref="G36:H36"/>
    <mergeCell ref="E36:F36"/>
    <mergeCell ref="I36:J36"/>
    <mergeCell ref="G31:H31"/>
    <mergeCell ref="E34:F34"/>
    <mergeCell ref="G34:H34"/>
    <mergeCell ref="I34:J34"/>
    <mergeCell ref="G35:H35"/>
    <mergeCell ref="E32:F32"/>
    <mergeCell ref="I32:J32"/>
    <mergeCell ref="E33:F33"/>
    <mergeCell ref="G33:H33"/>
    <mergeCell ref="I33:J33"/>
    <mergeCell ref="G32:H32"/>
    <mergeCell ref="D5:D6"/>
    <mergeCell ref="D14:K14"/>
    <mergeCell ref="D16:D17"/>
    <mergeCell ref="E16:F17"/>
    <mergeCell ref="G16:H17"/>
    <mergeCell ref="I16:J17"/>
    <mergeCell ref="K16:K17"/>
    <mergeCell ref="E19:F19"/>
    <mergeCell ref="G19:H19"/>
    <mergeCell ref="I19:J19"/>
    <mergeCell ref="G20:H20"/>
    <mergeCell ref="E21:F21"/>
    <mergeCell ref="I21:J21"/>
    <mergeCell ref="E20:F20"/>
    <mergeCell ref="I20:J20"/>
    <mergeCell ref="G21:H21"/>
    <mergeCell ref="E25:F25"/>
    <mergeCell ref="E22:F22"/>
    <mergeCell ref="I22:J22"/>
    <mergeCell ref="G23:H23"/>
    <mergeCell ref="G24:H24"/>
    <mergeCell ref="G25:H25"/>
    <mergeCell ref="I25:J25"/>
    <mergeCell ref="G22:H22"/>
    <mergeCell ref="E23:F23"/>
    <mergeCell ref="I23:J23"/>
    <mergeCell ref="E24:F24"/>
    <mergeCell ref="I24:J24"/>
    <mergeCell ref="E26:F26"/>
    <mergeCell ref="G26:H26"/>
    <mergeCell ref="I26:J26"/>
    <mergeCell ref="E27:F27"/>
    <mergeCell ref="G27:H27"/>
    <mergeCell ref="I27:J27"/>
    <mergeCell ref="E37:F37"/>
    <mergeCell ref="G37:H37"/>
    <mergeCell ref="I37:J37"/>
    <mergeCell ref="E28:F28"/>
    <mergeCell ref="G28:H28"/>
    <mergeCell ref="I28:J28"/>
    <mergeCell ref="E35:F35"/>
    <mergeCell ref="I35:J35"/>
    <mergeCell ref="E29:F29"/>
    <mergeCell ref="G29:H29"/>
    <mergeCell ref="I29:J29"/>
    <mergeCell ref="E30:F30"/>
    <mergeCell ref="G30:H30"/>
    <mergeCell ref="I30:J30"/>
    <mergeCell ref="E31:F31"/>
    <mergeCell ref="I31:J31"/>
  </mergeCells>
  <conditionalFormatting sqref="D19:K36">
    <cfRule type="expression" dxfId="71" priority="1">
      <formula>D19&lt;&gt;""</formula>
    </cfRule>
  </conditionalFormatting>
  <conditionalFormatting sqref="D37:K37">
    <cfRule type="expression" dxfId="70" priority="7">
      <formula>D37&lt;&gt;""</formula>
    </cfRule>
    <cfRule type="expression" dxfId="69" priority="11">
      <formula>COLUMN(#REF!)&gt;2</formula>
    </cfRule>
  </conditionalFormatting>
  <conditionalFormatting sqref="D37:K39">
    <cfRule type="expression" dxfId="68" priority="8">
      <formula>D37&lt;&gt;""</formula>
    </cfRule>
  </conditionalFormatting>
  <conditionalFormatting sqref="E5:J5">
    <cfRule type="expression" dxfId="67" priority="3" stopIfTrue="1">
      <formula>DAY(E5)&gt;8</formula>
    </cfRule>
  </conditionalFormatting>
  <conditionalFormatting sqref="E5:K10">
    <cfRule type="expression" dxfId="66" priority="4">
      <formula>VLOOKUP(DAY(E5),$O:$O,1,FALSE)=DAY(E5)</formula>
    </cfRule>
  </conditionalFormatting>
  <conditionalFormatting sqref="E9:K10">
    <cfRule type="expression" dxfId="65" priority="2" stopIfTrue="1">
      <formula>AND(DAY(E9)&gt;=1,DAY(E9)&lt;=15)</formula>
    </cfRule>
  </conditionalFormatting>
  <conditionalFormatting sqref="M6:M11">
    <cfRule type="expression" dxfId="64" priority="10">
      <formula>VLOOKUP(DAY(M6),AssignmentDays,1,FALSE)=DAY(M6)</formula>
    </cfRule>
  </conditionalFormatting>
  <conditionalFormatting sqref="M10:M11">
    <cfRule type="expression" dxfId="63" priority="9" stopIfTrue="1">
      <formula>AND(DAY(M10)&gt;=1,DAY(M10)&lt;=15)</formula>
    </cfRule>
  </conditionalFormatting>
  <dataValidations count="10">
    <dataValidation allowBlank="1" showInputMessage="1" showErrorMessage="1" prompt="If this row contains a number less than the previous number or row of numbers, then this row contains dates for the next calendar month" sqref="E10" xr:uid="{799D25A1-076F-4257-89F3-79B7EDE08545}"/>
    <dataValidation allowBlank="1" showInputMessage="1" showErrorMessage="1" prompt="Weekdays are in this row, from Monday to Friday" sqref="D16" xr:uid="{779F07A4-9153-4707-9879-976694346328}"/>
    <dataValidation allowBlank="1" showInputMessage="1" showErrorMessage="1" prompt="Day of the week goes in this row, starting in cell D16" sqref="A16" xr:uid="{07315C71-7A10-45BC-95BA-9343A81E44E3}"/>
    <dataValidation allowBlank="1" showInputMessage="1" showErrorMessage="1" prompt="Calendar year is automatically updated in this cell. To change the calendar year, to go cell D5 in Jan worksheet." sqref="D5:D6" xr:uid="{A6B54861-6AA8-4277-B419-1584A3090610}"/>
    <dataValidation allowBlank="1" showInputMessage="1" showErrorMessage="1" prompt="Calendar automatically highlights assignment list entries for the month. Darker fonts are assignments. Lighter fonts are days that belong to the previous or next month" sqref="D4" xr:uid="{896583E9-C973-4724-A7AC-E72F62F3AFA2}"/>
    <dataValidation allowBlank="1" showInputMessage="1" showErrorMessage="1" prompt="Enter the assignment details in this column that correspond to the weekday in column N and day in column O for the calendar month at left" sqref="N4" xr:uid="{AB570774-F934-4175-8F2C-0BDA6455444C}"/>
    <dataValidation allowBlank="1" showInputMessage="1" showErrorMessage="1" prompt="Enter the time of your class and under it, in a new row, the class name for each weekday in columns D to K. Repeat this pattern for all classes in subsequent rows" sqref="D14" xr:uid="{66D07867-2ED7-4929-827A-1A5A04CEF496}"/>
    <dataValidation allowBlank="1" showInputMessage="1" showErrorMessage="1" prompt="If this cell doesn’t contain the number 1, then it is a day from a previous month. Cells E5:K10 contain dates for the current month" sqref="E5" xr:uid="{C9AEDE58-F27A-4794-8C7B-36058FED26FE}"/>
    <dataValidation allowBlank="1" showInputMessage="1" showErrorMessage="1" prompt="Cells E4:K4 contain weekdays" sqref="E4" xr:uid="{8CEE33A6-E652-4B63-A48B-D35BC3484623}"/>
    <dataValidation allowBlank="1" showInputMessage="1" showErrorMessage="1" prompt="May calendar. Calendar year is automatically updated based on cell D5 in Jan sheet." sqref="A1" xr:uid="{0160A665-CEE4-4EB5-BA0F-4CEEE4ACC909}"/>
  </dataValidations>
  <printOptions horizontalCentered="1" verticalCentered="1"/>
  <pageMargins left="0.25" right="0.25" top="0.5" bottom="0.5" header="0.3" footer="0.3"/>
  <pageSetup scale="47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482D-24D1-4F28-A4D6-8FB5531B6600}">
  <sheetPr>
    <tabColor theme="9" tint="0.39997558519241921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105"/>
      <c r="B1" s="105"/>
      <c r="C1" s="105"/>
      <c r="D1" s="106"/>
      <c r="E1" s="105"/>
      <c r="F1" s="105"/>
      <c r="G1" s="105"/>
      <c r="H1" s="105"/>
      <c r="I1" s="105"/>
      <c r="J1" s="105"/>
      <c r="K1" s="105"/>
      <c r="L1" s="105"/>
      <c r="M1" s="107"/>
      <c r="N1" s="108"/>
      <c r="O1" s="108"/>
      <c r="P1" s="105"/>
      <c r="Q1" s="109"/>
      <c r="R1" s="105"/>
      <c r="S1" s="105"/>
    </row>
    <row r="2" spans="1:19" ht="30" customHeight="1" thickBot="1" x14ac:dyDescent="0.3">
      <c r="A2" s="105"/>
      <c r="D2" s="10"/>
      <c r="E2" s="10"/>
      <c r="F2" s="10"/>
      <c r="G2" s="10"/>
      <c r="H2" s="10"/>
      <c r="I2" s="10"/>
      <c r="J2" s="10"/>
      <c r="K2" s="10"/>
      <c r="M2" s="110"/>
      <c r="N2"/>
      <c r="O2"/>
      <c r="S2" s="105"/>
    </row>
    <row r="3" spans="1:19" ht="30" customHeight="1" thickTop="1" thickBot="1" x14ac:dyDescent="0.35">
      <c r="A3" s="105"/>
      <c r="C3" s="14"/>
      <c r="D3" s="15"/>
      <c r="K3" s="15"/>
      <c r="L3" s="16"/>
      <c r="N3" s="117"/>
      <c r="O3" s="118"/>
      <c r="P3" s="119"/>
      <c r="Q3" s="17"/>
      <c r="S3" s="105"/>
    </row>
    <row r="4" spans="1:19" ht="35.1" customHeight="1" thickTop="1" thickBot="1" x14ac:dyDescent="0.3">
      <c r="A4" s="105"/>
      <c r="C4" s="18"/>
      <c r="D4" s="1" t="s">
        <v>34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105"/>
    </row>
    <row r="5" spans="1:19" ht="30" customHeight="1" thickTop="1" x14ac:dyDescent="0.3">
      <c r="A5" s="111"/>
      <c r="B5" s="22"/>
      <c r="C5" s="23"/>
      <c r="D5" s="157">
        <f ca="1">CalendarYear</f>
        <v>2024</v>
      </c>
      <c r="E5" s="3">
        <f ca="1">IF(DAY(JunSun1)=1,JunSun1-6,JunSun1+1)</f>
        <v>45439</v>
      </c>
      <c r="F5" s="3">
        <f ca="1">IF(DAY(JunSun1)=1,JunSun1-5,JunSun1+2)</f>
        <v>45440</v>
      </c>
      <c r="G5" s="3">
        <f ca="1">IF(DAY(JunSun1)=1,JunSun1-4,JunSun1+3)</f>
        <v>45441</v>
      </c>
      <c r="H5" s="3">
        <f ca="1">IF(DAY(JunSun1)=1,JunSun1-3,JunSun1+4)</f>
        <v>45442</v>
      </c>
      <c r="I5" s="3">
        <f ca="1">IF(DAY(JunSun1)=1,JunSun1-2,JunSun1+5)</f>
        <v>45443</v>
      </c>
      <c r="J5" s="3">
        <f ca="1">IF(DAY(JunSun1)=1,JunSun1-1,JunSun1+6)</f>
        <v>45444</v>
      </c>
      <c r="K5" s="3">
        <f ca="1">IF(DAY(JunSun1)=1,JunSun1,JunSun1+7)</f>
        <v>45445</v>
      </c>
      <c r="L5" s="25"/>
      <c r="M5" s="26"/>
      <c r="N5" s="123"/>
      <c r="O5" s="121"/>
      <c r="P5" s="121"/>
      <c r="Q5" s="124"/>
      <c r="S5" s="105"/>
    </row>
    <row r="6" spans="1:19" ht="30" customHeight="1" x14ac:dyDescent="0.3">
      <c r="A6" s="111"/>
      <c r="B6" s="22"/>
      <c r="C6" s="23"/>
      <c r="D6" s="157"/>
      <c r="E6" s="3">
        <f ca="1">IF(DAY(JunSun1)=1,JunSun1+1,JunSun1+8)</f>
        <v>45446</v>
      </c>
      <c r="F6" s="3">
        <f ca="1">IF(DAY(JunSun1)=1,JunSun1+2,JunSun1+9)</f>
        <v>45447</v>
      </c>
      <c r="G6" s="3">
        <f ca="1">IF(DAY(JunSun1)=1,JunSun1+3,JunSun1+10)</f>
        <v>45448</v>
      </c>
      <c r="H6" s="3">
        <f ca="1">IF(DAY(JunSun1)=1,JunSun1+4,JunSun1+11)</f>
        <v>45449</v>
      </c>
      <c r="I6" s="3">
        <f ca="1">IF(DAY(JunSun1)=1,JunSun1+5,JunSun1+12)</f>
        <v>45450</v>
      </c>
      <c r="J6" s="3">
        <f ca="1">IF(DAY(JunSun1)=1,JunSun1+6,JunSun1+13)</f>
        <v>45451</v>
      </c>
      <c r="K6" s="3">
        <f ca="1">IF(DAY(JunSun1)=1,JunSun1+7,JunSun1+14)</f>
        <v>45452</v>
      </c>
      <c r="L6" s="25"/>
      <c r="M6" s="27"/>
      <c r="N6" s="125"/>
      <c r="O6" s="126"/>
      <c r="P6" s="126"/>
      <c r="Q6" s="127"/>
      <c r="S6" s="105"/>
    </row>
    <row r="7" spans="1:19" ht="30" customHeight="1" thickBot="1" x14ac:dyDescent="0.3">
      <c r="A7" s="111"/>
      <c r="B7" s="22"/>
      <c r="C7" s="23"/>
      <c r="D7" s="28"/>
      <c r="E7" s="3">
        <f ca="1">IF(DAY(JunSun1)=1,JunSun1+8,JunSun1+15)</f>
        <v>45453</v>
      </c>
      <c r="F7" s="3">
        <f ca="1">IF(DAY(JunSun1)=1,JunSun1+9,JunSun1+16)</f>
        <v>45454</v>
      </c>
      <c r="G7" s="3">
        <f ca="1">IF(DAY(JunSun1)=1,JunSun1+10,JunSun1+17)</f>
        <v>45455</v>
      </c>
      <c r="H7" s="3">
        <f ca="1">IF(DAY(JunSun1)=1,JunSun1+11,JunSun1+18)</f>
        <v>45456</v>
      </c>
      <c r="I7" s="3">
        <f ca="1">IF(DAY(JunSun1)=1,JunSun1+12,JunSun1+19)</f>
        <v>45457</v>
      </c>
      <c r="J7" s="3">
        <f ca="1">IF(DAY(JunSun1)=1,JunSun1+13,JunSun1+20)</f>
        <v>45458</v>
      </c>
      <c r="K7" s="3">
        <f ca="1">IF(DAY(JunSun1)=1,JunSun1+14,JunSun1+21)</f>
        <v>45459</v>
      </c>
      <c r="L7" s="25"/>
      <c r="M7" s="27"/>
      <c r="N7" s="128" t="s">
        <v>2</v>
      </c>
      <c r="O7" s="129">
        <v>10</v>
      </c>
      <c r="P7" s="129"/>
      <c r="Q7" s="130"/>
      <c r="S7" s="105"/>
    </row>
    <row r="8" spans="1:19" ht="30" customHeight="1" thickTop="1" x14ac:dyDescent="0.3">
      <c r="A8" s="111"/>
      <c r="B8" s="22"/>
      <c r="C8" s="23"/>
      <c r="D8" s="28"/>
      <c r="E8" s="3">
        <f ca="1">IF(DAY(JunSun1)=1,JunSun1+15,JunSun1+22)</f>
        <v>45460</v>
      </c>
      <c r="F8" s="3">
        <f ca="1">IF(DAY(JunSun1)=1,JunSun1+16,JunSun1+23)</f>
        <v>45461</v>
      </c>
      <c r="G8" s="3">
        <f ca="1">IF(DAY(JunSun1)=1,JunSun1+17,JunSun1+24)</f>
        <v>45462</v>
      </c>
      <c r="H8" s="3">
        <f ca="1">IF(DAY(JunSun1)=1,JunSun1+18,JunSun1+25)</f>
        <v>45463</v>
      </c>
      <c r="I8" s="3">
        <f ca="1">IF(DAY(JunSun1)=1,JunSun1+19,JunSun1+26)</f>
        <v>45464</v>
      </c>
      <c r="J8" s="3">
        <f ca="1">IF(DAY(JunSun1)=1,JunSun1+20,JunSun1+27)</f>
        <v>45465</v>
      </c>
      <c r="K8" s="3">
        <f ca="1">IF(DAY(JunSun1)=1,JunSun1+21,JunSun1+28)</f>
        <v>45466</v>
      </c>
      <c r="L8" s="25"/>
      <c r="M8" s="27"/>
      <c r="N8" s="131"/>
      <c r="O8" s="132"/>
      <c r="P8" s="133"/>
      <c r="Q8" s="52"/>
      <c r="S8" s="105"/>
    </row>
    <row r="9" spans="1:19" ht="30" customHeight="1" x14ac:dyDescent="0.3">
      <c r="A9" s="111"/>
      <c r="B9" s="22"/>
      <c r="C9" s="23"/>
      <c r="D9" s="28"/>
      <c r="E9" s="3">
        <f ca="1">IF(DAY(JunSun1)=1,JunSun1+22,JunSun1+29)</f>
        <v>45467</v>
      </c>
      <c r="F9" s="3">
        <f ca="1">IF(DAY(JunSun1)=1,JunSun1+23,JunSun1+30)</f>
        <v>45468</v>
      </c>
      <c r="G9" s="3">
        <f ca="1">IF(DAY(JunSun1)=1,JunSun1+24,JunSun1+31)</f>
        <v>45469</v>
      </c>
      <c r="H9" s="3">
        <f ca="1">IF(DAY(JunSun1)=1,JunSun1+25,JunSun1+32)</f>
        <v>45470</v>
      </c>
      <c r="I9" s="3">
        <f ca="1">IF(DAY(JunSun1)=1,JunSun1+26,JunSun1+33)</f>
        <v>45471</v>
      </c>
      <c r="J9" s="3">
        <f ca="1">IF(DAY(JunSun1)=1,JunSun1+27,JunSun1+34)</f>
        <v>45472</v>
      </c>
      <c r="K9" s="3">
        <f ca="1">IF(DAY(JunSun1)=1,JunSun1+28,JunSun1+35)</f>
        <v>45473</v>
      </c>
      <c r="L9" s="25"/>
      <c r="M9" s="30"/>
      <c r="N9" s="134"/>
      <c r="O9" s="132"/>
      <c r="P9" s="132"/>
      <c r="Q9" s="52"/>
      <c r="S9" s="105"/>
    </row>
    <row r="10" spans="1:19" ht="30" customHeight="1" x14ac:dyDescent="0.3">
      <c r="A10" s="111"/>
      <c r="B10" s="22"/>
      <c r="C10" s="23"/>
      <c r="D10" s="28"/>
      <c r="E10" s="3">
        <f ca="1">IF(DAY(JunSun1)=1,JunSun1+29,JunSun1+36)</f>
        <v>45474</v>
      </c>
      <c r="F10" s="3">
        <f ca="1">IF(DAY(JunSun1)=1,JunSun1+30,JunSun1+37)</f>
        <v>45475</v>
      </c>
      <c r="G10" s="3">
        <f ca="1">IF(DAY(JunSun1)=1,JunSun1+31,JunSun1+38)</f>
        <v>45476</v>
      </c>
      <c r="H10" s="3">
        <f ca="1">IF(DAY(JunSun1)=1,JunSun1+32,JunSun1+39)</f>
        <v>45477</v>
      </c>
      <c r="I10" s="3">
        <f ca="1">IF(DAY(JunSun1)=1,JunSun1+33,JunSun1+40)</f>
        <v>45478</v>
      </c>
      <c r="J10" s="3">
        <f ca="1">IF(DAY(JunSun1)=1,JunSun1+34,JunSun1+41)</f>
        <v>45479</v>
      </c>
      <c r="K10" s="3">
        <f ca="1">IF(DAY(JunSun1)=1,JunSun1+35,JunSun1+42)</f>
        <v>45480</v>
      </c>
      <c r="L10" s="32"/>
      <c r="M10" s="27"/>
      <c r="N10" s="131"/>
      <c r="O10" s="132"/>
      <c r="P10" s="132"/>
      <c r="Q10" s="135"/>
      <c r="S10" s="105"/>
    </row>
    <row r="11" spans="1:19" ht="30" customHeight="1" thickBot="1" x14ac:dyDescent="0.35">
      <c r="A11" s="111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105"/>
    </row>
    <row r="12" spans="1:19" ht="30" customHeight="1" thickTop="1" thickBot="1" x14ac:dyDescent="0.3">
      <c r="A12" s="111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105"/>
    </row>
    <row r="13" spans="1:19" ht="30" customHeight="1" thickTop="1" thickBot="1" x14ac:dyDescent="0.3">
      <c r="A13" s="111"/>
      <c r="B13" s="22"/>
      <c r="C13" s="22"/>
      <c r="N13" s="128" t="s">
        <v>27</v>
      </c>
      <c r="O13" s="139">
        <v>11</v>
      </c>
      <c r="P13" s="139"/>
      <c r="Q13" s="140"/>
      <c r="S13" s="105"/>
    </row>
    <row r="14" spans="1:19" ht="30" customHeight="1" thickTop="1" thickBot="1" x14ac:dyDescent="0.35">
      <c r="A14" s="111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105"/>
    </row>
    <row r="15" spans="1:19" ht="30" customHeight="1" thickTop="1" thickBot="1" x14ac:dyDescent="0.35">
      <c r="A15" s="111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105"/>
    </row>
    <row r="16" spans="1:19" ht="30" customHeight="1" thickTop="1" thickBot="1" x14ac:dyDescent="0.35">
      <c r="A16" s="112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105"/>
    </row>
    <row r="17" spans="1:19" ht="30" customHeight="1" thickTop="1" x14ac:dyDescent="0.3">
      <c r="A17" s="112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105"/>
    </row>
    <row r="18" spans="1:19" ht="30" customHeight="1" thickBot="1" x14ac:dyDescent="0.3">
      <c r="A18" s="112"/>
      <c r="B18" s="42"/>
      <c r="C18" s="49"/>
      <c r="L18" s="50"/>
      <c r="M18" s="51"/>
      <c r="N18" s="137"/>
      <c r="O18" s="138"/>
      <c r="P18" s="138"/>
      <c r="Q18" s="52"/>
      <c r="S18" s="105"/>
    </row>
    <row r="19" spans="1:19" ht="30" customHeight="1" thickTop="1" thickBot="1" x14ac:dyDescent="0.35">
      <c r="A19" s="112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12</v>
      </c>
      <c r="P19" s="139"/>
      <c r="Q19" s="130"/>
      <c r="S19" s="105"/>
    </row>
    <row r="20" spans="1:19" ht="30" customHeight="1" thickTop="1" thickBot="1" x14ac:dyDescent="0.35">
      <c r="A20" s="112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105"/>
    </row>
    <row r="21" spans="1:19" ht="30" customHeight="1" thickTop="1" thickBot="1" x14ac:dyDescent="0.35">
      <c r="A21" s="112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105"/>
    </row>
    <row r="22" spans="1:19" ht="30" customHeight="1" thickTop="1" thickBot="1" x14ac:dyDescent="0.35">
      <c r="A22" s="112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105"/>
    </row>
    <row r="23" spans="1:19" ht="30" customHeight="1" thickTop="1" x14ac:dyDescent="0.3">
      <c r="A23" s="112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105"/>
    </row>
    <row r="24" spans="1:19" ht="30" customHeight="1" thickBot="1" x14ac:dyDescent="0.35">
      <c r="A24" s="112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105"/>
    </row>
    <row r="25" spans="1:19" ht="30" customHeight="1" thickTop="1" thickBot="1" x14ac:dyDescent="0.35">
      <c r="A25" s="112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13</v>
      </c>
      <c r="P25" s="139"/>
      <c r="Q25" s="130"/>
      <c r="S25" s="105"/>
    </row>
    <row r="26" spans="1:19" ht="30" customHeight="1" thickTop="1" thickBot="1" x14ac:dyDescent="0.35">
      <c r="A26" s="112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105"/>
    </row>
    <row r="27" spans="1:19" ht="30" customHeight="1" thickTop="1" thickBot="1" x14ac:dyDescent="0.35">
      <c r="A27" s="112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105"/>
    </row>
    <row r="28" spans="1:19" ht="30" customHeight="1" thickTop="1" thickBot="1" x14ac:dyDescent="0.35">
      <c r="A28" s="112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105"/>
    </row>
    <row r="29" spans="1:19" ht="30" customHeight="1" thickTop="1" x14ac:dyDescent="0.3">
      <c r="A29" s="112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105"/>
    </row>
    <row r="30" spans="1:19" ht="30" customHeight="1" thickBot="1" x14ac:dyDescent="0.35">
      <c r="A30" s="112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105"/>
    </row>
    <row r="31" spans="1:19" ht="30" customHeight="1" thickTop="1" thickBot="1" x14ac:dyDescent="0.35">
      <c r="A31" s="112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14</v>
      </c>
      <c r="P31" s="139"/>
      <c r="Q31" s="130"/>
      <c r="S31" s="105"/>
    </row>
    <row r="32" spans="1:19" ht="30" customHeight="1" thickTop="1" thickBot="1" x14ac:dyDescent="0.35">
      <c r="A32" s="112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105"/>
    </row>
    <row r="33" spans="1:19" ht="30" customHeight="1" thickTop="1" thickBot="1" x14ac:dyDescent="0.35">
      <c r="A33" s="112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105"/>
    </row>
    <row r="34" spans="1:19" ht="30" customHeight="1" thickTop="1" thickBot="1" x14ac:dyDescent="0.35">
      <c r="A34" s="112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105"/>
    </row>
    <row r="35" spans="1:19" ht="30" customHeight="1" thickTop="1" x14ac:dyDescent="0.3">
      <c r="A35" s="112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105"/>
    </row>
    <row r="36" spans="1:19" ht="30" customHeight="1" x14ac:dyDescent="0.3">
      <c r="A36" s="112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105"/>
    </row>
    <row r="37" spans="1:19" ht="30" customHeight="1" thickBot="1" x14ac:dyDescent="0.35">
      <c r="A37" s="112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105"/>
    </row>
    <row r="38" spans="1:19" ht="30" customHeight="1" thickTop="1" x14ac:dyDescent="0.25">
      <c r="A38" s="105"/>
      <c r="S38" s="105"/>
    </row>
    <row r="39" spans="1:19" ht="30" customHeight="1" x14ac:dyDescent="0.25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8"/>
      <c r="O39" s="108"/>
      <c r="P39" s="105"/>
      <c r="Q39" s="109"/>
      <c r="R39" s="105"/>
      <c r="S39" s="105"/>
    </row>
  </sheetData>
  <dataConsolidate/>
  <mergeCells count="64">
    <mergeCell ref="G36:H36"/>
    <mergeCell ref="E36:F36"/>
    <mergeCell ref="I36:J36"/>
    <mergeCell ref="G31:H31"/>
    <mergeCell ref="E34:F34"/>
    <mergeCell ref="G34:H34"/>
    <mergeCell ref="I34:J34"/>
    <mergeCell ref="G35:H35"/>
    <mergeCell ref="E32:F32"/>
    <mergeCell ref="I32:J32"/>
    <mergeCell ref="E33:F33"/>
    <mergeCell ref="G33:H33"/>
    <mergeCell ref="I33:J33"/>
    <mergeCell ref="G32:H32"/>
    <mergeCell ref="D5:D6"/>
    <mergeCell ref="D14:K14"/>
    <mergeCell ref="D16:D17"/>
    <mergeCell ref="E16:F17"/>
    <mergeCell ref="G16:H17"/>
    <mergeCell ref="I16:J17"/>
    <mergeCell ref="K16:K17"/>
    <mergeCell ref="E19:F19"/>
    <mergeCell ref="G19:H19"/>
    <mergeCell ref="I19:J19"/>
    <mergeCell ref="G20:H20"/>
    <mergeCell ref="E21:F21"/>
    <mergeCell ref="I21:J21"/>
    <mergeCell ref="E20:F20"/>
    <mergeCell ref="I20:J20"/>
    <mergeCell ref="G21:H21"/>
    <mergeCell ref="E25:F25"/>
    <mergeCell ref="E22:F22"/>
    <mergeCell ref="I22:J22"/>
    <mergeCell ref="G23:H23"/>
    <mergeCell ref="G24:H24"/>
    <mergeCell ref="G25:H25"/>
    <mergeCell ref="I25:J25"/>
    <mergeCell ref="G22:H22"/>
    <mergeCell ref="E23:F23"/>
    <mergeCell ref="I23:J23"/>
    <mergeCell ref="E24:F24"/>
    <mergeCell ref="I24:J24"/>
    <mergeCell ref="E26:F26"/>
    <mergeCell ref="G26:H26"/>
    <mergeCell ref="I26:J26"/>
    <mergeCell ref="E27:F27"/>
    <mergeCell ref="G27:H27"/>
    <mergeCell ref="I27:J27"/>
    <mergeCell ref="E37:F37"/>
    <mergeCell ref="G37:H37"/>
    <mergeCell ref="I37:J37"/>
    <mergeCell ref="E28:F28"/>
    <mergeCell ref="G28:H28"/>
    <mergeCell ref="I28:J28"/>
    <mergeCell ref="E35:F35"/>
    <mergeCell ref="I35:J35"/>
    <mergeCell ref="E29:F29"/>
    <mergeCell ref="G29:H29"/>
    <mergeCell ref="I29:J29"/>
    <mergeCell ref="E30:F30"/>
    <mergeCell ref="G30:H30"/>
    <mergeCell ref="I30:J30"/>
    <mergeCell ref="E31:F31"/>
    <mergeCell ref="I31:J31"/>
  </mergeCells>
  <conditionalFormatting sqref="D19:K36">
    <cfRule type="expression" dxfId="62" priority="1">
      <formula>D19&lt;&gt;""</formula>
    </cfRule>
  </conditionalFormatting>
  <conditionalFormatting sqref="D37:K37">
    <cfRule type="expression" dxfId="61" priority="7">
      <formula>D37&lt;&gt;""</formula>
    </cfRule>
    <cfRule type="expression" dxfId="60" priority="11">
      <formula>COLUMN(#REF!)&gt;2</formula>
    </cfRule>
  </conditionalFormatting>
  <conditionalFormatting sqref="D37:K39">
    <cfRule type="expression" dxfId="59" priority="8">
      <formula>D37&lt;&gt;""</formula>
    </cfRule>
  </conditionalFormatting>
  <conditionalFormatting sqref="E5:J5">
    <cfRule type="expression" dxfId="58" priority="3" stopIfTrue="1">
      <formula>DAY(E5)&gt;8</formula>
    </cfRule>
  </conditionalFormatting>
  <conditionalFormatting sqref="E5:K10">
    <cfRule type="expression" dxfId="57" priority="4">
      <formula>VLOOKUP(DAY(E5),$O:$O,1,FALSE)=DAY(E5)</formula>
    </cfRule>
  </conditionalFormatting>
  <conditionalFormatting sqref="E9:K10">
    <cfRule type="expression" dxfId="56" priority="2" stopIfTrue="1">
      <formula>AND(DAY(E9)&gt;=1,DAY(E9)&lt;=15)</formula>
    </cfRule>
  </conditionalFormatting>
  <conditionalFormatting sqref="M6:M11">
    <cfRule type="expression" dxfId="55" priority="10">
      <formula>VLOOKUP(DAY(M6),AssignmentDays,1,FALSE)=DAY(M6)</formula>
    </cfRule>
  </conditionalFormatting>
  <conditionalFormatting sqref="M10:M11">
    <cfRule type="expression" dxfId="54" priority="9" stopIfTrue="1">
      <formula>AND(DAY(M10)&gt;=1,DAY(M10)&lt;=15)</formula>
    </cfRule>
  </conditionalFormatting>
  <dataValidations count="10">
    <dataValidation allowBlank="1" showInputMessage="1" showErrorMessage="1" prompt="Day of the week goes in this row, starting in cell D16" sqref="A16" xr:uid="{A3D0A2DA-06F2-4DCA-97B8-10523155E809}"/>
    <dataValidation allowBlank="1" showInputMessage="1" showErrorMessage="1" prompt="Weekdays are in this row, from Monday to Friday" sqref="D16" xr:uid="{0F61FFC1-B97F-4049-A51D-08E05B411D78}"/>
    <dataValidation allowBlank="1" showInputMessage="1" showErrorMessage="1" prompt="If this row contains a number less than the previous number or row of numbers, then this row contains dates for the next calendar month" sqref="E10" xr:uid="{0CE00B11-B157-4A9F-AFA9-ADDE2BFB1D82}"/>
    <dataValidation allowBlank="1" showInputMessage="1" showErrorMessage="1" prompt="Calendar year is automatically updated in this cell. To change the calendar year, to go cell D5 in Jan worksheet." sqref="D5:D6" xr:uid="{B984AC0C-1EEE-4ACA-94EB-843A3D8B9B2E}"/>
    <dataValidation allowBlank="1" showInputMessage="1" showErrorMessage="1" prompt="June calendar. Calendar year is automatically updated based on cell D5 in Jan sheet." sqref="A1" xr:uid="{09223D2A-E187-43E4-8B79-260615DB36F5}"/>
    <dataValidation allowBlank="1" showInputMessage="1" showErrorMessage="1" prompt="Cells E4:K4 contain weekdays" sqref="E4" xr:uid="{62C6BC38-D269-415F-AC9A-D0C07775FFAA}"/>
    <dataValidation allowBlank="1" showInputMessage="1" showErrorMessage="1" prompt="If this cell doesn’t contain the number 1, then it is a day from a previous month. Cells E5:K10 contain dates for the current month" sqref="E5" xr:uid="{0B3389B1-0388-47EB-96D3-0B7CCD575493}"/>
    <dataValidation allowBlank="1" showInputMessage="1" showErrorMessage="1" prompt="Enter the time of your class and under it, in a new row, the class name for each weekday in columns D to K. Repeat this pattern for all classes in subsequent rows" sqref="D14" xr:uid="{70D22D29-470F-4854-BA10-9133801EDFDE}"/>
    <dataValidation allowBlank="1" showInputMessage="1" showErrorMessage="1" prompt="Enter the assignment details in this column that correspond to the weekday in column N and day in column O for the calendar month at left" sqref="N4" xr:uid="{F227B4CF-6A71-4E46-BEB3-7940B0AC43DF}"/>
    <dataValidation allowBlank="1" showInputMessage="1" showErrorMessage="1" prompt="Calendar automatically highlights assignment list entries for the month. Darker fonts are assignments. Lighter fonts are days that belong to the previous or next month" sqref="D4" xr:uid="{659500F6-50D3-428F-8FFB-9DF60EDA290E}"/>
  </dataValidations>
  <printOptions horizontalCentered="1" verticalCentered="1"/>
  <pageMargins left="0.25" right="0.25" top="0.5" bottom="0.5" header="0.3" footer="0.3"/>
  <pageSetup scale="47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CA46-E4C8-4675-959D-723946CABE47}">
  <sheetPr>
    <tabColor theme="5" tint="-9.9978637043366805E-2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98"/>
      <c r="B1" s="98"/>
      <c r="C1" s="98"/>
      <c r="D1" s="99"/>
      <c r="E1" s="98"/>
      <c r="F1" s="98"/>
      <c r="G1" s="98"/>
      <c r="H1" s="98"/>
      <c r="I1" s="98"/>
      <c r="J1" s="98"/>
      <c r="K1" s="98"/>
      <c r="L1" s="98"/>
      <c r="M1" s="100"/>
      <c r="N1" s="101"/>
      <c r="O1" s="101"/>
      <c r="P1" s="98"/>
      <c r="Q1" s="102"/>
      <c r="R1" s="98"/>
      <c r="S1" s="98"/>
    </row>
    <row r="2" spans="1:19" ht="30" customHeight="1" thickBot="1" x14ac:dyDescent="0.3">
      <c r="A2" s="98"/>
      <c r="D2" s="10"/>
      <c r="E2" s="10"/>
      <c r="F2" s="10"/>
      <c r="G2" s="10"/>
      <c r="H2" s="10"/>
      <c r="I2" s="10"/>
      <c r="J2" s="10"/>
      <c r="K2" s="10"/>
      <c r="N2"/>
      <c r="O2"/>
      <c r="S2" s="98"/>
    </row>
    <row r="3" spans="1:19" ht="30" customHeight="1" thickTop="1" thickBot="1" x14ac:dyDescent="0.35">
      <c r="A3" s="98"/>
      <c r="C3" s="14"/>
      <c r="D3" s="15"/>
      <c r="K3" s="15"/>
      <c r="L3" s="16"/>
      <c r="N3" s="117"/>
      <c r="O3" s="118"/>
      <c r="P3" s="119"/>
      <c r="Q3" s="17"/>
      <c r="S3" s="98"/>
    </row>
    <row r="4" spans="1:19" ht="35.1" customHeight="1" thickTop="1" thickBot="1" x14ac:dyDescent="0.3">
      <c r="A4" s="98"/>
      <c r="C4" s="18"/>
      <c r="D4" s="1" t="s">
        <v>33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98"/>
    </row>
    <row r="5" spans="1:19" ht="30" customHeight="1" thickTop="1" x14ac:dyDescent="0.3">
      <c r="A5" s="103"/>
      <c r="B5" s="22"/>
      <c r="C5" s="23"/>
      <c r="D5" s="157">
        <f ca="1">CalendarYear</f>
        <v>2024</v>
      </c>
      <c r="E5" s="3">
        <f ca="1">IF(DAY(JulSun1)=1,AprSun1-6,JulSun1+1)</f>
        <v>45474</v>
      </c>
      <c r="F5" s="3">
        <f ca="1">IF(DAY(JulSun1)=1,JulSun1-5,JulSun1+2)</f>
        <v>45475</v>
      </c>
      <c r="G5" s="3">
        <f ca="1">IF(DAY(JulSun1)=1,JulSun1-4,JulSun1+3)</f>
        <v>45476</v>
      </c>
      <c r="H5" s="3">
        <f ca="1">IF(DAY(JulSun1)=1,JulSun1-3,JulSun1+4)</f>
        <v>45477</v>
      </c>
      <c r="I5" s="3">
        <f ca="1">IF(DAY(JulSun1)=1,JulSun1-2,JulSun1+5)</f>
        <v>45478</v>
      </c>
      <c r="J5" s="3">
        <f ca="1">IF(DAY(JulSun1)=1,JulSun1-1,JulSun1+6)</f>
        <v>45479</v>
      </c>
      <c r="K5" s="3">
        <f ca="1">IF(DAY(JulSun1)=1,JulSun1,JulSun1+7)</f>
        <v>45480</v>
      </c>
      <c r="L5" s="25"/>
      <c r="M5" s="26"/>
      <c r="N5" s="123"/>
      <c r="O5" s="121"/>
      <c r="P5" s="121"/>
      <c r="Q5" s="124"/>
      <c r="S5" s="98"/>
    </row>
    <row r="6" spans="1:19" ht="30" customHeight="1" x14ac:dyDescent="0.3">
      <c r="A6" s="103"/>
      <c r="B6" s="22"/>
      <c r="C6" s="23"/>
      <c r="D6" s="157"/>
      <c r="E6" s="3">
        <f ca="1">IF(DAY(JulSun1)=1,JulSun1+1,JulSun1+8)</f>
        <v>45481</v>
      </c>
      <c r="F6" s="3">
        <f ca="1">IF(DAY(JulSun1)=1,JulSun1+2,JulSun1+9)</f>
        <v>45482</v>
      </c>
      <c r="G6" s="3">
        <f ca="1">IF(DAY(JulSun1)=1,JulSun1+3,JulSun1+10)</f>
        <v>45483</v>
      </c>
      <c r="H6" s="3">
        <f ca="1">IF(DAY(JulSun1)=1,JulSun1+4,JulSun1+11)</f>
        <v>45484</v>
      </c>
      <c r="I6" s="3">
        <f ca="1">IF(DAY(JulSun1)=1,JulSun1+5,JulSun1+12)</f>
        <v>45485</v>
      </c>
      <c r="J6" s="3">
        <f ca="1">IF(DAY(JulSun1)=1,JulSun1+6,JulSun1+13)</f>
        <v>45486</v>
      </c>
      <c r="K6" s="3">
        <f ca="1">IF(DAY(JulSun1)=1,JulSun1+7,JulSun1+14)</f>
        <v>45487</v>
      </c>
      <c r="L6" s="25"/>
      <c r="M6" s="27"/>
      <c r="N6" s="125"/>
      <c r="O6" s="126"/>
      <c r="P6" s="126"/>
      <c r="Q6" s="127"/>
      <c r="S6" s="98"/>
    </row>
    <row r="7" spans="1:19" ht="30" customHeight="1" thickBot="1" x14ac:dyDescent="0.3">
      <c r="A7" s="103"/>
      <c r="B7" s="22"/>
      <c r="C7" s="23"/>
      <c r="D7" s="28"/>
      <c r="E7" s="3">
        <f ca="1">IF(DAY(JulSun1)=1,JulSun1+8,JulSun1+15)</f>
        <v>45488</v>
      </c>
      <c r="F7" s="3">
        <f ca="1">IF(DAY(JulSun1)=1,JulSun1+9,JulSun1+16)</f>
        <v>45489</v>
      </c>
      <c r="G7" s="3">
        <f ca="1">IF(DAY(JulSun1)=1,JulSun1+10,JulSun1+17)</f>
        <v>45490</v>
      </c>
      <c r="H7" s="3">
        <f ca="1">IF(DAY(JulSun1)=1,JulSun1+11,JulSun1+18)</f>
        <v>45491</v>
      </c>
      <c r="I7" s="3">
        <f ca="1">IF(DAY(JulSun1)=1,JulSun1+12,JulSun1+19)</f>
        <v>45492</v>
      </c>
      <c r="J7" s="3">
        <f ca="1">IF(DAY(JulSun1)=1,JulSun1+13,JulSun1+20)</f>
        <v>45493</v>
      </c>
      <c r="K7" s="3">
        <f ca="1">IF(DAY(JulSun1)=1,JulSun1+14,JulSun1+21)</f>
        <v>45494</v>
      </c>
      <c r="L7" s="25"/>
      <c r="M7" s="27"/>
      <c r="N7" s="128" t="s">
        <v>2</v>
      </c>
      <c r="O7" s="129">
        <v>8</v>
      </c>
      <c r="P7" s="129"/>
      <c r="Q7" s="130"/>
      <c r="S7" s="98"/>
    </row>
    <row r="8" spans="1:19" ht="30" customHeight="1" thickTop="1" x14ac:dyDescent="0.3">
      <c r="A8" s="103"/>
      <c r="B8" s="22"/>
      <c r="C8" s="23"/>
      <c r="D8" s="28"/>
      <c r="E8" s="3">
        <f ca="1">IF(DAY(JulSun1)=1,JulSun1+15,JulSun1+22)</f>
        <v>45495</v>
      </c>
      <c r="F8" s="3">
        <f ca="1">IF(DAY(JulSun1)=1,JulSun1+16,JulSun1+23)</f>
        <v>45496</v>
      </c>
      <c r="G8" s="3">
        <f ca="1">IF(DAY(JulSun1)=1,JulSun1+17,JulSun1+24)</f>
        <v>45497</v>
      </c>
      <c r="H8" s="3">
        <f ca="1">IF(DAY(JulSun1)=1,JulSun1+18,JulSun1+25)</f>
        <v>45498</v>
      </c>
      <c r="I8" s="3">
        <f ca="1">IF(DAY(JulSun1)=1,JulSun1+19,JulSun1+26)</f>
        <v>45499</v>
      </c>
      <c r="J8" s="3">
        <f ca="1">IF(DAY(JulSun1)=1,JulSun1+20,JulSun1+27)</f>
        <v>45500</v>
      </c>
      <c r="K8" s="3">
        <f ca="1">IF(DAY(JulSun1)=1,JulSun1+21,JulSun1+28)</f>
        <v>45501</v>
      </c>
      <c r="L8" s="25"/>
      <c r="M8" s="27"/>
      <c r="N8" s="131"/>
      <c r="O8" s="132"/>
      <c r="P8" s="133"/>
      <c r="Q8" s="52"/>
      <c r="S8" s="98"/>
    </row>
    <row r="9" spans="1:19" ht="30" customHeight="1" x14ac:dyDescent="0.3">
      <c r="A9" s="103"/>
      <c r="B9" s="22"/>
      <c r="C9" s="23"/>
      <c r="D9" s="28"/>
      <c r="E9" s="3">
        <f ca="1">IF(DAY(JulSun1)=1,JulSun1+22,JulSun1+29)</f>
        <v>45502</v>
      </c>
      <c r="F9" s="3">
        <f ca="1">IF(DAY(JulSun1)=1,JulSun1+23,JulSun1+30)</f>
        <v>45503</v>
      </c>
      <c r="G9" s="3">
        <f ca="1">IF(DAY(JulSun1)=1,JulSun1+24,JulSun1+31)</f>
        <v>45504</v>
      </c>
      <c r="H9" s="3">
        <f ca="1">IF(DAY(JulSun1)=1,JulSun1+25,JulSun1+32)</f>
        <v>45505</v>
      </c>
      <c r="I9" s="3">
        <f ca="1">IF(DAY(JulSun1)=1,JulSun1+26,JulSun1+33)</f>
        <v>45506</v>
      </c>
      <c r="J9" s="3">
        <f ca="1">IF(DAY(JulSun1)=1,JulSun1+27,JulSun1+34)</f>
        <v>45507</v>
      </c>
      <c r="K9" s="3">
        <f ca="1">IF(DAY(JulSun1)=1,JulSun1+28,JulSun1+35)</f>
        <v>45508</v>
      </c>
      <c r="L9" s="25"/>
      <c r="M9" s="30"/>
      <c r="N9" s="134"/>
      <c r="O9" s="132"/>
      <c r="P9" s="132"/>
      <c r="Q9" s="52"/>
      <c r="S9" s="98"/>
    </row>
    <row r="10" spans="1:19" ht="30" customHeight="1" x14ac:dyDescent="0.3">
      <c r="A10" s="103"/>
      <c r="B10" s="22"/>
      <c r="C10" s="23"/>
      <c r="D10" s="28"/>
      <c r="E10" s="3">
        <f ca="1">IF(DAY(JulSun1)=1,JulSun1+29,JulSun1+36)</f>
        <v>45509</v>
      </c>
      <c r="F10" s="3">
        <f ca="1">IF(DAY(JulSun1)=1,JulSun1+30,JulSun1+37)</f>
        <v>45510</v>
      </c>
      <c r="G10" s="3">
        <f ca="1">IF(DAY(JulSun1)=1,JulSun1+31,JulSun1+38)</f>
        <v>45511</v>
      </c>
      <c r="H10" s="3">
        <f ca="1">IF(DAY(JulSun1)=1,JulSun1+32,JulSun1+39)</f>
        <v>45512</v>
      </c>
      <c r="I10" s="3">
        <f ca="1">IF(DAY(JulSun1)=1,JulSun1+33,JulSun1+40)</f>
        <v>45513</v>
      </c>
      <c r="J10" s="3">
        <f ca="1">IF(DAY(JulSun1)=1,JulSun1+34,JulSun1+41)</f>
        <v>45514</v>
      </c>
      <c r="K10" s="3">
        <f ca="1">IF(DAY(JulSun1)=1,JulSun1+35,JulSun1+42)</f>
        <v>45515</v>
      </c>
      <c r="L10" s="32"/>
      <c r="M10" s="27"/>
      <c r="N10" s="131"/>
      <c r="O10" s="132"/>
      <c r="P10" s="132"/>
      <c r="Q10" s="135"/>
      <c r="S10" s="98"/>
    </row>
    <row r="11" spans="1:19" ht="30" customHeight="1" thickBot="1" x14ac:dyDescent="0.35">
      <c r="A11" s="103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98"/>
    </row>
    <row r="12" spans="1:19" ht="30" customHeight="1" thickTop="1" thickBot="1" x14ac:dyDescent="0.3">
      <c r="A12" s="103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98"/>
    </row>
    <row r="13" spans="1:19" ht="30" customHeight="1" thickTop="1" thickBot="1" x14ac:dyDescent="0.3">
      <c r="A13" s="103"/>
      <c r="B13" s="22"/>
      <c r="C13" s="22"/>
      <c r="N13" s="128" t="s">
        <v>27</v>
      </c>
      <c r="O13" s="139">
        <v>9</v>
      </c>
      <c r="P13" s="139"/>
      <c r="Q13" s="140"/>
      <c r="S13" s="98"/>
    </row>
    <row r="14" spans="1:19" ht="30" customHeight="1" thickTop="1" thickBot="1" x14ac:dyDescent="0.35">
      <c r="A14" s="103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98"/>
    </row>
    <row r="15" spans="1:19" ht="30" customHeight="1" thickTop="1" thickBot="1" x14ac:dyDescent="0.35">
      <c r="A15" s="103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98"/>
    </row>
    <row r="16" spans="1:19" ht="30" customHeight="1" thickTop="1" thickBot="1" x14ac:dyDescent="0.35">
      <c r="A16" s="104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98"/>
    </row>
    <row r="17" spans="1:19" ht="30" customHeight="1" thickTop="1" x14ac:dyDescent="0.3">
      <c r="A17" s="104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98"/>
    </row>
    <row r="18" spans="1:19" ht="30" customHeight="1" thickBot="1" x14ac:dyDescent="0.3">
      <c r="A18" s="104"/>
      <c r="B18" s="42"/>
      <c r="C18" s="49"/>
      <c r="L18" s="50"/>
      <c r="M18" s="51"/>
      <c r="N18" s="137"/>
      <c r="O18" s="138"/>
      <c r="P18" s="138"/>
      <c r="Q18" s="52"/>
      <c r="S18" s="98"/>
    </row>
    <row r="19" spans="1:19" ht="30" customHeight="1" thickTop="1" thickBot="1" x14ac:dyDescent="0.35">
      <c r="A19" s="104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10</v>
      </c>
      <c r="P19" s="139"/>
      <c r="Q19" s="130"/>
      <c r="S19" s="98"/>
    </row>
    <row r="20" spans="1:19" ht="30" customHeight="1" thickTop="1" thickBot="1" x14ac:dyDescent="0.35">
      <c r="A20" s="104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98"/>
    </row>
    <row r="21" spans="1:19" ht="30" customHeight="1" thickTop="1" thickBot="1" x14ac:dyDescent="0.35">
      <c r="A21" s="104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98"/>
    </row>
    <row r="22" spans="1:19" ht="30" customHeight="1" thickTop="1" thickBot="1" x14ac:dyDescent="0.35">
      <c r="A22" s="104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98"/>
    </row>
    <row r="23" spans="1:19" ht="30" customHeight="1" thickTop="1" x14ac:dyDescent="0.3">
      <c r="A23" s="104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98"/>
    </row>
    <row r="24" spans="1:19" ht="30" customHeight="1" thickBot="1" x14ac:dyDescent="0.35">
      <c r="A24" s="104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98"/>
    </row>
    <row r="25" spans="1:19" ht="30" customHeight="1" thickTop="1" thickBot="1" x14ac:dyDescent="0.35">
      <c r="A25" s="104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11</v>
      </c>
      <c r="P25" s="139"/>
      <c r="Q25" s="130"/>
      <c r="S25" s="98"/>
    </row>
    <row r="26" spans="1:19" ht="30" customHeight="1" thickTop="1" thickBot="1" x14ac:dyDescent="0.35">
      <c r="A26" s="104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98"/>
    </row>
    <row r="27" spans="1:19" ht="30" customHeight="1" thickTop="1" thickBot="1" x14ac:dyDescent="0.35">
      <c r="A27" s="104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98"/>
    </row>
    <row r="28" spans="1:19" ht="30" customHeight="1" thickTop="1" thickBot="1" x14ac:dyDescent="0.35">
      <c r="A28" s="104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98"/>
    </row>
    <row r="29" spans="1:19" ht="30" customHeight="1" thickTop="1" x14ac:dyDescent="0.3">
      <c r="A29" s="104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98"/>
    </row>
    <row r="30" spans="1:19" ht="30" customHeight="1" thickBot="1" x14ac:dyDescent="0.35">
      <c r="A30" s="104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98"/>
    </row>
    <row r="31" spans="1:19" ht="30" customHeight="1" thickTop="1" thickBot="1" x14ac:dyDescent="0.35">
      <c r="A31" s="104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12</v>
      </c>
      <c r="P31" s="139"/>
      <c r="Q31" s="130"/>
      <c r="S31" s="98"/>
    </row>
    <row r="32" spans="1:19" ht="30" customHeight="1" thickTop="1" thickBot="1" x14ac:dyDescent="0.35">
      <c r="A32" s="104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98"/>
    </row>
    <row r="33" spans="1:19" ht="30" customHeight="1" thickTop="1" thickBot="1" x14ac:dyDescent="0.35">
      <c r="A33" s="104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98"/>
    </row>
    <row r="34" spans="1:19" ht="30" customHeight="1" thickTop="1" thickBot="1" x14ac:dyDescent="0.35">
      <c r="A34" s="104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98"/>
    </row>
    <row r="35" spans="1:19" ht="30" customHeight="1" thickTop="1" x14ac:dyDescent="0.3">
      <c r="A35" s="104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98"/>
    </row>
    <row r="36" spans="1:19" ht="30" customHeight="1" x14ac:dyDescent="0.3">
      <c r="A36" s="104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98"/>
    </row>
    <row r="37" spans="1:19" ht="30" customHeight="1" thickBot="1" x14ac:dyDescent="0.35">
      <c r="A37" s="104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98"/>
    </row>
    <row r="38" spans="1:19" ht="30" customHeight="1" thickTop="1" x14ac:dyDescent="0.25">
      <c r="A38" s="98"/>
      <c r="S38" s="98"/>
    </row>
    <row r="39" spans="1:19" ht="30" customHeight="1" x14ac:dyDescent="0.2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101"/>
      <c r="O39" s="101"/>
      <c r="P39" s="98"/>
      <c r="Q39" s="102"/>
      <c r="R39" s="98"/>
      <c r="S39" s="98"/>
    </row>
  </sheetData>
  <dataConsolidate/>
  <mergeCells count="64">
    <mergeCell ref="G36:H36"/>
    <mergeCell ref="E36:F36"/>
    <mergeCell ref="I36:J36"/>
    <mergeCell ref="G31:H31"/>
    <mergeCell ref="E34:F34"/>
    <mergeCell ref="G34:H34"/>
    <mergeCell ref="I34:J34"/>
    <mergeCell ref="G35:H35"/>
    <mergeCell ref="E32:F32"/>
    <mergeCell ref="I32:J32"/>
    <mergeCell ref="E33:F33"/>
    <mergeCell ref="G33:H33"/>
    <mergeCell ref="I33:J33"/>
    <mergeCell ref="G32:H32"/>
    <mergeCell ref="D5:D6"/>
    <mergeCell ref="D14:K14"/>
    <mergeCell ref="D16:D17"/>
    <mergeCell ref="E16:F17"/>
    <mergeCell ref="G16:H17"/>
    <mergeCell ref="I16:J17"/>
    <mergeCell ref="K16:K17"/>
    <mergeCell ref="E19:F19"/>
    <mergeCell ref="G19:H19"/>
    <mergeCell ref="I19:J19"/>
    <mergeCell ref="G20:H20"/>
    <mergeCell ref="E21:F21"/>
    <mergeCell ref="I21:J21"/>
    <mergeCell ref="E20:F20"/>
    <mergeCell ref="I20:J20"/>
    <mergeCell ref="G21:H21"/>
    <mergeCell ref="E25:F25"/>
    <mergeCell ref="E22:F22"/>
    <mergeCell ref="I22:J22"/>
    <mergeCell ref="G23:H23"/>
    <mergeCell ref="G24:H24"/>
    <mergeCell ref="G25:H25"/>
    <mergeCell ref="I25:J25"/>
    <mergeCell ref="G22:H22"/>
    <mergeCell ref="E23:F23"/>
    <mergeCell ref="I23:J23"/>
    <mergeCell ref="E24:F24"/>
    <mergeCell ref="I24:J24"/>
    <mergeCell ref="E26:F26"/>
    <mergeCell ref="G26:H26"/>
    <mergeCell ref="I26:J26"/>
    <mergeCell ref="E27:F27"/>
    <mergeCell ref="G27:H27"/>
    <mergeCell ref="I27:J27"/>
    <mergeCell ref="E37:F37"/>
    <mergeCell ref="G37:H37"/>
    <mergeCell ref="I37:J37"/>
    <mergeCell ref="E28:F28"/>
    <mergeCell ref="G28:H28"/>
    <mergeCell ref="I28:J28"/>
    <mergeCell ref="E35:F35"/>
    <mergeCell ref="I35:J35"/>
    <mergeCell ref="E29:F29"/>
    <mergeCell ref="G29:H29"/>
    <mergeCell ref="I29:J29"/>
    <mergeCell ref="E30:F30"/>
    <mergeCell ref="G30:H30"/>
    <mergeCell ref="I30:J30"/>
    <mergeCell ref="E31:F31"/>
    <mergeCell ref="I31:J31"/>
  </mergeCells>
  <conditionalFormatting sqref="D19:K36">
    <cfRule type="expression" dxfId="53" priority="1">
      <formula>D19&lt;&gt;""</formula>
    </cfRule>
  </conditionalFormatting>
  <conditionalFormatting sqref="D37:K37">
    <cfRule type="expression" dxfId="52" priority="7">
      <formula>D37&lt;&gt;""</formula>
    </cfRule>
    <cfRule type="expression" dxfId="51" priority="11">
      <formula>COLUMN(#REF!)&gt;2</formula>
    </cfRule>
  </conditionalFormatting>
  <conditionalFormatting sqref="D37:K39">
    <cfRule type="expression" dxfId="50" priority="8">
      <formula>D37&lt;&gt;""</formula>
    </cfRule>
  </conditionalFormatting>
  <conditionalFormatting sqref="E5:J5">
    <cfRule type="expression" dxfId="49" priority="3" stopIfTrue="1">
      <formula>DAY(E5)&gt;8</formula>
    </cfRule>
  </conditionalFormatting>
  <conditionalFormatting sqref="E5:K10">
    <cfRule type="expression" dxfId="48" priority="4">
      <formula>VLOOKUP(DAY(E5),$O:$O,1,FALSE)=DAY(E5)</formula>
    </cfRule>
  </conditionalFormatting>
  <conditionalFormatting sqref="E9:K10">
    <cfRule type="expression" dxfId="47" priority="2" stopIfTrue="1">
      <formula>AND(DAY(E9)&gt;=1,DAY(E9)&lt;=15)</formula>
    </cfRule>
  </conditionalFormatting>
  <conditionalFormatting sqref="M6:M11">
    <cfRule type="expression" dxfId="46" priority="10">
      <formula>VLOOKUP(DAY(M6),AssignmentDays,1,FALSE)=DAY(M6)</formula>
    </cfRule>
  </conditionalFormatting>
  <conditionalFormatting sqref="M10:M11">
    <cfRule type="expression" dxfId="45" priority="9" stopIfTrue="1">
      <formula>AND(DAY(M10)&gt;=1,DAY(M10)&lt;=15)</formula>
    </cfRule>
  </conditionalFormatting>
  <dataValidations count="10">
    <dataValidation allowBlank="1" showInputMessage="1" showErrorMessage="1" prompt="If this row contains a number less than the previous number or row of numbers, then this row contains dates for the next calendar month" sqref="E10" xr:uid="{E23C1958-1B81-43DF-BF08-6B0051ED0749}"/>
    <dataValidation allowBlank="1" showInputMessage="1" showErrorMessage="1" prompt="Weekdays are in this row, from Monday to Friday" sqref="D16" xr:uid="{2103C971-7A2A-4467-9652-3A41B1CCD223}"/>
    <dataValidation allowBlank="1" showInputMessage="1" showErrorMessage="1" prompt="Day of the week goes in this row, starting in cell D16" sqref="A16" xr:uid="{D23E747F-80FA-4382-89D1-CEEE56507692}"/>
    <dataValidation allowBlank="1" showInputMessage="1" showErrorMessage="1" prompt="Calendar year is automatically updated in this cell. To change the calendar year, to go cell D5 in Jan worksheet." sqref="D5:D6" xr:uid="{6125553C-3866-4793-8FF8-4FFF9BBEB8B5}"/>
    <dataValidation allowBlank="1" showInputMessage="1" showErrorMessage="1" prompt="Calendar automatically highlights assignment list entries for the month. Darker fonts are assignments. Lighter fonts are days that belong to the previous or next month" sqref="D4" xr:uid="{3FADD5B0-9136-4D23-B82B-9963FAB0D4D5}"/>
    <dataValidation allowBlank="1" showInputMessage="1" showErrorMessage="1" prompt="Enter the assignment details in this column that correspond to the weekday in column N and day in column O for the calendar month at left" sqref="N4" xr:uid="{40FB547D-CCD8-40D3-9494-B33840242D9F}"/>
    <dataValidation allowBlank="1" showInputMessage="1" showErrorMessage="1" prompt="Enter the time of your class and under it, in a new row, the class name for each weekday in columns D to K. Repeat this pattern for all classes in subsequent rows" sqref="D14" xr:uid="{295E8477-9952-41D6-ABB8-FA58FD9FCC71}"/>
    <dataValidation allowBlank="1" showInputMessage="1" showErrorMessage="1" prompt="If this cell doesn’t contain the number 1, then it is a day from a previous month. Cells E5:K10 contain dates for the current month" sqref="E5" xr:uid="{59715087-A237-41F8-9974-BD313AB03032}"/>
    <dataValidation allowBlank="1" showInputMessage="1" showErrorMessage="1" prompt="Cells E4:K4 contain weekdays" sqref="E4" xr:uid="{77578679-D7D1-4864-83F9-0160F184DFDA}"/>
    <dataValidation allowBlank="1" showInputMessage="1" showErrorMessage="1" prompt="July calendar. Calendar year is automatically updated based on cell D5 in Jan sheet." sqref="A1" xr:uid="{20EB2DC6-39B4-412C-99E4-CF2FF84F3F60}"/>
  </dataValidations>
  <printOptions horizontalCentered="1" verticalCentered="1"/>
  <pageMargins left="0.25" right="0.25" top="0.5" bottom="0.5" header="0.3" footer="0.3"/>
  <pageSetup scale="47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637E-335C-4D4E-B72D-79AD15DEEF7A}">
  <sheetPr>
    <tabColor theme="8" tint="0.39997558519241921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4"/>
      <c r="B1" s="4"/>
      <c r="C1" s="4"/>
      <c r="D1" s="5"/>
      <c r="E1" s="4"/>
      <c r="F1" s="4"/>
      <c r="G1" s="4"/>
      <c r="H1" s="4"/>
      <c r="I1" s="4"/>
      <c r="J1" s="4"/>
      <c r="K1" s="4"/>
      <c r="L1" s="4"/>
      <c r="M1" s="95"/>
      <c r="N1" s="7"/>
      <c r="O1" s="7"/>
      <c r="P1" s="4"/>
      <c r="Q1" s="8"/>
      <c r="R1" s="4"/>
      <c r="S1" s="4"/>
    </row>
    <row r="2" spans="1:19" ht="30" customHeight="1" thickBot="1" x14ac:dyDescent="0.3">
      <c r="A2" s="4"/>
      <c r="D2" s="10"/>
      <c r="E2" s="10"/>
      <c r="F2" s="10"/>
      <c r="G2" s="10"/>
      <c r="H2" s="10"/>
      <c r="I2" s="10"/>
      <c r="J2" s="10"/>
      <c r="K2" s="10"/>
      <c r="M2" s="65"/>
      <c r="N2"/>
      <c r="O2"/>
      <c r="S2" s="4"/>
    </row>
    <row r="3" spans="1:19" ht="30" customHeight="1" thickTop="1" thickBot="1" x14ac:dyDescent="0.35">
      <c r="A3" s="4"/>
      <c r="C3" s="14"/>
      <c r="D3" s="15"/>
      <c r="K3" s="15"/>
      <c r="L3" s="16"/>
      <c r="N3" s="117"/>
      <c r="O3" s="118"/>
      <c r="P3" s="119"/>
      <c r="Q3" s="17"/>
      <c r="S3" s="4"/>
    </row>
    <row r="4" spans="1:19" ht="35.1" customHeight="1" thickTop="1" thickBot="1" x14ac:dyDescent="0.3">
      <c r="A4" s="4"/>
      <c r="C4" s="18"/>
      <c r="D4" s="1" t="s">
        <v>22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4"/>
    </row>
    <row r="5" spans="1:19" ht="30" customHeight="1" thickTop="1" x14ac:dyDescent="0.3">
      <c r="A5" s="96"/>
      <c r="B5" s="22"/>
      <c r="C5" s="23"/>
      <c r="D5" s="157">
        <f ca="1">CalendarYear</f>
        <v>2024</v>
      </c>
      <c r="E5" s="3">
        <f ca="1">IF(DAY(AugSun1)=1,AprSun1-6,AugSun1+1)</f>
        <v>45502</v>
      </c>
      <c r="F5" s="3">
        <f ca="1">IF(DAY(AugSun1)=1,AugSun1-5,AugSun1+2)</f>
        <v>45503</v>
      </c>
      <c r="G5" s="3">
        <f ca="1">IF(DAY(AugSun1)=1,AugSun1-4,AugSun1+3)</f>
        <v>45504</v>
      </c>
      <c r="H5" s="3">
        <f ca="1">IF(DAY(AugSun1)=1,AugSun1-3,AugSun1+4)</f>
        <v>45505</v>
      </c>
      <c r="I5" s="3">
        <f ca="1">IF(DAY(AugSun1)=1,AugSun1-2,AugSun1+5)</f>
        <v>45506</v>
      </c>
      <c r="J5" s="3">
        <f ca="1">IF(DAY(AugSun1)=1,AugSun1-1,AugSun1+6)</f>
        <v>45507</v>
      </c>
      <c r="K5" s="3">
        <f ca="1">IF(DAY(AugSun1)=1,AugSun1,AugSun1+7)</f>
        <v>45508</v>
      </c>
      <c r="L5" s="25"/>
      <c r="M5" s="26"/>
      <c r="N5" s="123"/>
      <c r="O5" s="121"/>
      <c r="P5" s="121"/>
      <c r="Q5" s="124"/>
      <c r="S5" s="4"/>
    </row>
    <row r="6" spans="1:19" ht="30" customHeight="1" x14ac:dyDescent="0.3">
      <c r="A6" s="96"/>
      <c r="B6" s="22"/>
      <c r="C6" s="23"/>
      <c r="D6" s="157"/>
      <c r="E6" s="3">
        <f ca="1">IF(DAY(AugSun1)=1,AugSun1+1,AugSun1+8)</f>
        <v>45509</v>
      </c>
      <c r="F6" s="3">
        <f ca="1">IF(DAY(AugSun1)=1,AugSun1+2,AugSun1+9)</f>
        <v>45510</v>
      </c>
      <c r="G6" s="3">
        <f ca="1">IF(DAY(AugSun1)=1,AugSun1+3,AugSun1+10)</f>
        <v>45511</v>
      </c>
      <c r="H6" s="3">
        <f ca="1">IF(DAY(AugSun1)=1,AugSun1+4,AugSun1+11)</f>
        <v>45512</v>
      </c>
      <c r="I6" s="3">
        <f ca="1">IF(DAY(AugSun1)=1,AugSun1+5,AugSun1+12)</f>
        <v>45513</v>
      </c>
      <c r="J6" s="3">
        <f ca="1">IF(DAY(AugSun1)=1,AugSun1+6,AugSun1+13)</f>
        <v>45514</v>
      </c>
      <c r="K6" s="3">
        <f ca="1">IF(DAY(AugSun1)=1,AugSun1+7,AugSun1+14)</f>
        <v>45515</v>
      </c>
      <c r="L6" s="25"/>
      <c r="M6" s="27"/>
      <c r="N6" s="125"/>
      <c r="O6" s="126"/>
      <c r="P6" s="126"/>
      <c r="Q6" s="127"/>
      <c r="S6" s="4"/>
    </row>
    <row r="7" spans="1:19" ht="30" customHeight="1" thickBot="1" x14ac:dyDescent="0.3">
      <c r="A7" s="96"/>
      <c r="B7" s="22"/>
      <c r="C7" s="23"/>
      <c r="D7" s="28"/>
      <c r="E7" s="3">
        <f ca="1">IF(DAY(AugSun1)=1,AugSun1+8,AugSun1+15)</f>
        <v>45516</v>
      </c>
      <c r="F7" s="3">
        <f ca="1">IF(DAY(AugSun1)=1,AugSun1+9,AugSun1+16)</f>
        <v>45517</v>
      </c>
      <c r="G7" s="3">
        <f ca="1">IF(DAY(AugSun1)=1,AugSun1+10,AugSun1+17)</f>
        <v>45518</v>
      </c>
      <c r="H7" s="3">
        <f ca="1">IF(DAY(AugSun1)=1,AugSun1+11,AugSun1+18)</f>
        <v>45519</v>
      </c>
      <c r="I7" s="3">
        <f ca="1">IF(DAY(AugSun1)=1,AugSun1+12,AugSun1+19)</f>
        <v>45520</v>
      </c>
      <c r="J7" s="3">
        <f ca="1">IF(DAY(AugSun1)=1,AugSun1+13,AugSun1+20)</f>
        <v>45521</v>
      </c>
      <c r="K7" s="3">
        <f ca="1">IF(DAY(AugSun1)=1,AugSun1+14,AugSun1+21)</f>
        <v>45522</v>
      </c>
      <c r="L7" s="25"/>
      <c r="M7" s="27"/>
      <c r="N7" s="128" t="s">
        <v>2</v>
      </c>
      <c r="O7" s="129">
        <v>12</v>
      </c>
      <c r="P7" s="129"/>
      <c r="Q7" s="130"/>
      <c r="S7" s="4"/>
    </row>
    <row r="8" spans="1:19" ht="30" customHeight="1" thickTop="1" x14ac:dyDescent="0.3">
      <c r="A8" s="96"/>
      <c r="B8" s="22"/>
      <c r="C8" s="23"/>
      <c r="D8" s="28"/>
      <c r="E8" s="3">
        <f ca="1">IF(DAY(AugSun1)=1,AugSun1+15,AugSun1+22)</f>
        <v>45523</v>
      </c>
      <c r="F8" s="3">
        <f ca="1">IF(DAY(AugSun1)=1,AugSun1+16,AugSun1+23)</f>
        <v>45524</v>
      </c>
      <c r="G8" s="3">
        <f ca="1">IF(DAY(AugSun1)=1,AugSun1+17,AugSun1+24)</f>
        <v>45525</v>
      </c>
      <c r="H8" s="3">
        <f ca="1">IF(DAY(AugSun1)=1,AugSun1+18,AugSun1+25)</f>
        <v>45526</v>
      </c>
      <c r="I8" s="3">
        <f ca="1">IF(DAY(AugSun1)=1,AugSun1+19,AugSun1+26)</f>
        <v>45527</v>
      </c>
      <c r="J8" s="3">
        <f ca="1">IF(DAY(AugSun1)=1,AugSun1+20,AugSun1+27)</f>
        <v>45528</v>
      </c>
      <c r="K8" s="3">
        <f ca="1">IF(DAY(AugSun1)=1,AugSun1+21,AugSun1+28)</f>
        <v>45529</v>
      </c>
      <c r="L8" s="25"/>
      <c r="M8" s="27"/>
      <c r="N8" s="131"/>
      <c r="O8" s="132"/>
      <c r="P8" s="133"/>
      <c r="Q8" s="52"/>
      <c r="S8" s="4"/>
    </row>
    <row r="9" spans="1:19" ht="30" customHeight="1" x14ac:dyDescent="0.3">
      <c r="A9" s="96"/>
      <c r="B9" s="22"/>
      <c r="C9" s="23"/>
      <c r="D9" s="28"/>
      <c r="E9" s="3">
        <f ca="1">IF(DAY(AugSun1)=1,AugSun1+22,AugSun1+29)</f>
        <v>45530</v>
      </c>
      <c r="F9" s="3">
        <f ca="1">IF(DAY(AugSun1)=1,AugSun1+23,AugSun1+30)</f>
        <v>45531</v>
      </c>
      <c r="G9" s="3">
        <f ca="1">IF(DAY(AugSun1)=1,AugSun1+24,AugSun1+31)</f>
        <v>45532</v>
      </c>
      <c r="H9" s="3">
        <f ca="1">IF(DAY(AugSun1)=1,AugSun1+25,AugSun1+32)</f>
        <v>45533</v>
      </c>
      <c r="I9" s="3">
        <f ca="1">IF(DAY(AugSun1)=1,AugSun1+26,AugSun1+33)</f>
        <v>45534</v>
      </c>
      <c r="J9" s="3">
        <f ca="1">IF(DAY(AugSun1)=1,AugSun1+27,AugSun1+34)</f>
        <v>45535</v>
      </c>
      <c r="K9" s="3">
        <f ca="1">IF(DAY(AugSun1)=1,AugSun1+28,AugSun1+35)</f>
        <v>45536</v>
      </c>
      <c r="L9" s="25"/>
      <c r="M9" s="30"/>
      <c r="N9" s="134"/>
      <c r="O9" s="132"/>
      <c r="P9" s="132"/>
      <c r="Q9" s="52"/>
      <c r="S9" s="4"/>
    </row>
    <row r="10" spans="1:19" ht="30" customHeight="1" x14ac:dyDescent="0.3">
      <c r="A10" s="96"/>
      <c r="B10" s="22"/>
      <c r="C10" s="23"/>
      <c r="D10" s="28"/>
      <c r="E10" s="3">
        <f ca="1">IF(DAY(AugSun1)=1,AugSun1+29,AugSun1+36)</f>
        <v>45537</v>
      </c>
      <c r="F10" s="3">
        <f ca="1">IF(DAY(AugSun1)=1,AugSun1+30,AugSun1+37)</f>
        <v>45538</v>
      </c>
      <c r="G10" s="3">
        <f ca="1">IF(DAY(AugSun1)=1,AugSun1+31,AugSun1+38)</f>
        <v>45539</v>
      </c>
      <c r="H10" s="3">
        <f ca="1">IF(DAY(AugSun1)=1,AugSun1+32,AugSun1+39)</f>
        <v>45540</v>
      </c>
      <c r="I10" s="3">
        <f ca="1">IF(DAY(AugSun1)=1,AugSun1+33,AugSun1+40)</f>
        <v>45541</v>
      </c>
      <c r="J10" s="3">
        <f ca="1">IF(DAY(AugSun1)=1,AugSun1+34,AugSun1+41)</f>
        <v>45542</v>
      </c>
      <c r="K10" s="3">
        <f ca="1">IF(DAY(AugSun1)=1,AugSun1+35,AugSun1+42)</f>
        <v>45543</v>
      </c>
      <c r="L10" s="32"/>
      <c r="M10" s="27"/>
      <c r="N10" s="131"/>
      <c r="O10" s="132"/>
      <c r="P10" s="132"/>
      <c r="Q10" s="135"/>
      <c r="S10" s="4"/>
    </row>
    <row r="11" spans="1:19" ht="30" customHeight="1" thickBot="1" x14ac:dyDescent="0.35">
      <c r="A11" s="96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4"/>
    </row>
    <row r="12" spans="1:19" ht="30" customHeight="1" thickTop="1" thickBot="1" x14ac:dyDescent="0.3">
      <c r="A12" s="96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4"/>
    </row>
    <row r="13" spans="1:19" ht="30" customHeight="1" thickTop="1" thickBot="1" x14ac:dyDescent="0.3">
      <c r="A13" s="96"/>
      <c r="B13" s="22"/>
      <c r="C13" s="22"/>
      <c r="N13" s="128" t="s">
        <v>27</v>
      </c>
      <c r="O13" s="139">
        <v>13</v>
      </c>
      <c r="P13" s="139"/>
      <c r="Q13" s="140"/>
      <c r="S13" s="4"/>
    </row>
    <row r="14" spans="1:19" ht="30" customHeight="1" thickTop="1" thickBot="1" x14ac:dyDescent="0.35">
      <c r="A14" s="96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4"/>
    </row>
    <row r="15" spans="1:19" ht="30" customHeight="1" thickTop="1" thickBot="1" x14ac:dyDescent="0.35">
      <c r="A15" s="96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4"/>
    </row>
    <row r="16" spans="1:19" ht="30" customHeight="1" thickTop="1" thickBot="1" x14ac:dyDescent="0.35">
      <c r="A16" s="96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4"/>
    </row>
    <row r="17" spans="1:19" ht="30" customHeight="1" thickTop="1" x14ac:dyDescent="0.3">
      <c r="A17" s="97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4"/>
    </row>
    <row r="18" spans="1:19" ht="30" customHeight="1" thickBot="1" x14ac:dyDescent="0.3">
      <c r="A18" s="97"/>
      <c r="B18" s="42"/>
      <c r="C18" s="49"/>
      <c r="L18" s="50"/>
      <c r="M18" s="51"/>
      <c r="N18" s="137"/>
      <c r="O18" s="138"/>
      <c r="P18" s="138"/>
      <c r="Q18" s="52"/>
      <c r="S18" s="4"/>
    </row>
    <row r="19" spans="1:19" ht="30" customHeight="1" thickTop="1" thickBot="1" x14ac:dyDescent="0.35">
      <c r="A19" s="97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14</v>
      </c>
      <c r="P19" s="139"/>
      <c r="Q19" s="130"/>
      <c r="S19" s="4"/>
    </row>
    <row r="20" spans="1:19" ht="30" customHeight="1" thickTop="1" thickBot="1" x14ac:dyDescent="0.35">
      <c r="A20" s="97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4"/>
    </row>
    <row r="21" spans="1:19" ht="30" customHeight="1" thickTop="1" thickBot="1" x14ac:dyDescent="0.35">
      <c r="A21" s="97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4"/>
    </row>
    <row r="22" spans="1:19" ht="30" customHeight="1" thickTop="1" thickBot="1" x14ac:dyDescent="0.35">
      <c r="A22" s="97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4"/>
    </row>
    <row r="23" spans="1:19" ht="30" customHeight="1" thickTop="1" x14ac:dyDescent="0.3">
      <c r="A23" s="97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4"/>
    </row>
    <row r="24" spans="1:19" ht="30" customHeight="1" thickBot="1" x14ac:dyDescent="0.35">
      <c r="A24" s="97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4"/>
    </row>
    <row r="25" spans="1:19" ht="30" customHeight="1" thickTop="1" thickBot="1" x14ac:dyDescent="0.35">
      <c r="A25" s="97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15</v>
      </c>
      <c r="P25" s="139"/>
      <c r="Q25" s="130"/>
      <c r="S25" s="4"/>
    </row>
    <row r="26" spans="1:19" ht="30" customHeight="1" thickTop="1" thickBot="1" x14ac:dyDescent="0.35">
      <c r="A26" s="97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4"/>
    </row>
    <row r="27" spans="1:19" ht="30" customHeight="1" thickTop="1" thickBot="1" x14ac:dyDescent="0.35">
      <c r="A27" s="97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4"/>
    </row>
    <row r="28" spans="1:19" ht="30" customHeight="1" thickTop="1" thickBot="1" x14ac:dyDescent="0.35">
      <c r="A28" s="97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4"/>
    </row>
    <row r="29" spans="1:19" ht="30" customHeight="1" thickTop="1" x14ac:dyDescent="0.3">
      <c r="A29" s="97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4"/>
    </row>
    <row r="30" spans="1:19" ht="30" customHeight="1" thickBot="1" x14ac:dyDescent="0.35">
      <c r="A30" s="97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4"/>
    </row>
    <row r="31" spans="1:19" ht="30" customHeight="1" thickTop="1" thickBot="1" x14ac:dyDescent="0.35">
      <c r="A31" s="97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16</v>
      </c>
      <c r="P31" s="139"/>
      <c r="Q31" s="130"/>
      <c r="S31" s="4"/>
    </row>
    <row r="32" spans="1:19" ht="30" customHeight="1" thickTop="1" thickBot="1" x14ac:dyDescent="0.35">
      <c r="A32" s="97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4"/>
    </row>
    <row r="33" spans="1:19" ht="30" customHeight="1" thickTop="1" thickBot="1" x14ac:dyDescent="0.35">
      <c r="A33" s="97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4"/>
    </row>
    <row r="34" spans="1:19" ht="30" customHeight="1" thickTop="1" thickBot="1" x14ac:dyDescent="0.35">
      <c r="A34" s="97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4"/>
    </row>
    <row r="35" spans="1:19" ht="30" customHeight="1" thickTop="1" x14ac:dyDescent="0.3">
      <c r="A35" s="97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4"/>
    </row>
    <row r="36" spans="1:19" ht="30" customHeight="1" x14ac:dyDescent="0.3">
      <c r="A36" s="97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4"/>
    </row>
    <row r="37" spans="1:19" ht="30" customHeight="1" thickBot="1" x14ac:dyDescent="0.35">
      <c r="A37" s="97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4"/>
    </row>
    <row r="38" spans="1:19" ht="30" customHeight="1" thickTop="1" x14ac:dyDescent="0.25">
      <c r="A38" s="4"/>
      <c r="S38" s="4"/>
    </row>
    <row r="39" spans="1:19" ht="30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95"/>
      <c r="N39" s="7"/>
      <c r="O39" s="7"/>
      <c r="P39" s="4"/>
      <c r="Q39" s="8"/>
      <c r="R39" s="4"/>
      <c r="S39" s="4"/>
    </row>
  </sheetData>
  <dataConsolidate/>
  <mergeCells count="64">
    <mergeCell ref="G36:H36"/>
    <mergeCell ref="E36:F36"/>
    <mergeCell ref="I36:J36"/>
    <mergeCell ref="G31:H31"/>
    <mergeCell ref="E34:F34"/>
    <mergeCell ref="G34:H34"/>
    <mergeCell ref="I34:J34"/>
    <mergeCell ref="G35:H35"/>
    <mergeCell ref="E32:F32"/>
    <mergeCell ref="I32:J32"/>
    <mergeCell ref="E33:F33"/>
    <mergeCell ref="G33:H33"/>
    <mergeCell ref="I33:J33"/>
    <mergeCell ref="G32:H32"/>
    <mergeCell ref="D5:D6"/>
    <mergeCell ref="D14:K14"/>
    <mergeCell ref="D16:D17"/>
    <mergeCell ref="E16:F17"/>
    <mergeCell ref="G16:H17"/>
    <mergeCell ref="I16:J17"/>
    <mergeCell ref="K16:K17"/>
    <mergeCell ref="E19:F19"/>
    <mergeCell ref="G19:H19"/>
    <mergeCell ref="I19:J19"/>
    <mergeCell ref="G20:H20"/>
    <mergeCell ref="E21:F21"/>
    <mergeCell ref="I21:J21"/>
    <mergeCell ref="E20:F20"/>
    <mergeCell ref="I20:J20"/>
    <mergeCell ref="G21:H21"/>
    <mergeCell ref="E25:F25"/>
    <mergeCell ref="E22:F22"/>
    <mergeCell ref="I22:J22"/>
    <mergeCell ref="G23:H23"/>
    <mergeCell ref="G24:H24"/>
    <mergeCell ref="G25:H25"/>
    <mergeCell ref="I25:J25"/>
    <mergeCell ref="G22:H22"/>
    <mergeCell ref="E23:F23"/>
    <mergeCell ref="I23:J23"/>
    <mergeCell ref="E24:F24"/>
    <mergeCell ref="I24:J24"/>
    <mergeCell ref="E26:F26"/>
    <mergeCell ref="G26:H26"/>
    <mergeCell ref="I26:J26"/>
    <mergeCell ref="E27:F27"/>
    <mergeCell ref="G27:H27"/>
    <mergeCell ref="I27:J27"/>
    <mergeCell ref="E37:F37"/>
    <mergeCell ref="G37:H37"/>
    <mergeCell ref="I37:J37"/>
    <mergeCell ref="E28:F28"/>
    <mergeCell ref="G28:H28"/>
    <mergeCell ref="I28:J28"/>
    <mergeCell ref="E35:F35"/>
    <mergeCell ref="I35:J35"/>
    <mergeCell ref="E29:F29"/>
    <mergeCell ref="G29:H29"/>
    <mergeCell ref="I29:J29"/>
    <mergeCell ref="E30:F30"/>
    <mergeCell ref="G30:H30"/>
    <mergeCell ref="I30:J30"/>
    <mergeCell ref="E31:F31"/>
    <mergeCell ref="I31:J31"/>
  </mergeCells>
  <conditionalFormatting sqref="D19:K36">
    <cfRule type="expression" dxfId="44" priority="1">
      <formula>D19&lt;&gt;""</formula>
    </cfRule>
  </conditionalFormatting>
  <conditionalFormatting sqref="D37:K37">
    <cfRule type="expression" dxfId="43" priority="7">
      <formula>D37&lt;&gt;""</formula>
    </cfRule>
    <cfRule type="expression" dxfId="42" priority="11">
      <formula>COLUMN(#REF!)&gt;2</formula>
    </cfRule>
  </conditionalFormatting>
  <conditionalFormatting sqref="D37:K39">
    <cfRule type="expression" dxfId="41" priority="8">
      <formula>D37&lt;&gt;""</formula>
    </cfRule>
  </conditionalFormatting>
  <conditionalFormatting sqref="E5:J5">
    <cfRule type="expression" dxfId="40" priority="3" stopIfTrue="1">
      <formula>DAY(E5)&gt;8</formula>
    </cfRule>
  </conditionalFormatting>
  <conditionalFormatting sqref="E5:K10">
    <cfRule type="expression" dxfId="39" priority="4">
      <formula>VLOOKUP(DAY(E5),$O:$O,1,FALSE)=DAY(E5)</formula>
    </cfRule>
  </conditionalFormatting>
  <conditionalFormatting sqref="E9:K10">
    <cfRule type="expression" dxfId="38" priority="2" stopIfTrue="1">
      <formula>AND(DAY(E9)&gt;=1,DAY(E9)&lt;=15)</formula>
    </cfRule>
  </conditionalFormatting>
  <conditionalFormatting sqref="M6:M11">
    <cfRule type="expression" dxfId="37" priority="10">
      <formula>VLOOKUP(DAY(M6),AssignmentDays,1,FALSE)=DAY(M6)</formula>
    </cfRule>
  </conditionalFormatting>
  <conditionalFormatting sqref="M10:M11">
    <cfRule type="expression" dxfId="36" priority="9" stopIfTrue="1">
      <formula>AND(DAY(M10)&gt;=1,DAY(M10)&lt;=15)</formula>
    </cfRule>
  </conditionalFormatting>
  <dataValidations count="10">
    <dataValidation allowBlank="1" showInputMessage="1" showErrorMessage="1" prompt="Day of the week goes in this row, starting in cell D16" sqref="A16" xr:uid="{0BEBA9E9-4852-47EB-948C-4CD4612DB605}"/>
    <dataValidation allowBlank="1" showInputMessage="1" showErrorMessage="1" prompt="Weekdays are in this row, from Monday to Friday" sqref="D16" xr:uid="{E6ECAC58-EE75-4C70-80E4-F8A3D84DDE81}"/>
    <dataValidation allowBlank="1" showInputMessage="1" showErrorMessage="1" prompt="If this row contains a number less than the previous number or row of numbers, then this row contains dates for the next calendar month" sqref="E10" xr:uid="{4417EADB-0CA5-46A7-AE8C-0407891CB088}"/>
    <dataValidation allowBlank="1" showInputMessage="1" showErrorMessage="1" prompt="Calendar year is automatically updated in this cell. To change the calendar year, to go cell D5 in Jan worksheet." sqref="D5:D6" xr:uid="{39AF9F13-0D80-41AF-8C42-746D443523D3}"/>
    <dataValidation allowBlank="1" showInputMessage="1" showErrorMessage="1" prompt="August calendar. Calendar year is automatically updated based on cell D5 in Jan sheet." sqref="A1" xr:uid="{E55296C8-D704-4A22-AFF8-64EFBA385455}"/>
    <dataValidation allowBlank="1" showInputMessage="1" showErrorMessage="1" prompt="Cells E4:K4 contain weekdays" sqref="E4" xr:uid="{F4C017E6-C43B-49AC-BF32-FBB461CB8CC6}"/>
    <dataValidation allowBlank="1" showInputMessage="1" showErrorMessage="1" prompt="If this cell doesn’t contain the number 1, then it is a day from a previous month. Cells E5:K10 contain dates for the current month" sqref="E5" xr:uid="{7BB9F56E-851C-461D-8FB7-D6F20D14E252}"/>
    <dataValidation allowBlank="1" showInputMessage="1" showErrorMessage="1" prompt="Enter the time of your class and under it, in a new row, the class name for each weekday in columns D to K. Repeat this pattern for all classes in subsequent rows" sqref="D14" xr:uid="{B3B17D6F-E04D-4E19-8103-BF6A6A0305C2}"/>
    <dataValidation allowBlank="1" showInputMessage="1" showErrorMessage="1" prompt="Enter the assignment details in this column that correspond to the weekday in column N and day in column O for the calendar month at left" sqref="N4" xr:uid="{3FCA247D-1A8E-48C4-A365-53ED8892141C}"/>
    <dataValidation allowBlank="1" showInputMessage="1" showErrorMessage="1" prompt="Calendar automatically highlights assignment list entries for the month. Darker fonts are assignments. Lighter fonts are days that belong to the previous or next month" sqref="D4" xr:uid="{E0483230-318D-4E70-B52F-F8630A5EF4E3}"/>
  </dataValidations>
  <printOptions horizontalCentered="1" verticalCentered="1"/>
  <pageMargins left="0.25" right="0.25" top="0.5" bottom="0.5" header="0.3" footer="0.3"/>
  <pageSetup scale="47" orientation="landscape" r:id="rId1"/>
</worksheet>
</file>

<file path=xl/worksheets/sheet9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FA36-7922-479C-AD0D-17809A65803B}">
  <sheetPr>
    <tabColor theme="7" tint="0.39997558519241921"/>
    <pageSetUpPr fitToPage="1"/>
  </sheetPr>
  <dimension ref="A1:S39"/>
  <sheetViews>
    <sheetView showGridLines="0" zoomScaleNormal="100" zoomScalePageLayoutView="84" workbookViewId="0"/>
  </sheetViews>
  <sheetFormatPr defaultColWidth="8.59765625" defaultRowHeight="30" customHeight="1" x14ac:dyDescent="0.25"/>
  <cols>
    <col min="1" max="2" width="5.59765625" customWidth="1"/>
    <col min="3" max="3" width="2.59765625" customWidth="1"/>
    <col min="4" max="4" width="24.59765625" customWidth="1"/>
    <col min="5" max="10" width="12.59765625" customWidth="1"/>
    <col min="11" max="11" width="24.59765625" customWidth="1"/>
    <col min="12" max="12" width="2.59765625" customWidth="1"/>
    <col min="13" max="13" width="5.59765625" style="11" customWidth="1"/>
    <col min="14" max="14" width="12.59765625" style="61" customWidth="1"/>
    <col min="15" max="15" width="5.59765625" style="61" customWidth="1"/>
    <col min="16" max="16" width="2.59765625" customWidth="1"/>
    <col min="17" max="17" width="70.59765625" style="12" customWidth="1"/>
    <col min="18" max="19" width="5.59765625" customWidth="1"/>
  </cols>
  <sheetData>
    <row r="1" spans="1:19" ht="30" customHeight="1" x14ac:dyDescent="0.25">
      <c r="A1" s="87"/>
      <c r="B1" s="87"/>
      <c r="C1" s="87"/>
      <c r="D1" s="88"/>
      <c r="E1" s="87"/>
      <c r="F1" s="87"/>
      <c r="G1" s="87"/>
      <c r="H1" s="87"/>
      <c r="I1" s="87"/>
      <c r="J1" s="87"/>
      <c r="K1" s="87"/>
      <c r="L1" s="87"/>
      <c r="M1" s="87"/>
      <c r="N1" s="89"/>
      <c r="O1" s="89"/>
      <c r="P1" s="87"/>
      <c r="Q1" s="90"/>
      <c r="R1" s="87"/>
      <c r="S1" s="87"/>
    </row>
    <row r="2" spans="1:19" ht="30" customHeight="1" thickBot="1" x14ac:dyDescent="0.3">
      <c r="A2" s="87"/>
      <c r="D2" s="10"/>
      <c r="E2" s="10"/>
      <c r="F2" s="10"/>
      <c r="G2" s="10"/>
      <c r="H2" s="10"/>
      <c r="I2" s="10"/>
      <c r="J2" s="10"/>
      <c r="K2" s="10"/>
      <c r="M2" s="91"/>
      <c r="N2"/>
      <c r="O2"/>
      <c r="S2" s="87"/>
    </row>
    <row r="3" spans="1:19" ht="30" customHeight="1" thickTop="1" thickBot="1" x14ac:dyDescent="0.35">
      <c r="A3" s="87"/>
      <c r="C3" s="14"/>
      <c r="D3" s="15"/>
      <c r="K3" s="15"/>
      <c r="L3" s="16"/>
      <c r="N3" s="117"/>
      <c r="O3" s="118"/>
      <c r="P3" s="119"/>
      <c r="Q3" s="17"/>
      <c r="S3" s="87"/>
    </row>
    <row r="4" spans="1:19" ht="35.1" customHeight="1" thickTop="1" thickBot="1" x14ac:dyDescent="0.3">
      <c r="A4" s="87"/>
      <c r="C4" s="18"/>
      <c r="D4" s="1" t="s">
        <v>23</v>
      </c>
      <c r="E4" s="19" t="s">
        <v>2</v>
      </c>
      <c r="F4" s="19" t="s">
        <v>27</v>
      </c>
      <c r="G4" s="19" t="s">
        <v>6</v>
      </c>
      <c r="H4" s="19" t="s">
        <v>28</v>
      </c>
      <c r="I4" s="19" t="s">
        <v>8</v>
      </c>
      <c r="J4" s="19" t="s">
        <v>30</v>
      </c>
      <c r="K4" s="19" t="s">
        <v>31</v>
      </c>
      <c r="L4" s="20"/>
      <c r="N4" s="120" t="s">
        <v>1</v>
      </c>
      <c r="O4" s="121"/>
      <c r="P4" s="121"/>
      <c r="Q4" s="122"/>
      <c r="S4" s="87"/>
    </row>
    <row r="5" spans="1:19" ht="30" customHeight="1" thickTop="1" x14ac:dyDescent="0.3">
      <c r="A5" s="92"/>
      <c r="B5" s="22"/>
      <c r="C5" s="23"/>
      <c r="D5" s="157">
        <f ca="1">CalendarYear</f>
        <v>2024</v>
      </c>
      <c r="E5" s="3">
        <f ca="1">IF(DAY(SepSun1)=1,SepSun1-6,SepSun1+1)</f>
        <v>45530</v>
      </c>
      <c r="F5" s="3">
        <f ca="1">IF(DAY(SepSun1)=1,SepSun1-5,SepSun1+2)</f>
        <v>45531</v>
      </c>
      <c r="G5" s="3">
        <f ca="1">IF(DAY(SepSun1)=1,SepSun1-4,SepSun1+3)</f>
        <v>45532</v>
      </c>
      <c r="H5" s="3">
        <f ca="1">IF(DAY(SepSun1)=1,SepSun1-3,SepSun1+4)</f>
        <v>45533</v>
      </c>
      <c r="I5" s="3">
        <f ca="1">IF(DAY(SepSun1)=1,SepSun1-2,SepSun1+5)</f>
        <v>45534</v>
      </c>
      <c r="J5" s="3">
        <f ca="1">IF(DAY(SepSun1)=1,SepSun1-1,SepSun1+6)</f>
        <v>45535</v>
      </c>
      <c r="K5" s="3">
        <f ca="1">IF(DAY(SepSun1)=1,SepSun1,SepSun1+7)</f>
        <v>45536</v>
      </c>
      <c r="L5" s="25"/>
      <c r="M5" s="26"/>
      <c r="N5" s="123"/>
      <c r="O5" s="121"/>
      <c r="P5" s="121"/>
      <c r="Q5" s="124"/>
      <c r="S5" s="87"/>
    </row>
    <row r="6" spans="1:19" ht="30" customHeight="1" x14ac:dyDescent="0.3">
      <c r="A6" s="92"/>
      <c r="B6" s="22"/>
      <c r="C6" s="23"/>
      <c r="D6" s="157"/>
      <c r="E6" s="3">
        <f ca="1">IF(DAY(SepSun1)=1,SepSun1+1,SepSun1+8)</f>
        <v>45537</v>
      </c>
      <c r="F6" s="3">
        <f ca="1">IF(DAY(SepSun1)=1,SepSun1+2,SepSun1+9)</f>
        <v>45538</v>
      </c>
      <c r="G6" s="3">
        <f ca="1">IF(DAY(SepSun1)=1,SepSun1+3,SepSun1+10)</f>
        <v>45539</v>
      </c>
      <c r="H6" s="3">
        <f ca="1">IF(DAY(SepSun1)=1,SepSun1+4,SepSun1+11)</f>
        <v>45540</v>
      </c>
      <c r="I6" s="3">
        <f ca="1">IF(DAY(SepSun1)=1,SepSun1+5,SepSun1+12)</f>
        <v>45541</v>
      </c>
      <c r="J6" s="3">
        <f ca="1">IF(DAY(SepSun1)=1,SepSun1+6,SepSun1+13)</f>
        <v>45542</v>
      </c>
      <c r="K6" s="3">
        <f ca="1">IF(DAY(SepSun1)=1,SepSun1+7,SepSun1+14)</f>
        <v>45543</v>
      </c>
      <c r="L6" s="25"/>
      <c r="M6" s="27"/>
      <c r="N6" s="125"/>
      <c r="O6" s="126"/>
      <c r="P6" s="126"/>
      <c r="Q6" s="127"/>
      <c r="S6" s="87"/>
    </row>
    <row r="7" spans="1:19" ht="30" customHeight="1" thickBot="1" x14ac:dyDescent="0.3">
      <c r="A7" s="92"/>
      <c r="B7" s="22"/>
      <c r="C7" s="23"/>
      <c r="D7" s="28"/>
      <c r="E7" s="3">
        <f ca="1">IF(DAY(SepSun1)=1,SepSun1+8,SepSun1+15)</f>
        <v>45544</v>
      </c>
      <c r="F7" s="3">
        <f ca="1">IF(DAY(SepSun1)=1,SepSun1+9,SepSun1+16)</f>
        <v>45545</v>
      </c>
      <c r="G7" s="3">
        <f ca="1">IF(DAY(SepSun1)=1,SepSun1+10,SepSun1+17)</f>
        <v>45546</v>
      </c>
      <c r="H7" s="3">
        <f ca="1">IF(DAY(SepSun1)=1,SepSun1+11,SepSun1+18)</f>
        <v>45547</v>
      </c>
      <c r="I7" s="3">
        <f ca="1">IF(DAY(SepSun1)=1,SepSun1+12,SepSun1+19)</f>
        <v>45548</v>
      </c>
      <c r="J7" s="3">
        <f ca="1">IF(DAY(SepSun1)=1,SepSun1+13,SepSun1+20)</f>
        <v>45549</v>
      </c>
      <c r="K7" s="3">
        <f ca="1">IF(DAY(SepSun1)=1,SepSun1+14,SepSun1+21)</f>
        <v>45550</v>
      </c>
      <c r="L7" s="25"/>
      <c r="M7" s="27"/>
      <c r="N7" s="128" t="s">
        <v>2</v>
      </c>
      <c r="O7" s="129">
        <v>9</v>
      </c>
      <c r="P7" s="129"/>
      <c r="Q7" s="130"/>
      <c r="S7" s="87"/>
    </row>
    <row r="8" spans="1:19" ht="30" customHeight="1" thickTop="1" x14ac:dyDescent="0.3">
      <c r="A8" s="92"/>
      <c r="B8" s="22"/>
      <c r="C8" s="23"/>
      <c r="D8" s="28"/>
      <c r="E8" s="3">
        <f ca="1">IF(DAY(SepSun1)=1,SepSun1+15,SepSun1+22)</f>
        <v>45551</v>
      </c>
      <c r="F8" s="3">
        <f ca="1">IF(DAY(SepSun1)=1,SepSun1+16,SepSun1+23)</f>
        <v>45552</v>
      </c>
      <c r="G8" s="3">
        <f ca="1">IF(DAY(SepSun1)=1,SepSun1+17,SepSun1+24)</f>
        <v>45553</v>
      </c>
      <c r="H8" s="3">
        <f ca="1">IF(DAY(SepSun1)=1,SepSun1+18,SepSun1+25)</f>
        <v>45554</v>
      </c>
      <c r="I8" s="3">
        <f ca="1">IF(DAY(SepSun1)=1,SepSun1+19,SepSun1+26)</f>
        <v>45555</v>
      </c>
      <c r="J8" s="3">
        <f ca="1">IF(DAY(SepSun1)=1,SepSun1+20,SepSun1+27)</f>
        <v>45556</v>
      </c>
      <c r="K8" s="3">
        <f ca="1">IF(DAY(SepSun1)=1,SepSun1+21,SepSun1+28)</f>
        <v>45557</v>
      </c>
      <c r="L8" s="25"/>
      <c r="M8" s="27"/>
      <c r="N8" s="131"/>
      <c r="O8" s="132"/>
      <c r="P8" s="133"/>
      <c r="Q8" s="52"/>
      <c r="S8" s="87"/>
    </row>
    <row r="9" spans="1:19" ht="30" customHeight="1" x14ac:dyDescent="0.3">
      <c r="A9" s="92"/>
      <c r="B9" s="22"/>
      <c r="C9" s="23"/>
      <c r="D9" s="28"/>
      <c r="E9" s="3">
        <f ca="1">IF(DAY(SepSun1)=1,SepSun1+22,SepSun1+29)</f>
        <v>45558</v>
      </c>
      <c r="F9" s="3">
        <f ca="1">IF(DAY(SepSun1)=1,SepSun1+23,SepSun1+30)</f>
        <v>45559</v>
      </c>
      <c r="G9" s="3">
        <f ca="1">IF(DAY(SepSun1)=1,SepSun1+24,SepSun1+31)</f>
        <v>45560</v>
      </c>
      <c r="H9" s="3">
        <f ca="1">IF(DAY(SepSun1)=1,SepSun1+25,SepSun1+32)</f>
        <v>45561</v>
      </c>
      <c r="I9" s="3">
        <f ca="1">IF(DAY(SepSun1)=1,SepSun1+26,SepSun1+33)</f>
        <v>45562</v>
      </c>
      <c r="J9" s="3">
        <f ca="1">IF(DAY(SepSun1)=1,SepSun1+27,SepSun1+34)</f>
        <v>45563</v>
      </c>
      <c r="K9" s="3">
        <f ca="1">IF(DAY(SepSun1)=1,SepSun1+28,SepSun1+35)</f>
        <v>45564</v>
      </c>
      <c r="L9" s="25"/>
      <c r="M9" s="30"/>
      <c r="N9" s="134"/>
      <c r="O9" s="132"/>
      <c r="P9" s="132"/>
      <c r="Q9" s="52"/>
      <c r="S9" s="87"/>
    </row>
    <row r="10" spans="1:19" ht="30" customHeight="1" x14ac:dyDescent="0.3">
      <c r="A10" s="92"/>
      <c r="B10" s="22"/>
      <c r="C10" s="23"/>
      <c r="D10" s="28"/>
      <c r="E10" s="3">
        <f ca="1">IF(DAY(SepSun1)=1,SepSun1+29,SepSun1+36)</f>
        <v>45565</v>
      </c>
      <c r="F10" s="3">
        <f ca="1">IF(DAY(SepSun1)=1,SepSun1+30,SepSun1+37)</f>
        <v>45566</v>
      </c>
      <c r="G10" s="3">
        <f ca="1">IF(DAY(SepSun1)=1,SepSun1+31,SepSun1+38)</f>
        <v>45567</v>
      </c>
      <c r="H10" s="3">
        <f ca="1">IF(DAY(SepSun1)=1,SepSun1+32,SepSun1+39)</f>
        <v>45568</v>
      </c>
      <c r="I10" s="3">
        <f ca="1">IF(DAY(SepSun1)=1,SepSun1+33,SepSun1+40)</f>
        <v>45569</v>
      </c>
      <c r="J10" s="3">
        <f ca="1">IF(DAY(SepSun1)=1,SepSun1+34,SepSun1+41)</f>
        <v>45570</v>
      </c>
      <c r="K10" s="3">
        <f ca="1">IF(DAY(SepSun1)=1,SepSun1+35,SepSun1+42)</f>
        <v>45571</v>
      </c>
      <c r="L10" s="32"/>
      <c r="M10" s="27"/>
      <c r="N10" s="131"/>
      <c r="O10" s="132"/>
      <c r="P10" s="132"/>
      <c r="Q10" s="135"/>
      <c r="S10" s="87"/>
    </row>
    <row r="11" spans="1:19" ht="30" customHeight="1" thickBot="1" x14ac:dyDescent="0.35">
      <c r="A11" s="92"/>
      <c r="B11" s="22"/>
      <c r="C11" s="33"/>
      <c r="D11" s="10"/>
      <c r="K11" s="10"/>
      <c r="L11" s="34"/>
      <c r="M11" s="35"/>
      <c r="N11" s="131"/>
      <c r="O11" s="132"/>
      <c r="P11" s="132"/>
      <c r="Q11" s="136"/>
      <c r="S11" s="87"/>
    </row>
    <row r="12" spans="1:19" ht="30" customHeight="1" thickTop="1" thickBot="1" x14ac:dyDescent="0.3">
      <c r="A12" s="92"/>
      <c r="B12" s="22"/>
      <c r="C12" s="22"/>
      <c r="D12" s="36"/>
      <c r="E12" s="15"/>
      <c r="F12" s="15"/>
      <c r="G12" s="15"/>
      <c r="H12" s="15"/>
      <c r="I12" s="15"/>
      <c r="J12" s="15"/>
      <c r="K12" s="15"/>
      <c r="N12" s="137"/>
      <c r="O12" s="138"/>
      <c r="P12" s="138"/>
      <c r="Q12" s="52"/>
      <c r="S12" s="87"/>
    </row>
    <row r="13" spans="1:19" ht="30" customHeight="1" thickTop="1" thickBot="1" x14ac:dyDescent="0.3">
      <c r="A13" s="92"/>
      <c r="B13" s="22"/>
      <c r="C13" s="22"/>
      <c r="N13" s="128" t="s">
        <v>27</v>
      </c>
      <c r="O13" s="139">
        <v>10</v>
      </c>
      <c r="P13" s="139"/>
      <c r="Q13" s="140"/>
      <c r="S13" s="87"/>
    </row>
    <row r="14" spans="1:19" ht="30" customHeight="1" thickTop="1" thickBot="1" x14ac:dyDescent="0.35">
      <c r="A14" s="92"/>
      <c r="B14" s="22"/>
      <c r="C14" s="22"/>
      <c r="D14" s="165" t="s">
        <v>5</v>
      </c>
      <c r="E14" s="166"/>
      <c r="F14" s="166"/>
      <c r="G14" s="166"/>
      <c r="H14" s="166"/>
      <c r="I14" s="166"/>
      <c r="J14" s="166"/>
      <c r="K14" s="166"/>
      <c r="L14" s="38"/>
      <c r="M14" s="39"/>
      <c r="N14" s="131"/>
      <c r="O14" s="132"/>
      <c r="P14" s="133"/>
      <c r="Q14" s="52"/>
      <c r="S14" s="87"/>
    </row>
    <row r="15" spans="1:19" ht="30" customHeight="1" thickTop="1" thickBot="1" x14ac:dyDescent="0.35">
      <c r="A15" s="92"/>
      <c r="B15" s="22"/>
      <c r="C15" s="22"/>
      <c r="D15" s="40"/>
      <c r="E15" s="40"/>
      <c r="F15" s="40"/>
      <c r="G15" s="40"/>
      <c r="H15" s="40"/>
      <c r="I15" s="40"/>
      <c r="J15" s="40"/>
      <c r="K15" s="40"/>
      <c r="L15" s="40"/>
      <c r="M15" s="39"/>
      <c r="N15" s="131"/>
      <c r="O15" s="132"/>
      <c r="P15" s="133"/>
      <c r="Q15" s="52"/>
      <c r="S15" s="87"/>
    </row>
    <row r="16" spans="1:19" ht="30" customHeight="1" thickTop="1" thickBot="1" x14ac:dyDescent="0.35">
      <c r="A16" s="93"/>
      <c r="B16" s="42"/>
      <c r="C16" s="43"/>
      <c r="D16" s="158" t="s">
        <v>2</v>
      </c>
      <c r="E16" s="160" t="s">
        <v>4</v>
      </c>
      <c r="F16" s="160"/>
      <c r="G16" s="160" t="s">
        <v>6</v>
      </c>
      <c r="H16" s="160"/>
      <c r="I16" s="160" t="s">
        <v>7</v>
      </c>
      <c r="J16" s="160"/>
      <c r="K16" s="155" t="s">
        <v>8</v>
      </c>
      <c r="L16" s="44"/>
      <c r="M16" s="45"/>
      <c r="N16" s="131"/>
      <c r="O16" s="132"/>
      <c r="P16" s="133"/>
      <c r="Q16" s="52"/>
      <c r="S16" s="87"/>
    </row>
    <row r="17" spans="1:19" ht="30" customHeight="1" thickTop="1" x14ac:dyDescent="0.3">
      <c r="A17" s="93"/>
      <c r="B17" s="42"/>
      <c r="C17" s="47"/>
      <c r="D17" s="159"/>
      <c r="E17" s="161"/>
      <c r="F17" s="161"/>
      <c r="G17" s="161"/>
      <c r="H17" s="161"/>
      <c r="I17" s="161"/>
      <c r="J17" s="161"/>
      <c r="K17" s="156"/>
      <c r="L17" s="48"/>
      <c r="N17" s="131"/>
      <c r="O17" s="132"/>
      <c r="P17" s="141"/>
      <c r="Q17" s="52"/>
      <c r="S17" s="87"/>
    </row>
    <row r="18" spans="1:19" ht="30" customHeight="1" thickBot="1" x14ac:dyDescent="0.3">
      <c r="A18" s="93"/>
      <c r="B18" s="42"/>
      <c r="C18" s="49"/>
      <c r="L18" s="50"/>
      <c r="M18" s="51"/>
      <c r="N18" s="137"/>
      <c r="O18" s="138"/>
      <c r="P18" s="138"/>
      <c r="Q18" s="52"/>
      <c r="S18" s="87"/>
    </row>
    <row r="19" spans="1:19" ht="30" customHeight="1" thickTop="1" thickBot="1" x14ac:dyDescent="0.35">
      <c r="A19" s="93"/>
      <c r="B19" s="42"/>
      <c r="C19" s="49"/>
      <c r="D19" s="53" t="s">
        <v>9</v>
      </c>
      <c r="E19" s="163"/>
      <c r="F19" s="163"/>
      <c r="G19" s="163">
        <v>0.33333333333333331</v>
      </c>
      <c r="H19" s="163"/>
      <c r="I19" s="163"/>
      <c r="J19" s="163"/>
      <c r="K19" s="53" t="s">
        <v>9</v>
      </c>
      <c r="L19" s="54"/>
      <c r="N19" s="128" t="s">
        <v>6</v>
      </c>
      <c r="O19" s="139">
        <v>11</v>
      </c>
      <c r="P19" s="139"/>
      <c r="Q19" s="130"/>
      <c r="S19" s="87"/>
    </row>
    <row r="20" spans="1:19" ht="30" customHeight="1" thickTop="1" thickBot="1" x14ac:dyDescent="0.35">
      <c r="A20" s="93"/>
      <c r="B20" s="42"/>
      <c r="C20" s="49"/>
      <c r="D20" s="55" t="s">
        <v>10</v>
      </c>
      <c r="E20" s="162"/>
      <c r="F20" s="162"/>
      <c r="G20" s="162" t="s">
        <v>10</v>
      </c>
      <c r="H20" s="162"/>
      <c r="I20" s="162"/>
      <c r="J20" s="162"/>
      <c r="K20" s="55" t="s">
        <v>10</v>
      </c>
      <c r="L20" s="56"/>
      <c r="N20" s="142"/>
      <c r="O20" s="133"/>
      <c r="P20" s="133"/>
      <c r="Q20" s="52"/>
      <c r="S20" s="87"/>
    </row>
    <row r="21" spans="1:19" ht="30" customHeight="1" thickTop="1" thickBot="1" x14ac:dyDescent="0.35">
      <c r="A21" s="93"/>
      <c r="B21" s="42"/>
      <c r="C21" s="49"/>
      <c r="D21" s="53"/>
      <c r="E21" s="163" t="s">
        <v>11</v>
      </c>
      <c r="F21" s="163"/>
      <c r="G21" s="163"/>
      <c r="H21" s="163"/>
      <c r="I21" s="163" t="s">
        <v>11</v>
      </c>
      <c r="J21" s="163"/>
      <c r="K21" s="53"/>
      <c r="L21" s="54"/>
      <c r="N21" s="143"/>
      <c r="O21" s="133"/>
      <c r="P21" s="144"/>
      <c r="Q21" s="52"/>
      <c r="S21" s="87"/>
    </row>
    <row r="22" spans="1:19" ht="30" customHeight="1" thickTop="1" thickBot="1" x14ac:dyDescent="0.35">
      <c r="A22" s="93"/>
      <c r="B22" s="42"/>
      <c r="C22" s="49"/>
      <c r="D22" s="55"/>
      <c r="E22" s="162" t="s">
        <v>12</v>
      </c>
      <c r="F22" s="162"/>
      <c r="G22" s="162"/>
      <c r="H22" s="162"/>
      <c r="I22" s="162" t="s">
        <v>12</v>
      </c>
      <c r="J22" s="162"/>
      <c r="K22" s="55"/>
      <c r="L22" s="56"/>
      <c r="N22" s="143"/>
      <c r="O22" s="133"/>
      <c r="P22" s="133"/>
      <c r="Q22" s="52"/>
      <c r="S22" s="87"/>
    </row>
    <row r="23" spans="1:19" ht="30" customHeight="1" thickTop="1" x14ac:dyDescent="0.3">
      <c r="A23" s="93"/>
      <c r="B23" s="42"/>
      <c r="C23" s="49"/>
      <c r="D23" s="53">
        <v>0.41666666666666669</v>
      </c>
      <c r="E23" s="163"/>
      <c r="F23" s="163"/>
      <c r="G23" s="163" t="s">
        <v>13</v>
      </c>
      <c r="H23" s="163"/>
      <c r="I23" s="163"/>
      <c r="J23" s="163"/>
      <c r="K23" s="53" t="s">
        <v>13</v>
      </c>
      <c r="L23" s="54"/>
      <c r="N23" s="143"/>
      <c r="O23" s="133"/>
      <c r="P23" s="133"/>
      <c r="Q23" s="52"/>
      <c r="S23" s="87"/>
    </row>
    <row r="24" spans="1:19" ht="30" customHeight="1" thickBot="1" x14ac:dyDescent="0.35">
      <c r="A24" s="93"/>
      <c r="B24" s="42"/>
      <c r="C24" s="49"/>
      <c r="D24" s="55" t="s">
        <v>14</v>
      </c>
      <c r="E24" s="162"/>
      <c r="F24" s="162"/>
      <c r="G24" s="162" t="s">
        <v>14</v>
      </c>
      <c r="H24" s="162"/>
      <c r="I24" s="162"/>
      <c r="J24" s="162"/>
      <c r="K24" s="55" t="s">
        <v>14</v>
      </c>
      <c r="L24" s="56"/>
      <c r="N24" s="137"/>
      <c r="O24" s="138"/>
      <c r="P24" s="138"/>
      <c r="Q24" s="52"/>
      <c r="S24" s="87"/>
    </row>
    <row r="25" spans="1:19" ht="30" customHeight="1" thickTop="1" thickBot="1" x14ac:dyDescent="0.35">
      <c r="A25" s="93"/>
      <c r="B25" s="42"/>
      <c r="C25" s="49"/>
      <c r="D25" s="53"/>
      <c r="E25" s="163"/>
      <c r="F25" s="163"/>
      <c r="G25" s="163"/>
      <c r="H25" s="163"/>
      <c r="I25" s="163"/>
      <c r="J25" s="163"/>
      <c r="K25" s="53"/>
      <c r="L25" s="57"/>
      <c r="N25" s="128" t="s">
        <v>28</v>
      </c>
      <c r="O25" s="139">
        <v>12</v>
      </c>
      <c r="P25" s="139"/>
      <c r="Q25" s="130"/>
      <c r="S25" s="87"/>
    </row>
    <row r="26" spans="1:19" ht="30" customHeight="1" thickTop="1" thickBot="1" x14ac:dyDescent="0.35">
      <c r="A26" s="93"/>
      <c r="B26" s="42"/>
      <c r="C26" s="49"/>
      <c r="D26" s="55"/>
      <c r="E26" s="162"/>
      <c r="F26" s="162"/>
      <c r="G26" s="162"/>
      <c r="H26" s="162"/>
      <c r="I26" s="162"/>
      <c r="J26" s="162"/>
      <c r="K26" s="55"/>
      <c r="L26" s="56"/>
      <c r="N26" s="142"/>
      <c r="O26" s="145"/>
      <c r="P26" s="133"/>
      <c r="Q26" s="52"/>
      <c r="S26" s="87"/>
    </row>
    <row r="27" spans="1:19" ht="30" customHeight="1" thickTop="1" thickBot="1" x14ac:dyDescent="0.35">
      <c r="A27" s="93"/>
      <c r="B27" s="42"/>
      <c r="C27" s="49"/>
      <c r="D27" s="53"/>
      <c r="E27" s="163"/>
      <c r="F27" s="163"/>
      <c r="G27" s="163"/>
      <c r="H27" s="163"/>
      <c r="I27" s="163"/>
      <c r="J27" s="163"/>
      <c r="K27" s="53"/>
      <c r="L27" s="54"/>
      <c r="N27" s="143"/>
      <c r="O27" s="145"/>
      <c r="P27" s="133"/>
      <c r="Q27" s="52"/>
      <c r="S27" s="87"/>
    </row>
    <row r="28" spans="1:19" ht="30" customHeight="1" thickTop="1" thickBot="1" x14ac:dyDescent="0.35">
      <c r="A28" s="93"/>
      <c r="B28" s="42"/>
      <c r="C28" s="49"/>
      <c r="D28" s="55"/>
      <c r="E28" s="162"/>
      <c r="F28" s="162"/>
      <c r="G28" s="162"/>
      <c r="H28" s="162"/>
      <c r="I28" s="162"/>
      <c r="J28" s="162"/>
      <c r="K28" s="55"/>
      <c r="L28" s="56"/>
      <c r="N28" s="143"/>
      <c r="O28" s="145"/>
      <c r="P28" s="133"/>
      <c r="Q28" s="52"/>
      <c r="S28" s="87"/>
    </row>
    <row r="29" spans="1:19" ht="30" customHeight="1" thickTop="1" x14ac:dyDescent="0.3">
      <c r="A29" s="93"/>
      <c r="B29" s="42"/>
      <c r="C29" s="49"/>
      <c r="D29" s="53"/>
      <c r="E29" s="163"/>
      <c r="F29" s="163"/>
      <c r="G29" s="163"/>
      <c r="H29" s="163"/>
      <c r="I29" s="163"/>
      <c r="J29" s="163"/>
      <c r="K29" s="53"/>
      <c r="L29" s="54"/>
      <c r="N29" s="143"/>
      <c r="O29" s="145"/>
      <c r="P29" s="133"/>
      <c r="Q29" s="52"/>
      <c r="S29" s="87"/>
    </row>
    <row r="30" spans="1:19" ht="30" customHeight="1" thickBot="1" x14ac:dyDescent="0.35">
      <c r="A30" s="93"/>
      <c r="B30" s="42"/>
      <c r="C30" s="49"/>
      <c r="D30" s="55"/>
      <c r="E30" s="162"/>
      <c r="F30" s="162"/>
      <c r="G30" s="162"/>
      <c r="H30" s="162"/>
      <c r="I30" s="162"/>
      <c r="J30" s="162"/>
      <c r="K30" s="55"/>
      <c r="L30" s="56"/>
      <c r="N30" s="137"/>
      <c r="O30" s="138"/>
      <c r="P30" s="138"/>
      <c r="Q30" s="52"/>
      <c r="S30" s="87"/>
    </row>
    <row r="31" spans="1:19" ht="30" customHeight="1" thickTop="1" thickBot="1" x14ac:dyDescent="0.35">
      <c r="A31" s="93"/>
      <c r="B31" s="42"/>
      <c r="C31" s="49"/>
      <c r="D31" s="53">
        <v>8.3333333333333329E-2</v>
      </c>
      <c r="E31" s="163"/>
      <c r="F31" s="163"/>
      <c r="G31" s="163" t="s">
        <v>15</v>
      </c>
      <c r="H31" s="163"/>
      <c r="I31" s="163"/>
      <c r="J31" s="163"/>
      <c r="K31" s="53" t="s">
        <v>15</v>
      </c>
      <c r="L31" s="54"/>
      <c r="N31" s="128" t="s">
        <v>8</v>
      </c>
      <c r="O31" s="139">
        <v>13</v>
      </c>
      <c r="P31" s="139"/>
      <c r="Q31" s="130"/>
      <c r="S31" s="87"/>
    </row>
    <row r="32" spans="1:19" ht="30" customHeight="1" thickTop="1" thickBot="1" x14ac:dyDescent="0.35">
      <c r="A32" s="93"/>
      <c r="B32" s="42"/>
      <c r="C32" s="49"/>
      <c r="D32" s="55" t="s">
        <v>16</v>
      </c>
      <c r="E32" s="162"/>
      <c r="F32" s="162"/>
      <c r="G32" s="162" t="s">
        <v>16</v>
      </c>
      <c r="H32" s="162"/>
      <c r="I32" s="162"/>
      <c r="J32" s="162"/>
      <c r="K32" s="55" t="s">
        <v>16</v>
      </c>
      <c r="L32" s="56"/>
      <c r="N32" s="142"/>
      <c r="O32" s="145"/>
      <c r="P32" s="133"/>
      <c r="Q32" s="52"/>
      <c r="S32" s="87"/>
    </row>
    <row r="33" spans="1:19" ht="30" customHeight="1" thickTop="1" thickBot="1" x14ac:dyDescent="0.35">
      <c r="A33" s="93"/>
      <c r="B33" s="42"/>
      <c r="C33" s="49"/>
      <c r="D33" s="53"/>
      <c r="E33" s="163"/>
      <c r="F33" s="163"/>
      <c r="G33" s="163"/>
      <c r="H33" s="163"/>
      <c r="I33" s="163"/>
      <c r="J33" s="163"/>
      <c r="K33" s="53"/>
      <c r="L33" s="54"/>
      <c r="N33" s="143"/>
      <c r="O33" s="145"/>
      <c r="P33" s="133"/>
      <c r="Q33" s="52"/>
      <c r="S33" s="87"/>
    </row>
    <row r="34" spans="1:19" ht="30" customHeight="1" thickTop="1" thickBot="1" x14ac:dyDescent="0.35">
      <c r="A34" s="93"/>
      <c r="B34" s="42"/>
      <c r="C34" s="49"/>
      <c r="D34" s="55"/>
      <c r="E34" s="162"/>
      <c r="F34" s="162"/>
      <c r="G34" s="162"/>
      <c r="H34" s="162"/>
      <c r="I34" s="162"/>
      <c r="J34" s="162"/>
      <c r="K34" s="55"/>
      <c r="L34" s="56"/>
      <c r="N34" s="143"/>
      <c r="O34" s="145"/>
      <c r="P34" s="133"/>
      <c r="Q34" s="52"/>
      <c r="S34" s="87"/>
    </row>
    <row r="35" spans="1:19" ht="30" customHeight="1" thickTop="1" x14ac:dyDescent="0.3">
      <c r="A35" s="93"/>
      <c r="B35" s="42"/>
      <c r="C35" s="49"/>
      <c r="D35" s="53"/>
      <c r="E35" s="163" t="s">
        <v>17</v>
      </c>
      <c r="F35" s="163"/>
      <c r="G35" s="163"/>
      <c r="H35" s="163"/>
      <c r="I35" s="163" t="s">
        <v>17</v>
      </c>
      <c r="J35" s="163"/>
      <c r="K35" s="53"/>
      <c r="L35" s="54"/>
      <c r="N35" s="143"/>
      <c r="O35" s="145"/>
      <c r="P35" s="133"/>
      <c r="Q35" s="52"/>
      <c r="S35" s="87"/>
    </row>
    <row r="36" spans="1:19" ht="30" customHeight="1" x14ac:dyDescent="0.3">
      <c r="A36" s="93"/>
      <c r="B36" s="42"/>
      <c r="C36" s="49"/>
      <c r="D36" s="55"/>
      <c r="E36" s="162" t="s">
        <v>18</v>
      </c>
      <c r="F36" s="162"/>
      <c r="G36" s="162"/>
      <c r="H36" s="162"/>
      <c r="I36" s="162" t="s">
        <v>18</v>
      </c>
      <c r="J36" s="162"/>
      <c r="K36" s="55"/>
      <c r="L36" s="54"/>
      <c r="N36" s="146"/>
      <c r="O36" s="147"/>
      <c r="P36" s="148"/>
      <c r="Q36" s="149"/>
      <c r="S36" s="87"/>
    </row>
    <row r="37" spans="1:19" ht="30" customHeight="1" thickBot="1" x14ac:dyDescent="0.35">
      <c r="A37" s="93"/>
      <c r="B37" s="42"/>
      <c r="C37" s="58"/>
      <c r="D37" s="59"/>
      <c r="E37" s="164"/>
      <c r="F37" s="164"/>
      <c r="G37" s="164"/>
      <c r="H37" s="164"/>
      <c r="I37" s="164"/>
      <c r="J37" s="164"/>
      <c r="K37" s="59"/>
      <c r="L37" s="60"/>
      <c r="N37" s="150"/>
      <c r="O37" s="151"/>
      <c r="P37" s="152"/>
      <c r="Q37" s="153"/>
      <c r="S37" s="87"/>
    </row>
    <row r="38" spans="1:19" ht="30" customHeight="1" thickTop="1" x14ac:dyDescent="0.25">
      <c r="A38" s="87"/>
      <c r="S38" s="87"/>
    </row>
    <row r="39" spans="1:19" ht="30" customHeight="1" x14ac:dyDescent="0.2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94"/>
      <c r="N39" s="89"/>
      <c r="O39" s="89"/>
      <c r="P39" s="87"/>
      <c r="Q39" s="90"/>
      <c r="R39" s="87"/>
      <c r="S39" s="87"/>
    </row>
  </sheetData>
  <dataConsolidate/>
  <mergeCells count="64">
    <mergeCell ref="G36:H36"/>
    <mergeCell ref="E36:F36"/>
    <mergeCell ref="I36:J36"/>
    <mergeCell ref="G31:H31"/>
    <mergeCell ref="E34:F34"/>
    <mergeCell ref="G34:H34"/>
    <mergeCell ref="I34:J34"/>
    <mergeCell ref="G35:H35"/>
    <mergeCell ref="E32:F32"/>
    <mergeCell ref="I32:J32"/>
    <mergeCell ref="E33:F33"/>
    <mergeCell ref="G33:H33"/>
    <mergeCell ref="I33:J33"/>
    <mergeCell ref="G32:H32"/>
    <mergeCell ref="D5:D6"/>
    <mergeCell ref="D14:K14"/>
    <mergeCell ref="D16:D17"/>
    <mergeCell ref="E16:F17"/>
    <mergeCell ref="G16:H17"/>
    <mergeCell ref="I16:J17"/>
    <mergeCell ref="K16:K17"/>
    <mergeCell ref="E19:F19"/>
    <mergeCell ref="G19:H19"/>
    <mergeCell ref="I19:J19"/>
    <mergeCell ref="G20:H20"/>
    <mergeCell ref="E21:F21"/>
    <mergeCell ref="I21:J21"/>
    <mergeCell ref="E20:F20"/>
    <mergeCell ref="I20:J20"/>
    <mergeCell ref="G21:H21"/>
    <mergeCell ref="E25:F25"/>
    <mergeCell ref="E22:F22"/>
    <mergeCell ref="I22:J22"/>
    <mergeCell ref="G23:H23"/>
    <mergeCell ref="G24:H24"/>
    <mergeCell ref="G25:H25"/>
    <mergeCell ref="I25:J25"/>
    <mergeCell ref="G22:H22"/>
    <mergeCell ref="E23:F23"/>
    <mergeCell ref="I23:J23"/>
    <mergeCell ref="E24:F24"/>
    <mergeCell ref="I24:J24"/>
    <mergeCell ref="E26:F26"/>
    <mergeCell ref="G26:H26"/>
    <mergeCell ref="I26:J26"/>
    <mergeCell ref="E27:F27"/>
    <mergeCell ref="G27:H27"/>
    <mergeCell ref="I27:J27"/>
    <mergeCell ref="E37:F37"/>
    <mergeCell ref="G37:H37"/>
    <mergeCell ref="I37:J37"/>
    <mergeCell ref="E28:F28"/>
    <mergeCell ref="G28:H28"/>
    <mergeCell ref="I28:J28"/>
    <mergeCell ref="E35:F35"/>
    <mergeCell ref="I35:J35"/>
    <mergeCell ref="E29:F29"/>
    <mergeCell ref="G29:H29"/>
    <mergeCell ref="I29:J29"/>
    <mergeCell ref="E30:F30"/>
    <mergeCell ref="G30:H30"/>
    <mergeCell ref="I30:J30"/>
    <mergeCell ref="E31:F31"/>
    <mergeCell ref="I31:J31"/>
  </mergeCells>
  <conditionalFormatting sqref="D19:K36">
    <cfRule type="expression" dxfId="35" priority="1">
      <formula>D19&lt;&gt;""</formula>
    </cfRule>
  </conditionalFormatting>
  <conditionalFormatting sqref="D37:K37">
    <cfRule type="expression" dxfId="34" priority="7">
      <formula>D37&lt;&gt;""</formula>
    </cfRule>
    <cfRule type="expression" dxfId="33" priority="11">
      <formula>COLUMN(#REF!)&gt;2</formula>
    </cfRule>
  </conditionalFormatting>
  <conditionalFormatting sqref="D37:K39">
    <cfRule type="expression" dxfId="32" priority="8">
      <formula>D37&lt;&gt;""</formula>
    </cfRule>
  </conditionalFormatting>
  <conditionalFormatting sqref="E5:J5">
    <cfRule type="expression" dxfId="31" priority="3" stopIfTrue="1">
      <formula>DAY(E5)&gt;8</formula>
    </cfRule>
  </conditionalFormatting>
  <conditionalFormatting sqref="E5:K10">
    <cfRule type="expression" dxfId="30" priority="4">
      <formula>VLOOKUP(DAY(E5),$O:$O,1,FALSE)=DAY(E5)</formula>
    </cfRule>
  </conditionalFormatting>
  <conditionalFormatting sqref="E9:K10">
    <cfRule type="expression" dxfId="29" priority="2" stopIfTrue="1">
      <formula>AND(DAY(E9)&gt;=1,DAY(E9)&lt;=15)</formula>
    </cfRule>
  </conditionalFormatting>
  <conditionalFormatting sqref="M6:M11">
    <cfRule type="expression" dxfId="28" priority="10">
      <formula>VLOOKUP(DAY(M6),AssignmentDays,1,FALSE)=DAY(M6)</formula>
    </cfRule>
  </conditionalFormatting>
  <conditionalFormatting sqref="M10:M11">
    <cfRule type="expression" dxfId="27" priority="9" stopIfTrue="1">
      <formula>AND(DAY(M10)&gt;=1,DAY(M10)&lt;=15)</formula>
    </cfRule>
  </conditionalFormatting>
  <dataValidations count="10">
    <dataValidation allowBlank="1" showInputMessage="1" showErrorMessage="1" prompt="If this row contains a number less than the previous number or row of numbers, then this row contains dates for the next calendar month" sqref="E10" xr:uid="{11594FD5-6125-493D-A73C-CBD1BD0E7A0B}"/>
    <dataValidation allowBlank="1" showInputMessage="1" showErrorMessage="1" prompt="Weekdays are in this row, from Monday to Friday" sqref="D16" xr:uid="{8436B02F-AE18-4268-AF0F-59840CECC89E}"/>
    <dataValidation allowBlank="1" showInputMessage="1" showErrorMessage="1" prompt="Day of the week goes in this row, starting in cell D16" sqref="A16" xr:uid="{32B59B70-6472-4DE4-B3F6-A36DDDE19EB9}"/>
    <dataValidation allowBlank="1" showInputMessage="1" showErrorMessage="1" prompt="Calendar year is automatically updated in this cell. To change the calendar year, to go cell D5 in Jan worksheet." sqref="D5:D6" xr:uid="{D3065DB1-61D3-4CAB-B0D3-DA2F48B53FC8}"/>
    <dataValidation allowBlank="1" showInputMessage="1" showErrorMessage="1" prompt="Calendar automatically highlights assignment list entries for the month. Darker fonts are assignments. Lighter fonts are days that belong to the previous or next month" sqref="D4" xr:uid="{0A56C74E-FFDC-481B-84C8-DF3F4F10263B}"/>
    <dataValidation allowBlank="1" showInputMessage="1" showErrorMessage="1" prompt="Enter the assignment details in this column that correspond to the weekday in column N and day in column O for the calendar month at left" sqref="N4" xr:uid="{C16AC868-4CBD-4DAD-B94C-7BF5E76587B4}"/>
    <dataValidation allowBlank="1" showInputMessage="1" showErrorMessage="1" prompt="Enter the time of your class and under it, in a new row, the class name for each weekday in columns D to K. Repeat this pattern for all classes in subsequent rows" sqref="D14" xr:uid="{7DD3D12B-8480-4FA5-8443-D57A392FD45A}"/>
    <dataValidation allowBlank="1" showInputMessage="1" showErrorMessage="1" prompt="If this cell doesn’t contain the number 1, then it is a day from a previous month. Cells E5:K10 contain dates for the current month" sqref="E5" xr:uid="{B31498AD-3729-4948-ADDB-65BD374F67F0}"/>
    <dataValidation allowBlank="1" showInputMessage="1" showErrorMessage="1" prompt="Cells E4:K4 contain weekdays" sqref="E4" xr:uid="{D0981953-B79F-400E-90AA-B910586BA02E}"/>
    <dataValidation allowBlank="1" showInputMessage="1" showErrorMessage="1" prompt="September calendar. Calendar year is automatically updated based on cell D5 in Jan sheet." sqref="A1" xr:uid="{26D272EB-20D0-468C-A914-8B0C5ED03EAE}"/>
  </dataValidations>
  <printOptions horizontalCentered="1" verticalCentered="1"/>
  <pageMargins left="0.25" right="0.25" top="0.5" bottom="0.5" header="0.3" footer="0.3"/>
  <pageSetup scale="47" orientation="landscape" r:id="rId1"/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2.xml><?xml version="1.0" encoding="utf-8"?>
<ds:datastoreItem xmlns:ds="http://schemas.openxmlformats.org/officeDocument/2006/customXml" ds:itemID="{50B3DAC2-93B4-4265-8C40-4144956F64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1.xml><?xml version="1.0" encoding="utf-8"?>
<ds:datastoreItem xmlns:ds="http://schemas.openxmlformats.org/officeDocument/2006/customXml" ds:itemID="{54BBAE84-78CD-4C59-8224-9303581FA85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3.xml><?xml version="1.0" encoding="utf-8"?>
<ds:datastoreItem xmlns:ds="http://schemas.openxmlformats.org/officeDocument/2006/customXml" ds:itemID="{09DB7574-3498-4F1F-A21C-D854B01817C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TM03107663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ap:HeadingPairs>
  <ap:TitlesOfParts>
    <vt:vector baseType="lpstr" size="13">
      <vt:lpstr>Jan</vt:lpstr>
      <vt:lpstr>Feb</vt:lpstr>
      <vt:lpstr>Mar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  <vt:lpstr>CalendarYear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2023-08-30T09:30:11Z</dcterms:created>
  <dcterms:modified xsi:type="dcterms:W3CDTF">2023-12-12T04:56:18Z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