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jpeg" ContentType="image/jpeg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81.xml" ContentType="application/vnd.openxmlformats-officedocument.spreadsheetml.table+xml"/>
  <Override PartName="/xl/tables/table32.xml" ContentType="application/vnd.openxmlformats-officedocument.spreadsheetml.table+xml"/>
  <Override PartName="/xl/tables/table73.xml" ContentType="application/vnd.openxmlformats-officedocument.spreadsheetml.table+xml"/>
  <Override PartName="/xl/tables/table24.xml" ContentType="application/vnd.openxmlformats-officedocument.spreadsheetml.table+xml"/>
  <Override PartName="/xl/tables/table65.xml" ContentType="application/vnd.openxmlformats-officedocument.spreadsheetml.table+xml"/>
  <Override PartName="/xl/tables/table116.xml" ContentType="application/vnd.openxmlformats-officedocument.spreadsheetml.table+xml"/>
  <Override PartName="/xl/tables/table57.xml" ContentType="application/vnd.openxmlformats-officedocument.spreadsheetml.table+xml"/>
  <Override PartName="/xl/tables/table108.xml" ContentType="application/vnd.openxmlformats-officedocument.spreadsheetml.table+xml"/>
  <Override PartName="/xl/tables/table49.xml" ContentType="application/vnd.openxmlformats-officedocument.spreadsheetml.table+xml"/>
  <Override PartName="/xl/tables/table910.xml" ContentType="application/vnd.openxmlformats-officedocument.spreadsheetml.table+xml"/>
  <Override PartName="/xl/worksheets/sheet12.xml" ContentType="application/vnd.openxmlformats-officedocument.spreadsheetml.worksheet+xml"/>
  <Override PartName="/xl/tables/table111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 codeName="ThisWorkbook"/>
  <bookViews>
    <workbookView xWindow="-108" yWindow="-108" windowWidth="23256" windowHeight="12720" xr2:uid="{00000000-000D-0000-FFFF-FFFF00000000}"/>
  </bookViews>
  <sheets>
    <sheet name="Wedding budget" sheetId="1" r:id="rId1"/>
    <sheet name="Budget details" sheetId="2" r:id="rId2"/>
  </sheets>
  <definedNames>
    <definedName name="TBL_RankingData">'Wedding budget'!$H$6:$L$15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2" l="1"/>
  <c r="E89" i="2"/>
  <c r="E88" i="2"/>
  <c r="E87" i="2"/>
  <c r="E81" i="2"/>
  <c r="E75" i="2"/>
  <c r="E74" i="2"/>
  <c r="E73" i="2"/>
  <c r="E72" i="2"/>
  <c r="E71" i="2"/>
  <c r="E70" i="2"/>
  <c r="E69" i="2"/>
  <c r="E63" i="2"/>
  <c r="E62" i="2"/>
  <c r="E56" i="2"/>
  <c r="E55" i="2"/>
  <c r="E49" i="2"/>
  <c r="E48" i="2"/>
  <c r="E47" i="2"/>
  <c r="E41" i="2"/>
  <c r="E40" i="2"/>
  <c r="E39" i="2"/>
  <c r="E38" i="2"/>
  <c r="E32" i="2"/>
  <c r="E31" i="2"/>
  <c r="E30" i="2"/>
  <c r="E29" i="2"/>
  <c r="E28" i="2"/>
  <c r="E27" i="2"/>
  <c r="E26" i="2"/>
  <c r="E25" i="2"/>
  <c r="E19" i="2"/>
  <c r="E18" i="2"/>
  <c r="E17" i="2"/>
  <c r="E16" i="2"/>
  <c r="E15" i="2"/>
  <c r="E9" i="2"/>
  <c r="E8" i="2"/>
  <c r="E7" i="2"/>
  <c r="E6" i="2"/>
  <c r="E86" i="2" l="1"/>
  <c r="E80" i="2"/>
  <c r="E68" i="2"/>
  <c r="E61" i="2"/>
  <c r="E54" i="2"/>
  <c r="E46" i="2"/>
  <c r="E37" i="2"/>
  <c r="E24" i="2"/>
  <c r="E14" i="2"/>
  <c r="D64" i="2" l="1"/>
  <c r="J12" i="1" s="1"/>
  <c r="C64" i="2"/>
  <c r="I12" i="1" s="1"/>
  <c r="K12" i="1" s="1"/>
  <c r="D57" i="2"/>
  <c r="J11" i="1" s="1"/>
  <c r="C57" i="2"/>
  <c r="I11" i="1" s="1"/>
  <c r="K11" i="1" s="1"/>
  <c r="D50" i="2"/>
  <c r="J10" i="1" s="1"/>
  <c r="C50" i="2"/>
  <c r="I10" i="1" s="1"/>
  <c r="K10" i="1" s="1"/>
  <c r="D42" i="2"/>
  <c r="J9" i="1" s="1"/>
  <c r="C42" i="2"/>
  <c r="I9" i="1" s="1"/>
  <c r="K9" i="1" s="1"/>
  <c r="D33" i="2"/>
  <c r="J8" i="1" s="1"/>
  <c r="C33" i="2"/>
  <c r="I8" i="1" s="1"/>
  <c r="K8" i="1" s="1"/>
  <c r="D76" i="2"/>
  <c r="J13" i="1" s="1"/>
  <c r="C76" i="2"/>
  <c r="I13" i="1" s="1"/>
  <c r="K13" i="1" s="1"/>
  <c r="D82" i="2"/>
  <c r="J14" i="1" s="1"/>
  <c r="C82" i="2"/>
  <c r="I14" i="1" s="1"/>
  <c r="K14" i="1" s="1"/>
  <c r="D91" i="2"/>
  <c r="J15" i="1" s="1"/>
  <c r="C91" i="2"/>
  <c r="I15" i="1" s="1"/>
  <c r="K15" i="1" s="1"/>
  <c r="D20" i="2"/>
  <c r="J7" i="1" s="1"/>
  <c r="C20" i="2"/>
  <c r="I7" i="1" s="1"/>
  <c r="K7" i="1" s="1"/>
  <c r="D10" i="2"/>
  <c r="J6" i="1" s="1"/>
  <c r="C10" i="2"/>
  <c r="I6" i="1" s="1"/>
  <c r="K6" i="1" s="1"/>
  <c r="E5" i="2"/>
  <c r="L12" i="1" l="1"/>
  <c r="L9" i="1"/>
  <c r="L15" i="1"/>
  <c r="L10" i="1"/>
  <c r="L7" i="1"/>
  <c r="L6" i="1"/>
  <c r="N6" i="1" s="1"/>
  <c r="L11" i="1"/>
  <c r="L8" i="1"/>
  <c r="L13" i="1"/>
  <c r="L14" i="1"/>
  <c r="E91" i="2"/>
  <c r="E82" i="2"/>
  <c r="E76" i="2"/>
  <c r="E64" i="2"/>
  <c r="E57" i="2"/>
  <c r="E50" i="2"/>
  <c r="E42" i="2"/>
  <c r="E33" i="2"/>
  <c r="E20" i="2"/>
  <c r="E10" i="2"/>
  <c r="B6" i="1" l="1"/>
  <c r="C6" i="1" s="1"/>
  <c r="N7" i="1"/>
  <c r="B7" i="1" s="1"/>
  <c r="D7" i="1" s="1"/>
  <c r="N8" i="1"/>
  <c r="B8" i="1" s="1"/>
  <c r="C8" i="1" s="1"/>
  <c r="N10" i="1"/>
  <c r="B10" i="1" s="1"/>
  <c r="D10" i="1" s="1"/>
  <c r="N9" i="1"/>
  <c r="B9" i="1" s="1"/>
  <c r="C9" i="1" s="1"/>
  <c r="N14" i="1"/>
  <c r="B14" i="1" s="1"/>
  <c r="C14" i="1" s="1"/>
  <c r="N15" i="1"/>
  <c r="B15" i="1" s="1"/>
  <c r="C15" i="1" s="1"/>
  <c r="N12" i="1"/>
  <c r="N11" i="1"/>
  <c r="B11" i="1" s="1"/>
  <c r="D11" i="1" s="1"/>
  <c r="N13" i="1"/>
  <c r="B13" i="1" s="1"/>
  <c r="C13" i="1" s="1"/>
  <c r="D6" i="1" l="1"/>
  <c r="E6" i="1" s="1"/>
  <c r="B12" i="1"/>
  <c r="D12" i="1" s="1"/>
  <c r="C7" i="1"/>
  <c r="D9" i="1"/>
  <c r="E9" i="1" s="1"/>
  <c r="C11" i="1"/>
  <c r="E11" i="1" s="1"/>
  <c r="D13" i="1"/>
  <c r="E13" i="1" s="1"/>
  <c r="D14" i="1"/>
  <c r="E14" i="1" s="1"/>
  <c r="C10" i="1"/>
  <c r="E10" i="1" s="1"/>
  <c r="D8" i="1"/>
  <c r="E8" i="1" s="1"/>
  <c r="D15" i="1"/>
  <c r="E15" i="1" s="1"/>
  <c r="C12" i="1" l="1"/>
  <c r="E12" i="1" s="1"/>
  <c r="E7" i="1"/>
  <c r="D16" i="1"/>
  <c r="F15" i="1" l="1"/>
  <c r="F13" i="1"/>
  <c r="F6" i="1"/>
  <c r="F8" i="1"/>
  <c r="C16" i="1"/>
  <c r="E16" i="1" s="1"/>
  <c r="F10" i="1"/>
  <c r="F7" i="1"/>
  <c r="F11" i="1"/>
  <c r="F12" i="1"/>
  <c r="F9" i="1"/>
  <c r="F14" i="1"/>
  <c r="F16" i="1" l="1"/>
</calcChain>
</file>

<file path=xl/sharedStrings.xml><?xml version="1.0" encoding="utf-8"?>
<sst xmlns="http://schemas.openxmlformats.org/spreadsheetml/2006/main" count="126" uniqueCount="89">
  <si>
    <t>CATEGORY</t>
  </si>
  <si>
    <t>ESTIMATED COST</t>
  </si>
  <si>
    <t>ACTUAL COST</t>
  </si>
  <si>
    <t>VARIANCE</t>
  </si>
  <si>
    <t>BUDGET %</t>
  </si>
  <si>
    <t>Unsorted</t>
  </si>
  <si>
    <t>Estimated Costs</t>
  </si>
  <si>
    <t>Actual Costs</t>
  </si>
  <si>
    <t>Estimated Cost - Rank Value</t>
  </si>
  <si>
    <t>Rank</t>
  </si>
  <si>
    <t>#</t>
  </si>
  <si>
    <t>Sorted</t>
  </si>
  <si>
    <t>Reception</t>
  </si>
  <si>
    <t>Attire</t>
  </si>
  <si>
    <t>Flowers and decorations</t>
  </si>
  <si>
    <t>Music</t>
  </si>
  <si>
    <t>Photographs and video</t>
  </si>
  <si>
    <t>Favors and gifts</t>
  </si>
  <si>
    <t>Ceremony</t>
  </si>
  <si>
    <t>Stationery</t>
  </si>
  <si>
    <t>Wedding rings</t>
  </si>
  <si>
    <t>Transportation</t>
  </si>
  <si>
    <t>Total</t>
  </si>
  <si>
    <t>BUDGET DETAILS</t>
  </si>
  <si>
    <t>RECEPTION</t>
  </si>
  <si>
    <t>ESTIMATED</t>
  </si>
  <si>
    <t>ACTUAL</t>
  </si>
  <si>
    <t>Venue and rentals</t>
  </si>
  <si>
    <t>Food and service</t>
  </si>
  <si>
    <t>Beverages</t>
  </si>
  <si>
    <t>Cake</t>
  </si>
  <si>
    <t>Miscellaneous fees</t>
  </si>
  <si>
    <t>RECEPTION TOTAL</t>
  </si>
  <si>
    <t>ATTIRE</t>
  </si>
  <si>
    <t>Tux, suit, and/or dresses</t>
  </si>
  <si>
    <t>Alterations</t>
  </si>
  <si>
    <t>Headpiece and veil</t>
  </si>
  <si>
    <t>Accessories</t>
  </si>
  <si>
    <t>Hair and makeup</t>
  </si>
  <si>
    <t>ATTIRE TOTAL</t>
  </si>
  <si>
    <t>FLOWERS &amp; DECORATIONS</t>
  </si>
  <si>
    <t>Floral arrangements for ceremony</t>
  </si>
  <si>
    <t>Flower girl’s buds and basket</t>
  </si>
  <si>
    <t>Ring pillow</t>
  </si>
  <si>
    <t>Bouquets</t>
  </si>
  <si>
    <t>Boutonnieres</t>
  </si>
  <si>
    <t>Corsages</t>
  </si>
  <si>
    <t>Reception decorations</t>
  </si>
  <si>
    <t>Lighting</t>
  </si>
  <si>
    <t>FLOWERS &amp; DECORATIONS TOTAL</t>
  </si>
  <si>
    <t>MUSIC</t>
  </si>
  <si>
    <t>Ceremony musicians</t>
  </si>
  <si>
    <t>Cocktail-hour musicians</t>
  </si>
  <si>
    <t>Reception band, deejay, or entertainment</t>
  </si>
  <si>
    <t>Sound-system or dance-floor rental</t>
  </si>
  <si>
    <t>MUSIC TOTAL</t>
  </si>
  <si>
    <t>PHOTOGRAPHY &amp; VIDEO</t>
  </si>
  <si>
    <t>Photography</t>
  </si>
  <si>
    <t>Videography</t>
  </si>
  <si>
    <t>Additional prints and albums</t>
  </si>
  <si>
    <t>PHOTOGRAPHY &amp; VIDEO TOTAL</t>
  </si>
  <si>
    <t>FAVORS &amp; GIFTS</t>
  </si>
  <si>
    <t>Welcome gifts</t>
  </si>
  <si>
    <t>Party gifts</t>
  </si>
  <si>
    <t>FAVORS &amp; GIFTS TOTAL</t>
  </si>
  <si>
    <t>CEREMONY</t>
  </si>
  <si>
    <t>Site fee</t>
  </si>
  <si>
    <t>Officiant fee or church donation</t>
  </si>
  <si>
    <t>CEREMONY TOTAL</t>
  </si>
  <si>
    <t>STATIONARY</t>
  </si>
  <si>
    <t>Save-the-date cards</t>
  </si>
  <si>
    <t>Invitations and RSVPs</t>
  </si>
  <si>
    <t>Programs</t>
  </si>
  <si>
    <t>Seating and place cards</t>
  </si>
  <si>
    <t>Menu cards</t>
  </si>
  <si>
    <t>Thank-you notes</t>
  </si>
  <si>
    <t>Postage</t>
  </si>
  <si>
    <t>STATIONARY TOTAL</t>
  </si>
  <si>
    <t>WEDDING RINGS</t>
  </si>
  <si>
    <t>Ring accessories</t>
  </si>
  <si>
    <t>WEDDING RINGS TOTAL</t>
  </si>
  <si>
    <t xml:space="preserve">TRANSPORTATION  </t>
  </si>
  <si>
    <t>Main car rental</t>
  </si>
  <si>
    <t>Guests car rental</t>
  </si>
  <si>
    <t>Transportation for out-of-town guests</t>
  </si>
  <si>
    <t>Valet parking</t>
  </si>
  <si>
    <t>TRANSPORTATION TOTAL</t>
  </si>
  <si>
    <t xml:space="preserve"> </t>
  </si>
  <si>
    <r>
      <rPr>
        <b/>
        <sz val="28"/>
        <color theme="3" tint="-0.249977111117893"/>
        <rFont val="Franklin Gothic Medium Cond"/>
        <family val="2"/>
        <scheme val="major"/>
      </rPr>
      <t>KAYLA</t>
    </r>
    <r>
      <rPr>
        <b/>
        <sz val="28"/>
        <color theme="1" tint="0.14999847407452621"/>
        <rFont val="Franklin Gothic Book"/>
        <family val="2"/>
        <scheme val="minor"/>
      </rPr>
      <t xml:space="preserve"> </t>
    </r>
    <r>
      <rPr>
        <b/>
        <sz val="28"/>
        <color theme="1"/>
        <rFont val="Franklin Gothic Demi"/>
        <family val="2"/>
      </rPr>
      <t>+</t>
    </r>
    <r>
      <rPr>
        <b/>
        <sz val="28"/>
        <color theme="1" tint="0.14999847407452621"/>
        <rFont val="Franklin Gothic Book"/>
        <family val="2"/>
        <scheme val="minor"/>
      </rPr>
      <t xml:space="preserve"> </t>
    </r>
    <r>
      <rPr>
        <b/>
        <sz val="28"/>
        <color theme="3" tint="-0.249977111117893"/>
        <rFont val="Franklin Gothic Medium Cond"/>
        <family val="2"/>
        <scheme val="major"/>
      </rPr>
      <t>JACOB</t>
    </r>
    <r>
      <rPr>
        <b/>
        <sz val="11"/>
        <color theme="1" tint="0.14999847407452621"/>
        <rFont val="Franklin Gothic Book"/>
        <family val="2"/>
        <scheme val="minor"/>
      </rPr>
      <t xml:space="preserve">
</t>
    </r>
    <r>
      <rPr>
        <b/>
        <sz val="36"/>
        <color theme="1"/>
        <rFont val="Franklin Gothic Medium Cond"/>
        <family val="2"/>
        <scheme val="major"/>
      </rPr>
      <t>TIE THE KNOT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</si>
</sst>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27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Medium Cond"/>
      <family val="2"/>
      <scheme val="major"/>
    </font>
    <font>
      <sz val="10"/>
      <color theme="1" tint="0.14999847407452621"/>
      <name val="Franklin Gothic Book"/>
      <family val="2"/>
      <scheme val="minor"/>
    </font>
    <font>
      <sz val="8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0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b/>
      <sz val="11"/>
      <color theme="1" tint="0.14999847407452621"/>
      <name val="Franklin Gothic Book"/>
      <family val="2"/>
      <scheme val="minor"/>
    </font>
    <font>
      <sz val="36"/>
      <color theme="3"/>
      <name val="Franklin Gothic Medium Cond"/>
      <family val="2"/>
      <scheme val="major"/>
    </font>
    <font>
      <b/>
      <sz val="28"/>
      <color theme="1"/>
      <name val="Franklin Gothic Demi"/>
      <family val="2"/>
    </font>
    <font>
      <b/>
      <sz val="28"/>
      <color theme="3" tint="-0.249977111117893"/>
      <name val="Franklin Gothic Medium Cond"/>
      <family val="2"/>
      <scheme val="major"/>
    </font>
    <font>
      <sz val="11"/>
      <color theme="1"/>
      <name val="Franklin Gothic Medium Cond"/>
      <family val="2"/>
      <scheme val="major"/>
    </font>
    <font>
      <sz val="11"/>
      <color theme="1" tint="0.14999847407452621"/>
      <name val="Franklin Gothic Medium Cond"/>
      <family val="2"/>
      <scheme val="major"/>
    </font>
    <font>
      <b/>
      <sz val="9"/>
      <color theme="1" tint="0.14999847407452621"/>
      <name val="Franklin Gothic Medium Cond"/>
      <family val="2"/>
      <scheme val="major"/>
    </font>
    <font>
      <sz val="9"/>
      <color theme="1" tint="0.14999847407452621"/>
      <name val="Franklin Gothic Medium Cond"/>
      <family val="2"/>
      <scheme val="major"/>
    </font>
    <font>
      <sz val="9"/>
      <color theme="1"/>
      <name val="Franklin Gothic Book"/>
      <family val="2"/>
      <scheme val="minor"/>
    </font>
    <font>
      <b/>
      <sz val="14"/>
      <color theme="1" tint="0.14999847407452621"/>
      <name val="Franklin Gothic Medium Cond"/>
      <family val="2"/>
      <scheme val="major"/>
    </font>
    <font>
      <sz val="14"/>
      <color theme="1"/>
      <name val="Franklin Gothic Medium Cond"/>
      <family val="2"/>
      <scheme val="major"/>
    </font>
    <font>
      <sz val="14"/>
      <color theme="1" tint="0.14999847407452621"/>
      <name val="Franklin Gothic Medium Cond"/>
      <family val="2"/>
      <scheme val="major"/>
    </font>
    <font>
      <b/>
      <sz val="14"/>
      <color theme="4" tint="-0.249977111117893"/>
      <name val="Franklin Gothic Medium Cond"/>
      <family val="2"/>
      <scheme val="major"/>
    </font>
    <font>
      <sz val="14"/>
      <color theme="4" tint="-0.249977111117893"/>
      <name val="Franklin Gothic Medium Cond"/>
      <family val="2"/>
      <scheme val="major"/>
    </font>
    <font>
      <sz val="10"/>
      <color theme="1"/>
      <name val="Franklin Gothic Medium Cond"/>
      <family val="2"/>
      <scheme val="major"/>
    </font>
    <font>
      <sz val="16"/>
      <color theme="1"/>
      <name val="Franklin Gothic Medium Cond"/>
      <family val="2"/>
      <scheme val="major"/>
    </font>
    <font>
      <sz val="11"/>
      <color theme="0"/>
      <name val="Franklin Gothic Medium Cond"/>
      <family val="2"/>
      <scheme val="major"/>
    </font>
    <font>
      <b/>
      <sz val="36"/>
      <color theme="1"/>
      <name val="Franklin Gothic Medium Cond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8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8" fontId="8" fillId="0" borderId="0" xfId="0" applyNumberFormat="1" applyFont="1" applyAlignment="1">
      <alignment horizontal="center" vertical="center"/>
    </xf>
    <xf numFmtId="8" fontId="8" fillId="0" borderId="2" xfId="0" applyNumberFormat="1" applyFont="1" applyBorder="1" applyAlignment="1">
      <alignment horizontal="center" vertical="center"/>
    </xf>
    <xf numFmtId="8" fontId="6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indent="1"/>
    </xf>
    <xf numFmtId="6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quotePrefix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indent="1"/>
    </xf>
    <xf numFmtId="6" fontId="19" fillId="0" borderId="0" xfId="0" applyNumberFormat="1" applyFont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8" fontId="23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 vertical="center" indent="1"/>
    </xf>
    <xf numFmtId="8" fontId="13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40"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color theme="3"/>
      </font>
      <border>
        <top style="thin">
          <color theme="6"/>
        </top>
      </border>
    </dxf>
    <dxf>
      <font>
        <color theme="3"/>
      </font>
      <border>
        <bottom style="thin">
          <color theme="6"/>
        </bottom>
      </border>
    </dxf>
    <dxf>
      <font>
        <b/>
        <i val="0"/>
        <strike val="0"/>
        <color auto="1"/>
      </font>
      <border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Medium Cond"/>
        <family val="2"/>
        <scheme val="maj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 Cond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Franklin Gothic Book"/>
        <family val="2"/>
      </font>
    </dxf>
    <dxf>
      <font>
        <strike val="0"/>
        <outline val="0"/>
        <shadow val="0"/>
        <u val="none"/>
        <vertAlign val="baseline"/>
        <sz val="11"/>
        <name val="Franklin Gothic Medium Cond"/>
        <family val="2"/>
        <scheme val="major"/>
      </font>
    </dxf>
    <dxf>
      <font>
        <strike val="0"/>
        <outline val="0"/>
        <shadow val="0"/>
        <u val="none"/>
        <vertAlign val="baseline"/>
        <sz val="10"/>
        <name val="Franklin Gothic Book"/>
        <family val="2"/>
      </font>
    </dxf>
    <dxf>
      <font>
        <strike val="0"/>
        <outline val="0"/>
        <shadow val="0"/>
        <u val="none"/>
        <vertAlign val="baseline"/>
        <name val="Franklin Gothic Medium Cond"/>
        <family val="2"/>
        <scheme val="major"/>
      </font>
    </dxf>
    <dxf>
      <font>
        <strike val="0"/>
        <outline val="0"/>
        <shadow val="0"/>
        <u val="none"/>
        <vertAlign val="baseline"/>
        <sz val="14"/>
        <name val="Franklin Gothic Medium Cond"/>
        <family val="2"/>
        <scheme val="major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Franklin Gothic Medium Cond"/>
        <family val="2"/>
        <scheme val="major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Franklin Gothic Medium Cond"/>
        <family val="2"/>
        <scheme val="major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Franklin Gothic Medium Cond"/>
        <family val="2"/>
        <scheme val="major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Franklin Gothic Medium Cond"/>
        <family val="2"/>
        <scheme val="major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Franklin Gothic Medium Cond"/>
        <family val="2"/>
        <scheme val="major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Franklin Gothic Medium Cond"/>
        <family val="2"/>
        <scheme val="major"/>
      </font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</font>
      <fill>
        <patternFill patternType="none">
          <bgColor auto="1"/>
        </patternFill>
      </fill>
      <border>
        <top style="medium">
          <color theme="4"/>
        </top>
        <vertical/>
        <horizontal/>
      </border>
    </dxf>
    <dxf>
      <font>
        <b val="0"/>
        <i val="0"/>
        <color theme="0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medium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strike val="0"/>
        <color theme="3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3" tint="-0.499984740745262"/>
      </font>
      <border diagonalUp="0" diagonalDown="0">
        <left/>
        <right/>
        <top/>
        <bottom/>
        <vertical/>
        <horizontal/>
      </border>
    </dxf>
    <dxf>
      <font>
        <b/>
        <i val="0"/>
        <color theme="3" tint="-0.499984740745262"/>
      </font>
    </dxf>
    <dxf>
      <font>
        <color theme="5" tint="-0.2499465926084170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TableStyleLight3 2" pivot="0" count="4" xr9:uid="{D34F56F4-A3E4-43B5-A403-DAAF05667183}">
      <tableStyleElement type="wholeTable" dxfId="139"/>
      <tableStyleElement type="headerRow" dxfId="138"/>
      <tableStyleElement type="totalRow" dxfId="137"/>
      <tableStyleElement type="firstHeaderCell" dxfId="136"/>
    </tableStyle>
    <tableStyle name="TableStyleLight4 2" pivot="0" count="6" xr9:uid="{7F093248-0C47-43EE-8AA1-827C8A624274}">
      <tableStyleElement type="wholeTable" dxfId="5"/>
      <tableStyleElement type="headerRow" dxfId="4"/>
      <tableStyleElement type="totalRow" dxfId="3"/>
      <tableStyleElement type="firstColumn" dxfId="2"/>
      <tableStyleElement type="lastColumn" dxfId="1"/>
      <tableStyleElement type="firstRowStripe" dxfId="0"/>
    </tableStyle>
    <tableStyle name="TableStyleMedium3 2" pivot="0" count="7" xr9:uid="{00000000-0011-0000-FFFF-FFFF00000000}">
      <tableStyleElement type="wholeTable" dxfId="135"/>
      <tableStyleElement type="headerRow" dxfId="134"/>
      <tableStyleElement type="totalRow" dxfId="133"/>
      <tableStyleElement type="firstColumn" dxfId="132"/>
      <tableStyleElement type="lastColumn" dxfId="131"/>
      <tableStyleElement type="firstRowStripe" dxfId="130"/>
      <tableStyleElement type="firstColumnStripe" dxfId="129"/>
    </tableStyle>
  </tableStyles>
  <colors>
    <mruColors>
      <color rgb="FF818B8A"/>
      <color rgb="FF17A1AB"/>
      <color rgb="FF43646B"/>
      <color rgb="FFF8F8F8"/>
      <color rgb="FF807E81"/>
      <color rgb="FF0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5028364866725"/>
          <c:y val="4.4788523412869236E-2"/>
          <c:w val="0.80609494072101495"/>
          <c:h val="0.955211476587130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'Wedding budget'!$C$5</c:f>
              <c:strCache>
                <c:ptCount val="1"/>
                <c:pt idx="0">
                  <c:v>ESTIMATED COST</c:v>
                </c:pt>
              </c:strCache>
            </c:strRef>
          </c:tx>
          <c:spPr>
            <a:solidFill>
              <a:schemeClr val="tx2"/>
            </a:solidFill>
            <a:ln w="41275">
              <a:solidFill>
                <a:schemeClr val="tx2"/>
              </a:solidFill>
            </a:ln>
            <a:effectLst/>
          </c:spPr>
          <c:invertIfNegative val="0"/>
          <c:cat>
            <c:strRef>
              <c:f>'Wedding budget'!$B$6:$B$15</c:f>
              <c:strCache>
                <c:ptCount val="10"/>
                <c:pt idx="0">
                  <c:v>Reception</c:v>
                </c:pt>
                <c:pt idx="1">
                  <c:v>Attire</c:v>
                </c:pt>
                <c:pt idx="2">
                  <c:v>Flowers and decorations</c:v>
                </c:pt>
                <c:pt idx="3">
                  <c:v>Photographs and video</c:v>
                </c:pt>
                <c:pt idx="4">
                  <c:v>Music</c:v>
                </c:pt>
                <c:pt idx="5">
                  <c:v>Favors and gifts</c:v>
                </c:pt>
                <c:pt idx="6">
                  <c:v>Wedding rings</c:v>
                </c:pt>
                <c:pt idx="7">
                  <c:v>Ceremony</c:v>
                </c:pt>
                <c:pt idx="8">
                  <c:v>Stationery</c:v>
                </c:pt>
                <c:pt idx="9">
                  <c:v>Transportation</c:v>
                </c:pt>
              </c:strCache>
            </c:strRef>
          </c:cat>
          <c:val>
            <c:numRef>
              <c:f>'Wedding budget'!$C$6:$C$15</c:f>
              <c:numCache>
                <c:formatCode>"$"#,##0_);[Red]\("$"#,##0\)</c:formatCode>
                <c:ptCount val="10"/>
                <c:pt idx="0">
                  <c:v>14500</c:v>
                </c:pt>
                <c:pt idx="1">
                  <c:v>4000</c:v>
                </c:pt>
                <c:pt idx="2">
                  <c:v>3000</c:v>
                </c:pt>
                <c:pt idx="3">
                  <c:v>2500</c:v>
                </c:pt>
                <c:pt idx="4">
                  <c:v>1800</c:v>
                </c:pt>
                <c:pt idx="5">
                  <c:v>1100</c:v>
                </c:pt>
                <c:pt idx="6">
                  <c:v>1100</c:v>
                </c:pt>
                <c:pt idx="7">
                  <c:v>800</c:v>
                </c:pt>
                <c:pt idx="8">
                  <c:v>500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F-4F3B-B7C9-B667BE6D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4022976"/>
        <c:axId val="534026256"/>
      </c:barChart>
      <c:catAx>
        <c:axId val="534022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818B8A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18B8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26256"/>
        <c:crosses val="autoZero"/>
        <c:auto val="1"/>
        <c:lblAlgn val="ctr"/>
        <c:lblOffset val="100"/>
        <c:noMultiLvlLbl val="0"/>
      </c:catAx>
      <c:valAx>
        <c:axId val="534026256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crossAx val="534022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1.jpeg" Id="rId2" /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206828</xdr:colOff>
      <xdr:row>2</xdr:row>
      <xdr:rowOff>15240</xdr:rowOff>
    </xdr:from>
    <xdr:to>
      <xdr:col>5</xdr:col>
      <xdr:colOff>1155246</xdr:colOff>
      <xdr:row>2</xdr:row>
      <xdr:rowOff>2795997</xdr:rowOff>
    </xdr:to>
    <xdr:graphicFrame macro="">
      <xdr:nvGraphicFramePr>
        <xdr:cNvPr id="2" name="Chart 1" descr="Chart summarizing wedding budget by category. Category expenses are shown in a descending order based on estimated costs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6</xdr:col>
      <xdr:colOff>2109</xdr:colOff>
      <xdr:row>1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020B3B-CC06-49E7-A495-CDA4280648E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2250" y="0"/>
          <a:ext cx="8368234" cy="939800"/>
        </a:xfrm>
        <a:prstGeom prst="rect">
          <a:avLst/>
        </a:prstGeom>
      </xdr:spPr>
    </xdr:pic>
    <xdr:clientData/>
  </xdr:twoCellAnchor>
</xdr:wsDr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BL_WeddingRings" displayName="TBL_WeddingRings" ref="B79:E82" totalsRowCount="1" headerRowDxfId="27" dataDxfId="26" totalsRowDxfId="25">
  <tableColumns count="4">
    <tableColumn id="1" xr3:uid="{00000000-0010-0000-0900-000001000000}" name="WEDDING RINGS" totalsRowLabel="WEDDING RINGS TOTAL" dataDxfId="24" totalsRowDxfId="23"/>
    <tableColumn id="2" xr3:uid="{00000000-0010-0000-0900-000002000000}" name="ESTIMATED" totalsRowFunction="sum" dataDxfId="22" totalsRowDxfId="21"/>
    <tableColumn id="3" xr3:uid="{00000000-0010-0000-0900-000003000000}" name="ACTUAL" totalsRowFunction="sum" dataDxfId="20" totalsRowDxfId="19"/>
    <tableColumn id="4" xr3:uid="{00000000-0010-0000-0900-000004000000}" name="VARIANCE" totalsRowFunction="custom" dataDxfId="18" totalsRowDxfId="17">
      <calculatedColumnFormula>IF(OR(TBL_WeddingRings[[#This Row],[ESTIMATED]]="",TBL_WeddingRings[[#This Row],[ACTUAL]]=""),"",TBL_WeddingRings[[#This Row],[ESTIMATED]]-TBL_WeddingRings[[#This Row],[ACTUAL]])</calculatedColumnFormula>
      <totalsRowFormula>TBL_WeddingRings[[#Totals],[ESTIMATED]]-TBL_WeddingRings[[#Totals],[ACTUAL]]</totalsRowFormula>
    </tableColumn>
  </tableColumns>
  <tableStyleInfo name="TableStyleLight3 2" showFirstColumn="1" showLastColumn="0" showRowStripes="0" showColumnStripes="0"/>
  <extLst>
    <ext xmlns:x14="http://schemas.microsoft.com/office/spreadsheetml/2009/9/main" uri="{504A1905-F514-4f6f-8877-14C23A59335A}">
      <x14:table altTextSummary="Table containing costs related to wedding rings"/>
    </ext>
  </extLst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BL_Summary" displayName="TBL_Summary" ref="B5:F16" totalsRowCount="1" headerRowDxfId="128" dataDxfId="127" totalsRowDxfId="126">
  <tableColumns count="5">
    <tableColumn id="1" xr3:uid="{00000000-0010-0000-0000-000001000000}" name="CATEGORY" totalsRowLabel="Total" dataDxfId="125" totalsRowDxfId="124"/>
    <tableColumn id="2" xr3:uid="{00000000-0010-0000-0000-000002000000}" name="ESTIMATED COST" totalsRowFunction="sum" dataDxfId="123" totalsRowDxfId="122">
      <calculatedColumnFormula>VLOOKUP(TBL_Summary[[#This Row],[CATEGORY]],TBL_RankingData,2,FALSE)</calculatedColumnFormula>
    </tableColumn>
    <tableColumn id="3" xr3:uid="{00000000-0010-0000-0000-000003000000}" name="ACTUAL COST" totalsRowFunction="sum" dataDxfId="121" totalsRowDxfId="120">
      <calculatedColumnFormula>IF(VLOOKUP(TBL_Summary[[#This Row],[CATEGORY]],TBL_RankingData,3,FALSE)=0,"",VLOOKUP(TBL_Summary[[#This Row],[CATEGORY]],TBL_RankingData,3,FALSE))</calculatedColumnFormula>
    </tableColumn>
    <tableColumn id="4" xr3:uid="{00000000-0010-0000-0000-000004000000}" name="VARIANCE" totalsRowFunction="custom" dataDxfId="119" totalsRowDxfId="118">
      <calculatedColumnFormula>IF(OR(TBL_Summary[[#This Row],[ESTIMATED COST]]="",TBL_Summary[[#This Row],[ACTUAL COST]]=""),"",TBL_Summary[[#This Row],[ESTIMATED COST]]-TBL_Summary[[#This Row],[ACTUAL COST]])</calculatedColumnFormula>
      <totalsRowFormula>TBL_Summary[[#Totals],[ESTIMATED COST]]-TBL_Summary[[#Totals],[ACTUAL COST]]</totalsRowFormula>
    </tableColumn>
    <tableColumn id="5" xr3:uid="{00000000-0010-0000-0000-000005000000}" name="BUDGET %" totalsRowFunction="sum" dataDxfId="117" totalsRowDxfId="116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able containing budget summary by expense category"/>
    </ext>
  </extLst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BL_Transportation" displayName="TBL_Transportation" ref="B85:E91" totalsRowCount="1" headerRowDxfId="16" dataDxfId="15" totalsRowDxfId="14">
  <autoFilter ref="B85:E90" xr:uid="{1874CCD5-90DA-4D63-B97F-603C66F43EBF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TRANSPORTATION  " totalsRowLabel="TRANSPORTATION TOTAL" dataDxfId="13" totalsRowDxfId="12"/>
    <tableColumn id="2" xr3:uid="{00000000-0010-0000-0A00-000002000000}" name="ESTIMATED" totalsRowFunction="sum" dataDxfId="11" totalsRowDxfId="10"/>
    <tableColumn id="3" xr3:uid="{00000000-0010-0000-0A00-000003000000}" name="ACTUAL" totalsRowFunction="sum" dataDxfId="9" totalsRowDxfId="8"/>
    <tableColumn id="4" xr3:uid="{00000000-0010-0000-0A00-000004000000}" name="VARIANCE" totalsRowFunction="custom" dataDxfId="7" totalsRowDxfId="6">
      <calculatedColumnFormula>IF(OR(TBL_Transportation[[#This Row],[ESTIMATED]]="",TBL_Transportation[[#This Row],[ACTUAL]]=""),"",TBL_Transportation[[#This Row],[ESTIMATED]]-TBL_Transportation[[#This Row],[ACTUAL]])</calculatedColumnFormula>
      <totalsRowFormula>TBL_Transportation[[#Totals],[ESTIMATED]]-TBL_Transportation[[#Totals],[ACTUAL]]</totalsRowFormula>
    </tableColumn>
  </tableColumns>
  <tableStyleInfo name="TableStyleLight3 2" showFirstColumn="1" showLastColumn="0" showRowStripes="0" showColumnStripes="0"/>
  <extLst>
    <ext xmlns:x14="http://schemas.microsoft.com/office/spreadsheetml/2009/9/main" uri="{504A1905-F514-4f6f-8877-14C23A59335A}">
      <x14:table altTextSummary="Table containing costs related to transportation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Reception" displayName="TBL_Reception" ref="B4:E10" totalsRowCount="1" headerRowDxfId="115" dataDxfId="114" totalsRowDxfId="113">
  <tableColumns count="4">
    <tableColumn id="1" xr3:uid="{00000000-0010-0000-0100-000001000000}" name="RECEPTION" totalsRowLabel="RECEPTION TOTAL" dataDxfId="112" totalsRowDxfId="111"/>
    <tableColumn id="2" xr3:uid="{00000000-0010-0000-0100-000002000000}" name="ESTIMATED" totalsRowFunction="sum" dataDxfId="110" totalsRowDxfId="109"/>
    <tableColumn id="3" xr3:uid="{00000000-0010-0000-0100-000003000000}" name="ACTUAL" totalsRowFunction="sum" dataDxfId="108" totalsRowDxfId="107"/>
    <tableColumn id="4" xr3:uid="{00000000-0010-0000-0100-000004000000}" name="VARIANCE" totalsRowFunction="custom" dataDxfId="106" totalsRowDxfId="105">
      <calculatedColumnFormula>IF(OR(TBL_Reception[[#This Row],[ESTIMATED]]="",TBL_Reception[[#This Row],[ACTUAL]]=""),"",TBL_Reception[[#This Row],[ESTIMATED]]-TBL_Reception[[#This Row],[ACTUAL]])</calculatedColumnFormula>
      <totalsRowFormula>TBL_Reception[[#Totals],[ESTIMATED]]-TBL_Reception[[#Totals],[ACTUAL]]</totalsRowFormula>
    </tableColumn>
  </tableColumns>
  <tableStyleInfo name="TableStyleLight3 2" showFirstColumn="1" showLastColumn="0" showRowStripes="0" showColumnStripes="0"/>
  <extLst>
    <ext xmlns:x14="http://schemas.microsoft.com/office/spreadsheetml/2009/9/main" uri="{504A1905-F514-4f6f-8877-14C23A59335A}">
      <x14:table altTextSummary="Table containing costs related to reception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Attire" displayName="TBL_Attire" ref="B13:E20" totalsRowCount="1" headerRowDxfId="104" dataDxfId="103" totalsRowDxfId="102">
  <tableColumns count="4">
    <tableColumn id="1" xr3:uid="{00000000-0010-0000-0200-000001000000}" name="ATTIRE" totalsRowLabel="ATTIRE TOTAL" dataDxfId="101" totalsRowDxfId="100"/>
    <tableColumn id="2" xr3:uid="{00000000-0010-0000-0200-000002000000}" name="ESTIMATED" totalsRowFunction="sum" dataDxfId="99" totalsRowDxfId="98"/>
    <tableColumn id="3" xr3:uid="{00000000-0010-0000-0200-000003000000}" name="ACTUAL" totalsRowFunction="sum" dataDxfId="97" totalsRowDxfId="96"/>
    <tableColumn id="4" xr3:uid="{00000000-0010-0000-0200-000004000000}" name="VARIANCE" totalsRowFunction="custom" dataDxfId="95" totalsRowDxfId="94">
      <calculatedColumnFormula>IF(OR(TBL_Attire[[#This Row],[ESTIMATED]]="",TBL_Attire[[#This Row],[ACTUAL]]=""),"",TBL_Attire[[#This Row],[ESTIMATED]]-TBL_Attire[[#This Row],[ACTUAL]])</calculatedColumnFormula>
      <totalsRowFormula>TBL_Attire[[#Totals],[ESTIMATED]]-TBL_Attire[[#Totals],[ACTUAL]]</totalsRowFormula>
    </tableColumn>
  </tableColumns>
  <tableStyleInfo name="TableStyleLight3 2" showFirstColumn="1" showLastColumn="0" showRowStripes="0" showColumnStripes="0"/>
  <extLst>
    <ext xmlns:x14="http://schemas.microsoft.com/office/spreadsheetml/2009/9/main" uri="{504A1905-F514-4f6f-8877-14C23A59335A}">
      <x14:table altTextSummary="Table containing costs related to attire"/>
    </ext>
  </extLst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L_FlowersAndDecor" displayName="TBL_FlowersAndDecor" ref="B23:E33" totalsRowCount="1" headerRowDxfId="93" dataDxfId="92" totalsRowDxfId="91">
  <tableColumns count="4">
    <tableColumn id="1" xr3:uid="{00000000-0010-0000-0300-000001000000}" name="FLOWERS &amp; DECORATIONS" totalsRowLabel="FLOWERS &amp; DECORATIONS TOTAL" dataDxfId="90" totalsRowDxfId="89"/>
    <tableColumn id="2" xr3:uid="{00000000-0010-0000-0300-000002000000}" name="ESTIMATED" totalsRowFunction="sum" dataDxfId="88" totalsRowDxfId="87"/>
    <tableColumn id="3" xr3:uid="{00000000-0010-0000-0300-000003000000}" name="ACTUAL" totalsRowFunction="sum" dataDxfId="86" totalsRowDxfId="85"/>
    <tableColumn id="4" xr3:uid="{00000000-0010-0000-0300-000004000000}" name="VARIANCE" totalsRowFunction="custom" dataDxfId="84" totalsRowDxfId="83">
      <calculatedColumnFormula>IF(OR(TBL_FlowersAndDecor[[#This Row],[ESTIMATED]]="",TBL_FlowersAndDecor[[#This Row],[ACTUAL]]=""),"",TBL_FlowersAndDecor[[#This Row],[ESTIMATED]]-TBL_FlowersAndDecor[[#This Row],[ACTUAL]])</calculatedColumnFormula>
      <totalsRowFormula>TBL_FlowersAndDecor[[#Totals],[ESTIMATED]]-TBL_FlowersAndDecor[[#Totals],[ACTUAL]]</totalsRowFormula>
    </tableColumn>
  </tableColumns>
  <tableStyleInfo name="TableStyleLight3 2" showFirstColumn="1" showLastColumn="0" showRowStripes="0" showColumnStripes="0"/>
  <extLst>
    <ext xmlns:x14="http://schemas.microsoft.com/office/spreadsheetml/2009/9/main" uri="{504A1905-F514-4f6f-8877-14C23A59335A}">
      <x14:table altTextSummary="Table containing costs related to flowers and decorations"/>
    </ext>
  </extLst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Music" displayName="TBL_Music" ref="B36:E42" totalsRowCount="1" headerRowDxfId="82" dataDxfId="81" totalsRowDxfId="80">
  <tableColumns count="4">
    <tableColumn id="1" xr3:uid="{00000000-0010-0000-0400-000001000000}" name="MUSIC" totalsRowLabel="MUSIC TOTAL" dataDxfId="79" totalsRowDxfId="78"/>
    <tableColumn id="2" xr3:uid="{00000000-0010-0000-0400-000002000000}" name="ESTIMATED" totalsRowFunction="sum" dataDxfId="77" totalsRowDxfId="76"/>
    <tableColumn id="3" xr3:uid="{00000000-0010-0000-0400-000003000000}" name="ACTUAL" totalsRowFunction="sum" dataDxfId="75" totalsRowDxfId="74"/>
    <tableColumn id="4" xr3:uid="{00000000-0010-0000-0400-000004000000}" name="VARIANCE" totalsRowFunction="custom" dataDxfId="73" totalsRowDxfId="72">
      <calculatedColumnFormula>IF(OR(TBL_Music[[#This Row],[ESTIMATED]]="",TBL_Music[[#This Row],[ACTUAL]]=""),"",TBL_Music[[#This Row],[ESTIMATED]]-TBL_Music[[#This Row],[ACTUAL]])</calculatedColumnFormula>
      <totalsRowFormula>TBL_Music[[#Totals],[ESTIMATED]]-TBL_Music[[#Totals],[ACTUAL]]</totalsRowFormula>
    </tableColumn>
  </tableColumns>
  <tableStyleInfo name="TableStyleLight3 2" showFirstColumn="1" showLastColumn="0" showRowStripes="0" showColumnStripes="0"/>
  <extLst>
    <ext xmlns:x14="http://schemas.microsoft.com/office/spreadsheetml/2009/9/main" uri="{504A1905-F514-4f6f-8877-14C23A59335A}">
      <x14:table altTextSummary="Table containing costs related to music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PhotographsAndVideo" displayName="TBL_PhotographsAndVideo" ref="B45:E50" totalsRowCount="1" headerRowDxfId="71" dataDxfId="70" totalsRowDxfId="69">
  <tableColumns count="4">
    <tableColumn id="1" xr3:uid="{00000000-0010-0000-0500-000001000000}" name="PHOTOGRAPHY &amp; VIDEO" totalsRowLabel="PHOTOGRAPHY &amp; VIDEO TOTAL" dataDxfId="68" totalsRowDxfId="67"/>
    <tableColumn id="2" xr3:uid="{00000000-0010-0000-0500-000002000000}" name="ESTIMATED" totalsRowFunction="sum" dataDxfId="66" totalsRowDxfId="65"/>
    <tableColumn id="3" xr3:uid="{00000000-0010-0000-0500-000003000000}" name="ACTUAL" totalsRowFunction="sum" dataDxfId="64" totalsRowDxfId="63"/>
    <tableColumn id="4" xr3:uid="{00000000-0010-0000-0500-000004000000}" name="VARIANCE" totalsRowFunction="custom" dataDxfId="62" totalsRowDxfId="61">
      <calculatedColumnFormula>IF(OR(TBL_PhotographsAndVideo[[#This Row],[ESTIMATED]]="",TBL_PhotographsAndVideo[[#This Row],[ACTUAL]]=""),"",TBL_PhotographsAndVideo[[#This Row],[ESTIMATED]]-TBL_PhotographsAndVideo[[#This Row],[ACTUAL]])</calculatedColumnFormula>
      <totalsRowFormula>TBL_PhotographsAndVideo[[#Totals],[ESTIMATED]]-TBL_PhotographsAndVideo[[#Totals],[ACTUAL]]</totalsRowFormula>
    </tableColumn>
  </tableColumns>
  <tableStyleInfo name="TableStyleLight3 2" showFirstColumn="1" showLastColumn="0" showRowStripes="0" showColumnStripes="0"/>
  <extLst>
    <ext xmlns:x14="http://schemas.microsoft.com/office/spreadsheetml/2009/9/main" uri="{504A1905-F514-4f6f-8877-14C23A59335A}">
      <x14:table altTextSummary="Table containing costs related to photographs and video"/>
    </ext>
  </extLst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BL_FavorsAndGifts" displayName="TBL_FavorsAndGifts" ref="B53:E57" totalsRowCount="1" headerRowDxfId="60" dataDxfId="59" totalsRowDxfId="58">
  <tableColumns count="4">
    <tableColumn id="1" xr3:uid="{00000000-0010-0000-0600-000001000000}" name="FAVORS &amp; GIFTS" totalsRowLabel="FAVORS &amp; GIFTS TOTAL" dataDxfId="57" totalsRowDxfId="56"/>
    <tableColumn id="2" xr3:uid="{00000000-0010-0000-0600-000002000000}" name="ESTIMATED" totalsRowFunction="sum" dataDxfId="55" totalsRowDxfId="54"/>
    <tableColumn id="3" xr3:uid="{00000000-0010-0000-0600-000003000000}" name="ACTUAL" totalsRowFunction="sum" dataDxfId="53" totalsRowDxfId="52"/>
    <tableColumn id="4" xr3:uid="{00000000-0010-0000-0600-000004000000}" name="VARIANCE" totalsRowFunction="custom" dataDxfId="51" totalsRowDxfId="50">
      <calculatedColumnFormula>IF(OR(TBL_FavorsAndGifts[[#This Row],[ESTIMATED]]="",TBL_FavorsAndGifts[[#This Row],[ACTUAL]]=""),"",TBL_FavorsAndGifts[[#This Row],[ESTIMATED]]-TBL_FavorsAndGifts[[#This Row],[ACTUAL]])</calculatedColumnFormula>
      <totalsRowFormula>TBL_FavorsAndGifts[[#Totals],[ESTIMATED]]-TBL_FavorsAndGifts[[#Totals],[ACTUAL]]</totalsRowFormula>
    </tableColumn>
  </tableColumns>
  <tableStyleInfo name="TableStyleLight3 2" showFirstColumn="1" showLastColumn="0" showRowStripes="0" showColumnStripes="0"/>
  <extLst>
    <ext xmlns:x14="http://schemas.microsoft.com/office/spreadsheetml/2009/9/main" uri="{504A1905-F514-4f6f-8877-14C23A59335A}">
      <x14:table altTextSummary="Table containing costs related to favors and gifts"/>
    </ext>
  </extLst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BL_Ceremony" displayName="TBL_Ceremony" ref="B60:E64" totalsRowCount="1" headerRowDxfId="49" dataDxfId="48" totalsRowDxfId="47">
  <tableColumns count="4">
    <tableColumn id="1" xr3:uid="{00000000-0010-0000-0700-000001000000}" name="CEREMONY" totalsRowLabel="CEREMONY TOTAL" dataDxfId="46" totalsRowDxfId="45"/>
    <tableColumn id="2" xr3:uid="{00000000-0010-0000-0700-000002000000}" name="ESTIMATED" totalsRowFunction="sum" dataDxfId="44" totalsRowDxfId="43"/>
    <tableColumn id="3" xr3:uid="{00000000-0010-0000-0700-000003000000}" name="ACTUAL" totalsRowFunction="sum" dataDxfId="42" totalsRowDxfId="41"/>
    <tableColumn id="4" xr3:uid="{00000000-0010-0000-0700-000004000000}" name="VARIANCE" totalsRowFunction="custom" dataDxfId="40" totalsRowDxfId="39">
      <calculatedColumnFormula>IF(OR(TBL_Ceremony[[#This Row],[ESTIMATED]]="",TBL_Ceremony[[#This Row],[ACTUAL]]=""),"",TBL_Ceremony[[#This Row],[ESTIMATED]]-TBL_Ceremony[[#This Row],[ACTUAL]])</calculatedColumnFormula>
      <totalsRowFormula>TBL_Ceremony[[#Totals],[ESTIMATED]]-TBL_Ceremony[[#Totals],[ACTUAL]]</totalsRowFormula>
    </tableColumn>
  </tableColumns>
  <tableStyleInfo name="TableStyleLight3 2" showFirstColumn="1" showLastColumn="0" showRowStripes="0" showColumnStripes="0"/>
  <extLst>
    <ext xmlns:x14="http://schemas.microsoft.com/office/spreadsheetml/2009/9/main" uri="{504A1905-F514-4f6f-8877-14C23A59335A}">
      <x14:table altTextSummary="Table containing costs related to ceremony"/>
    </ext>
  </extLst>
</table>
</file>

<file path=xl/tables/table9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BL_Stationery" displayName="TBL_Stationery" ref="B67:E76" totalsRowCount="1" headerRowDxfId="38" dataDxfId="37" totalsRowDxfId="36">
  <tableColumns count="4">
    <tableColumn id="1" xr3:uid="{00000000-0010-0000-0800-000001000000}" name="STATIONARY" totalsRowLabel="STATIONARY TOTAL" dataDxfId="35" totalsRowDxfId="34"/>
    <tableColumn id="2" xr3:uid="{00000000-0010-0000-0800-000002000000}" name="ESTIMATED" totalsRowFunction="sum" dataDxfId="33" totalsRowDxfId="32"/>
    <tableColumn id="3" xr3:uid="{00000000-0010-0000-0800-000003000000}" name="ACTUAL" totalsRowFunction="sum" dataDxfId="31" totalsRowDxfId="30"/>
    <tableColumn id="4" xr3:uid="{00000000-0010-0000-0800-000004000000}" name="VARIANCE" totalsRowFunction="custom" dataDxfId="29" totalsRowDxfId="28">
      <calculatedColumnFormula>IF(OR(TBL_Stationery[[#This Row],[ESTIMATED]]="",TBL_Stationery[[#This Row],[ACTUAL]]=""),"",TBL_Stationery[[#This Row],[ESTIMATED]]-TBL_Stationery[[#This Row],[ACTUAL]])</calculatedColumnFormula>
      <totalsRowFormula>TBL_Stationery[[#Totals],[ESTIMATED]]-TBL_Stationery[[#Totals],[ACTUAL]]</totalsRowFormula>
    </tableColumn>
  </tableColumns>
  <tableStyleInfo name="TableStyleLight3 2" showFirstColumn="1" showLastColumn="0" showRowStripes="0" showColumnStripes="0"/>
  <extLst>
    <ext xmlns:x14="http://schemas.microsoft.com/office/spreadsheetml/2009/9/main" uri="{504A1905-F514-4f6f-8877-14C23A59335A}">
      <x14:table altTextSummary="Table containing costs related to stationery"/>
    </ext>
  </extLst>
</table>
</file>

<file path=xl/theme/theme1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 Wash 2">
      <a:majorFont>
        <a:latin typeface="Franklin Gothic Medium Cond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81.xml" Id="rId8" /><Relationship Type="http://schemas.openxmlformats.org/officeDocument/2006/relationships/table" Target="/xl/tables/table32.xml" Id="rId3" /><Relationship Type="http://schemas.openxmlformats.org/officeDocument/2006/relationships/table" Target="/xl/tables/table73.xml" Id="rId7" /><Relationship Type="http://schemas.openxmlformats.org/officeDocument/2006/relationships/table" Target="/xl/tables/table24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65.xml" Id="rId6" /><Relationship Type="http://schemas.openxmlformats.org/officeDocument/2006/relationships/table" Target="/xl/tables/table116.xml" Id="rId11" /><Relationship Type="http://schemas.openxmlformats.org/officeDocument/2006/relationships/table" Target="/xl/tables/table57.xml" Id="rId5" /><Relationship Type="http://schemas.openxmlformats.org/officeDocument/2006/relationships/table" Target="/xl/tables/table108.xml" Id="rId10" /><Relationship Type="http://schemas.openxmlformats.org/officeDocument/2006/relationships/table" Target="/xl/tables/table49.xml" Id="rId4" /><Relationship Type="http://schemas.openxmlformats.org/officeDocument/2006/relationships/table" Target="/xl/tables/table910.xml" Id="rId9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4"/>
  <sheetViews>
    <sheetView showGridLines="0" tabSelected="1" zoomScaleNormal="100" workbookViewId="0"/>
  </sheetViews>
  <sheetFormatPr defaultColWidth="8.81640625" defaultRowHeight="21" customHeight="1" x14ac:dyDescent="0.35"/>
  <cols>
    <col min="1" max="1" width="2.6328125" style="1" customWidth="1"/>
    <col min="2" max="2" width="27.1796875" style="3" customWidth="1"/>
    <col min="3" max="6" width="17.6328125" style="1" customWidth="1"/>
    <col min="7" max="7" width="2.6328125" style="1" customWidth="1"/>
    <col min="8" max="8" width="21.81640625" style="2" hidden="1" customWidth="1"/>
    <col min="9" max="10" width="10.453125" style="2" hidden="1" customWidth="1"/>
    <col min="11" max="13" width="10.453125" style="1" hidden="1" customWidth="1"/>
    <col min="14" max="14" width="21.81640625" style="2" hidden="1" customWidth="1"/>
    <col min="15" max="16384" width="8.81640625" style="1"/>
  </cols>
  <sheetData>
    <row r="1" spans="1:14" ht="72.599999999999994" customHeight="1" x14ac:dyDescent="0.35">
      <c r="A1" s="12"/>
      <c r="B1" s="13"/>
      <c r="C1" s="12"/>
      <c r="D1" s="12"/>
      <c r="E1" s="12"/>
      <c r="F1" s="12"/>
      <c r="G1" s="6"/>
    </row>
    <row r="2" spans="1:14" s="7" customFormat="1" ht="84.75" customHeight="1" x14ac:dyDescent="0.95">
      <c r="B2" s="46" t="s">
        <v>88</v>
      </c>
      <c r="C2" s="46"/>
      <c r="D2" s="46"/>
      <c r="E2" s="46"/>
      <c r="F2" s="46"/>
      <c r="H2" s="8"/>
      <c r="I2" s="8"/>
      <c r="J2" s="8"/>
      <c r="N2" s="8"/>
    </row>
    <row r="3" spans="1:14" ht="220.2" customHeight="1" x14ac:dyDescent="0.35">
      <c r="A3" s="12"/>
      <c r="C3" s="12"/>
      <c r="D3" s="12"/>
      <c r="E3" s="12"/>
      <c r="F3" s="12"/>
    </row>
    <row r="4" spans="1:14" ht="15" customHeight="1" x14ac:dyDescent="0.35">
      <c r="A4" s="12"/>
      <c r="B4" s="13"/>
      <c r="C4" s="12"/>
      <c r="D4" s="12"/>
      <c r="E4" s="12"/>
      <c r="F4" s="12"/>
    </row>
    <row r="5" spans="1:14" s="29" customFormat="1" ht="34.950000000000003" customHeight="1" x14ac:dyDescent="0.35">
      <c r="A5" s="26"/>
      <c r="B5" s="27" t="s">
        <v>0</v>
      </c>
      <c r="C5" s="28" t="s">
        <v>1</v>
      </c>
      <c r="D5" s="28" t="s">
        <v>2</v>
      </c>
      <c r="E5" s="28" t="s">
        <v>3</v>
      </c>
      <c r="F5" s="28" t="s">
        <v>4</v>
      </c>
      <c r="H5" s="30" t="s">
        <v>5</v>
      </c>
      <c r="I5" s="29" t="s">
        <v>6</v>
      </c>
      <c r="J5" s="29" t="s">
        <v>7</v>
      </c>
      <c r="K5" s="31" t="s">
        <v>8</v>
      </c>
      <c r="L5" s="29" t="s">
        <v>9</v>
      </c>
      <c r="M5" s="29" t="s">
        <v>10</v>
      </c>
      <c r="N5" s="30" t="s">
        <v>11</v>
      </c>
    </row>
    <row r="6" spans="1:14" s="21" customFormat="1" ht="19.5" customHeight="1" x14ac:dyDescent="0.35">
      <c r="A6" s="20"/>
      <c r="B6" s="23" t="str">
        <f>N6</f>
        <v>Reception</v>
      </c>
      <c r="C6" s="24">
        <f>VLOOKUP(TBL_Summary[[#This Row],[CATEGORY]],TBL_RankingData,2,FALSE)</f>
        <v>14500</v>
      </c>
      <c r="D6" s="24">
        <f>IF(VLOOKUP(TBL_Summary[[#This Row],[CATEGORY]],TBL_RankingData,3,FALSE)=0,"",VLOOKUP(TBL_Summary[[#This Row],[CATEGORY]],TBL_RankingData,3,FALSE))</f>
        <v>12800</v>
      </c>
      <c r="E6" s="24">
        <f>IF(OR(TBL_Summary[[#This Row],[ESTIMATED COST]]="",TBL_Summary[[#This Row],[ACTUAL COST]]=""),"",TBL_Summary[[#This Row],[ESTIMATED COST]]-TBL_Summary[[#This Row],[ACTUAL COST]])</f>
        <v>1700</v>
      </c>
      <c r="F6" s="25">
        <f>TBL_Summary[[#This Row],[ESTIMATED COST]]/SUM(TBL_Summary[ESTIMATED COST])</f>
        <v>0.48739495798319327</v>
      </c>
      <c r="H6" s="22" t="s">
        <v>12</v>
      </c>
      <c r="I6" s="21">
        <f>TBL_Reception[[#Totals],[ESTIMATED]]</f>
        <v>14500</v>
      </c>
      <c r="J6" s="21">
        <f>TBL_Reception[[#Totals],[ACTUAL]]</f>
        <v>12800</v>
      </c>
      <c r="K6" s="21">
        <f>I6-M6/100</f>
        <v>14499.99</v>
      </c>
      <c r="L6" s="21">
        <f t="shared" ref="L6:L15" si="0">_xlfn.RANK.AVG(K6,$K$6:$K$15)</f>
        <v>1</v>
      </c>
      <c r="M6" s="21">
        <v>1</v>
      </c>
      <c r="N6" s="22" t="str">
        <f t="shared" ref="N6:N15" si="1">INDEX(TBL_RankingData,MATCH(M6,$L$6:$L$15,0),1)</f>
        <v>Reception</v>
      </c>
    </row>
    <row r="7" spans="1:14" s="21" customFormat="1" ht="19.95" customHeight="1" x14ac:dyDescent="0.35">
      <c r="A7" s="20"/>
      <c r="B7" s="23" t="str">
        <f t="shared" ref="B7:B15" si="2">N7</f>
        <v>Attire</v>
      </c>
      <c r="C7" s="24">
        <f>VLOOKUP(TBL_Summary[[#This Row],[CATEGORY]],TBL_RankingData,2,FALSE)</f>
        <v>4000</v>
      </c>
      <c r="D7" s="24">
        <f>IF(VLOOKUP(TBL_Summary[[#This Row],[CATEGORY]],TBL_RankingData,3,FALSE)=0,"",VLOOKUP(TBL_Summary[[#This Row],[CATEGORY]],TBL_RankingData,3,FALSE))</f>
        <v>2900</v>
      </c>
      <c r="E7" s="24">
        <f>IF(OR(TBL_Summary[[#This Row],[ESTIMATED COST]]="",TBL_Summary[[#This Row],[ACTUAL COST]]=""),"",TBL_Summary[[#This Row],[ESTIMATED COST]]-TBL_Summary[[#This Row],[ACTUAL COST]])</f>
        <v>1100</v>
      </c>
      <c r="F7" s="25">
        <f>TBL_Summary[[#This Row],[ESTIMATED COST]]/SUM(TBL_Summary[ESTIMATED COST])</f>
        <v>0.13445378151260504</v>
      </c>
      <c r="H7" s="22" t="s">
        <v>13</v>
      </c>
      <c r="I7" s="21">
        <f>TBL_Attire[[#Totals],[ESTIMATED]]</f>
        <v>4000</v>
      </c>
      <c r="J7" s="21">
        <f>TBL_Attire[[#Totals],[ACTUAL]]</f>
        <v>2900</v>
      </c>
      <c r="K7" s="21">
        <f t="shared" ref="K7:K15" si="3">I7-M7/100</f>
        <v>3999.98</v>
      </c>
      <c r="L7" s="21">
        <f t="shared" si="0"/>
        <v>2</v>
      </c>
      <c r="M7" s="21">
        <v>2</v>
      </c>
      <c r="N7" s="22" t="str">
        <f t="shared" si="1"/>
        <v>Attire</v>
      </c>
    </row>
    <row r="8" spans="1:14" s="21" customFormat="1" ht="19.95" customHeight="1" x14ac:dyDescent="0.35">
      <c r="A8" s="20"/>
      <c r="B8" s="23" t="str">
        <f t="shared" si="2"/>
        <v>Flowers and decorations</v>
      </c>
      <c r="C8" s="24">
        <f>VLOOKUP(TBL_Summary[[#This Row],[CATEGORY]],TBL_RankingData,2,FALSE)</f>
        <v>3000</v>
      </c>
      <c r="D8" s="24" t="str">
        <f>IF(VLOOKUP(TBL_Summary[[#This Row],[CATEGORY]],TBL_RankingData,3,FALSE)=0,"",VLOOKUP(TBL_Summary[[#This Row],[CATEGORY]],TBL_RankingData,3,FALSE))</f>
        <v/>
      </c>
      <c r="E8" s="24" t="str">
        <f>IF(OR(TBL_Summary[[#This Row],[ESTIMATED COST]]="",TBL_Summary[[#This Row],[ACTUAL COST]]=""),"",TBL_Summary[[#This Row],[ESTIMATED COST]]-TBL_Summary[[#This Row],[ACTUAL COST]])</f>
        <v/>
      </c>
      <c r="F8" s="25">
        <f>TBL_Summary[[#This Row],[ESTIMATED COST]]/SUM(TBL_Summary[ESTIMATED COST])</f>
        <v>0.10084033613445378</v>
      </c>
      <c r="H8" s="22" t="s">
        <v>14</v>
      </c>
      <c r="I8" s="21">
        <f>TBL_FlowersAndDecor[[#Totals],[ESTIMATED]]</f>
        <v>3000</v>
      </c>
      <c r="J8" s="21">
        <f>TBL_FlowersAndDecor[[#Totals],[ACTUAL]]</f>
        <v>0</v>
      </c>
      <c r="K8" s="21">
        <f t="shared" si="3"/>
        <v>2999.97</v>
      </c>
      <c r="L8" s="21">
        <f t="shared" si="0"/>
        <v>3</v>
      </c>
      <c r="M8" s="21">
        <v>3</v>
      </c>
      <c r="N8" s="22" t="str">
        <f t="shared" si="1"/>
        <v>Flowers and decorations</v>
      </c>
    </row>
    <row r="9" spans="1:14" s="21" customFormat="1" ht="19.95" customHeight="1" x14ac:dyDescent="0.35">
      <c r="A9" s="20"/>
      <c r="B9" s="23" t="str">
        <f t="shared" si="2"/>
        <v>Photographs and video</v>
      </c>
      <c r="C9" s="24">
        <f>VLOOKUP(TBL_Summary[[#This Row],[CATEGORY]],TBL_RankingData,2,FALSE)</f>
        <v>2500</v>
      </c>
      <c r="D9" s="24" t="str">
        <f>IF(VLOOKUP(TBL_Summary[[#This Row],[CATEGORY]],TBL_RankingData,3,FALSE)=0,"",VLOOKUP(TBL_Summary[[#This Row],[CATEGORY]],TBL_RankingData,3,FALSE))</f>
        <v/>
      </c>
      <c r="E9" s="24" t="str">
        <f>IF(OR(TBL_Summary[[#This Row],[ESTIMATED COST]]="",TBL_Summary[[#This Row],[ACTUAL COST]]=""),"",TBL_Summary[[#This Row],[ESTIMATED COST]]-TBL_Summary[[#This Row],[ACTUAL COST]])</f>
        <v/>
      </c>
      <c r="F9" s="25">
        <f>TBL_Summary[[#This Row],[ESTIMATED COST]]/SUM(TBL_Summary[ESTIMATED COST])</f>
        <v>8.4033613445378158E-2</v>
      </c>
      <c r="H9" s="22" t="s">
        <v>15</v>
      </c>
      <c r="I9" s="21">
        <f>TBL_Music[[#Totals],[ESTIMATED]]</f>
        <v>1800</v>
      </c>
      <c r="J9" s="21">
        <f>TBL_Music[[#Totals],[ACTUAL]]</f>
        <v>0</v>
      </c>
      <c r="K9" s="21">
        <f t="shared" si="3"/>
        <v>1799.96</v>
      </c>
      <c r="L9" s="21">
        <f t="shared" si="0"/>
        <v>5</v>
      </c>
      <c r="M9" s="21">
        <v>4</v>
      </c>
      <c r="N9" s="22" t="str">
        <f t="shared" si="1"/>
        <v>Photographs and video</v>
      </c>
    </row>
    <row r="10" spans="1:14" s="21" customFormat="1" ht="19.95" customHeight="1" x14ac:dyDescent="0.35">
      <c r="A10" s="20"/>
      <c r="B10" s="23" t="str">
        <f t="shared" si="2"/>
        <v>Music</v>
      </c>
      <c r="C10" s="24">
        <f>VLOOKUP(TBL_Summary[[#This Row],[CATEGORY]],TBL_RankingData,2,FALSE)</f>
        <v>1800</v>
      </c>
      <c r="D10" s="24" t="str">
        <f>IF(VLOOKUP(TBL_Summary[[#This Row],[CATEGORY]],TBL_RankingData,3,FALSE)=0,"",VLOOKUP(TBL_Summary[[#This Row],[CATEGORY]],TBL_RankingData,3,FALSE))</f>
        <v/>
      </c>
      <c r="E10" s="24" t="str">
        <f>IF(OR(TBL_Summary[[#This Row],[ESTIMATED COST]]="",TBL_Summary[[#This Row],[ACTUAL COST]]=""),"",TBL_Summary[[#This Row],[ESTIMATED COST]]-TBL_Summary[[#This Row],[ACTUAL COST]])</f>
        <v/>
      </c>
      <c r="F10" s="25">
        <f>TBL_Summary[[#This Row],[ESTIMATED COST]]/SUM(TBL_Summary[ESTIMATED COST])</f>
        <v>6.0504201680672269E-2</v>
      </c>
      <c r="H10" s="22" t="s">
        <v>16</v>
      </c>
      <c r="I10" s="21">
        <f>TBL_PhotographsAndVideo[[#Totals],[ESTIMATED]]</f>
        <v>2500</v>
      </c>
      <c r="J10" s="21">
        <f>TBL_PhotographsAndVideo[[#Totals],[ACTUAL]]</f>
        <v>0</v>
      </c>
      <c r="K10" s="21">
        <f t="shared" si="3"/>
        <v>2499.9499999999998</v>
      </c>
      <c r="L10" s="21">
        <f t="shared" si="0"/>
        <v>4</v>
      </c>
      <c r="M10" s="21">
        <v>5</v>
      </c>
      <c r="N10" s="22" t="str">
        <f t="shared" si="1"/>
        <v>Music</v>
      </c>
    </row>
    <row r="11" spans="1:14" s="21" customFormat="1" ht="19.95" customHeight="1" x14ac:dyDescent="0.35">
      <c r="A11" s="20"/>
      <c r="B11" s="23" t="str">
        <f t="shared" si="2"/>
        <v>Favors and gifts</v>
      </c>
      <c r="C11" s="24">
        <f>VLOOKUP(TBL_Summary[[#This Row],[CATEGORY]],TBL_RankingData,2,FALSE)</f>
        <v>1100</v>
      </c>
      <c r="D11" s="24" t="str">
        <f>IF(VLOOKUP(TBL_Summary[[#This Row],[CATEGORY]],TBL_RankingData,3,FALSE)=0,"",VLOOKUP(TBL_Summary[[#This Row],[CATEGORY]],TBL_RankingData,3,FALSE))</f>
        <v/>
      </c>
      <c r="E11" s="24" t="str">
        <f>IF(OR(TBL_Summary[[#This Row],[ESTIMATED COST]]="",TBL_Summary[[#This Row],[ACTUAL COST]]=""),"",TBL_Summary[[#This Row],[ESTIMATED COST]]-TBL_Summary[[#This Row],[ACTUAL COST]])</f>
        <v/>
      </c>
      <c r="F11" s="25">
        <f>TBL_Summary[[#This Row],[ESTIMATED COST]]/SUM(TBL_Summary[ESTIMATED COST])</f>
        <v>3.6974789915966387E-2</v>
      </c>
      <c r="H11" s="22" t="s">
        <v>17</v>
      </c>
      <c r="I11" s="21">
        <f>TBL_FavorsAndGifts[[#Totals],[ESTIMATED]]</f>
        <v>1100</v>
      </c>
      <c r="J11" s="21">
        <f>TBL_FavorsAndGifts[[#Totals],[ACTUAL]]</f>
        <v>0</v>
      </c>
      <c r="K11" s="21">
        <f t="shared" si="3"/>
        <v>1099.94</v>
      </c>
      <c r="L11" s="21">
        <f t="shared" si="0"/>
        <v>6</v>
      </c>
      <c r="M11" s="21">
        <v>6</v>
      </c>
      <c r="N11" s="22" t="str">
        <f t="shared" si="1"/>
        <v>Favors and gifts</v>
      </c>
    </row>
    <row r="12" spans="1:14" s="21" customFormat="1" ht="19.95" customHeight="1" x14ac:dyDescent="0.35">
      <c r="A12" s="20"/>
      <c r="B12" s="23" t="str">
        <f>N12</f>
        <v>Wedding rings</v>
      </c>
      <c r="C12" s="24">
        <f>VLOOKUP(TBL_Summary[[#This Row],[CATEGORY]],TBL_RankingData,2,FALSE)</f>
        <v>1100</v>
      </c>
      <c r="D12" s="24" t="str">
        <f>IF(VLOOKUP(TBL_Summary[[#This Row],[CATEGORY]],TBL_RankingData,3,FALSE)=0,"",VLOOKUP(TBL_Summary[[#This Row],[CATEGORY]],TBL_RankingData,3,FALSE))</f>
        <v/>
      </c>
      <c r="E12" s="24" t="str">
        <f>IF(OR(TBL_Summary[[#This Row],[ESTIMATED COST]]="",TBL_Summary[[#This Row],[ACTUAL COST]]=""),"",TBL_Summary[[#This Row],[ESTIMATED COST]]-TBL_Summary[[#This Row],[ACTUAL COST]])</f>
        <v/>
      </c>
      <c r="F12" s="25">
        <f>TBL_Summary[[#This Row],[ESTIMATED COST]]/SUM(TBL_Summary[ESTIMATED COST])</f>
        <v>3.6974789915966387E-2</v>
      </c>
      <c r="H12" s="22" t="s">
        <v>18</v>
      </c>
      <c r="I12" s="21">
        <f>TBL_Ceremony[[#Totals],[ESTIMATED]]</f>
        <v>800</v>
      </c>
      <c r="J12" s="21">
        <f>TBL_Ceremony[[#Totals],[ACTUAL]]</f>
        <v>0</v>
      </c>
      <c r="K12" s="21">
        <f t="shared" si="3"/>
        <v>799.93</v>
      </c>
      <c r="L12" s="21">
        <f t="shared" si="0"/>
        <v>8</v>
      </c>
      <c r="M12" s="21">
        <v>7</v>
      </c>
      <c r="N12" s="22" t="str">
        <f t="shared" si="1"/>
        <v>Wedding rings</v>
      </c>
    </row>
    <row r="13" spans="1:14" s="21" customFormat="1" ht="19.95" customHeight="1" x14ac:dyDescent="0.35">
      <c r="A13" s="20"/>
      <c r="B13" s="23" t="str">
        <f t="shared" si="2"/>
        <v>Ceremony</v>
      </c>
      <c r="C13" s="24">
        <f>VLOOKUP(TBL_Summary[[#This Row],[CATEGORY]],TBL_RankingData,2,FALSE)</f>
        <v>800</v>
      </c>
      <c r="D13" s="24" t="str">
        <f>IF(VLOOKUP(TBL_Summary[[#This Row],[CATEGORY]],TBL_RankingData,3,FALSE)=0,"",VLOOKUP(TBL_Summary[[#This Row],[CATEGORY]],TBL_RankingData,3,FALSE))</f>
        <v/>
      </c>
      <c r="E13" s="24" t="str">
        <f>IF(OR(TBL_Summary[[#This Row],[ESTIMATED COST]]="",TBL_Summary[[#This Row],[ACTUAL COST]]=""),"",TBL_Summary[[#This Row],[ESTIMATED COST]]-TBL_Summary[[#This Row],[ACTUAL COST]])</f>
        <v/>
      </c>
      <c r="F13" s="25">
        <f>TBL_Summary[[#This Row],[ESTIMATED COST]]/SUM(TBL_Summary[ESTIMATED COST])</f>
        <v>2.689075630252101E-2</v>
      </c>
      <c r="H13" s="22" t="s">
        <v>19</v>
      </c>
      <c r="I13" s="21">
        <f>TBL_Stationery[[#Totals],[ESTIMATED]]</f>
        <v>500</v>
      </c>
      <c r="J13" s="21">
        <f>TBL_Stationery[[#Totals],[ACTUAL]]</f>
        <v>0</v>
      </c>
      <c r="K13" s="21">
        <f t="shared" si="3"/>
        <v>499.92</v>
      </c>
      <c r="L13" s="21">
        <f t="shared" si="0"/>
        <v>9</v>
      </c>
      <c r="M13" s="21">
        <v>8</v>
      </c>
      <c r="N13" s="22" t="str">
        <f t="shared" si="1"/>
        <v>Ceremony</v>
      </c>
    </row>
    <row r="14" spans="1:14" s="21" customFormat="1" ht="19.95" customHeight="1" x14ac:dyDescent="0.35">
      <c r="A14" s="20"/>
      <c r="B14" s="23" t="str">
        <f t="shared" si="2"/>
        <v>Stationery</v>
      </c>
      <c r="C14" s="24">
        <f>VLOOKUP(TBL_Summary[[#This Row],[CATEGORY]],TBL_RankingData,2,FALSE)</f>
        <v>500</v>
      </c>
      <c r="D14" s="24" t="str">
        <f>IF(VLOOKUP(TBL_Summary[[#This Row],[CATEGORY]],TBL_RankingData,3,FALSE)=0,"",VLOOKUP(TBL_Summary[[#This Row],[CATEGORY]],TBL_RankingData,3,FALSE))</f>
        <v/>
      </c>
      <c r="E14" s="24" t="str">
        <f>IF(OR(TBL_Summary[[#This Row],[ESTIMATED COST]]="",TBL_Summary[[#This Row],[ACTUAL COST]]=""),"",TBL_Summary[[#This Row],[ESTIMATED COST]]-TBL_Summary[[#This Row],[ACTUAL COST]])</f>
        <v/>
      </c>
      <c r="F14" s="25">
        <f>TBL_Summary[[#This Row],[ESTIMATED COST]]/SUM(TBL_Summary[ESTIMATED COST])</f>
        <v>1.680672268907563E-2</v>
      </c>
      <c r="H14" s="22" t="s">
        <v>20</v>
      </c>
      <c r="I14" s="21">
        <f>TBL_WeddingRings[[#Totals],[ESTIMATED]]</f>
        <v>1100</v>
      </c>
      <c r="J14" s="21">
        <f>TBL_WeddingRings[[#Totals],[ACTUAL]]</f>
        <v>0</v>
      </c>
      <c r="K14" s="21">
        <f t="shared" si="3"/>
        <v>1099.9100000000001</v>
      </c>
      <c r="L14" s="21">
        <f t="shared" si="0"/>
        <v>7</v>
      </c>
      <c r="M14" s="21">
        <v>9</v>
      </c>
      <c r="N14" s="22" t="str">
        <f t="shared" si="1"/>
        <v>Stationery</v>
      </c>
    </row>
    <row r="15" spans="1:14" s="21" customFormat="1" ht="19.95" customHeight="1" x14ac:dyDescent="0.35">
      <c r="A15" s="20"/>
      <c r="B15" s="23" t="str">
        <f t="shared" si="2"/>
        <v>Transportation</v>
      </c>
      <c r="C15" s="24">
        <f>VLOOKUP(TBL_Summary[[#This Row],[CATEGORY]],TBL_RankingData,2,FALSE)</f>
        <v>450</v>
      </c>
      <c r="D15" s="24" t="str">
        <f>IF(VLOOKUP(TBL_Summary[[#This Row],[CATEGORY]],TBL_RankingData,3,FALSE)=0,"",VLOOKUP(TBL_Summary[[#This Row],[CATEGORY]],TBL_RankingData,3,FALSE))</f>
        <v/>
      </c>
      <c r="E15" s="24" t="str">
        <f>IF(OR(TBL_Summary[[#This Row],[ESTIMATED COST]]="",TBL_Summary[[#This Row],[ACTUAL COST]]=""),"",TBL_Summary[[#This Row],[ESTIMATED COST]]-TBL_Summary[[#This Row],[ACTUAL COST]])</f>
        <v/>
      </c>
      <c r="F15" s="25">
        <f>TBL_Summary[[#This Row],[ESTIMATED COST]]/SUM(TBL_Summary[ESTIMATED COST])</f>
        <v>1.5126050420168067E-2</v>
      </c>
      <c r="H15" s="22" t="s">
        <v>21</v>
      </c>
      <c r="I15" s="21">
        <f>TBL_Transportation[[#Totals],[ESTIMATED]]</f>
        <v>450</v>
      </c>
      <c r="J15" s="21">
        <f>TBL_Transportation[[#Totals],[ACTUAL]]</f>
        <v>0</v>
      </c>
      <c r="K15" s="21">
        <f t="shared" si="3"/>
        <v>449.9</v>
      </c>
      <c r="L15" s="21">
        <f t="shared" si="0"/>
        <v>10</v>
      </c>
      <c r="M15" s="21">
        <v>10</v>
      </c>
      <c r="N15" s="22" t="str">
        <f t="shared" si="1"/>
        <v>Transportation</v>
      </c>
    </row>
    <row r="16" spans="1:14" s="36" customFormat="1" ht="34.950000000000003" customHeight="1" x14ac:dyDescent="0.35">
      <c r="A16" s="32"/>
      <c r="B16" s="33" t="s">
        <v>22</v>
      </c>
      <c r="C16" s="34">
        <f>SUBTOTAL(109,TBL_Summary[ESTIMATED COST])</f>
        <v>29750</v>
      </c>
      <c r="D16" s="34">
        <f>SUBTOTAL(109,TBL_Summary[ACTUAL COST])</f>
        <v>15700</v>
      </c>
      <c r="E16" s="34">
        <f>TBL_Summary[[#Totals],[ESTIMATED COST]]-TBL_Summary[[#Totals],[ACTUAL COST]]</f>
        <v>14050</v>
      </c>
      <c r="F16" s="35">
        <f>SUBTOTAL(109,TBL_Summary[BUDGET %])</f>
        <v>1</v>
      </c>
      <c r="H16" s="37"/>
      <c r="I16" s="37"/>
      <c r="J16" s="37"/>
      <c r="N16" s="37"/>
    </row>
    <row r="17" spans="1:7" ht="21" customHeight="1" x14ac:dyDescent="0.35">
      <c r="A17" s="12"/>
      <c r="B17" s="13"/>
      <c r="C17" s="12"/>
      <c r="D17" s="12"/>
      <c r="E17" s="12"/>
      <c r="F17" s="12"/>
    </row>
    <row r="18" spans="1:7" ht="21" customHeight="1" x14ac:dyDescent="0.35">
      <c r="A18" s="12"/>
      <c r="B18" s="12"/>
      <c r="C18" s="12"/>
      <c r="D18" s="12"/>
      <c r="E18" s="12"/>
      <c r="F18" s="12"/>
    </row>
    <row r="19" spans="1:7" ht="21" customHeight="1" x14ac:dyDescent="0.35">
      <c r="A19" s="12"/>
      <c r="B19" s="12"/>
      <c r="C19" s="12"/>
      <c r="D19" s="12"/>
      <c r="E19" s="12"/>
      <c r="F19" s="12"/>
    </row>
    <row r="20" spans="1:7" ht="21" customHeight="1" x14ac:dyDescent="0.35">
      <c r="A20" s="12"/>
      <c r="B20" s="12"/>
      <c r="C20" s="12"/>
      <c r="D20" s="12"/>
      <c r="E20" s="12"/>
      <c r="F20" s="12"/>
    </row>
    <row r="21" spans="1:7" ht="21" customHeight="1" x14ac:dyDescent="0.35">
      <c r="B21" s="1"/>
    </row>
    <row r="22" spans="1:7" ht="21" customHeight="1" x14ac:dyDescent="0.35">
      <c r="B22" s="1"/>
    </row>
    <row r="23" spans="1:7" ht="21" customHeight="1" x14ac:dyDescent="0.35">
      <c r="B23" s="1"/>
    </row>
    <row r="24" spans="1:7" ht="21" customHeight="1" x14ac:dyDescent="0.35">
      <c r="B24" s="1"/>
      <c r="G24" s="11"/>
    </row>
  </sheetData>
  <mergeCells count="1">
    <mergeCell ref="B2:F2"/>
  </mergeCells>
  <dataValidations count="7">
    <dataValidation allowBlank="1" showInputMessage="1" showErrorMessage="1" prompt="Use this template to create your Wedding Budget._x000a__x000a_In the Budget Details tab, enter details for each expense category._x000a__x000a_The summary table in cell B5 and chart in cell B3 are automatically updated._x000a_" sqref="A1" xr:uid="{00000000-0002-0000-0000-000000000000}"/>
    <dataValidation allowBlank="1" showInputMessage="1" showErrorMessage="1" prompt="Your wedding budget is automatically summarized in this table. _x000a__x000a_The expenses category are automatically sorted in a descending order based on total estimated costs._x000a__x000a_" sqref="B5" xr:uid="{00000000-0002-0000-0000-000001000000}"/>
    <dataValidation allowBlank="1" showInputMessage="1" showErrorMessage="1" prompt="Estimated costs are automatically calculated._x000a__x000a_Data is being read from Budget Details tab." sqref="C5" xr:uid="{00000000-0002-0000-0000-000002000000}"/>
    <dataValidation allowBlank="1" showInputMessage="1" showErrorMessage="1" prompt="Actual costs are automatically calculated._x000a__x000a_Data is being read from Budget Details tab." sqref="D5" xr:uid="{00000000-0002-0000-0000-000003000000}"/>
    <dataValidation allowBlank="1" showInputMessage="1" showErrorMessage="1" prompt="Variance is automatically calculated._x000a__x000a_This shows the difference between estimated costs and actual costs." sqref="E5" xr:uid="{00000000-0002-0000-0000-000004000000}"/>
    <dataValidation allowBlank="1" showInputMessage="1" showErrorMessage="1" prompt="Budget % is automatically calculated._x000a__x000a_This shows the breakdown based on total estimated costs." sqref="F5" xr:uid="{00000000-0002-0000-0000-000005000000}"/>
    <dataValidation allowBlank="1" showInputMessage="1" showErrorMessage="1" prompt="Edit this cell with the names of the couple" sqref="B2:F2" xr:uid="{EEAC0ED2-8EF9-4133-A48B-4A968510BFC5}"/>
  </dataValidations>
  <printOptions horizontalCentered="1"/>
  <pageMargins left="0.25" right="0.25" top="0.75" bottom="0.75" header="0.3" footer="0.3"/>
  <pageSetup scale="85"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F91"/>
  <sheetViews>
    <sheetView showGridLines="0" zoomScaleNormal="100" workbookViewId="0"/>
  </sheetViews>
  <sheetFormatPr defaultColWidth="8.81640625" defaultRowHeight="21" customHeight="1" x14ac:dyDescent="0.35"/>
  <cols>
    <col min="1" max="1" width="1.453125" style="1" customWidth="1"/>
    <col min="2" max="2" width="34.453125" style="9" customWidth="1"/>
    <col min="3" max="5" width="14.453125" style="10" customWidth="1"/>
    <col min="6" max="6" width="1.453125" style="1" customWidth="1"/>
    <col min="7" max="16384" width="8.81640625" style="1"/>
  </cols>
  <sheetData>
    <row r="1" spans="2:6" ht="9" customHeight="1" x14ac:dyDescent="0.35">
      <c r="F1" s="5" t="s">
        <v>87</v>
      </c>
    </row>
    <row r="2" spans="2:6" s="4" customFormat="1" ht="41.25" customHeight="1" x14ac:dyDescent="0.35">
      <c r="B2" s="18" t="s">
        <v>23</v>
      </c>
      <c r="C2" s="17"/>
      <c r="D2" s="17"/>
      <c r="E2" s="17"/>
    </row>
    <row r="4" spans="2:6" s="19" customFormat="1" ht="21" customHeight="1" x14ac:dyDescent="0.35">
      <c r="B4" s="42" t="s">
        <v>24</v>
      </c>
      <c r="C4" s="41" t="s">
        <v>25</v>
      </c>
      <c r="D4" s="41" t="s">
        <v>26</v>
      </c>
      <c r="E4" s="41" t="s">
        <v>3</v>
      </c>
    </row>
    <row r="5" spans="2:6" s="40" customFormat="1" ht="21" customHeight="1" x14ac:dyDescent="0.35">
      <c r="B5" s="39" t="s">
        <v>27</v>
      </c>
      <c r="C5" s="38">
        <v>8000</v>
      </c>
      <c r="D5" s="38">
        <v>7800</v>
      </c>
      <c r="E5" s="38">
        <f>IF(OR(TBL_Reception[[#This Row],[ESTIMATED]]="",TBL_Reception[[#This Row],[ACTUAL]]=""),"",TBL_Reception[[#This Row],[ESTIMATED]]-TBL_Reception[[#This Row],[ACTUAL]])</f>
        <v>200</v>
      </c>
    </row>
    <row r="6" spans="2:6" s="40" customFormat="1" ht="21" customHeight="1" x14ac:dyDescent="0.35">
      <c r="B6" s="39" t="s">
        <v>28</v>
      </c>
      <c r="C6" s="38">
        <v>4000</v>
      </c>
      <c r="D6" s="38">
        <v>4200</v>
      </c>
      <c r="E6" s="38">
        <f>IF(OR(TBL_Reception[[#This Row],[ESTIMATED]]="",TBL_Reception[[#This Row],[ACTUAL]]=""),"",TBL_Reception[[#This Row],[ESTIMATED]]-TBL_Reception[[#This Row],[ACTUAL]])</f>
        <v>-200</v>
      </c>
    </row>
    <row r="7" spans="2:6" s="40" customFormat="1" ht="21" customHeight="1" x14ac:dyDescent="0.35">
      <c r="B7" s="39" t="s">
        <v>29</v>
      </c>
      <c r="C7" s="38">
        <v>1000</v>
      </c>
      <c r="D7" s="38">
        <v>800</v>
      </c>
      <c r="E7" s="38">
        <f>IF(OR(TBL_Reception[[#This Row],[ESTIMATED]]="",TBL_Reception[[#This Row],[ACTUAL]]=""),"",TBL_Reception[[#This Row],[ESTIMATED]]-TBL_Reception[[#This Row],[ACTUAL]])</f>
        <v>200</v>
      </c>
    </row>
    <row r="8" spans="2:6" s="40" customFormat="1" ht="21" customHeight="1" x14ac:dyDescent="0.35">
      <c r="B8" s="39" t="s">
        <v>30</v>
      </c>
      <c r="C8" s="38">
        <v>1000</v>
      </c>
      <c r="D8" s="38"/>
      <c r="E8" s="38" t="str">
        <f>IF(OR(TBL_Reception[[#This Row],[ESTIMATED]]="",TBL_Reception[[#This Row],[ACTUAL]]=""),"",TBL_Reception[[#This Row],[ESTIMATED]]-TBL_Reception[[#This Row],[ACTUAL]])</f>
        <v/>
      </c>
    </row>
    <row r="9" spans="2:6" s="40" customFormat="1" ht="21" customHeight="1" x14ac:dyDescent="0.35">
      <c r="B9" s="39" t="s">
        <v>31</v>
      </c>
      <c r="C9" s="38">
        <v>500</v>
      </c>
      <c r="D9" s="38"/>
      <c r="E9" s="38" t="str">
        <f>IF(OR(TBL_Reception[[#This Row],[ESTIMATED]]="",TBL_Reception[[#This Row],[ACTUAL]]=""),"",TBL_Reception[[#This Row],[ESTIMATED]]-TBL_Reception[[#This Row],[ACTUAL]])</f>
        <v/>
      </c>
    </row>
    <row r="10" spans="2:6" s="19" customFormat="1" ht="21" customHeight="1" x14ac:dyDescent="0.35">
      <c r="B10" s="45" t="s">
        <v>32</v>
      </c>
      <c r="C10" s="43">
        <f>SUBTOTAL(109,TBL_Reception[ESTIMATED])</f>
        <v>14500</v>
      </c>
      <c r="D10" s="43">
        <f>SUBTOTAL(109,TBL_Reception[ACTUAL])</f>
        <v>12800</v>
      </c>
      <c r="E10" s="43">
        <f>TBL_Reception[[#Totals],[ESTIMATED]]-TBL_Reception[[#Totals],[ACTUAL]]</f>
        <v>1700</v>
      </c>
      <c r="F10" s="44"/>
    </row>
    <row r="11" spans="2:6" ht="21" customHeight="1" x14ac:dyDescent="0.35">
      <c r="B11" s="14"/>
      <c r="C11" s="15"/>
      <c r="D11" s="16"/>
      <c r="E11" s="15"/>
    </row>
    <row r="12" spans="2:6" ht="21" customHeight="1" x14ac:dyDescent="0.35">
      <c r="B12" s="14"/>
      <c r="C12" s="15"/>
      <c r="D12" s="15"/>
      <c r="E12" s="15"/>
    </row>
    <row r="13" spans="2:6" s="19" customFormat="1" ht="21" customHeight="1" x14ac:dyDescent="0.35">
      <c r="B13" s="42" t="s">
        <v>33</v>
      </c>
      <c r="C13" s="41" t="s">
        <v>25</v>
      </c>
      <c r="D13" s="41" t="s">
        <v>26</v>
      </c>
      <c r="E13" s="41" t="s">
        <v>3</v>
      </c>
    </row>
    <row r="14" spans="2:6" s="40" customFormat="1" ht="21" customHeight="1" x14ac:dyDescent="0.35">
      <c r="B14" s="39" t="s">
        <v>34</v>
      </c>
      <c r="C14" s="38">
        <v>3000</v>
      </c>
      <c r="D14" s="38">
        <v>2900</v>
      </c>
      <c r="E14" s="38">
        <f>IF(OR(TBL_Attire[[#This Row],[ESTIMATED]]="",TBL_Attire[[#This Row],[ACTUAL]]=""),"",TBL_Attire[[#This Row],[ESTIMATED]]-TBL_Attire[[#This Row],[ACTUAL]])</f>
        <v>100</v>
      </c>
    </row>
    <row r="15" spans="2:6" s="40" customFormat="1" ht="21" customHeight="1" x14ac:dyDescent="0.35">
      <c r="B15" s="39" t="s">
        <v>35</v>
      </c>
      <c r="C15" s="38">
        <v>100</v>
      </c>
      <c r="D15" s="38"/>
      <c r="E15" s="38" t="str">
        <f>IF(OR(TBL_Attire[[#This Row],[ESTIMATED]]="",TBL_Attire[[#This Row],[ACTUAL]]=""),"",TBL_Attire[[#This Row],[ESTIMATED]]-TBL_Attire[[#This Row],[ACTUAL]])</f>
        <v/>
      </c>
    </row>
    <row r="16" spans="2:6" s="40" customFormat="1" ht="21" customHeight="1" x14ac:dyDescent="0.35">
      <c r="B16" s="39" t="s">
        <v>36</v>
      </c>
      <c r="C16" s="38">
        <v>200</v>
      </c>
      <c r="D16" s="38"/>
      <c r="E16" s="38" t="str">
        <f>IF(OR(TBL_Attire[[#This Row],[ESTIMATED]]="",TBL_Attire[[#This Row],[ACTUAL]]=""),"",TBL_Attire[[#This Row],[ESTIMATED]]-TBL_Attire[[#This Row],[ACTUAL]])</f>
        <v/>
      </c>
    </row>
    <row r="17" spans="2:6" s="40" customFormat="1" ht="21" customHeight="1" x14ac:dyDescent="0.35">
      <c r="B17" s="39" t="s">
        <v>37</v>
      </c>
      <c r="C17" s="38">
        <v>100</v>
      </c>
      <c r="D17" s="38"/>
      <c r="E17" s="38" t="str">
        <f>IF(OR(TBL_Attire[[#This Row],[ESTIMATED]]="",TBL_Attire[[#This Row],[ACTUAL]]=""),"",TBL_Attire[[#This Row],[ESTIMATED]]-TBL_Attire[[#This Row],[ACTUAL]])</f>
        <v/>
      </c>
    </row>
    <row r="18" spans="2:6" s="40" customFormat="1" ht="21" customHeight="1" x14ac:dyDescent="0.35">
      <c r="B18" s="39" t="s">
        <v>38</v>
      </c>
      <c r="C18" s="38">
        <v>500</v>
      </c>
      <c r="D18" s="38"/>
      <c r="E18" s="38" t="str">
        <f>IF(OR(TBL_Attire[[#This Row],[ESTIMATED]]="",TBL_Attire[[#This Row],[ACTUAL]]=""),"",TBL_Attire[[#This Row],[ESTIMATED]]-TBL_Attire[[#This Row],[ACTUAL]])</f>
        <v/>
      </c>
    </row>
    <row r="19" spans="2:6" s="40" customFormat="1" ht="21" customHeight="1" x14ac:dyDescent="0.35">
      <c r="B19" s="39" t="s">
        <v>31</v>
      </c>
      <c r="C19" s="38">
        <v>100</v>
      </c>
      <c r="D19" s="38"/>
      <c r="E19" s="38" t="str">
        <f>IF(OR(TBL_Attire[[#This Row],[ESTIMATED]]="",TBL_Attire[[#This Row],[ACTUAL]]=""),"",TBL_Attire[[#This Row],[ESTIMATED]]-TBL_Attire[[#This Row],[ACTUAL]])</f>
        <v/>
      </c>
    </row>
    <row r="20" spans="2:6" s="19" customFormat="1" ht="21" customHeight="1" x14ac:dyDescent="0.35">
      <c r="B20" s="45" t="s">
        <v>39</v>
      </c>
      <c r="C20" s="43">
        <f>SUBTOTAL(109,TBL_Attire[ESTIMATED])</f>
        <v>4000</v>
      </c>
      <c r="D20" s="43">
        <f>SUBTOTAL(109,TBL_Attire[ACTUAL])</f>
        <v>2900</v>
      </c>
      <c r="E20" s="43">
        <f>TBL_Attire[[#Totals],[ESTIMATED]]-TBL_Attire[[#Totals],[ACTUAL]]</f>
        <v>1100</v>
      </c>
      <c r="F20" s="44"/>
    </row>
    <row r="21" spans="2:6" ht="21" customHeight="1" x14ac:dyDescent="0.35">
      <c r="B21" s="14"/>
      <c r="C21" s="15"/>
      <c r="D21" s="15"/>
      <c r="E21" s="15"/>
    </row>
    <row r="22" spans="2:6" ht="21" customHeight="1" x14ac:dyDescent="0.35">
      <c r="B22" s="14"/>
      <c r="C22" s="15"/>
      <c r="D22" s="15"/>
      <c r="E22" s="15"/>
    </row>
    <row r="23" spans="2:6" s="19" customFormat="1" ht="21" customHeight="1" x14ac:dyDescent="0.35">
      <c r="B23" s="42" t="s">
        <v>40</v>
      </c>
      <c r="C23" s="41" t="s">
        <v>25</v>
      </c>
      <c r="D23" s="41" t="s">
        <v>26</v>
      </c>
      <c r="E23" s="41" t="s">
        <v>3</v>
      </c>
    </row>
    <row r="24" spans="2:6" s="40" customFormat="1" ht="21" customHeight="1" x14ac:dyDescent="0.35">
      <c r="B24" s="39" t="s">
        <v>41</v>
      </c>
      <c r="C24" s="38">
        <v>1000</v>
      </c>
      <c r="D24" s="38"/>
      <c r="E24" s="38" t="str">
        <f>IF(OR(TBL_FlowersAndDecor[[#This Row],[ESTIMATED]]="",TBL_FlowersAndDecor[[#This Row],[ACTUAL]]=""),"",TBL_FlowersAndDecor[[#This Row],[ESTIMATED]]-TBL_FlowersAndDecor[[#This Row],[ACTUAL]])</f>
        <v/>
      </c>
    </row>
    <row r="25" spans="2:6" s="40" customFormat="1" ht="21" customHeight="1" x14ac:dyDescent="0.35">
      <c r="B25" s="39" t="s">
        <v>42</v>
      </c>
      <c r="C25" s="38">
        <v>500</v>
      </c>
      <c r="D25" s="38"/>
      <c r="E25" s="38" t="str">
        <f>IF(OR(TBL_FlowersAndDecor[[#This Row],[ESTIMATED]]="",TBL_FlowersAndDecor[[#This Row],[ACTUAL]]=""),"",TBL_FlowersAndDecor[[#This Row],[ESTIMATED]]-TBL_FlowersAndDecor[[#This Row],[ACTUAL]])</f>
        <v/>
      </c>
    </row>
    <row r="26" spans="2:6" s="40" customFormat="1" ht="21" customHeight="1" x14ac:dyDescent="0.35">
      <c r="B26" s="39" t="s">
        <v>43</v>
      </c>
      <c r="C26" s="38">
        <v>100</v>
      </c>
      <c r="D26" s="38"/>
      <c r="E26" s="38" t="str">
        <f>IF(OR(TBL_FlowersAndDecor[[#This Row],[ESTIMATED]]="",TBL_FlowersAndDecor[[#This Row],[ACTUAL]]=""),"",TBL_FlowersAndDecor[[#This Row],[ESTIMATED]]-TBL_FlowersAndDecor[[#This Row],[ACTUAL]])</f>
        <v/>
      </c>
    </row>
    <row r="27" spans="2:6" s="40" customFormat="1" ht="21" customHeight="1" x14ac:dyDescent="0.35">
      <c r="B27" s="39" t="s">
        <v>44</v>
      </c>
      <c r="C27" s="38">
        <v>500</v>
      </c>
      <c r="D27" s="38"/>
      <c r="E27" s="38" t="str">
        <f>IF(OR(TBL_FlowersAndDecor[[#This Row],[ESTIMATED]]="",TBL_FlowersAndDecor[[#This Row],[ACTUAL]]=""),"",TBL_FlowersAndDecor[[#This Row],[ESTIMATED]]-TBL_FlowersAndDecor[[#This Row],[ACTUAL]])</f>
        <v/>
      </c>
    </row>
    <row r="28" spans="2:6" s="40" customFormat="1" ht="21" customHeight="1" x14ac:dyDescent="0.35">
      <c r="B28" s="39" t="s">
        <v>45</v>
      </c>
      <c r="C28" s="38">
        <v>100</v>
      </c>
      <c r="D28" s="38"/>
      <c r="E28" s="38" t="str">
        <f>IF(OR(TBL_FlowersAndDecor[[#This Row],[ESTIMATED]]="",TBL_FlowersAndDecor[[#This Row],[ACTUAL]]=""),"",TBL_FlowersAndDecor[[#This Row],[ESTIMATED]]-TBL_FlowersAndDecor[[#This Row],[ACTUAL]])</f>
        <v/>
      </c>
    </row>
    <row r="29" spans="2:6" s="40" customFormat="1" ht="21" customHeight="1" x14ac:dyDescent="0.35">
      <c r="B29" s="39" t="s">
        <v>46</v>
      </c>
      <c r="C29" s="38">
        <v>200</v>
      </c>
      <c r="D29" s="38"/>
      <c r="E29" s="38" t="str">
        <f>IF(OR(TBL_FlowersAndDecor[[#This Row],[ESTIMATED]]="",TBL_FlowersAndDecor[[#This Row],[ACTUAL]]=""),"",TBL_FlowersAndDecor[[#This Row],[ESTIMATED]]-TBL_FlowersAndDecor[[#This Row],[ACTUAL]])</f>
        <v/>
      </c>
    </row>
    <row r="30" spans="2:6" s="40" customFormat="1" ht="21" customHeight="1" x14ac:dyDescent="0.35">
      <c r="B30" s="39" t="s">
        <v>47</v>
      </c>
      <c r="C30" s="38">
        <v>300</v>
      </c>
      <c r="D30" s="38"/>
      <c r="E30" s="38" t="str">
        <f>IF(OR(TBL_FlowersAndDecor[[#This Row],[ESTIMATED]]="",TBL_FlowersAndDecor[[#This Row],[ACTUAL]]=""),"",TBL_FlowersAndDecor[[#This Row],[ESTIMATED]]-TBL_FlowersAndDecor[[#This Row],[ACTUAL]])</f>
        <v/>
      </c>
    </row>
    <row r="31" spans="2:6" s="40" customFormat="1" ht="21" customHeight="1" x14ac:dyDescent="0.35">
      <c r="B31" s="39" t="s">
        <v>48</v>
      </c>
      <c r="C31" s="38">
        <v>200</v>
      </c>
      <c r="D31" s="38"/>
      <c r="E31" s="38" t="str">
        <f>IF(OR(TBL_FlowersAndDecor[[#This Row],[ESTIMATED]]="",TBL_FlowersAndDecor[[#This Row],[ACTUAL]]=""),"",TBL_FlowersAndDecor[[#This Row],[ESTIMATED]]-TBL_FlowersAndDecor[[#This Row],[ACTUAL]])</f>
        <v/>
      </c>
    </row>
    <row r="32" spans="2:6" s="40" customFormat="1" ht="21" customHeight="1" x14ac:dyDescent="0.35">
      <c r="B32" s="39" t="s">
        <v>31</v>
      </c>
      <c r="C32" s="38">
        <v>100</v>
      </c>
      <c r="D32" s="38"/>
      <c r="E32" s="38" t="str">
        <f>IF(OR(TBL_FlowersAndDecor[[#This Row],[ESTIMATED]]="",TBL_FlowersAndDecor[[#This Row],[ACTUAL]]=""),"",TBL_FlowersAndDecor[[#This Row],[ESTIMATED]]-TBL_FlowersAndDecor[[#This Row],[ACTUAL]])</f>
        <v/>
      </c>
    </row>
    <row r="33" spans="2:6" s="19" customFormat="1" ht="21" customHeight="1" x14ac:dyDescent="0.35">
      <c r="B33" s="45" t="s">
        <v>49</v>
      </c>
      <c r="C33" s="43">
        <f>SUBTOTAL(109,TBL_FlowersAndDecor[ESTIMATED])</f>
        <v>3000</v>
      </c>
      <c r="D33" s="43">
        <f>SUBTOTAL(109,TBL_FlowersAndDecor[ACTUAL])</f>
        <v>0</v>
      </c>
      <c r="E33" s="43">
        <f>TBL_FlowersAndDecor[[#Totals],[ESTIMATED]]-TBL_FlowersAndDecor[[#Totals],[ACTUAL]]</f>
        <v>3000</v>
      </c>
      <c r="F33" s="44"/>
    </row>
    <row r="34" spans="2:6" ht="21" customHeight="1" x14ac:dyDescent="0.35">
      <c r="B34" s="14"/>
      <c r="C34" s="15"/>
      <c r="D34" s="15"/>
      <c r="E34" s="15"/>
    </row>
    <row r="35" spans="2:6" ht="21" customHeight="1" x14ac:dyDescent="0.35">
      <c r="B35" s="14"/>
      <c r="C35" s="15"/>
      <c r="D35" s="15"/>
      <c r="E35" s="15"/>
    </row>
    <row r="36" spans="2:6" s="19" customFormat="1" ht="21" customHeight="1" x14ac:dyDescent="0.35">
      <c r="B36" s="42" t="s">
        <v>50</v>
      </c>
      <c r="C36" s="41" t="s">
        <v>25</v>
      </c>
      <c r="D36" s="41" t="s">
        <v>26</v>
      </c>
      <c r="E36" s="41" t="s">
        <v>3</v>
      </c>
    </row>
    <row r="37" spans="2:6" s="40" customFormat="1" ht="21" customHeight="1" x14ac:dyDescent="0.35">
      <c r="B37" s="39" t="s">
        <v>51</v>
      </c>
      <c r="C37" s="38">
        <v>700</v>
      </c>
      <c r="D37" s="38"/>
      <c r="E37" s="38" t="str">
        <f>IF(OR(TBL_Music[[#This Row],[ESTIMATED]]="",TBL_Music[[#This Row],[ACTUAL]]=""),"",TBL_Music[[#This Row],[ESTIMATED]]-TBL_Music[[#This Row],[ACTUAL]])</f>
        <v/>
      </c>
    </row>
    <row r="38" spans="2:6" s="40" customFormat="1" ht="21" customHeight="1" x14ac:dyDescent="0.35">
      <c r="B38" s="39" t="s">
        <v>52</v>
      </c>
      <c r="C38" s="38">
        <v>300</v>
      </c>
      <c r="D38" s="38"/>
      <c r="E38" s="38" t="str">
        <f>IF(OR(TBL_Music[[#This Row],[ESTIMATED]]="",TBL_Music[[#This Row],[ACTUAL]]=""),"",TBL_Music[[#This Row],[ESTIMATED]]-TBL_Music[[#This Row],[ACTUAL]])</f>
        <v/>
      </c>
    </row>
    <row r="39" spans="2:6" s="40" customFormat="1" ht="21" customHeight="1" x14ac:dyDescent="0.35">
      <c r="B39" s="39" t="s">
        <v>53</v>
      </c>
      <c r="C39" s="38">
        <v>200</v>
      </c>
      <c r="D39" s="38"/>
      <c r="E39" s="38" t="str">
        <f>IF(OR(TBL_Music[[#This Row],[ESTIMATED]]="",TBL_Music[[#This Row],[ACTUAL]]=""),"",TBL_Music[[#This Row],[ESTIMATED]]-TBL_Music[[#This Row],[ACTUAL]])</f>
        <v/>
      </c>
    </row>
    <row r="40" spans="2:6" s="40" customFormat="1" ht="21" customHeight="1" x14ac:dyDescent="0.35">
      <c r="B40" s="39" t="s">
        <v>54</v>
      </c>
      <c r="C40" s="38">
        <v>400</v>
      </c>
      <c r="D40" s="38"/>
      <c r="E40" s="38" t="str">
        <f>IF(OR(TBL_Music[[#This Row],[ESTIMATED]]="",TBL_Music[[#This Row],[ACTUAL]]=""),"",TBL_Music[[#This Row],[ESTIMATED]]-TBL_Music[[#This Row],[ACTUAL]])</f>
        <v/>
      </c>
    </row>
    <row r="41" spans="2:6" s="40" customFormat="1" ht="21" customHeight="1" x14ac:dyDescent="0.35">
      <c r="B41" s="39" t="s">
        <v>31</v>
      </c>
      <c r="C41" s="38">
        <v>200</v>
      </c>
      <c r="D41" s="38"/>
      <c r="E41" s="38" t="str">
        <f>IF(OR(TBL_Music[[#This Row],[ESTIMATED]]="",TBL_Music[[#This Row],[ACTUAL]]=""),"",TBL_Music[[#This Row],[ESTIMATED]]-TBL_Music[[#This Row],[ACTUAL]])</f>
        <v/>
      </c>
    </row>
    <row r="42" spans="2:6" s="19" customFormat="1" ht="21" customHeight="1" x14ac:dyDescent="0.35">
      <c r="B42" s="45" t="s">
        <v>55</v>
      </c>
      <c r="C42" s="43">
        <f>SUBTOTAL(109,TBL_Music[ESTIMATED])</f>
        <v>1800</v>
      </c>
      <c r="D42" s="43">
        <f>SUBTOTAL(109,TBL_Music[ACTUAL])</f>
        <v>0</v>
      </c>
      <c r="E42" s="43">
        <f>TBL_Music[[#Totals],[ESTIMATED]]-TBL_Music[[#Totals],[ACTUAL]]</f>
        <v>1800</v>
      </c>
      <c r="F42" s="44"/>
    </row>
    <row r="43" spans="2:6" ht="21" customHeight="1" x14ac:dyDescent="0.35">
      <c r="B43" s="14"/>
      <c r="C43" s="15"/>
      <c r="D43" s="15"/>
      <c r="E43" s="15"/>
    </row>
    <row r="44" spans="2:6" ht="21" customHeight="1" x14ac:dyDescent="0.35">
      <c r="B44" s="14"/>
      <c r="C44" s="15"/>
      <c r="D44" s="15"/>
      <c r="E44" s="15"/>
    </row>
    <row r="45" spans="2:6" s="19" customFormat="1" ht="21" customHeight="1" x14ac:dyDescent="0.35">
      <c r="B45" s="42" t="s">
        <v>56</v>
      </c>
      <c r="C45" s="41" t="s">
        <v>25</v>
      </c>
      <c r="D45" s="41" t="s">
        <v>26</v>
      </c>
      <c r="E45" s="41" t="s">
        <v>3</v>
      </c>
    </row>
    <row r="46" spans="2:6" s="40" customFormat="1" ht="21" customHeight="1" x14ac:dyDescent="0.35">
      <c r="B46" s="39" t="s">
        <v>57</v>
      </c>
      <c r="C46" s="38">
        <v>1000</v>
      </c>
      <c r="D46" s="38"/>
      <c r="E46" s="38" t="str">
        <f>IF(OR(TBL_PhotographsAndVideo[[#This Row],[ESTIMATED]]="",TBL_PhotographsAndVideo[[#This Row],[ACTUAL]]=""),"",TBL_PhotographsAndVideo[[#This Row],[ESTIMATED]]-TBL_PhotographsAndVideo[[#This Row],[ACTUAL]])</f>
        <v/>
      </c>
    </row>
    <row r="47" spans="2:6" s="40" customFormat="1" ht="21" customHeight="1" x14ac:dyDescent="0.35">
      <c r="B47" s="39" t="s">
        <v>58</v>
      </c>
      <c r="C47" s="38">
        <v>800</v>
      </c>
      <c r="D47" s="38"/>
      <c r="E47" s="38" t="str">
        <f>IF(OR(TBL_PhotographsAndVideo[[#This Row],[ESTIMATED]]="",TBL_PhotographsAndVideo[[#This Row],[ACTUAL]]=""),"",TBL_PhotographsAndVideo[[#This Row],[ESTIMATED]]-TBL_PhotographsAndVideo[[#This Row],[ACTUAL]])</f>
        <v/>
      </c>
    </row>
    <row r="48" spans="2:6" s="40" customFormat="1" ht="21" customHeight="1" x14ac:dyDescent="0.35">
      <c r="B48" s="39" t="s">
        <v>59</v>
      </c>
      <c r="C48" s="38">
        <v>500</v>
      </c>
      <c r="D48" s="38"/>
      <c r="E48" s="38" t="str">
        <f>IF(OR(TBL_PhotographsAndVideo[[#This Row],[ESTIMATED]]="",TBL_PhotographsAndVideo[[#This Row],[ACTUAL]]=""),"",TBL_PhotographsAndVideo[[#This Row],[ESTIMATED]]-TBL_PhotographsAndVideo[[#This Row],[ACTUAL]])</f>
        <v/>
      </c>
    </row>
    <row r="49" spans="2:6" s="40" customFormat="1" ht="21" customHeight="1" x14ac:dyDescent="0.35">
      <c r="B49" s="39" t="s">
        <v>31</v>
      </c>
      <c r="C49" s="38">
        <v>200</v>
      </c>
      <c r="D49" s="38"/>
      <c r="E49" s="38" t="str">
        <f>IF(OR(TBL_PhotographsAndVideo[[#This Row],[ESTIMATED]]="",TBL_PhotographsAndVideo[[#This Row],[ACTUAL]]=""),"",TBL_PhotographsAndVideo[[#This Row],[ESTIMATED]]-TBL_PhotographsAndVideo[[#This Row],[ACTUAL]])</f>
        <v/>
      </c>
    </row>
    <row r="50" spans="2:6" s="19" customFormat="1" ht="21" customHeight="1" x14ac:dyDescent="0.35">
      <c r="B50" s="45" t="s">
        <v>60</v>
      </c>
      <c r="C50" s="43">
        <f>SUBTOTAL(109,TBL_PhotographsAndVideo[ESTIMATED])</f>
        <v>2500</v>
      </c>
      <c r="D50" s="43">
        <f>SUBTOTAL(109,TBL_PhotographsAndVideo[ACTUAL])</f>
        <v>0</v>
      </c>
      <c r="E50" s="43">
        <f>TBL_PhotographsAndVideo[[#Totals],[ESTIMATED]]-TBL_PhotographsAndVideo[[#Totals],[ACTUAL]]</f>
        <v>2500</v>
      </c>
      <c r="F50" s="44"/>
    </row>
    <row r="51" spans="2:6" ht="21" customHeight="1" x14ac:dyDescent="0.35">
      <c r="B51" s="14"/>
      <c r="C51" s="15"/>
      <c r="D51" s="15"/>
      <c r="E51" s="15"/>
    </row>
    <row r="52" spans="2:6" ht="21" customHeight="1" x14ac:dyDescent="0.35">
      <c r="B52" s="14"/>
      <c r="C52" s="15"/>
      <c r="D52" s="15"/>
      <c r="E52" s="15"/>
    </row>
    <row r="53" spans="2:6" s="19" customFormat="1" ht="21" customHeight="1" x14ac:dyDescent="0.35">
      <c r="B53" s="42" t="s">
        <v>61</v>
      </c>
      <c r="C53" s="41" t="s">
        <v>25</v>
      </c>
      <c r="D53" s="41" t="s">
        <v>26</v>
      </c>
      <c r="E53" s="41" t="s">
        <v>3</v>
      </c>
    </row>
    <row r="54" spans="2:6" s="40" customFormat="1" ht="21" customHeight="1" x14ac:dyDescent="0.35">
      <c r="B54" s="39" t="s">
        <v>62</v>
      </c>
      <c r="C54" s="38">
        <v>700</v>
      </c>
      <c r="D54" s="38"/>
      <c r="E54" s="38" t="str">
        <f>IF(OR(TBL_FavorsAndGifts[[#This Row],[ESTIMATED]]="",TBL_FavorsAndGifts[[#This Row],[ACTUAL]]=""),"",TBL_FavorsAndGifts[[#This Row],[ESTIMATED]]-TBL_FavorsAndGifts[[#This Row],[ACTUAL]])</f>
        <v/>
      </c>
    </row>
    <row r="55" spans="2:6" s="40" customFormat="1" ht="21" customHeight="1" x14ac:dyDescent="0.35">
      <c r="B55" s="39" t="s">
        <v>63</v>
      </c>
      <c r="C55" s="38">
        <v>200</v>
      </c>
      <c r="D55" s="38"/>
      <c r="E55" s="38" t="str">
        <f>IF(OR(TBL_FavorsAndGifts[[#This Row],[ESTIMATED]]="",TBL_FavorsAndGifts[[#This Row],[ACTUAL]]=""),"",TBL_FavorsAndGifts[[#This Row],[ESTIMATED]]-TBL_FavorsAndGifts[[#This Row],[ACTUAL]])</f>
        <v/>
      </c>
    </row>
    <row r="56" spans="2:6" s="40" customFormat="1" ht="21" customHeight="1" x14ac:dyDescent="0.35">
      <c r="B56" s="39" t="s">
        <v>31</v>
      </c>
      <c r="C56" s="38">
        <v>200</v>
      </c>
      <c r="D56" s="38"/>
      <c r="E56" s="38" t="str">
        <f>IF(OR(TBL_FavorsAndGifts[[#This Row],[ESTIMATED]]="",TBL_FavorsAndGifts[[#This Row],[ACTUAL]]=""),"",TBL_FavorsAndGifts[[#This Row],[ESTIMATED]]-TBL_FavorsAndGifts[[#This Row],[ACTUAL]])</f>
        <v/>
      </c>
    </row>
    <row r="57" spans="2:6" s="19" customFormat="1" ht="21" customHeight="1" x14ac:dyDescent="0.35">
      <c r="B57" s="45" t="s">
        <v>64</v>
      </c>
      <c r="C57" s="43">
        <f>SUBTOTAL(109,TBL_FavorsAndGifts[ESTIMATED])</f>
        <v>1100</v>
      </c>
      <c r="D57" s="43">
        <f>SUBTOTAL(109,TBL_FavorsAndGifts[ACTUAL])</f>
        <v>0</v>
      </c>
      <c r="E57" s="43">
        <f>TBL_FavorsAndGifts[[#Totals],[ESTIMATED]]-TBL_FavorsAndGifts[[#Totals],[ACTUAL]]</f>
        <v>1100</v>
      </c>
      <c r="F57" s="44"/>
    </row>
    <row r="58" spans="2:6" ht="21" customHeight="1" x14ac:dyDescent="0.35">
      <c r="B58" s="14"/>
      <c r="C58" s="15"/>
      <c r="D58" s="15"/>
      <c r="E58" s="15"/>
    </row>
    <row r="59" spans="2:6" ht="21" customHeight="1" x14ac:dyDescent="0.35">
      <c r="B59" s="14"/>
      <c r="C59" s="15"/>
      <c r="D59" s="15"/>
      <c r="E59" s="15"/>
    </row>
    <row r="60" spans="2:6" s="19" customFormat="1" ht="21" customHeight="1" x14ac:dyDescent="0.35">
      <c r="B60" s="42" t="s">
        <v>65</v>
      </c>
      <c r="C60" s="41" t="s">
        <v>25</v>
      </c>
      <c r="D60" s="41" t="s">
        <v>26</v>
      </c>
      <c r="E60" s="41" t="s">
        <v>3</v>
      </c>
    </row>
    <row r="61" spans="2:6" s="40" customFormat="1" ht="21" customHeight="1" x14ac:dyDescent="0.35">
      <c r="B61" s="39" t="s">
        <v>66</v>
      </c>
      <c r="C61" s="38">
        <v>500</v>
      </c>
      <c r="D61" s="38"/>
      <c r="E61" s="38" t="str">
        <f>IF(OR(TBL_Ceremony[[#This Row],[ESTIMATED]]="",TBL_Ceremony[[#This Row],[ACTUAL]]=""),"",TBL_Ceremony[[#This Row],[ESTIMATED]]-TBL_Ceremony[[#This Row],[ACTUAL]])</f>
        <v/>
      </c>
    </row>
    <row r="62" spans="2:6" s="40" customFormat="1" ht="21" customHeight="1" x14ac:dyDescent="0.35">
      <c r="B62" s="39" t="s">
        <v>67</v>
      </c>
      <c r="C62" s="38">
        <v>200</v>
      </c>
      <c r="D62" s="38"/>
      <c r="E62" s="38" t="str">
        <f>IF(OR(TBL_Ceremony[[#This Row],[ESTIMATED]]="",TBL_Ceremony[[#This Row],[ACTUAL]]=""),"",TBL_Ceremony[[#This Row],[ESTIMATED]]-TBL_Ceremony[[#This Row],[ACTUAL]])</f>
        <v/>
      </c>
    </row>
    <row r="63" spans="2:6" s="40" customFormat="1" ht="21" customHeight="1" x14ac:dyDescent="0.35">
      <c r="B63" s="39" t="s">
        <v>31</v>
      </c>
      <c r="C63" s="38">
        <v>100</v>
      </c>
      <c r="D63" s="38"/>
      <c r="E63" s="38" t="str">
        <f>IF(OR(TBL_Ceremony[[#This Row],[ESTIMATED]]="",TBL_Ceremony[[#This Row],[ACTUAL]]=""),"",TBL_Ceremony[[#This Row],[ESTIMATED]]-TBL_Ceremony[[#This Row],[ACTUAL]])</f>
        <v/>
      </c>
    </row>
    <row r="64" spans="2:6" s="19" customFormat="1" ht="21" customHeight="1" x14ac:dyDescent="0.35">
      <c r="B64" s="45" t="s">
        <v>68</v>
      </c>
      <c r="C64" s="43">
        <f>SUBTOTAL(109,TBL_Ceremony[ESTIMATED])</f>
        <v>800</v>
      </c>
      <c r="D64" s="43">
        <f>SUBTOTAL(109,TBL_Ceremony[ACTUAL])</f>
        <v>0</v>
      </c>
      <c r="E64" s="43">
        <f>TBL_Ceremony[[#Totals],[ESTIMATED]]-TBL_Ceremony[[#Totals],[ACTUAL]]</f>
        <v>800</v>
      </c>
      <c r="F64" s="44"/>
    </row>
    <row r="65" spans="2:6" ht="21" customHeight="1" x14ac:dyDescent="0.35">
      <c r="B65" s="14"/>
      <c r="C65" s="15"/>
      <c r="D65" s="15"/>
      <c r="E65" s="15"/>
    </row>
    <row r="66" spans="2:6" ht="21" customHeight="1" x14ac:dyDescent="0.35">
      <c r="B66" s="14"/>
      <c r="C66" s="15"/>
      <c r="D66" s="15"/>
      <c r="E66" s="15"/>
    </row>
    <row r="67" spans="2:6" s="19" customFormat="1" ht="21" customHeight="1" x14ac:dyDescent="0.35">
      <c r="B67" s="42" t="s">
        <v>69</v>
      </c>
      <c r="C67" s="41" t="s">
        <v>25</v>
      </c>
      <c r="D67" s="41" t="s">
        <v>26</v>
      </c>
      <c r="E67" s="41" t="s">
        <v>3</v>
      </c>
    </row>
    <row r="68" spans="2:6" s="40" customFormat="1" ht="21" customHeight="1" x14ac:dyDescent="0.35">
      <c r="B68" s="39" t="s">
        <v>70</v>
      </c>
      <c r="C68" s="38">
        <v>50</v>
      </c>
      <c r="D68" s="38"/>
      <c r="E68" s="38" t="str">
        <f>IF(OR(TBL_Stationery[[#This Row],[ESTIMATED]]="",TBL_Stationery[[#This Row],[ACTUAL]]=""),"",TBL_Stationery[[#This Row],[ESTIMATED]]-TBL_Stationery[[#This Row],[ACTUAL]])</f>
        <v/>
      </c>
    </row>
    <row r="69" spans="2:6" s="40" customFormat="1" ht="21" customHeight="1" x14ac:dyDescent="0.35">
      <c r="B69" s="39" t="s">
        <v>71</v>
      </c>
      <c r="C69" s="38">
        <v>100</v>
      </c>
      <c r="D69" s="38"/>
      <c r="E69" s="38" t="str">
        <f>IF(OR(TBL_Stationery[[#This Row],[ESTIMATED]]="",TBL_Stationery[[#This Row],[ACTUAL]]=""),"",TBL_Stationery[[#This Row],[ESTIMATED]]-TBL_Stationery[[#This Row],[ACTUAL]])</f>
        <v/>
      </c>
    </row>
    <row r="70" spans="2:6" s="40" customFormat="1" ht="21" customHeight="1" x14ac:dyDescent="0.35">
      <c r="B70" s="39" t="s">
        <v>72</v>
      </c>
      <c r="C70" s="38">
        <v>50</v>
      </c>
      <c r="D70" s="38"/>
      <c r="E70" s="38" t="str">
        <f>IF(OR(TBL_Stationery[[#This Row],[ESTIMATED]]="",TBL_Stationery[[#This Row],[ACTUAL]]=""),"",TBL_Stationery[[#This Row],[ESTIMATED]]-TBL_Stationery[[#This Row],[ACTUAL]])</f>
        <v/>
      </c>
    </row>
    <row r="71" spans="2:6" s="40" customFormat="1" ht="21" customHeight="1" x14ac:dyDescent="0.35">
      <c r="B71" s="39" t="s">
        <v>73</v>
      </c>
      <c r="C71" s="38">
        <v>50</v>
      </c>
      <c r="D71" s="38"/>
      <c r="E71" s="38" t="str">
        <f>IF(OR(TBL_Stationery[[#This Row],[ESTIMATED]]="",TBL_Stationery[[#This Row],[ACTUAL]]=""),"",TBL_Stationery[[#This Row],[ESTIMATED]]-TBL_Stationery[[#This Row],[ACTUAL]])</f>
        <v/>
      </c>
    </row>
    <row r="72" spans="2:6" s="40" customFormat="1" ht="21" customHeight="1" x14ac:dyDescent="0.35">
      <c r="B72" s="39" t="s">
        <v>74</v>
      </c>
      <c r="C72" s="38">
        <v>50</v>
      </c>
      <c r="D72" s="38"/>
      <c r="E72" s="38" t="str">
        <f>IF(OR(TBL_Stationery[[#This Row],[ESTIMATED]]="",TBL_Stationery[[#This Row],[ACTUAL]]=""),"",TBL_Stationery[[#This Row],[ESTIMATED]]-TBL_Stationery[[#This Row],[ACTUAL]])</f>
        <v/>
      </c>
    </row>
    <row r="73" spans="2:6" s="40" customFormat="1" ht="21" customHeight="1" x14ac:dyDescent="0.35">
      <c r="B73" s="39" t="s">
        <v>75</v>
      </c>
      <c r="C73" s="38">
        <v>50</v>
      </c>
      <c r="D73" s="38"/>
      <c r="E73" s="38" t="str">
        <f>IF(OR(TBL_Stationery[[#This Row],[ESTIMATED]]="",TBL_Stationery[[#This Row],[ACTUAL]]=""),"",TBL_Stationery[[#This Row],[ESTIMATED]]-TBL_Stationery[[#This Row],[ACTUAL]])</f>
        <v/>
      </c>
    </row>
    <row r="74" spans="2:6" s="40" customFormat="1" ht="21" customHeight="1" x14ac:dyDescent="0.35">
      <c r="B74" s="39" t="s">
        <v>76</v>
      </c>
      <c r="C74" s="38">
        <v>50</v>
      </c>
      <c r="D74" s="38"/>
      <c r="E74" s="38" t="str">
        <f>IF(OR(TBL_Stationery[[#This Row],[ESTIMATED]]="",TBL_Stationery[[#This Row],[ACTUAL]]=""),"",TBL_Stationery[[#This Row],[ESTIMATED]]-TBL_Stationery[[#This Row],[ACTUAL]])</f>
        <v/>
      </c>
    </row>
    <row r="75" spans="2:6" s="40" customFormat="1" ht="21" customHeight="1" x14ac:dyDescent="0.35">
      <c r="B75" s="39" t="s">
        <v>31</v>
      </c>
      <c r="C75" s="38">
        <v>100</v>
      </c>
      <c r="D75" s="38"/>
      <c r="E75" s="38" t="str">
        <f>IF(OR(TBL_Stationery[[#This Row],[ESTIMATED]]="",TBL_Stationery[[#This Row],[ACTUAL]]=""),"",TBL_Stationery[[#This Row],[ESTIMATED]]-TBL_Stationery[[#This Row],[ACTUAL]])</f>
        <v/>
      </c>
    </row>
    <row r="76" spans="2:6" s="19" customFormat="1" ht="21" customHeight="1" x14ac:dyDescent="0.35">
      <c r="B76" s="45" t="s">
        <v>77</v>
      </c>
      <c r="C76" s="43">
        <f>SUBTOTAL(109,TBL_Stationery[ESTIMATED])</f>
        <v>500</v>
      </c>
      <c r="D76" s="43">
        <f>SUBTOTAL(109,TBL_Stationery[ACTUAL])</f>
        <v>0</v>
      </c>
      <c r="E76" s="43">
        <f>TBL_Stationery[[#Totals],[ESTIMATED]]-TBL_Stationery[[#Totals],[ACTUAL]]</f>
        <v>500</v>
      </c>
      <c r="F76" s="44"/>
    </row>
    <row r="77" spans="2:6" ht="21" customHeight="1" x14ac:dyDescent="0.35">
      <c r="B77" s="14"/>
      <c r="C77" s="15"/>
      <c r="D77" s="15"/>
      <c r="E77" s="15"/>
    </row>
    <row r="78" spans="2:6" ht="21" customHeight="1" x14ac:dyDescent="0.35">
      <c r="B78" s="14"/>
      <c r="C78" s="15"/>
      <c r="D78" s="15"/>
      <c r="E78" s="15"/>
    </row>
    <row r="79" spans="2:6" s="19" customFormat="1" ht="21" customHeight="1" x14ac:dyDescent="0.35">
      <c r="B79" s="42" t="s">
        <v>78</v>
      </c>
      <c r="C79" s="41" t="s">
        <v>25</v>
      </c>
      <c r="D79" s="41" t="s">
        <v>26</v>
      </c>
      <c r="E79" s="41" t="s">
        <v>3</v>
      </c>
    </row>
    <row r="80" spans="2:6" s="40" customFormat="1" ht="21" customHeight="1" x14ac:dyDescent="0.35">
      <c r="B80" s="39" t="s">
        <v>20</v>
      </c>
      <c r="C80" s="38">
        <v>1000</v>
      </c>
      <c r="D80" s="38"/>
      <c r="E80" s="38" t="str">
        <f>IF(OR(TBL_WeddingRings[[#This Row],[ESTIMATED]]="",TBL_WeddingRings[[#This Row],[ACTUAL]]=""),"",TBL_WeddingRings[[#This Row],[ESTIMATED]]-TBL_WeddingRings[[#This Row],[ACTUAL]])</f>
        <v/>
      </c>
    </row>
    <row r="81" spans="2:6" s="40" customFormat="1" ht="21" customHeight="1" x14ac:dyDescent="0.35">
      <c r="B81" s="39" t="s">
        <v>79</v>
      </c>
      <c r="C81" s="38">
        <v>100</v>
      </c>
      <c r="D81" s="38"/>
      <c r="E81" s="38" t="str">
        <f>IF(OR(TBL_WeddingRings[[#This Row],[ESTIMATED]]="",TBL_WeddingRings[[#This Row],[ACTUAL]]=""),"",TBL_WeddingRings[[#This Row],[ESTIMATED]]-TBL_WeddingRings[[#This Row],[ACTUAL]])</f>
        <v/>
      </c>
    </row>
    <row r="82" spans="2:6" s="19" customFormat="1" ht="21" customHeight="1" x14ac:dyDescent="0.35">
      <c r="B82" s="45" t="s">
        <v>80</v>
      </c>
      <c r="C82" s="43">
        <f>SUBTOTAL(109,TBL_WeddingRings[ESTIMATED])</f>
        <v>1100</v>
      </c>
      <c r="D82" s="43">
        <f>SUBTOTAL(109,TBL_WeddingRings[ACTUAL])</f>
        <v>0</v>
      </c>
      <c r="E82" s="43">
        <f>TBL_WeddingRings[[#Totals],[ESTIMATED]]-TBL_WeddingRings[[#Totals],[ACTUAL]]</f>
        <v>1100</v>
      </c>
      <c r="F82" s="44"/>
    </row>
    <row r="83" spans="2:6" ht="21" customHeight="1" x14ac:dyDescent="0.35">
      <c r="B83" s="14"/>
      <c r="C83" s="15"/>
      <c r="D83" s="15"/>
      <c r="E83" s="15"/>
    </row>
    <row r="84" spans="2:6" ht="21" customHeight="1" x14ac:dyDescent="0.35">
      <c r="B84" s="14"/>
      <c r="C84" s="15"/>
      <c r="D84" s="15"/>
      <c r="E84" s="15"/>
    </row>
    <row r="85" spans="2:6" s="19" customFormat="1" ht="21" customHeight="1" x14ac:dyDescent="0.35">
      <c r="B85" s="42" t="s">
        <v>81</v>
      </c>
      <c r="C85" s="41" t="s">
        <v>25</v>
      </c>
      <c r="D85" s="41" t="s">
        <v>26</v>
      </c>
      <c r="E85" s="41" t="s">
        <v>3</v>
      </c>
    </row>
    <row r="86" spans="2:6" s="40" customFormat="1" ht="21" customHeight="1" x14ac:dyDescent="0.35">
      <c r="B86" s="39" t="s">
        <v>82</v>
      </c>
      <c r="C86" s="38">
        <v>100</v>
      </c>
      <c r="D86" s="38"/>
      <c r="E86" s="38" t="str">
        <f>IF(OR(TBL_Transportation[[#This Row],[ESTIMATED]]="",TBL_Transportation[[#This Row],[ACTUAL]]=""),"",TBL_Transportation[[#This Row],[ESTIMATED]]-TBL_Transportation[[#This Row],[ACTUAL]])</f>
        <v/>
      </c>
    </row>
    <row r="87" spans="2:6" s="40" customFormat="1" ht="21" customHeight="1" x14ac:dyDescent="0.35">
      <c r="B87" s="39" t="s">
        <v>83</v>
      </c>
      <c r="C87" s="38">
        <v>100</v>
      </c>
      <c r="D87" s="38"/>
      <c r="E87" s="38" t="str">
        <f>IF(OR(TBL_Transportation[[#This Row],[ESTIMATED]]="",TBL_Transportation[[#This Row],[ACTUAL]]=""),"",TBL_Transportation[[#This Row],[ESTIMATED]]-TBL_Transportation[[#This Row],[ACTUAL]])</f>
        <v/>
      </c>
    </row>
    <row r="88" spans="2:6" s="40" customFormat="1" ht="21" customHeight="1" x14ac:dyDescent="0.35">
      <c r="B88" s="39" t="s">
        <v>84</v>
      </c>
      <c r="C88" s="38">
        <v>100</v>
      </c>
      <c r="D88" s="38"/>
      <c r="E88" s="38" t="str">
        <f>IF(OR(TBL_Transportation[[#This Row],[ESTIMATED]]="",TBL_Transportation[[#This Row],[ACTUAL]]=""),"",TBL_Transportation[[#This Row],[ESTIMATED]]-TBL_Transportation[[#This Row],[ACTUAL]])</f>
        <v/>
      </c>
    </row>
    <row r="89" spans="2:6" s="40" customFormat="1" ht="21" customHeight="1" x14ac:dyDescent="0.35">
      <c r="B89" s="39" t="s">
        <v>85</v>
      </c>
      <c r="C89" s="38">
        <v>50</v>
      </c>
      <c r="D89" s="38"/>
      <c r="E89" s="38" t="str">
        <f>IF(OR(TBL_Transportation[[#This Row],[ESTIMATED]]="",TBL_Transportation[[#This Row],[ACTUAL]]=""),"",TBL_Transportation[[#This Row],[ESTIMATED]]-TBL_Transportation[[#This Row],[ACTUAL]])</f>
        <v/>
      </c>
    </row>
    <row r="90" spans="2:6" s="40" customFormat="1" ht="21" customHeight="1" x14ac:dyDescent="0.35">
      <c r="B90" s="39" t="s">
        <v>31</v>
      </c>
      <c r="C90" s="38">
        <v>100</v>
      </c>
      <c r="D90" s="38"/>
      <c r="E90" s="38" t="str">
        <f>IF(OR(TBL_Transportation[[#This Row],[ESTIMATED]]="",TBL_Transportation[[#This Row],[ACTUAL]]=""),"",TBL_Transportation[[#This Row],[ESTIMATED]]-TBL_Transportation[[#This Row],[ACTUAL]])</f>
        <v/>
      </c>
    </row>
    <row r="91" spans="2:6" s="19" customFormat="1" ht="21" customHeight="1" x14ac:dyDescent="0.35">
      <c r="B91" s="45" t="s">
        <v>86</v>
      </c>
      <c r="C91" s="43">
        <f>SUBTOTAL(109,TBL_Transportation[ESTIMATED])</f>
        <v>450</v>
      </c>
      <c r="D91" s="43">
        <f>SUBTOTAL(109,TBL_Transportation[ACTUAL])</f>
        <v>0</v>
      </c>
      <c r="E91" s="43">
        <f>TBL_Transportation[[#Totals],[ESTIMATED]]-TBL_Transportation[[#Totals],[ACTUAL]]</f>
        <v>450</v>
      </c>
      <c r="F91" s="44"/>
    </row>
  </sheetData>
  <dataValidations count="1">
    <dataValidation allowBlank="1" showInputMessage="1" showErrorMessage="1" prompt="Add or edit specific expense items for each category._x000a__x000a_Enter estimated costs and actual costs. Variance columns and Total rows are automatically calculated." sqref="A1" xr:uid="{00000000-0002-0000-0100-000000000000}"/>
  </dataValidations>
  <printOptions horizontalCentered="1"/>
  <pageMargins left="0.25" right="0.25" top="0.75" bottom="0.75" header="0.3" footer="0.3"/>
  <pageSetup fitToHeight="0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9DDD7421-14D6-4241-A330-7DE35FAB3E51}"/>
</file>

<file path=customXml/itemProps21.xml><?xml version="1.0" encoding="utf-8"?>
<ds:datastoreItem xmlns:ds="http://schemas.openxmlformats.org/officeDocument/2006/customXml" ds:itemID="{F43866C4-E758-40FE-91F1-F0A6B6BC7738}"/>
</file>

<file path=customXml/itemProps33.xml><?xml version="1.0" encoding="utf-8"?>
<ds:datastoreItem xmlns:ds="http://schemas.openxmlformats.org/officeDocument/2006/customXml" ds:itemID="{2A80027E-562E-45C1-8885-9A2D6E1BF9AF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TM11470075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ap:HeadingPairs>
  <ap:TitlesOfParts>
    <vt:vector baseType="lpstr" size="3">
      <vt:lpstr>Wedding budget</vt:lpstr>
      <vt:lpstr>Budget details</vt:lpstr>
      <vt:lpstr>TBL_RankingData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2023-11-30T13:14:41Z</dcterms:created>
  <dcterms:modified xsi:type="dcterms:W3CDTF">2024-01-01T03:46:50Z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